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2.xml"/>
  <Override ContentType="application/vnd.openxmlformats-officedocument.spreadsheetml.comments+xml" PartName="/xl/comments8.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VRMUpdate" sheetId="2" r:id="rId5"/>
    <sheet state="visible" name="OLS" sheetId="3" r:id="rId6"/>
    <sheet state="visible" name="Result Counts" sheetId="4" r:id="rId7"/>
    <sheet state="visible" name="simonly" sheetId="5" r:id="rId8"/>
    <sheet state="visible" name="Kegg Taxon" sheetId="6" r:id="rId9"/>
    <sheet state="visible" name="Simple Taxon" sheetId="7" r:id="rId10"/>
    <sheet state="visible" name="KEGG plant list jan 2022" sheetId="8" r:id="rId11"/>
    <sheet state="visible" name="IMPPAT" sheetId="9" r:id="rId12"/>
    <sheet state="visible" name="DUKE" sheetId="10" r:id="rId13"/>
    <sheet state="visible" name="JWR" sheetId="11" r:id="rId14"/>
    <sheet state="visible" name="KNAP" sheetId="12" r:id="rId15"/>
    <sheet state="visible" name="MICR" sheetId="13" r:id="rId16"/>
    <sheet state="visible" name="NAPR" sheetId="14" r:id="rId17"/>
    <sheet state="visible" name="NPASS" sheetId="15" r:id="rId18"/>
    <sheet state="visible" name="USDA" sheetId="16" r:id="rId19"/>
    <sheet state="visible" name="Kegg Results" sheetId="17" r:id="rId20"/>
    <sheet state="visible" name="Plant ECs from Kegg" sheetId="18" r:id="rId21"/>
    <sheet state="visible" name="DatabaseStats" sheetId="19" r:id="rId22"/>
    <sheet state="visible" name="DB compare" sheetId="20" r:id="rId23"/>
    <sheet state="visible" name="Data Missing from DBs" sheetId="21" r:id="rId24"/>
    <sheet state="visible" name="EnzymeEvolution" sheetId="22" r:id="rId25"/>
    <sheet state="visible" name="Knap Full Plant List" sheetId="23" r:id="rId26"/>
    <sheet state="visible" name="DBResultsMessy" sheetId="24" r:id="rId27"/>
    <sheet state="visible" name="Kegg Relatives" sheetId="25" r:id="rId28"/>
    <sheet state="visible" name="TaxReadable" sheetId="26" r:id="rId29"/>
    <sheet state="visible" name="Direct" sheetId="27" r:id="rId30"/>
    <sheet state="visible" name="TaxJSON" sheetId="28" r:id="rId31"/>
    <sheet state="visible" name="JWvMH" sheetId="29" r:id="rId32"/>
    <sheet state="visible" name="ECAll" sheetId="30" r:id="rId33"/>
    <sheet state="hidden" name="MultSearch" sheetId="31" r:id="rId34"/>
    <sheet state="hidden" name="Cell Notes Store" sheetId="32" r:id="rId35"/>
  </sheets>
  <definedNames>
    <definedName name="np.miss.flav">'Data Missing from DBs'!$J$3</definedName>
    <definedName name="knap.nar">KNAP!$AA:$AA</definedName>
    <definedName name="nap.miss.plant">'Data Missing from DBs'!$G$3:$G$29</definedName>
    <definedName name="kr.kmp">'Kegg Results'!$K:$K</definedName>
    <definedName name="p.que">VRMUpdate!$BJ$2:$BJ$107</definedName>
    <definedName name="ek.myc">VRMUpdate!$X:$X</definedName>
    <definedName name="kr.agi">'Kegg Results'!$A:$A</definedName>
    <definedName name="us.miss.flav">'Data Missing from DBs'!$H$3:$H$6</definedName>
    <definedName name="dd.kxn">DUKE!$E:$E</definedName>
    <definedName name="old.ekxn">JWR!$B$1:$B$46</definedName>
    <definedName name="var.ekxn">OLS!$M:$M</definedName>
    <definedName name="np.ekxn.sim">NPASS!$Y:$Y</definedName>
    <definedName name="nap.bun">NAPR!$D:$D</definedName>
    <definedName name="knap.ekxn">KNAP!$I:$I</definedName>
    <definedName name="old.erd">JWR!$C$1:$C$46</definedName>
    <definedName name="us.egt">USDA!$I:$I</definedName>
    <definedName name="p.epc">VRMUpdate!$AY$2:$AY$107</definedName>
    <definedName name="dd.cyan.sim">DUKE!$H:$H</definedName>
    <definedName name="kr.myc">'Kegg Results'!$M:$M</definedName>
    <definedName name="ek.egt">VRMUpdate!$O:$O</definedName>
    <definedName name="ek.erd">VRMUpdate!$R:$R</definedName>
    <definedName name="var.agi">OLS!$G$2:$G$92</definedName>
    <definedName name="kr.hcc">'Kegg Results'!$J:$J</definedName>
    <definedName name="ecn.list">'Plant ECs from Kegg'!$A$1:$A$78</definedName>
    <definedName name="kr.bun">'Kegg Results'!$B:$B</definedName>
    <definedName name="knap.lu2">KNAP!$W:$W</definedName>
    <definedName name="nap.myc.sim">NAPR!$AC:$AC</definedName>
    <definedName name="var.hwb.sim">OLS!$AM:$AM</definedName>
    <definedName name="knap.kmp">KNAP!$U:$U</definedName>
    <definedName name="var.erd">OLS!$Q:$Q</definedName>
    <definedName name="mic.que.sim">MICR!$Q$1:$Q$10</definedName>
    <definedName name="plant.names">VRMUpdate!$C$1:$C$107</definedName>
    <definedName name="us.miss.plant">'Data Missing from DBs'!$A$3:$A$76</definedName>
    <definedName name="mic.ecg">MICR!$H:$H</definedName>
    <definedName name="kr.erd">'Kegg Results'!$G:$G</definedName>
    <definedName name="us.kxn">USDA!$D:$D</definedName>
    <definedName name="kr.gen">'Kegg Results'!$I:$I</definedName>
    <definedName name="imp.agi">IMPPAT!$C:$C</definedName>
    <definedName name="s.kxn">VRMUpdate!$AD$2:$AD$107</definedName>
    <definedName name="np.myc.sim">NPASS!$AD:$AD</definedName>
    <definedName name="nap.hwb.sim">NAPR!$T:$T</definedName>
    <definedName name="var.gen">OLS!$U:$U</definedName>
    <definedName name="s.que">VRMUpdate!$AS$2:$AS$107</definedName>
    <definedName name="tax.class">'Kegg Taxon'!$K$2:$K$107</definedName>
    <definedName name="np.ecg">NPASS!$H:$H</definedName>
    <definedName name="s.nar">VRMUpdate!$AR$2:$AR$107</definedName>
    <definedName name="s.myc">VRMUpdate!$AQ$2:$AQ$107</definedName>
    <definedName name="var.hwb">OLS!$K:$K</definedName>
    <definedName name="var.kxn.sim">OLS!$AI:$AI</definedName>
    <definedName name="us.nar">USDA!$O:$O</definedName>
    <definedName name="knap.hwb">KNAP!$G:$G</definedName>
    <definedName name="imp.gen.sim">IMPPAT!$K:$K</definedName>
    <definedName name="ek.hcc">VRMUpdate!$U$2:$U$107</definedName>
    <definedName name="ek.nar">VRMUpdate!$Y:$Y</definedName>
    <definedName name="kr.ec">'Kegg Results'!$E:$E</definedName>
    <definedName name="knap.gen">KNAP!$Q:$Q</definedName>
    <definedName name="p.ecit">VRMUpdate!$BA$2:$BA$107</definedName>
    <definedName name="var.myc">OLS!$AA:$AA</definedName>
    <definedName name="mic.hwb">MICR!$E:$E</definedName>
    <definedName name="nap.gen.sim">NAPR!$AA:$AA</definedName>
    <definedName name="p.lu2">VRMUpdate!$BG$2:$BG$107</definedName>
    <definedName name="mic.miss.flav">'Data Missing from DBs'!$K$3</definedName>
    <definedName name="var.que">OLS!$AE:$AE</definedName>
    <definedName name="p.gkxn">VRMUpdate!$BC$2:$BC$107</definedName>
    <definedName name="us.kmp">USDA!$L:$L</definedName>
    <definedName name="dd.epc">DUKE!$I:$I</definedName>
    <definedName name="nap.erd">NAPR!$J:$J</definedName>
    <definedName name="src.urls">OLS!$C:$C</definedName>
    <definedName name="imp.que.sim">IMPPAT!$U:$U</definedName>
    <definedName name="old.nar">JWR!$D$1:$D$46</definedName>
    <definedName name="var.egt">OLS!$O:$O</definedName>
    <definedName name="var.kmp.sim">OLS!$AS:$AS</definedName>
    <definedName name="dd.que.sim">DUKE!$Y:$Y</definedName>
    <definedName name="kr.que">'Kegg Results'!$O:$O</definedName>
    <definedName name="np.lu2.sim">NPASS!$AC:$AC</definedName>
    <definedName name="FN">DBResultsMessy!$D$2:$D$17</definedName>
    <definedName name="nap.lu2.sim">NAPR!$AB:$AB</definedName>
    <definedName name="full.ecn.list">ECAll!$B$1:$B$77</definedName>
    <definedName name="imp.hwb.sim">IMPPAT!$E:$E</definedName>
    <definedName name="nap.myc">NAPR!$N:$N</definedName>
    <definedName name="us.egt.sim">USDA!$J:$J</definedName>
    <definedName name="var.gen.sim">OLS!$AQ:$AQ</definedName>
    <definedName name="knap.gkxn.sim">KNAP!$P:$P</definedName>
    <definedName name="np.lu2">NPASS!$P:$P</definedName>
    <definedName name="mic.myc">MICR!$O:$O</definedName>
    <definedName name="ek.lu2">VRMUpdate!$W:$W</definedName>
    <definedName name="p.egt">VRMUpdate!$AZ$2:$AZ$107</definedName>
    <definedName name="np.nar.sim">NPASS!$AE:$AE</definedName>
    <definedName name="us.lu2">USDA!$M:$M</definedName>
    <definedName name="var.que.sim">OLS!$BA:$BA</definedName>
    <definedName name="imp.nar.sim">IMPPAT!$S:$S</definedName>
    <definedName name="var.nar.sim">OLS!$AY:$AY</definedName>
    <definedName name="np.myc">NPASS!$Q:$Q</definedName>
    <definedName name="nap.gen">NAPR!$L:$L</definedName>
    <definedName name="ek.ecit">VRMUpdate!$Q:$Q</definedName>
    <definedName name="nap.nar.sim">NAPR!$AE:$AE</definedName>
    <definedName name="mic.lu2">MICR!$N:$N</definedName>
    <definedName name="imp.miss.plant">'Data Missing from DBs'!$E$3:$E$62</definedName>
    <definedName name="dd.hwb">DUKE!$G:$G</definedName>
    <definedName name="ek.hwb">VRMUpdate!$L:$L</definedName>
    <definedName name="nap.gkxn.sim">NAPR!$Z:$Z</definedName>
    <definedName name="dd.agi.sim">DUKE!$D:$D</definedName>
    <definedName name="imp.myc">IMPPAT!$P:$P</definedName>
    <definedName name="var.gkxn">OLS!$S:$S</definedName>
    <definedName name="imp.gkxn">IMPPAT!$I:$I</definedName>
    <definedName name="dd.gen.sim">DUKE!$O:$O</definedName>
    <definedName name="np.kmp.sim">NPASS!$AB:$AB</definedName>
    <definedName name="np.gen">NPASS!$M:$M</definedName>
    <definedName name="var.nar">OLS!$AC:$AC</definedName>
    <definedName name="dd.gen">DUKE!$N:$N</definedName>
    <definedName name="mic.egcg">MICR!$L:$L</definedName>
    <definedName name="s.gkxn">VRMUpdate!$AL$2:$AL$107</definedName>
    <definedName name="kr.egt">'Kegg Results'!$F:$F</definedName>
    <definedName name="nap.hwb">NAPR!$E:$E</definedName>
    <definedName name="s.hwb">VRMUpdate!$AE$2:$AE$107</definedName>
    <definedName name="var.erd.sim">OLS!$AO:$AO</definedName>
    <definedName name="imp.myc.sim">IMPPAT!$Q:$Q</definedName>
    <definedName name="nap.ecit.sim">NAPR!$X:$X</definedName>
    <definedName name="us.ecg">USDA!$H:$H</definedName>
    <definedName name="nap.ekxn">NAPR!$G:$G</definedName>
    <definedName name="nap.egt.sim">NAPR!$W:$W</definedName>
    <definedName name="s.erd">VRMUpdate!$AK$2:$AK$107</definedName>
    <definedName name="nap.kmp.sim">NAPR!$AD:$AD</definedName>
    <definedName name="dd.lu2">DUKE!$S:$S</definedName>
    <definedName name="dd.gkxn">DUKE!$M:$M</definedName>
    <definedName name="dd.kmp">DUKE!$Q:$Q</definedName>
    <definedName name="knap.kxn.sim">KNAP!$F:$F</definedName>
    <definedName name="nap.gkxn">NAPR!$K:$K</definedName>
    <definedName name="nap.que.sim">NAPR!$AF:$AF</definedName>
    <definedName name="np.egt.sim">NPASS!$Z:$Z</definedName>
    <definedName name="knap.gen.sim">KNAP!$R:$R</definedName>
    <definedName name="us.ekxn">USDA!$F:$F</definedName>
    <definedName name="knap.lu2.sim">KNAP!$X:$X</definedName>
    <definedName name="s.bun">VRMUpdate!$AC$2:$AC$107</definedName>
    <definedName name="imp.lu2">IMPPAT!$N:$N</definedName>
    <definedName name="np.agi">NPASS!$C:$C</definedName>
    <definedName name="knap.hwb.sim">KNAP!$H:$H</definedName>
    <definedName name="nap.ekxn.sim">NAPR!$V:$V</definedName>
    <definedName name="ek.que">VRMUpdate!$Z:$Z</definedName>
    <definedName name="ek.gen">VRMUpdate!$T:$T</definedName>
    <definedName name="dd.myc">DUKE!$U:$U</definedName>
    <definedName name="imp.epc.sim">IMPPAT!$H:$H</definedName>
    <definedName name="p.gen">VRMUpdate!$BD$2:$BD$107</definedName>
    <definedName name="mic.ekxn.sim">MICR!$I:$I</definedName>
    <definedName name="np.ekxn">NPASS!$G:$G</definedName>
    <definedName name="dd.epc.sim">DUKE!$K:$K</definedName>
    <definedName name="np.hwb.sim">NPASS!$V:$V</definedName>
    <definedName name="var.kmp">OLS!$W:$W</definedName>
    <definedName name="imp.kmp">IMPPAT!$L:$L</definedName>
    <definedName name="np.bun">NPASS!$D:$D</definedName>
    <definedName name="us.egcg">USDA!$K:$K</definedName>
    <definedName name="nap.kxn.sim">NAPR!$U:$U</definedName>
    <definedName name="ek.ekxn">VRMUpdate!$M:$M</definedName>
    <definedName name="s.egt">VRMUpdate!$AH$2:$AH$107</definedName>
    <definedName name="np.kmp">NPASS!$O:$O</definedName>
    <definedName name="ek.kmp">VRMUpdate!$V:$V</definedName>
    <definedName name="knap.kmp.sim">KNAP!$V:$V</definedName>
    <definedName name="knap.egt.sim">KNAP!$M:$M</definedName>
    <definedName name="kr.kxn">'Kegg Results'!$C:$C</definedName>
    <definedName name="mic.kmp">MICR!$M:$M</definedName>
    <definedName name="np.kxn.sim">NPASS!$U:$U</definedName>
    <definedName name="p.erd">VRMUpdate!$BB$2:$BB$107</definedName>
    <definedName name="dd.kxn.sim">DUKE!$F:$F</definedName>
    <definedName name="dd.egt">DUKE!$L:$L</definedName>
    <definedName name="knap.egt">KNAP!$L:$L</definedName>
    <definedName name="s.ekxn">VRMUpdate!$AF$2:$AF$107</definedName>
    <definedName name="knap.agi">KNAP!$C:$C</definedName>
    <definedName name="mic.agi">MICR!$C:$C</definedName>
    <definedName name="np.ecit">NPASS!$J:$J</definedName>
    <definedName name="nap.egt">NAPR!$H:$H</definedName>
    <definedName name="nap.erd.sim">NAPR!$Y:$Y</definedName>
    <definedName name="nap.bun.sim">NAPR!$S:$S</definedName>
    <definedName name="nap.kmp">NAPR!$O:$O</definedName>
    <definedName name="mic.egt.sim">MICR!$K:$K</definedName>
    <definedName name="p.nar">VRMUpdate!$BI$2:$BI$107</definedName>
    <definedName name="p.kxn">VRMUpdate!$AW$2:$AW$107</definedName>
    <definedName name="dd.agi">DUKE!$C:$C</definedName>
    <definedName name="np.hwb">NPASS!$F:$F</definedName>
    <definedName name="us.ekxn.sim">USDA!$G:$G</definedName>
    <definedName name="kr.lu2">'Kegg Results'!$L:$L</definedName>
    <definedName name="dd.nar">DUKE!$V:$V</definedName>
    <definedName name="knap.miss.plant">'Data Missing from DBs'!$B$3:$B$29</definedName>
    <definedName name="np.kxn">NPASS!$E:$E</definedName>
    <definedName name="kr.nar">'Kegg Results'!$N:$N</definedName>
    <definedName name="p.hwb">VRMUpdate!$AX$2:$AX$107</definedName>
    <definedName name="us.hwb">USDA!$E:$E</definedName>
    <definedName name="mic.egt">MICR!$J:$J</definedName>
    <definedName name="imp.miss">'Data Missing from DBs'!$L$3:$L$4</definedName>
    <definedName name="old.kxn">JWR!$A$1:$A$46</definedName>
    <definedName name="knap.ecg">KNAP!$J:$J</definedName>
    <definedName name="p.bun">VRMUpdate!$AV$2:$AV$107</definedName>
    <definedName name="knap.que.sim">KNAP!$AD:$AD</definedName>
    <definedName name="s.hcc">VRMUpdate!$AN$2:$AN$107</definedName>
    <definedName name="knap.nar.sim">KNAP!$AB:$AB</definedName>
    <definedName name="dd.nar.sim">DUKE!$W:$W</definedName>
    <definedName name="knap.miss">'Data Missing from DBs'!$I$3</definedName>
    <definedName name="np.egcg">NPASS!$I:$I</definedName>
    <definedName name="np.nar">NPASS!$R:$R</definedName>
    <definedName name="knap.kxn">KNAP!$E:$E</definedName>
    <definedName name="dd.ecg">DUKE!$J:$J</definedName>
    <definedName name="np.que">NPASS!$S:$S</definedName>
    <definedName name="ecn.codes">'Plant ECs from Kegg'!$B$1:$B$78</definedName>
    <definedName name="p.myc">VRMUpdate!$BH$2:$BH$107</definedName>
    <definedName name="np.gkxn">NPASS!$L:$L</definedName>
    <definedName name="mic.miss.plant">'Data Missing from DBs'!$D$3:$D$79</definedName>
    <definedName name="imp.nar">IMPPAT!$R:$R</definedName>
    <definedName name="knap.que">KNAP!$AC:$AC</definedName>
    <definedName name="np.hcc">NPASS!$N:$N</definedName>
    <definedName name="ek.kxn">VRMUpdate!$K:$K</definedName>
    <definedName name="nap.nar">NAPR!$P:$P</definedName>
    <definedName name="imp.que">IMPPAT!$T:$T</definedName>
    <definedName name="var.agi.sim">OLS!$AG:$AG</definedName>
    <definedName name="np.que.sim">NPASS!$AF:$AF</definedName>
    <definedName name="s.lu2">VRMUpdate!$AP$2:$AP$107</definedName>
    <definedName name="var.kxn">OLS!$I:$I</definedName>
    <definedName name="nap.que">NAPR!$Q:$Q</definedName>
    <definedName name="us.que">USDA!$P:$P</definedName>
    <definedName name="mic.que">MICR!$P:$P</definedName>
    <definedName name="dd.que">DUKE!$X:$X</definedName>
    <definedName name="ek.gkxn">VRMUpdate!$S:$S</definedName>
    <definedName name="ek.agi">VRMUpdate!$I:$I</definedName>
    <definedName name="knap.egcg">KNAP!$N:$N</definedName>
    <definedName name="knap.ekxn.sim">KNAP!$K:$K</definedName>
    <definedName name="var.lu2.sim">OLS!$AU:$AU</definedName>
    <definedName name="imp.kmp.sim">IMPPAT!$M:$M</definedName>
    <definedName name="mic.hwb.sim">MICR!$F:$F</definedName>
    <definedName name="kr.hwb">'Kegg Results'!$D:$D</definedName>
    <definedName name="us.agi">USDA!$C:$C</definedName>
    <definedName name="s.agi">VRMUpdate!$AB$2:$AB$107</definedName>
    <definedName name="nap.agi">NAPR!$C:$C</definedName>
    <definedName name="dd.hcc">DUKE!$P:$P</definedName>
    <definedName name="imp.hwb">IMPPAT!$D:$D</definedName>
    <definedName name="kr.gkxn">'Kegg Results'!$H:$H</definedName>
    <definedName name="mic.kxn">MICR!$D:$D</definedName>
    <definedName name="knap.hcc">KNAP!$S:$S</definedName>
    <definedName name="p.hcc">VRMUpdate!$BE$2:$BE$107</definedName>
    <definedName name="dd.miss.plant">'Data Missing from DBs'!$F$3:$F$48</definedName>
    <definedName name="imp.lu2.sim">IMPPAT!$O:$O</definedName>
    <definedName name="imp.ecg">IMPPAT!$G:$G</definedName>
    <definedName name="ek.bun">VRMUpdate!$J:$J</definedName>
    <definedName name="nap.lu2">NAPR!$M:$M</definedName>
    <definedName name="imp.epc">IMPPAT!$F:$F</definedName>
    <definedName name="us.myc">USDA!$N:$N</definedName>
    <definedName name="nap.agi.sim">NAPR!$R:$R</definedName>
    <definedName name="nap.ecit">NAPR!$I:$I</definedName>
    <definedName name="dd.kmp.sim">DUKE!$R:$R</definedName>
    <definedName name="knap.agi.sim">KNAP!$D:$D</definedName>
    <definedName name="knap.myc">KNAP!$Y:$Y</definedName>
    <definedName name="s.kmp">VRMUpdate!$AO$2:$AO$107</definedName>
    <definedName name="mic.ekxn">MICR!$G:$G</definedName>
    <definedName name="p.agi">VRMUpdate!$AU$2:$AU$107</definedName>
    <definedName name="s.gen">VRMUpdate!$AM$2:$AM$107</definedName>
    <definedName name="imp.gen">IMPPAT!$J:$J</definedName>
    <definedName name="knap.gkxn">KNAP!$O:$O</definedName>
    <definedName name="np.erd">NPASS!$K:$K</definedName>
    <definedName name="np.miss.plant">'Data Missing from DBs'!$C$3:$C$28</definedName>
    <definedName name="p.kmp">VRMUpdate!$BF$2:$BF$107</definedName>
    <definedName name="dd.lu2.sim">DUKE!$T:$T</definedName>
    <definedName name="nap.kxn">NAPR!$F:$F</definedName>
    <definedName name="var.lu2">OLS!$Y:$Y</definedName>
    <definedName hidden="1" localSheetId="1" name="_xlnm._FilterDatabase">VRMUpdate!$A$1:$CA$107</definedName>
    <definedName hidden="1" localSheetId="5" name="_xlnm._FilterDatabase">'Kegg Taxon'!$A$1:$BN$1000</definedName>
    <definedName hidden="1" localSheetId="17" name="_xlnm._FilterDatabase">'Plant ECs from Kegg'!$D$1:$K$108</definedName>
    <definedName hidden="1" localSheetId="23" name="_xlnm._FilterDatabase">DBResultsMessy!$C$2:$C$433</definedName>
    <definedName hidden="1" localSheetId="24" name="_xlnm._FilterDatabase">'Kegg Relatives'!$J$1:$J$426</definedName>
    <definedName hidden="1" localSheetId="1" name="Z_EDEEA2F4_9C27_4E57_915C_9CF246C87824_.wvu.FilterData">VRMUpdate!$O$1:$O$107</definedName>
    <definedName hidden="1" localSheetId="23" name="Z_EDEEA2F4_9C27_4E57_915C_9CF246C87824_.wvu.FilterData">DBResultsMessy!$B$3:$B$433</definedName>
    <definedName hidden="1" localSheetId="1" name="Z_04528F92_8E56_4677_A3DB_C7A262F6642E_.wvu.FilterData">VRMUpdate!$M$1:$M$107</definedName>
    <definedName hidden="1" localSheetId="20" name="Z_04528F92_8E56_4677_A3DB_C7A262F6642E_.wvu.FilterData">'Data Missing from DBs'!$Q$2:$Q$134</definedName>
    <definedName hidden="1" localSheetId="23" name="Z_04528F92_8E56_4677_A3DB_C7A262F6642E_.wvu.FilterData">DBResultsMessy!$C$3:$C$433</definedName>
    <definedName hidden="1" localSheetId="1" name="Z_19AAF006_262A_41D9_940F_DCCE07129C80_.wvu.FilterData">VRMUpdate!$I$1:$CA$107</definedName>
  </definedNames>
  <calcPr/>
  <customWorkbookViews>
    <customWorkbookView activeSheetId="0" maximized="1" windowHeight="0" windowWidth="0" guid="{EDEEA2F4-9C27-4E57-915C-9CF246C87824}" name="Filter 2"/>
    <customWorkbookView activeSheetId="0" maximized="1" windowHeight="0" windowWidth="0" guid="{19AAF006-262A-41D9-940F-DCCE07129C80}" name="Filter 3"/>
    <customWorkbookView activeSheetId="0" maximized="1" windowHeight="0" windowWidth="0" guid="{04528F92-8E56-4677-A3DB-C7A262F6642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K85">
      <text>
        <t xml:space="preserve">has exact matches for this so it doesn't matter right now</t>
      </text>
    </comment>
    <comment authorId="0" ref="AK107">
      <text>
        <t xml:space="preserve">has exact matches for this so it doesn't matter right now</t>
      </text>
    </comment>
  </commentList>
</comments>
</file>

<file path=xl/comments2.xml><?xml version="1.0" encoding="utf-8"?>
<comments xmlns:r="http://schemas.openxmlformats.org/officeDocument/2006/relationships" xmlns="http://schemas.openxmlformats.org/spreadsheetml/2006/main">
  <authors>
    <author/>
  </authors>
  <commentList>
    <comment authorId="0" ref="AG2">
      <text>
        <t xml:space="preserve">*specific cultivar*
Apigenin-7-glycoside</t>
      </text>
    </comment>
    <comment authorId="0" ref="AI2">
      <text>
        <t xml:space="preserve">procyanidin b1</t>
      </text>
    </comment>
    <comment authorId="0" ref="AK2">
      <text>
        <t xml:space="preserve">procyanidin b1</t>
      </text>
    </comment>
    <comment authorId="0" ref="AM2">
      <text>
        <t xml:space="preserve">cyanidin 3-glucoside
leucocyanidin</t>
      </text>
    </comment>
    <comment authorId="0" ref="AO2">
      <text>
        <t xml:space="preserve">eriodictyol 7-o-glucoside</t>
      </text>
    </comment>
    <comment authorId="0" ref="AQ2">
      <text>
        <t xml:space="preserve">Genistein apiofuranosyl diglycoside
Genistein apiofuranosyl glycoside
genistin
Hidroxygenistein -7 glucoside
Hidroxygenistein -7 acetylglucoside</t>
      </text>
    </comment>
    <comment authorId="0" ref="AS2">
      <text>
        <t xml:space="preserve">robinin</t>
      </text>
    </comment>
    <comment authorId="0" ref="AU2">
      <text>
        <t xml:space="preserve">diosmetin
chrysoeriol</t>
      </text>
    </comment>
    <comment authorId="0" ref="AW2">
      <text>
        <t xml:space="preserve">Myricetin 3-O-glucoside
Myricetin 3-O-rhamnoside</t>
      </text>
    </comment>
    <comment authorId="0" ref="AY2">
      <text>
        <t xml:space="preserve">Prunin
naringin</t>
      </text>
    </comment>
    <comment authorId="0" ref="BA2">
      <text>
        <t xml:space="preserve">isorhamnetin
isorhamnetin 3-o-rutinoside
isorhamnetin 3-o-glucoside</t>
      </text>
    </comment>
    <comment authorId="0" ref="AG3">
      <text>
        <t xml:space="preserve">*specific cultivar*
Apigenin 7-apioglucoside
Apigenin 7-neohesperidoside</t>
      </text>
    </comment>
    <comment authorId="0" ref="AI3">
      <text>
        <t xml:space="preserve">procyanidin b1
procyanidin b3</t>
      </text>
    </comment>
    <comment authorId="0" ref="AK3">
      <text>
        <t xml:space="preserve">procyanidin b1
</t>
      </text>
    </comment>
    <comment authorId="0" ref="AM3">
      <text>
        <t xml:space="preserve">Cyanidin-3-galactoside
Cyanidin-3-glucoside
</t>
      </text>
    </comment>
    <comment authorId="0" ref="AQ3">
      <text>
        <t xml:space="preserve">biochain a</t>
      </text>
    </comment>
    <comment authorId="0" ref="AS3">
      <text>
        <t xml:space="preserve">kaempferol-sinapoyl-trihexoside</t>
      </text>
    </comment>
    <comment authorId="0" ref="AU3">
      <text>
        <t xml:space="preserve">*specific cultivar*
Luteolin-7-glycoside</t>
      </text>
    </comment>
    <comment authorId="0" ref="AY3">
      <text>
        <t xml:space="preserve">naringin
naringenin 7-O-rutinoside
naringenin 7-O-glucoside
naringenin-7-methyl ether</t>
      </text>
    </comment>
    <comment authorId="0" ref="BA3">
      <text>
        <t xml:space="preserve">quercetin hexoside</t>
      </text>
    </comment>
    <comment authorId="0" ref="AG4">
      <text>
        <t xml:space="preserve">Apigenin-7-O-rutinoside
Vicenin-2
Apigenin-7-O-glucoside</t>
      </text>
    </comment>
    <comment authorId="0" ref="AM4">
      <text>
        <t xml:space="preserve">Cyanidin 3-O-glucoside</t>
      </text>
    </comment>
    <comment authorId="0" ref="AS4">
      <text>
        <t xml:space="preserve">Kaempferol-3-glucoside
Dihydrokaempferol
Kaempferol-3-glucuronide
</t>
      </text>
    </comment>
    <comment authorId="0" ref="AU4">
      <text>
        <t xml:space="preserve">*specific cultivar*
Luteolin 7-glucoside
Luteolin glucopyranosyl acetate
</t>
      </text>
    </comment>
    <comment authorId="0" ref="AY4">
      <text>
        <t xml:space="preserve">naringenin hexoside</t>
      </text>
    </comment>
    <comment authorId="0" ref="BA4">
      <text>
        <t xml:space="preserve">quercetin-dihexoside
isorhamnetin-sinapoyl-trihexoside
isorhamnetin-dihexoside
quercetin-3-O-glucoside
isorhamnetin-hexoside-sulfate
isorhamnetin-3-O-glucoside</t>
      </text>
    </comment>
    <comment authorId="0" ref="AG5">
      <text>
        <t xml:space="preserve">apigenin 7-O-glucoside</t>
      </text>
    </comment>
    <comment authorId="0" ref="AS5">
      <text>
        <t xml:space="preserve">kaempferol-3-O-beta-D-glycoside
kaempferol-3-O-beta-D-galactopranoside</t>
      </text>
    </comment>
    <comment authorId="0" ref="AU5">
      <text>
        <t xml:space="preserve">Luteolin-7-O-rutinoside
Luteolin-7-O-glucoside
Chrysoeriol 
Chrysoeriol-7-O-glucoside
Luteolin-7,4-O-diglucoside
Diosmetin 
</t>
      </text>
    </comment>
    <comment authorId="0" ref="AY5">
      <text>
        <t xml:space="preserve">naringin
Naringenin-hexoside</t>
      </text>
    </comment>
    <comment authorId="0" ref="BA5">
      <text>
        <t xml:space="preserve">taxifolin
Quercetin-3-glucoside
Isorhamnetin-3-glucoside
Quercetin-3-acetylglucoside
Quercetin-3-glucosilarabinoside
Quercetin-3,4-diglucoside
Quercetin-3-glucuronide
</t>
      </text>
    </comment>
    <comment authorId="0" ref="AG6">
      <text>
        <t xml:space="preserve">Apigenin-C-diglucoside</t>
      </text>
    </comment>
    <comment authorId="0" ref="AS6">
      <text>
        <t xml:space="preserve">Kaempferol 3-O-glucoside
Kaempferol 3-O-rutinoside</t>
      </text>
    </comment>
    <comment authorId="0" ref="AU6">
      <text>
        <t xml:space="preserve">Luteolin-7-O-rhamnoglucoside
Chrysoeriol-7-O-rhamnoglucoside
Chrysoeriol-7-O-glucoside
Chrysoeriol</t>
      </text>
    </comment>
    <comment authorId="0" ref="BA6">
      <text>
        <t xml:space="preserve">quercetin 3-O-beta-D-galactopranoside
taxifolin</t>
      </text>
    </comment>
    <comment authorId="0" ref="AG7">
      <text>
        <t xml:space="preserve">Apigenin-hexoside</t>
      </text>
    </comment>
    <comment authorId="0" ref="AS7">
      <text>
        <t xml:space="preserve">Kaempferol-3-O-rhamnoglucoside</t>
      </text>
    </comment>
    <comment authorId="0" ref="AU7">
      <text>
        <t xml:space="preserve">Luteolin-hexoside</t>
      </text>
    </comment>
    <comment authorId="0" ref="BA7">
      <text>
        <t xml:space="preserve">taxifolin
Rutin
Quercetin-7-O-glucoside
Quercetin-3-rhamnoside
Quercitrin</t>
      </text>
    </comment>
    <comment authorId="0" ref="AS8">
      <text>
        <t xml:space="preserve">Kaempferol-3-O-rutinoside  Kaempferol-7-O-rutinoside</t>
      </text>
    </comment>
    <comment authorId="0" ref="BA8">
      <text>
        <t xml:space="preserve">Quercetin 3-O-galactoside
Quercetin 3-O-glucoside
Quercetin 3-O-rutinoside</t>
      </text>
    </comment>
    <comment authorId="0" ref="BA9">
      <text>
        <t xml:space="preserve">Taxifolin-3-O-rhamnoside
Rutin
Quercetin-3-O-galactoside
Quercetin-3-O-glucoside
Isorhamnetin-3-O-rhamnoglucoside
Isorhamnetin-3-O-glucoside
</t>
      </text>
    </comment>
    <comment authorId="0" ref="BA10">
      <text>
        <t xml:space="preserve">Isoquercitrin
Isorhamnetin-3-O-neohesperidoside
Isorhamnetin-3-Orutinoside
Isorhamnetin-7-Orutinoside
Isorhamnetin-3-Ogalactoside
Isorhamnetin</t>
      </text>
    </comment>
    <comment authorId="0" ref="BA11">
      <text>
        <t xml:space="preserve">Quercetin hexoside</t>
      </text>
    </comment>
  </commentList>
</comments>
</file>

<file path=xl/comments3.xml><?xml version="1.0" encoding="utf-8"?>
<comments xmlns:r="http://schemas.openxmlformats.org/officeDocument/2006/relationships" xmlns="http://schemas.openxmlformats.org/spreadsheetml/2006/main">
  <authors>
    <author/>
  </authors>
  <commentList>
    <comment authorId="0" ref="B1">
      <text>
        <t xml:space="preserve">Need to double-check
	-Veronica R. Moorman, PhD</t>
      </text>
    </comment>
    <comment authorId="0" ref="AP1">
      <text>
        <t xml:space="preserve">Need to double-check
	-Veronica R. Moorman, PhD</t>
      </text>
    </comment>
  </commentList>
</comments>
</file>

<file path=xl/comments4.xml><?xml version="1.0" encoding="utf-8"?>
<comments xmlns:r="http://schemas.openxmlformats.org/officeDocument/2006/relationships" xmlns="http://schemas.openxmlformats.org/spreadsheetml/2006/main">
  <authors>
    <author/>
  </authors>
  <commentList>
    <comment authorId="0" ref="E2">
      <text>
        <t xml:space="preserve">procyanidin</t>
      </text>
    </comment>
    <comment authorId="0" ref="H2">
      <text>
        <t xml:space="preserve">(-)-Epicatechin gallate </t>
      </text>
    </comment>
    <comment authorId="0" ref="K2">
      <text>
        <t xml:space="preserve">2'-Hydroxygenistein</t>
      </text>
    </comment>
    <comment authorId="0" ref="M2">
      <text>
        <t xml:space="preserve">Kaempferol-7-O-Glucoside
Astragalin (Kaempferol 3-O-beta-D-glucoside)</t>
      </text>
    </comment>
    <comment authorId="0" ref="O2">
      <text>
        <t xml:space="preserve">Luteolin 4'-sulfate </t>
      </text>
    </comment>
    <comment authorId="0" ref="S2">
      <text>
        <t xml:space="preserve">Narirutin</t>
      </text>
    </comment>
    <comment authorId="0" ref="U2">
      <text>
        <t xml:space="preserve">quercitrin
</t>
      </text>
    </comment>
    <comment authorId="0" ref="H3">
      <text>
        <t xml:space="preserve">(-)-Epicatechin gallate </t>
      </text>
    </comment>
    <comment authorId="0" ref="K3">
      <text>
        <t xml:space="preserve">2'-Hydroxygenistein</t>
      </text>
    </comment>
    <comment authorId="0" ref="M3">
      <text>
        <t xml:space="preserve">Kaempferol 3-glucuronide</t>
      </text>
    </comment>
    <comment authorId="0" ref="U3">
      <text>
        <t xml:space="preserve">isoquercetin
Isorhamnetin</t>
      </text>
    </comment>
    <comment authorId="0" ref="K4">
      <text>
        <t xml:space="preserve">2'-Hydroxygenistein</t>
      </text>
    </comment>
    <comment authorId="0" ref="M4">
      <text>
        <t xml:space="preserve">Kaempferol 3-glucuronide
Astragalin (Kaempferol 3-O-beta-D-glucoside)</t>
      </text>
    </comment>
    <comment authorId="0" ref="U4">
      <text>
        <t xml:space="preserve">isoquercetin</t>
      </text>
    </comment>
    <comment authorId="0" ref="K5">
      <text>
        <t xml:space="preserve">2'-Hydroxygenistein</t>
      </text>
    </comment>
    <comment authorId="0" ref="U5">
      <text>
        <t xml:space="preserve">isoquercetin</t>
      </text>
    </comment>
    <comment authorId="0" ref="U6">
      <text>
        <t xml:space="preserve">isoquercetin</t>
      </text>
    </comment>
    <comment authorId="0" ref="U7">
      <text>
        <t xml:space="preserve">isoquercetin</t>
      </text>
    </comment>
    <comment authorId="0" ref="U8">
      <text>
        <t xml:space="preserve">isoquercetin</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Apiin
</t>
      </text>
    </comment>
    <comment authorId="0" ref="H2">
      <text>
        <t xml:space="preserve">Cyanidin-3-monoglucoside
Cyanidin-3-rhamnosylglucoside
Cyanidin-3-rhamnosylglucosylglucoside
Cyanidin-3,5-diglucoside
</t>
      </text>
    </comment>
    <comment authorId="0" ref="K2">
      <text>
        <t xml:space="preserve">(-)-epicatechin-3-gallate
</t>
      </text>
    </comment>
    <comment authorId="0" ref="O2">
      <text>
        <t xml:space="preserve">Isogenistein 7-O-glucoside</t>
      </text>
    </comment>
    <comment authorId="0" ref="R2">
      <text>
        <t xml:space="preserve">Astragalin
</t>
      </text>
    </comment>
    <comment authorId="0" ref="T2">
      <text>
        <t xml:space="preserve">
Luteolin-7-o-beta-d-glucoside
</t>
      </text>
    </comment>
    <comment authorId="0" ref="W2">
      <text>
        <t xml:space="preserve">Naringin
Narirutin
</t>
      </text>
    </comment>
    <comment authorId="0" ref="Y2">
      <text>
        <t xml:space="preserve">Rutin</t>
      </text>
    </comment>
    <comment authorId="0" ref="D3">
      <text>
        <t xml:space="preserve">Apigenin-4',7-diglucoside
Apigenin-7-o-rutinoside
Apigenin-7-rutinoside
Cosmosiin
</t>
      </text>
    </comment>
    <comment authorId="0" ref="H3">
      <text>
        <t xml:space="preserve">-3,5-diglucoside 
-3-arabinoside
-3-galactoside
-7-arabinoside</t>
      </text>
    </comment>
    <comment authorId="0" ref="O3">
      <text>
        <t xml:space="preserve">METHYLGENISTEIN</t>
      </text>
    </comment>
    <comment authorId="0" ref="R3">
      <text>
        <t xml:space="preserve">Astragalin
Kaempferol rutinosides
Kaempferol sophorosides
Kaempferol gentiobiosides
Kaempferol neohesperidosides
</t>
      </text>
    </comment>
    <comment authorId="0" ref="T3">
      <text>
        <t xml:space="preserve">Cynaroside (Luteolin 7-O-beta-D-glucoside)</t>
      </text>
    </comment>
    <comment authorId="0" ref="W3">
      <text>
        <t xml:space="preserve">prunin
narirutin
Naringenin-7-rutinoside
</t>
      </text>
    </comment>
    <comment authorId="0" ref="Y3">
      <text>
        <t xml:space="preserve">Rutin
</t>
      </text>
    </comment>
    <comment authorId="0" ref="D4">
      <text>
        <t xml:space="preserve">Apigenin-4'-o-beta-d-glucoside
Apigenin-7-o-beta-d-galactomannoside
Apigenin-7-o-beta-d-galactopyranosyl-(1,4)-o-beta-d-mann...
Apigenin-7-o-beta-d-glucoside
Apigenin-7-o-beta-d-rutinoside
</t>
      </text>
    </comment>
    <comment authorId="0" ref="H4">
      <text>
        <t xml:space="preserve">Cyanidin-3-glucoside
Cyanidin-3-monoglucoside
Cyanidin-3-rutinoside
</t>
      </text>
    </comment>
    <comment authorId="0" ref="O4">
      <text>
        <t xml:space="preserve">Genistein 7-O-glucosylglucoside</t>
      </text>
    </comment>
    <comment authorId="0" ref="R4">
      <text>
        <t xml:space="preserve">Robinin
Kaempferol-3-glucuronide
</t>
      </text>
    </comment>
    <comment authorId="0" ref="T4">
      <text>
        <t xml:space="preserve">Luteolin-3'-o-beta-d-glucoside
Luteolin-4-beta-d-glucoside
Luteolin-4'-o-beta-d-glucoside
Luteolin-4'-o-glucoside
Luteolin-4',7-diglucoside
Cynaroside
Luteolin-7-beta-rutinoside
Luteolin-7-gentiobioside
Luteolin-7-o-alpha-l-rhamnosyl-glucoside
Luteolin-7-o-glucoside
Luteolin-7-o-rhamnoglucoside
Luteolin-7-o-rutinoside
Luteolin-7-rutinoside
</t>
      </text>
    </comment>
    <comment authorId="0" ref="W4">
      <text>
        <t xml:space="preserve">Sakuranetin (Naringenin 7-methyl ether)
</t>
      </text>
    </comment>
    <comment authorId="0" ref="Y4">
      <text>
        <t xml:space="preserve">Rutin
</t>
      </text>
    </comment>
    <comment authorId="0" ref="D5">
      <text>
        <t xml:space="preserve">Vitexin
Vitexin-2'-o-rhamnoside
</t>
      </text>
    </comment>
    <comment authorId="0" ref="H5">
      <text>
        <t xml:space="preserve">Cyanidin-3-beta-l-arabinoside
Cyanidin-3-galactoside
Cyanidin-glycoside
</t>
      </text>
    </comment>
    <comment authorId="0" ref="O5">
      <text>
        <t xml:space="preserve">Hydroxygenistein
</t>
      </text>
    </comment>
    <comment authorId="0" ref="R5">
      <text>
        <t xml:space="preserve">Astragalin</t>
      </text>
    </comment>
    <comment authorId="0" ref="T5">
      <text>
        <t xml:space="preserve">Luteolin-4'-o-beta-d-diglucoside
Luteolin-4'-o-beta-glucoside
Luteolin-7-o-(6'-o-malonyl)-beta-d-diglucoside
Luteolin-7-o-beta-d-diglucoside
Luteolin-7-o-beta-glucoside
Luteolin-7-o-beta-glucuronide
Luteolin-7-o-beta-rutinoside
</t>
      </text>
    </comment>
    <comment authorId="0" ref="Y5">
      <text>
        <t xml:space="preserve">Rutin
</t>
      </text>
    </comment>
    <comment authorId="0" ref="D6">
      <text>
        <t xml:space="preserve">Isovitexin
Vitexin
</t>
      </text>
    </comment>
    <comment authorId="0" ref="H6">
      <text>
        <t xml:space="preserve">Cyanidin-3-glucoside
</t>
      </text>
    </comment>
    <comment authorId="0" ref="O6">
      <text>
        <t xml:space="preserve">Hydroxygenistein
</t>
      </text>
    </comment>
    <comment authorId="0" ref="R6">
      <text>
        <t xml:space="preserve">
Kaempferol-3-o-beta-d-xylopyranoside
Kaempferol-3-o-beta-rutinoside
</t>
      </text>
    </comment>
    <comment authorId="0" ref="T6">
      <text>
        <t xml:space="preserve">glucoluteolin, luteolin-7-glucoside
</t>
      </text>
    </comment>
    <comment authorId="0" ref="Y6">
      <text>
        <t xml:space="preserve">Quercetin-3-o-beta-glucoside
Quercitrin
</t>
      </text>
    </comment>
    <comment authorId="0" ref="D7">
      <text>
        <t xml:space="preserve">Apigenin-7-di-o-xyloside
Apigenin-7-glucoside
</t>
      </text>
    </comment>
    <comment authorId="0" ref="H7">
      <text>
        <t xml:space="preserve">Cyanidin-3-galactoside
Cyanidin-3-glucoside
Cyanidin-3-o-glucoside
</t>
      </text>
    </comment>
    <comment authorId="0" ref="R7">
      <text>
        <t xml:space="preserve">Kaempferol-3-0-sophoroside
Kaempferol-3-sophoroside-rhamnoside
Kaempferol-3-triglucoside-7-rhamnoside
</t>
      </text>
    </comment>
    <comment authorId="0" ref="T7">
      <text>
        <t xml:space="preserve">Luteolin-4'-o-glucoside
Luteolin-5-o-glucoside
Luteolin-7-o-glucoside
</t>
      </text>
    </comment>
    <comment authorId="0" ref="Y7">
      <text>
        <t xml:space="preserve">Isoquercitrin
Quercetin-3-o-beta-d-2-glucosyl-rutinoside
Quercetin sophorosides
Quercitrin
Rutin
</t>
      </text>
    </comment>
    <comment authorId="0" ref="D8">
      <text>
        <t xml:space="preserve">APIGENIN-7-O-GLUCOSIDE
Vitexin
</t>
      </text>
    </comment>
    <comment authorId="0" ref="H8">
      <text>
        <t xml:space="preserve">Cyanidin-3-(6'-malonyl-glucoside)
Cyanidin-3-dimalonyl-glucoside
Cyanidin-3-galactoside
Cyanidin-3-galactoside-p-coumaric-acid-ester
Cyanidin-3-monoside
</t>
      </text>
    </comment>
    <comment authorId="0" ref="R8">
      <text>
        <t xml:space="preserve">Astragalin
</t>
      </text>
    </comment>
    <comment authorId="0" ref="T8">
      <text>
        <t xml:space="preserve">Luteolin-7-glycoside
Luteolin-7-rutinoside
</t>
      </text>
    </comment>
    <comment authorId="0" ref="Y8">
      <text>
        <t xml:space="preserve">Quercetin-3'-glucoside
quercimeritrin
</t>
      </text>
    </comment>
    <comment authorId="0" ref="R9">
      <text>
        <t xml:space="preserve">
Robinin
</t>
      </text>
    </comment>
    <comment authorId="0" ref="T9">
      <text>
        <t xml:space="preserve">LUTEOLIN-7-O-GLUCOSIDE </t>
      </text>
    </comment>
    <comment authorId="0" ref="Y9">
      <text>
        <t xml:space="preserve">Hyperin
Quercetin-3-arabinoside
Quercitrin
</t>
      </text>
    </comment>
    <comment authorId="0" ref="R10">
      <text>
        <t xml:space="preserve">Astragalin
Kaempferol-3-monoglucoside
Kaempferol-3-o-glucoside
</t>
      </text>
    </comment>
    <comment authorId="0" ref="Y10">
      <text>
        <t xml:space="preserve">Hyperin
Rutin
Isoquercetin
Isoquercitrin
Quercetin-3-0-rutinoside
Quercetin-3-o-alpha-arabinofuranoside
Quercetin-3-o-alpha-galactoside
Quercetin-3-o-beta-d-glucoside
Quercetin-3-o-rhamnoside
Quercetin-3-o-rutinoside
Quercetin-3-o-xyloside
Quercetin-3-rhamnoglucoside
Quercetin-3-rhamnoside
Quercetin-arabinoside
Quercetin-galactoside
Quercetin-glucoside
Quercetin-xyloside
Quercitrin
Reynoutrin
</t>
      </text>
    </comment>
    <comment authorId="0" ref="Y11">
      <text>
        <t xml:space="preserve">rutin
Quercetin-3-glucuronide
Isoquercetin
</t>
      </text>
    </comment>
    <comment authorId="0" ref="Y12">
      <text>
        <t xml:space="preserve">Isoquercitrin
Rutin
Quercetin-3-diglucoside
Quercetin-3,3'-dimethylether
Quercetin-3'-methylether
Quercitrin
</t>
      </text>
    </comment>
    <comment authorId="0" ref="Y13">
      <text>
        <t xml:space="preserve">Rutin
Quercetin-3-0-rutinoside
Quercetin-3-o-rhamnoside
</t>
      </text>
    </comment>
    <comment authorId="0" ref="Y14">
      <text>
        <t xml:space="preserve">Isoquercitrin
Quercetin-3-gentiobioside
</t>
      </text>
    </comment>
    <comment authorId="0" ref="Y15">
      <text>
        <t xml:space="preserve">Quercetin-3-glucuronide
Quercetin-3-o-beta-robinoside-7-o-alpha-l-rhamnopyranoside
Quercetin-3-o-methyl-ether
Rutin
</t>
      </text>
    </comment>
    <comment authorId="0" ref="Y16">
      <text>
        <t xml:space="preserve">Rutin</t>
      </text>
    </comment>
    <comment authorId="0" ref="Y17">
      <text>
        <t xml:space="preserve">Isoquercitrin
Quercetin-3-o-beta-d-glucopyranoside
Quercetin-3-o-beta-d-xylopyranoside
Quercetin-3-o-beta-rutinoside
Quercitrin
Rutin</t>
      </text>
    </comment>
    <comment authorId="0" ref="Y18">
      <text>
        <t xml:space="preserve">Isoquercitrin
Quercetin-3-o-rhamnoside
Quercitrin
Rutin</t>
      </text>
    </comment>
    <comment authorId="0" ref="Y19">
      <text>
        <t xml:space="preserve">Quercitrin
Rutin</t>
      </text>
    </comment>
    <comment authorId="0" ref="Y20">
      <text>
        <t xml:space="preserve">Rutin</t>
      </text>
    </comment>
    <comment authorId="0" ref="Y21">
      <text>
        <t xml:space="preserve">Isoquercitrin
Rutin</t>
      </text>
    </comment>
    <comment authorId="0" ref="Y22">
      <text>
        <t xml:space="preserve">Rutin
</t>
      </text>
    </comment>
    <comment authorId="0" ref="Y23">
      <text>
        <t xml:space="preserve">
Quercetin-3,7-di-o-beta-d-glucoside
</t>
      </text>
    </comment>
    <comment authorId="0" ref="Y24">
      <text>
        <t xml:space="preserve">Rutin</t>
      </text>
    </comment>
  </commentList>
</comments>
</file>

<file path=xl/comments6.xml><?xml version="1.0" encoding="utf-8"?>
<comments xmlns:r="http://schemas.openxmlformats.org/officeDocument/2006/relationships" xmlns="http://schemas.openxmlformats.org/spreadsheetml/2006/main">
  <authors>
    <author/>
  </authors>
  <commentList>
    <comment authorId="0" ref="D2">
      <text>
        <t xml:space="preserve">Cosmosiin
</t>
      </text>
    </comment>
    <comment authorId="0" ref="F2">
      <text>
        <t xml:space="preserve">Catechin 7-O-beta-D-glucopyranoside
</t>
      </text>
    </comment>
    <comment authorId="0" ref="H2">
      <text>
        <t xml:space="preserve">Cyanidin 3-O-[2''-O-(2'''-O-(sinapoyl) xylosyl) 6''-O-(p-O-(glucosyl) p-coumaroyl) glucoside] 5-O-glucoside
Cyanidin 3-O-[2''-O-(2'''-O-(sinapoyl) xylosyl) 6''-O-(p-coumaroyl) glucoside] 5-O-glucoside
Cyanidin 3-O-[2''-O-(2'''-O-(sinapoyl) xylosyl) glucoside] 5-O-glucoside
Cyanidin 3-O-[2''-O-(xylosyl) 6''-O-(p-O-(glucosyl) p-coumaroyl) glucoside] 5-O-[6'''-O-(malonyl) glucoside]
Cyanidin 3-O-[2''-O-(xylosyl) glucoside] 5-O-(6'''-O-malonyl) glucoside
Cyanidin 3-O-[2''-O-(xylosyl)-6''-O-(p-O-(glucosyl)-p-coumaroyl) glucoside] 5-O-glucoside
Cyanidin 3-O-[2''-O-(xylosyl)-6''-O-(p-coumaroyl) glucoside] 5-O-malonylglucoside
Cyanidin 3-O-[2-O-(2-O-(sinapoyl)-bata-D-xylopyranosyl) 6-O-(4-O-(beta-D-glucopyranosyl)-p-coumaroyl-bata-D-glucopyranoside] 5-O-[6-O-(malonyl) bata-D-glucopyranoside]
Cyanidin 3-sambubioside-5-glucoside
</t>
      </text>
    </comment>
    <comment authorId="0" ref="K2">
      <text>
        <t xml:space="preserve">9,10-Dihydro-8-hydroxy-10-methyl-8H-pyrano[2,3-h]epicatechin</t>
      </text>
    </comment>
    <comment authorId="0" ref="M2">
      <text>
        <t xml:space="preserve">Epigallocatechin gallate
</t>
      </text>
    </comment>
    <comment authorId="0" ref="P2">
      <text>
        <t xml:space="preserve">Gallocatechin 3-O-gallate
</t>
      </text>
    </comment>
    <comment authorId="0" ref="R2">
      <text>
        <t xml:space="preserve">2'-Hydroxygenistein
</t>
      </text>
    </comment>
    <comment authorId="0" ref="T2">
      <text>
        <t xml:space="preserve">Neoisoliquiritigenin
</t>
      </text>
    </comment>
    <comment authorId="0" ref="V2">
      <text>
        <t xml:space="preserve">Kaempferol 3-galactoside-7-rhamnoside
Kaempferol 3-gentiobioside-7-rhamnoside
Kaempferitrin
</t>
      </text>
    </comment>
    <comment authorId="0" ref="X2">
      <text>
        <t xml:space="preserve">Luteolin 7-O-(2-apiofuranosyl-4-glucopyranosyl-6-malonyl)glucopyranoside
</t>
      </text>
    </comment>
    <comment authorId="0" ref="Z2">
      <text>
        <t xml:space="preserve">Ampelopsin
</t>
      </text>
    </comment>
    <comment authorId="0" ref="AB2">
      <text>
        <t xml:space="preserve">naringenin chalcone</t>
      </text>
    </comment>
    <comment authorId="0" ref="AD2">
      <text>
        <t xml:space="preserve">Quercetin 3,7-di-O-alpha-L-rhamnopyranoside
Quercetin 3-O-[6''-O-rhamnosyl)glucoside] 7-O-rhamnoside
Quercetin 3-O-beta-D-glucopyranosyl-7-O-alpha-L-rhamnopyranoside
</t>
      </text>
    </comment>
    <comment authorId="0" ref="D3">
      <text>
        <t xml:space="preserve">Cosmosiin
Isoschaftoside
</t>
      </text>
    </comment>
    <comment authorId="0" ref="F3">
      <text>
        <t xml:space="preserve">Catechin-(4alpha-&gt;8)-epicatechin-3-O-gallate
</t>
      </text>
    </comment>
    <comment authorId="0" ref="H3">
      <text>
        <t xml:space="preserve">leucocyanidin (at least is a precursor on kegg)</t>
      </text>
    </comment>
    <comment authorId="0" ref="K3">
      <text>
        <t xml:space="preserve">Epicatechin 8-C-beta-D-galactoside
</t>
      </text>
    </comment>
    <comment authorId="0" ref="R3">
      <text>
        <t xml:space="preserve">Biochain A
</t>
      </text>
    </comment>
    <comment authorId="0" ref="V3">
      <text>
        <t xml:space="preserve">Kaempferol 3-(2''-sinapylglucoside)-7-sophoroside
</t>
      </text>
    </comment>
    <comment authorId="0" ref="X3">
      <text>
        <t xml:space="preserve">Orientin
</t>
      </text>
    </comment>
    <comment authorId="0" ref="Z3">
      <text>
        <t xml:space="preserve">Laricitrin
</t>
      </text>
    </comment>
    <comment authorId="0" ref="AB3">
      <text>
        <t xml:space="preserve">Naringenin chalcone</t>
      </text>
    </comment>
    <comment authorId="0" ref="AD3">
      <text>
        <t xml:space="preserve">Taxifolin
rutin</t>
      </text>
    </comment>
    <comment authorId="0" ref="A4">
      <text>
        <t xml:space="preserve">Kaempferol 3-(2''-p-coumarylglucoside) 
Kaempferol 3-(4''-acetyl-6''-p-coumarylglucoside) 
Kaempferol 3-(2'',3''-diacetyl-4''-(Z)-p-coumaryl-6''-(E)-p-coumarylglucoside) 
Kaempferol 3-(3'',4''-diacetyl-2'',6''-di-(E)-p-coumarylglucoside)</t>
      </text>
    </comment>
    <comment authorId="0" ref="D4">
      <text>
        <t xml:space="preserve">Apigenin 7-(6''-p-coumarylglucoside)
Vitexin
Isovitexin
Vicenin II
</t>
      </text>
    </comment>
    <comment authorId="0" ref="H4">
      <text>
        <t xml:space="preserve">Cyanidin 3-(6'',6'''-disinapylsophoroside)-5-glucoside
Cyanidin 3-(6,6'-disinapoylsophoroside) 5-glucoside
Cyanidin 3-O-sophoroside-5-O-glucoside
Cyanidin 3-[6''-(4-glucosyl-p-coumaryl)sophoroside]-5-glucoside
Cyanidin 3-[6''-(4-glucosylferulyl)-sophoroside]-5-glucoside
</t>
      </text>
    </comment>
    <comment authorId="0" ref="K4">
      <text>
        <t xml:space="preserve">(-)-Epicatechin 3-O-gallate
</t>
      </text>
    </comment>
    <comment authorId="0" ref="R4">
      <text>
        <t xml:space="preserve">Biochanin A
Genistein 7-O-beta-D-glucoside 6''-O-malonate
Genistin
Genistin 6''-O-acetate
</t>
      </text>
    </comment>
    <comment authorId="0" ref="V4">
      <text>
        <t xml:space="preserve">Kaempferol 3-(2'''-(E)-caffeoylglucosyl)-(1-&gt;2)-glucoside-7-cellobioside
Kaempferol 3-(2'''-(E)-caffeylsophoroside)-7-glucoside
Kaempferol 3-(2'''-(E)-p-coumarylsophoroside)-7-glucoside
Kaempferol 3-O-sophoroside 7-O-beta-D-glucopyranoside:Kaempferol 3-sophoroside-7-glucoside
Kaempferol 3-[2'''-(E)-ferulylsophoroside]-7-glucoside
Kaempferol 3-sophoroside-7-cellobioside
</t>
      </text>
    </comment>
    <comment authorId="0" ref="X4">
      <text>
        <t xml:space="preserve">Luteolin 4'-sulfate
Luteolin 7-O-(6''-malonylglucoside)
Luteolin 7-O-beta-D-glucuronide
Luteolin 7-O-rutinoside
</t>
      </text>
    </comment>
    <comment authorId="0" ref="Z4">
      <text>
        <t xml:space="preserve">Isomyricitrin
</t>
      </text>
    </comment>
    <comment authorId="0" ref="AB4">
      <text>
        <t xml:space="preserve">Narirutin
</t>
      </text>
    </comment>
    <comment authorId="0" ref="AD4">
      <text>
        <t xml:space="preserve">
Quercetin 3-sophoroside-7-glucoside
</t>
      </text>
    </comment>
    <comment authorId="0" ref="D5">
      <text>
        <t xml:space="preserve">Cosmosiin
Apigenin 7-O-rutinoside
</t>
      </text>
    </comment>
    <comment authorId="0" ref="H5">
      <text>
        <t xml:space="preserve">Leucocyanidin
</t>
      </text>
    </comment>
    <comment authorId="0" ref="R5">
      <text>
        <t xml:space="preserve">2'-Hydroxygenistein
</t>
      </text>
    </comment>
    <comment authorId="0" ref="V5">
      <text>
        <t xml:space="preserve">Kaempferol 3-O-sophoroside 7-O-beta-D-glucopyranoside
</t>
      </text>
    </comment>
    <comment authorId="0" ref="X5">
      <text>
        <t xml:space="preserve">Orientin
</t>
      </text>
    </comment>
    <comment authorId="0" ref="AB5">
      <text>
        <t xml:space="preserve">Naringenin chalcone
</t>
      </text>
    </comment>
    <comment authorId="0" ref="AD5">
      <text>
        <t xml:space="preserve">Quercetin 3-(2'''-(E)-caffeylsophoroside]-7-glucoside
Quercetin 3-[2'''-(E)-feruloylsophoroside]-7-glucoside
Quercetin 3-sophoroside-7-glucoside
Isorhamnetin
</t>
      </text>
    </comment>
    <comment authorId="0" ref="D6">
      <text>
        <t xml:space="preserve">Vitexin
</t>
      </text>
    </comment>
    <comment authorId="0" ref="H6">
      <text>
        <t xml:space="preserve">Cyanidin-3-O-glucoside
Cyanidin 3-(6''-malonylglucoside)
Cyanidin 3-(4''-acetylglucoside)</t>
      </text>
    </comment>
    <comment authorId="0" ref="R6">
      <text>
        <t xml:space="preserve">Biochanin A
Genistein 7-O-beta-D-glucoside 6''-O-malonate
Genistin
</t>
      </text>
    </comment>
    <comment authorId="0" ref="V6">
      <text>
        <t xml:space="preserve">Mauritianin
</t>
      </text>
    </comment>
    <comment authorId="0" ref="X6">
      <text>
        <t xml:space="preserve">Chrysoeriol
</t>
      </text>
    </comment>
    <comment authorId="0" ref="AB6">
      <text>
        <t xml:space="preserve">Naringenin chalcone
</t>
      </text>
    </comment>
    <comment authorId="0" ref="AD6">
      <text>
        <t xml:space="preserve">Quercetin 3-rhamnoside-7-glucoside
Quercitrin
Taxifolin</t>
      </text>
    </comment>
    <comment authorId="0" ref="A7">
      <text>
        <t xml:space="preserve">6-Hydroxyluteolin 6-methyl ether</t>
      </text>
    </comment>
    <comment authorId="0" ref="D7">
      <text>
        <t xml:space="preserve">Vicenin II
</t>
      </text>
    </comment>
    <comment authorId="0" ref="H7">
      <text>
        <t xml:space="preserve">Cyanidin 3-lathyroside
Idaein
</t>
      </text>
    </comment>
    <comment authorId="0" ref="R7">
      <text>
        <t xml:space="preserve">2'-Hydroxygenistein
</t>
      </text>
    </comment>
    <comment authorId="0" ref="V7">
      <text>
        <t xml:space="preserve">Kaempferol 3-apiosyl-(1-&gt;2)-glucoside
</t>
      </text>
    </comment>
    <comment authorId="0" ref="AB7">
      <text>
        <t xml:space="preserve">Senegalensein</t>
      </text>
    </comment>
    <comment authorId="0" ref="AD7">
      <text>
        <t xml:space="preserve">Rutin
</t>
      </text>
    </comment>
    <comment authorId="0" ref="D8">
      <text>
        <t xml:space="preserve">Apigeninidin
</t>
      </text>
    </comment>
    <comment authorId="0" ref="H8">
      <text>
        <t xml:space="preserve">Cyanidin 3-xyloside</t>
      </text>
    </comment>
    <comment authorId="0" ref="R8">
      <text>
        <t xml:space="preserve">Genistin
</t>
      </text>
    </comment>
    <comment authorId="0" ref="V8">
      <text>
        <t xml:space="preserve">Kaempferol 3-O-gentiobioside
Kaempferol 3-O-sophoroside
</t>
      </text>
    </comment>
    <comment authorId="0" ref="AB8">
      <text>
        <t xml:space="preserve">Naringenin chalcone
</t>
      </text>
    </comment>
    <comment authorId="0" ref="AD8">
      <text>
        <t xml:space="preserve">Isorhamnetin
</t>
      </text>
    </comment>
    <comment authorId="0" ref="D9">
      <text>
        <t xml:space="preserve">Vitexin
Cosmosiin
Isovitexin
</t>
      </text>
    </comment>
    <comment authorId="0" ref="H9">
      <text>
        <t xml:space="preserve">Cyanidin 3-[6''-(4-glucosylcaffeyl)sophoroside]-5-glucoside
Cyanidin 3-[6-(3-glucosylcaffeyl)glucoside]-5-glucoside
</t>
      </text>
    </comment>
    <comment authorId="0" ref="R9">
      <text>
        <t xml:space="preserve">2'-Hydroxygenistein
</t>
      </text>
    </comment>
    <comment authorId="0" ref="V9">
      <text>
        <t xml:space="preserve">Astragalin
Kaempferitrin
</t>
      </text>
    </comment>
    <comment authorId="0" ref="AB9">
      <text>
        <t xml:space="preserve">Naringenin chalcone
</t>
      </text>
    </comment>
    <comment authorId="0" ref="AD9">
      <text>
        <t xml:space="preserve">Quercetin-3-O-glucoside
</t>
      </text>
    </comment>
    <comment authorId="0" ref="D10">
      <text>
        <t xml:space="preserve">vitexin
Isovitexin
</t>
      </text>
    </comment>
    <comment authorId="0" ref="H10">
      <text>
        <t xml:space="preserve">Cyanidin 3-(6''-malonylglucoside)
</t>
      </text>
    </comment>
    <comment authorId="0" ref="V10">
      <text>
        <t xml:space="preserve">Dihydrokaempferol
</t>
      </text>
    </comment>
    <comment authorId="0" ref="AB10">
      <text>
        <t xml:space="preserve">Sakuranetin
</t>
      </text>
    </comment>
    <comment authorId="0" ref="AD10">
      <text>
        <t xml:space="preserve">Taxifolin
</t>
      </text>
    </comment>
    <comment authorId="0" ref="D11">
      <text>
        <t xml:space="preserve">Isovitexin
</t>
      </text>
    </comment>
    <comment authorId="0" ref="H11">
      <text>
        <t xml:space="preserve">Leucocyanidin
</t>
      </text>
    </comment>
    <comment authorId="0" ref="V11">
      <text>
        <t xml:space="preserve">Kaempferol 3-glucuronide
Kaempferol 7-O-rhamnoside
</t>
      </text>
    </comment>
    <comment authorId="0" ref="AB11">
      <text>
        <t xml:space="preserve">Naringenin 7-O-beta-D-glucoside
</t>
      </text>
    </comment>
    <comment authorId="0" ref="AD11">
      <text>
        <t xml:space="preserve">Manghaslin
Quercetin 3-O-neohesperidoside
Quercetin 3-O-sophoroside
Quercetin 3-gentiobioside
</t>
      </text>
    </comment>
    <comment authorId="0" ref="H12">
      <text>
        <t xml:space="preserve">Leucocyanidin</t>
      </text>
    </comment>
    <comment authorId="0" ref="V12">
      <text>
        <t xml:space="preserve">Kaempferol 3,4'-di-O-beta-D-glucopyranoside
Kaempferol 3-(2G-glucosylrutinoside)
Kaempferol 3-rutinoside-4'-glucoside
Kaempferol 4'-glucoside
Kaempferol-7-O-glucoside
</t>
      </text>
    </comment>
    <comment authorId="0" ref="AB12">
      <text>
        <t xml:space="preserve">6-Prenylnaringenin
</t>
      </text>
    </comment>
    <comment authorId="0" ref="AD12">
      <text>
        <t xml:space="preserve">Quercetin 3'-glucoside</t>
      </text>
    </comment>
    <comment authorId="0" ref="H13">
      <text>
        <t xml:space="preserve">Leucocyanidin</t>
      </text>
    </comment>
    <comment authorId="0" ref="V13">
      <text>
        <t xml:space="preserve">Kaempferol 3-(2''-p-coumarylglucoside) 
Kaempferol 3-(4''-acetyl-6''-p-coumarylglucoside) 
Kaempferol 3-(2'',3''-diacetyl-4''-(Z)-p-coumaryl-6''-(E)-p-coumarylglucoside) 
Kaempferol 3-(3'',4''-diacetyl-2'',6''-di-(E)-p-coumarylglucoside)</t>
      </text>
    </comment>
    <comment authorId="0" ref="AB13">
      <text>
        <t xml:space="preserve">Naringenin 7-(2-p-Coumaroylglucoside)</t>
      </text>
    </comment>
    <comment authorId="0" ref="AD13">
      <text>
        <t xml:space="preserve">Quercetin 3'-glucoside
Quercetin 3,5,3',4'-tetramethyl ether
Quercetin 3,5,7,4'-tetramethyl ether
Quercimeritrin
Tamarixetin
Quercetin-3-O-glucoside
</t>
      </text>
    </comment>
    <comment authorId="0" ref="A14">
      <text>
        <t xml:space="preserve">vitexin</t>
      </text>
    </comment>
    <comment authorId="0" ref="H14">
      <text>
        <t xml:space="preserve">Cyanidin 3-O-[beta-D-glucopyranoside]-7,3'-di-O-[6-O-(sinapyl)-beta-D-glucopyranoside]
Cyanidin 3-O-[6-O-(malonyl)-beta-D-glucopyranoside]-7,3'-di-O-[6-O-(sinapyl)-beta-D-glucopyranoside]</t>
      </text>
    </comment>
    <comment authorId="0" ref="V14">
      <text>
        <t xml:space="preserve">Kaempferitrin
Kaempferol 3-O-rhamnoside
Kaempferol 7-alpha-L-arabinoside
</t>
      </text>
    </comment>
    <comment authorId="0" ref="AB14">
      <text>
        <t xml:space="preserve">Naringenin 7-O-beta-D-glucoside
Naringenin chalcone
</t>
      </text>
    </comment>
    <comment authorId="0" ref="AD14">
      <text>
        <t xml:space="preserve">Quercetin 3-(6''-malonylglucoside)-7-glucoside
</t>
      </text>
    </comment>
    <comment authorId="0" ref="H15">
      <text>
        <t xml:space="preserve">Leucocyanidin
</t>
      </text>
    </comment>
    <comment authorId="0" ref="V15">
      <text>
        <t xml:space="preserve">Kaempferol 3-(6''-acetylglucosyl)-(1-&gt;3)-galactoside
Kaempferol 3-xyloside
Nicotiflorin
</t>
      </text>
    </comment>
    <comment authorId="0" ref="AB15">
      <text>
        <t xml:space="preserve">Naringin
</t>
      </text>
    </comment>
    <comment authorId="0" ref="AD15">
      <text>
        <t xml:space="preserve">Quercetin-3-O-glucoside
Quercetin-3-beta-galactoside
Quercitrin
</t>
      </text>
    </comment>
    <comment authorId="0" ref="H16">
      <text>
        <t xml:space="preserve">Leucocyanidin
</t>
      </text>
    </comment>
    <comment authorId="0" ref="V16">
      <text>
        <t xml:space="preserve">Kaempferol 3-sophoroside-7-rhamnoside
Kaempferol 3-sophorotrioside-7-rhamnoside
</t>
      </text>
    </comment>
    <comment authorId="0" ref="AB16">
      <text>
        <t xml:space="preserve">Naringenin 7-O-beta-D-glucoside
</t>
      </text>
    </comment>
    <comment authorId="0" ref="AD16">
      <text>
        <t xml:space="preserve">Taxifolin
</t>
      </text>
    </comment>
    <comment authorId="0" ref="H17">
      <text>
        <t xml:space="preserve">Cyanidin 3-(6''-caffeyl-6'''-ferulylsophoroside)-5-glucoside
</t>
      </text>
    </comment>
    <comment authorId="0" ref="V17">
      <text>
        <t xml:space="preserve">Kaempferol 3-glucuronide
</t>
      </text>
    </comment>
    <comment authorId="0" ref="AB17">
      <text>
        <t xml:space="preserve">Naringenin chalcone
</t>
      </text>
    </comment>
    <comment authorId="0" ref="AD17">
      <text>
        <t xml:space="preserve">Quercetin-3-O-glucoside
Rutin
Taxifolin
</t>
      </text>
    </comment>
    <comment authorId="0" ref="H18">
      <text>
        <t xml:space="preserve">Cyanidin 3-arabinoside
Idaein
</t>
      </text>
    </comment>
    <comment authorId="0" ref="AB18">
      <text>
        <t xml:space="preserve">2-hydroxynaringenin
</t>
      </text>
    </comment>
    <comment authorId="0" ref="AD18">
      <text>
        <t xml:space="preserve">Quercetin-3-O-glucoside
Quercetin-3-beta-galactoside
Rutin
</t>
      </text>
    </comment>
    <comment authorId="0" ref="H19">
      <text>
        <t xml:space="preserve">Cyanidin 3-(6''-acetylglucoside)
</t>
      </text>
    </comment>
    <comment authorId="0" ref="AB19">
      <text>
        <t xml:space="preserve">6,8-Di-C-glucopyranosylnaringenin</t>
      </text>
    </comment>
    <comment authorId="0" ref="AD19">
      <text>
        <t xml:space="preserve">Quercetin-3-O-glucoside
Quercetin-3-beta-galactoside
</t>
      </text>
    </comment>
    <comment authorId="0" ref="H20">
      <text>
        <t xml:space="preserve">Cyanidin 3-(3'',6''-dimalonylglucoside)
Cyanidin 3-(6''-malonylglucoside)
</t>
      </text>
    </comment>
    <comment authorId="0" ref="AD20">
      <text>
        <t xml:space="preserve">Quercetin 3-rutinoside-7-glucoside
</t>
      </text>
    </comment>
    <comment authorId="0" ref="AD21">
      <text>
        <t xml:space="preserve">Quercetin 3-gentiobioside
</t>
      </text>
    </comment>
    <comment authorId="0" ref="AD22">
      <text>
        <t xml:space="preserve">Isorhamnetin 3-galactoside
</t>
      </text>
    </comment>
    <comment authorId="0" ref="AD23">
      <text>
        <t xml:space="preserve">Quercetin 3-rutinoside-4'-glucoside
Quercetin 3-rutinoside-7,3'-diglucoside
Taxifolin
</t>
      </text>
    </comment>
    <comment authorId="0" ref="AD24">
      <text>
        <t xml:space="preserve">Quercetin 3-O-neohesperidoside
Quercetin 3-rhamnosyl-(1-&gt;6)-(2''-acetylglucoside)
Rutin
</t>
      </text>
    </comment>
    <comment authorId="0" ref="AD25">
      <text>
        <t xml:space="preserve">Isorhamnetin
Quercitrin
Tamarixetin
</t>
      </text>
    </comment>
    <comment authorId="0" ref="AD26">
      <text>
        <t xml:space="preserve">Quercetin-3-O-glucoside
Reynoutrin
</t>
      </text>
    </comment>
    <comment authorId="0" ref="AD27">
      <text>
        <t xml:space="preserve">Quercitrin
Rutin</t>
      </text>
    </comment>
    <comment authorId="0" ref="AD28">
      <text>
        <t xml:space="preserve">Quercetin-3-O-glucoside
Rutin
</t>
      </text>
    </comment>
    <comment authorId="0" ref="AD29">
      <text>
        <t xml:space="preserve">Quercetin-3-O-glucoside
Quercetin-3-beta-galactoside
</t>
      </text>
    </comment>
    <comment authorId="0" ref="AD30">
      <text>
        <t xml:space="preserve">Quercetin 3-O-sophoroside
</t>
      </text>
    </comment>
    <comment authorId="0" ref="AD31">
      <text>
        <t xml:space="preserve">Quercetin 3,3'-diglucoside
Quercetin 3,7-O-beta-diglucopyranoside
Quercetin 3,7-dimethyl ether 5-glucoside
Quercetin 3-O-neohesperidoside
Taxifolin
</t>
      </text>
    </comment>
    <comment authorId="0" ref="AD32">
      <text>
        <t xml:space="preserve">Rutin
</t>
      </text>
    </comment>
  </commentList>
</comments>
</file>

<file path=xl/comments7.xml><?xml version="1.0" encoding="utf-8"?>
<comments xmlns:r="http://schemas.openxmlformats.org/officeDocument/2006/relationships" xmlns="http://schemas.openxmlformats.org/spreadsheetml/2006/main">
  <authors>
    <author/>
  </authors>
  <commentList>
    <comment authorId="0" ref="H2">
      <text>
        <t xml:space="preserve">Epicatechin 3-gallate</t>
      </text>
    </comment>
    <comment authorId="0" ref="I2">
      <text>
        <t xml:space="preserve">Epicatechin 3-gallate</t>
      </text>
    </comment>
    <comment authorId="0" ref="K2">
      <text>
        <t xml:space="preserve">Epigallocatechin 3-gallate</t>
      </text>
    </comment>
    <comment authorId="0" ref="Q2">
      <text>
        <t xml:space="preserve">Isorhamnetin</t>
      </text>
    </comment>
    <comment authorId="0" ref="H3">
      <text>
        <t xml:space="preserve">Epicatechin 3-gallate</t>
      </text>
    </comment>
    <comment authorId="0" ref="I3">
      <text>
        <t xml:space="preserve">Epicatechin 3-gallate</t>
      </text>
    </comment>
    <comment authorId="0" ref="K3">
      <text>
        <t xml:space="preserve">Epigallocatechin 3-gallate</t>
      </text>
    </comment>
    <comment authorId="0" ref="I4">
      <text>
        <t xml:space="preserve">Epicatechin 3-gallate</t>
      </text>
    </comment>
    <comment authorId="0" ref="K4">
      <text>
        <t xml:space="preserve">Epigallocatechin 3-gallate</t>
      </text>
    </comment>
    <comment authorId="0" ref="I5">
      <text>
        <t xml:space="preserve">Epicatechin 3-gallate</t>
      </text>
    </comment>
    <comment authorId="0" ref="K5">
      <text>
        <t xml:space="preserve">Epigallocatechin 3-gallate</t>
      </text>
    </comment>
    <comment authorId="0" ref="K6">
      <text>
        <t xml:space="preserve">Epigallocatechin 3-gallate</t>
      </text>
    </comment>
  </commentList>
</comments>
</file>

<file path=xl/comments8.xml><?xml version="1.0" encoding="utf-8"?>
<comments xmlns:r="http://schemas.openxmlformats.org/officeDocument/2006/relationships" xmlns="http://schemas.openxmlformats.org/spreadsheetml/2006/main">
  <authors>
    <author/>
  </authors>
  <commentList>
    <comment authorId="0" ref="C1">
      <text>
        <t xml:space="preserve">apigenin
</t>
      </text>
    </comment>
    <comment authorId="0" ref="D1">
      <text>
        <t xml:space="preserve">butein</t>
      </text>
    </comment>
    <comment authorId="0" ref="E1">
      <text>
        <t xml:space="preserve">cyanidin
</t>
      </text>
    </comment>
    <comment authorId="0" ref="F1">
      <text>
        <t xml:space="preserve">catechin</t>
      </text>
    </comment>
    <comment authorId="0" ref="G1">
      <text>
        <t xml:space="preserve">epicatechin</t>
      </text>
    </comment>
    <comment authorId="0" ref="H1">
      <text>
        <t xml:space="preserve">epigallocatechin</t>
      </text>
    </comment>
    <comment authorId="0" ref="I1">
      <text>
        <t xml:space="preserve">eriocitrin</t>
      </text>
    </comment>
    <comment authorId="0" ref="J1">
      <text>
        <t xml:space="preserve">eriodictyol</t>
      </text>
    </comment>
    <comment authorId="0" ref="K1">
      <text>
        <t xml:space="preserve">gallocatechin</t>
      </text>
    </comment>
    <comment authorId="0" ref="L1">
      <text>
        <t xml:space="preserve">genistein</t>
      </text>
    </comment>
    <comment authorId="0" ref="M1">
      <text>
        <t xml:space="preserve">luteolin</t>
      </text>
    </comment>
    <comment authorId="0" ref="N1">
      <text>
        <t xml:space="preserve">myricetin</t>
      </text>
    </comment>
    <comment authorId="0" ref="O1">
      <text>
        <t xml:space="preserve">kaempferol</t>
      </text>
    </comment>
    <comment authorId="0" ref="P1">
      <text>
        <t xml:space="preserve">naringenin</t>
      </text>
    </comment>
    <comment authorId="0" ref="Q1">
      <text>
        <t xml:space="preserve">quercetin</t>
      </text>
    </comment>
    <comment authorId="0" ref="R2">
      <text>
        <t xml:space="preserve">apigenin-6-c-beta-d-glucopyranosyl-8-c-alpha-l-arabinopyranoside</t>
      </text>
    </comment>
    <comment authorId="0" ref="T2">
      <text>
        <t xml:space="preserve">Leucocyanidin</t>
      </text>
    </comment>
    <comment authorId="0" ref="U2">
      <text>
        <t xml:space="preserve">Procyanidin b-1
</t>
      </text>
    </comment>
    <comment authorId="0" ref="V2">
      <text>
        <t xml:space="preserve">Procyanidin b-1	
Procyanidin b-2	
Procyanidin b-5</t>
      </text>
    </comment>
    <comment authorId="0" ref="W2">
      <text>
        <t xml:space="preserve">Epigallocatechin-3-o-gallate</t>
      </text>
    </comment>
    <comment authorId="0" ref="Y2">
      <text>
        <t xml:space="preserve">Eriodictyol-5-o-beta-glucoside</t>
      </text>
    </comment>
    <comment authorId="0" ref="Z2">
      <text>
        <t xml:space="preserve">(+)-Gallocatechin-(4alpha-&gt;8)-(+)-catechin
</t>
      </text>
    </comment>
    <comment authorId="0" ref="AA2">
      <text>
        <t xml:space="preserve">Malonylgenistin</t>
      </text>
    </comment>
    <comment authorId="0" ref="AB2">
      <text>
        <t xml:space="preserve">Luteolin 7-O-beta-D-Glucuronide</t>
      </text>
    </comment>
    <comment authorId="0" ref="AC2">
      <text>
        <t xml:space="preserve">Myricetin 3’,5’-dimethylether 3-O-beta-D-glucopyranoside</t>
      </text>
    </comment>
    <comment authorId="0" ref="AD2">
      <text>
        <t xml:space="preserve">Kaempferol 3,4'-dimethyl ether	
Kaempferol 3-O-[alpha-L-rhamnopyranosyl(1-&gt;2)-beta-D-glucopyranosyl]-7-O-alpha-L-rhamnopyranoside	
kaempferol 3-O-beta-D-glucopyranosyl-7-O-alpha-L-rhamnopyranoside	
Kaempferol-3-O-beta-D-glucopyranoside-7-O-alpha-L-rhamnopyranoside</t>
      </text>
    </comment>
    <comment authorId="0" ref="AE2">
      <text>
        <t xml:space="preserve">Naringenin-4'-7-dimethyl ether</t>
      </text>
    </comment>
    <comment authorId="0" ref="AF2">
      <text>
        <t xml:space="preserve">Quercetin-3-7-diglucoside</t>
      </text>
    </comment>
    <comment authorId="0" ref="R3">
      <text>
        <t xml:space="preserve">apigenin trimethyl ether
apigenin-7-o-alpha-l-rhamno-glucoside</t>
      </text>
    </comment>
    <comment authorId="0" ref="T3">
      <text>
        <t xml:space="preserve">CYANIDIN-3-RHAMNOSYL-GLUCOSYL-GLUCOSIDE</t>
      </text>
    </comment>
    <comment authorId="0" ref="U3">
      <text>
        <t xml:space="preserve">(+)-Gallocatechin-(4alpha-&gt;8)-(+)-catechin
</t>
      </text>
    </comment>
    <comment authorId="0" ref="V3">
      <text>
        <t xml:space="preserve">(-)-epicatechin-3-o-gallate</t>
      </text>
    </comment>
    <comment authorId="0" ref="Y3">
      <text>
        <t xml:space="preserve">Eriodictyol-7-o-beta-d-glucoside</t>
      </text>
    </comment>
    <comment authorId="0" ref="Z3">
      <text>
        <t xml:space="preserve">Gallocatechin-3-o-gallate
</t>
      </text>
    </comment>
    <comment authorId="0" ref="AA3">
      <text>
        <t xml:space="preserve">2'-hydroxygenistein</t>
      </text>
    </comment>
    <comment authorId="0" ref="AB3">
      <text>
        <t xml:space="preserve">Luteolin-4'-beta-d-glucoside</t>
      </text>
    </comment>
    <comment authorId="0" ref="AC3">
      <text>
        <t xml:space="preserve">Myricetin-3-glucuronide	
Myricetin-3-O-beta-D-glucoside</t>
      </text>
    </comment>
    <comment authorId="0" ref="AD3">
      <text>
        <t xml:space="preserve">Kaempferol-3-7-diglucoside	
Kaempferol-3-feruloyl-sophoroside
Kaempferol-3-o-beta-d-sophoroside	
Kaempferol-3-sinapoyl-sophoroside	
Kaempferol-3-sophoroside-7-glucoside</t>
      </text>
    </comment>
    <comment authorId="0" ref="AE3">
      <text>
        <t xml:space="preserve">naringenin chalcone
Naringenin-7-o-beta-d-glucoside</t>
      </text>
    </comment>
    <comment authorId="0" ref="AF3">
      <text>
        <t xml:space="preserve">Quercetin-3-sophoroside</t>
      </text>
    </comment>
    <comment authorId="0" ref="R4">
      <text>
        <t xml:space="preserve">apigenin-7-o-(6''-o-para-coumaroyl-glucoside)</t>
      </text>
    </comment>
    <comment authorId="0" ref="T4">
      <text>
        <t xml:space="preserve">Cyanidin-3-5-diglucoside	
Cyanidin-3-sophoroside-5-glucoside</t>
      </text>
    </comment>
    <comment authorId="0" ref="U4">
      <text>
        <t xml:space="preserve">procyanidin b1
Procyanidin b-3, b4
Procyanidin b-7</t>
      </text>
    </comment>
    <comment authorId="0" ref="V4">
      <text>
        <t xml:space="preserve">Epicatechin 8-C-beta-D-galactopyranoside
Epigallocatechin-3-o-gallate
Procyanidin b-1	
Procyanidin b-2
b4
Procyanidin b-5
Procyanidin b-7	
Procyanidin c-1</t>
      </text>
    </comment>
    <comment authorId="0" ref="AA4">
      <text>
        <t xml:space="preserve">2'-hydroxygenistein</t>
      </text>
    </comment>
    <comment authorId="0" ref="AB4">
      <text>
        <t xml:space="preserve">Luteolin-7-rutinoside</t>
      </text>
    </comment>
    <comment authorId="0" ref="AD4">
      <text>
        <t xml:space="preserve">Kaempferol-3-feruloyl-sophoroside	
Kaempferol-3-o-beta-d-sophoroside	
Kaempferol-3-sinapoyl-sophoroside	
Kaempferol-3-sophoroside-7-glucoside</t>
      </text>
    </comment>
    <comment authorId="0" ref="AF4">
      <text>
        <t xml:space="preserve">Quercetin 3,7-di-O-beta-D-glucoside	
Quercetin 3,7-diglucoside</t>
      </text>
    </comment>
    <comment authorId="0" ref="R5">
      <text>
        <t xml:space="preserve">apigenin-7-o-beta-d-glucosyl-6-c-glucoside</t>
      </text>
    </comment>
    <comment authorId="0" ref="T5">
      <text>
        <t xml:space="preserve">Cyanidin-3-(sinapoyl-xylosyl-glucosyl-galactoside)	
Cyanidin-3-5-digalactoside	
Cyanidin-3-glucogalactoside	
Cyanidin-3-o-galactoside</t>
      </text>
    </comment>
    <comment authorId="0" ref="U5">
      <text>
        <t xml:space="preserve">Catechin-7-o-beta-d-glucopyranoside
Catechin gallate</t>
      </text>
    </comment>
    <comment authorId="0" ref="V5">
      <text>
        <t xml:space="preserve">Epicatechin-(6'-&gt;8)-epicatechin
Epicatechin gallate
Procyanidin b-1
Procyanidin b-2
Procyanidin b-4
Procyanidin b-5
Procyanidin b-7
Procyanidin b-8
procyanidin t2, c2</t>
      </text>
    </comment>
    <comment authorId="0" ref="AA5">
      <text>
        <t xml:space="preserve">2'-hydroxygenistein</t>
      </text>
    </comment>
    <comment authorId="0" ref="AB5">
      <text>
        <t xml:space="preserve">2''-O-alpha-L-Rhamnosyl-6-C-fucosyl-3'-methoxyluteolin	
2''-O-alpha-L-Rhamnosyl-6-C-fucosyl-luteolin	
2"-O-alpha-L-rhamnosyl-6-C-quinovosyl-luteolin</t>
      </text>
    </comment>
    <comment authorId="0" ref="AD5">
      <text>
        <t xml:space="preserve">Kaempferol-3-7-di-o-beta-d-glucoside	
Kaempferol-3-7-diglucoside	
Kaempferol-3-feruloyl-sophoroside	
Kaempferol-3-o-beta-d-sophoroside	
Kaempferol-3-sinapoyl-sophoroside	
Kaempferol-3-sophoroside-7-glucoside</t>
      </text>
    </comment>
    <comment authorId="0" ref="AF5">
      <text>
        <t xml:space="preserve">Quercetin 3-O-alpha-L-rhamnopyranosyl-7-O-beta-D-glucopyranoside </t>
      </text>
    </comment>
    <comment authorId="0" ref="R6">
      <text>
        <t xml:space="preserve">apigenin-7-methyl-glucuronide</t>
      </text>
    </comment>
    <comment authorId="0" ref="T6">
      <text>
        <t xml:space="preserve">Leucocyanidin</t>
      </text>
    </comment>
    <comment authorId="0" ref="U6">
      <text>
        <t xml:space="preserve">Procyanidin b-1
Procyanidin b-3
Procyanidin b-4
Procyanidin b-6
Procyanidin b-7
Procyanidin b-8
Procyanidin C2
procyanidin t2</t>
      </text>
    </comment>
    <comment authorId="0" ref="V6">
      <text>
        <t xml:space="preserve">Epigallocatechin-3-o-gallate</t>
      </text>
    </comment>
    <comment authorId="0" ref="AA6">
      <text>
        <t xml:space="preserve">2'-hydroxygenistein</t>
      </text>
    </comment>
    <comment authorId="0" ref="AD6">
      <text>
        <t xml:space="preserve">Kaempferol-3-o-beta-d-gentiobioside	
Kaempferol-3-o-beta-d-neohesperidoside	
Kaempferol-3-o-beta-d-sophoroside	
Kaempferol-3-o-digalactopyranoside	Kaempferol-3-o-diglucopyranoside	
Kaempferol-3-o-gentiobioside	Kaempferol-3-o-glucosyl-gentiobioside	
Kaempferol-3-o-glucosyl-rutinoside	
Kaempferol-3-o-neohesperidoside	
Kaempferol-3-o-rhamnosyl-gentiobioside	
Kaempferol-3-o-rhamnosyl-rutinoside	
Kaempferol-3-o-sophoroside</t>
      </text>
    </comment>
    <comment authorId="0" ref="AF6">
      <text>
        <t xml:space="preserve">Quercetin-3-O-(2,6-di-alpha-L-rhamnopyranosyl)-beta-D-galactopyranoside</t>
      </text>
    </comment>
    <comment authorId="0" ref="R7">
      <text>
        <t xml:space="preserve">apigenin-4'-o-beta-d-glucoside	apigenin-5-o-beta-d-glucoside	apigenin-7-galactomannoside</t>
      </text>
    </comment>
    <comment authorId="0" ref="T7">
      <text>
        <t xml:space="preserve">Cyanidin-3-malonyl-glucoside
Cyanidin-3-malonyl-xyloside
Cyanidin-3-xyloside</t>
      </text>
    </comment>
    <comment authorId="0" ref="U7">
      <text>
        <t xml:space="preserve">Catechin 3'-O-gallate
</t>
      </text>
    </comment>
    <comment authorId="0" ref="AD7">
      <text>
        <t xml:space="preserve">Kaempferol-3-o-neohesperidoside</t>
      </text>
    </comment>
    <comment authorId="0" ref="AF7">
      <text>
        <t xml:space="preserve">Quercetin-3-o-beta-d-sophoroside</t>
      </text>
    </comment>
    <comment authorId="0" ref="R8">
      <text>
        <t xml:space="preserve">apigenin-7-o-apiofuranosyl(1-2)-beta-d-glucoside</t>
      </text>
    </comment>
    <comment authorId="0" ref="T8">
      <text>
        <t xml:space="preserve">Cyanidin-3-o-beta-d-glucosyl-rutinoside	
Cyanidin-3-o-beta-d-rutinoside</t>
      </text>
    </comment>
    <comment authorId="0" ref="AD8">
      <text>
        <t xml:space="preserve">Dihydrokaempferol 7-o-beta-d-glucoside
</t>
      </text>
    </comment>
    <comment authorId="0" ref="AF8">
      <text>
        <t xml:space="preserve">isoquercitin
Quercetin-3-o-neohesperidoside</t>
      </text>
    </comment>
    <comment authorId="0" ref="R9">
      <text>
        <t xml:space="preserve">apigenin-di-c-glycoside
</t>
      </text>
    </comment>
    <comment authorId="0" ref="T9">
      <text>
        <t xml:space="preserve">Cyanidin-3-glucosyl-rutinoside	
Cyanidin-3-rutinoside</t>
      </text>
    </comment>
    <comment authorId="0" ref="AD9">
      <text>
        <t xml:space="preserve">Kaempferol 3-O-alpha-L-rhamnopyranosyl(1'''--&gt;6'')-beta-D-glucopyranoside	
Kaempferol-3-o-beta-d-galactoside	
Kaempferol-3-o-beta-d-glucuronide	
Kaempferol-3-o-beta-d-glucuronopyranosyl methylester</t>
      </text>
    </comment>
    <comment authorId="0" ref="AF9">
      <text>
        <t xml:space="preserve">Quercetin-4-o-beta-d-glucoside</t>
      </text>
    </comment>
    <comment authorId="0" ref="R10">
      <text>
        <t xml:space="preserve">apigenin-4'-o-rhamnosyl-glucoside	apigenin-7-di-o-beta-d-xyloside</t>
      </text>
    </comment>
    <comment authorId="0" ref="T10">
      <text>
        <t xml:space="preserve">Cyanidin-3-sophorobiose-5-o-beta-d-glucoside</t>
      </text>
    </comment>
    <comment authorId="0" ref="AD10">
      <text>
        <t xml:space="preserve">Kaempferol-3-rhamnoglucoside</t>
      </text>
    </comment>
    <comment authorId="0" ref="AF10">
      <text>
        <t xml:space="preserve">Quercetin-3-o-glucosyl-galactoside</t>
      </text>
    </comment>
    <comment authorId="0" ref="R11">
      <text>
        <t xml:space="preserve">apigenin,4'-methyl:	
apigenin-4'-7-dimethyl ether</t>
      </text>
    </comment>
    <comment authorId="0" ref="T11">
      <text>
        <t xml:space="preserve">Cyanidin-3-acetyl-glucoside	
Cyanidin-3-coyumaroyl-glucoside	
Cyanidin-3-o-(6-o-para-coumaroyl)-glucoside	
Cyanidin-3-o-acetyl-glucoside</t>
      </text>
    </comment>
    <comment authorId="0" ref="AD11">
      <text>
        <t xml:space="preserve">Kaempferol-3-beta-d-glucuronopyranoside</t>
      </text>
    </comment>
    <comment authorId="0" ref="AF11">
      <text>
        <t xml:space="preserve">Quercetin-3-O-alpha-L-rhamnosyl-glucoside</t>
      </text>
    </comment>
    <comment authorId="0" ref="R12">
      <text>
        <t xml:space="preserve">apigeninidin</t>
      </text>
    </comment>
    <comment authorId="0" ref="T12">
      <text>
        <t xml:space="preserve">Cyanidin-3-(3''-6''-dimalonyl-glucoside)	
Cyanidin-3-(6''-malonyl-glucoside)	
Cyanidin-3-dimalonyl-glucoside	
Cyanidin-3-o-galactoside</t>
      </text>
    </comment>
    <comment authorId="0" ref="AD12">
      <text>
        <t xml:space="preserve">Kaempferol 4'-methyl ether</t>
      </text>
    </comment>
    <comment authorId="0" ref="AF12">
      <text>
        <t xml:space="preserve">Quercetin-3-gentiobioside</t>
      </text>
    </comment>
    <comment authorId="0" ref="T13">
      <text>
        <t xml:space="preserve">LEUCOCYANIDIN	</t>
      </text>
    </comment>
    <comment authorId="0" ref="AD13">
      <text>
        <t xml:space="preserve">Kaempferol-3-rutinosyl-4'-diglucoside</t>
      </text>
    </comment>
    <comment authorId="0" ref="AF13">
      <text>
        <t xml:space="preserve">Quercetin-3-o-neohesperidoside	
Quercetin-3-o-rhamnosyl(1-&gt;6)-galactoside</t>
      </text>
    </comment>
    <comment authorId="0" ref="AD14">
      <text>
        <t xml:space="preserve">Kaempferol-3-galactosyl-7-diglucoside	
Kaempferol-3-glucosyl-7-diglucoside	
Kaempferol-3-o-beta-d-diglucoside	
Kaempferol-3-o-beta-d-galactoside</t>
      </text>
    </comment>
    <comment authorId="0" ref="AF14">
      <text>
        <t xml:space="preserve">Quercetin-3-diglucoside	
Quercetin-3-o-beta-d-diglucoside</t>
      </text>
    </comment>
    <comment authorId="0" ref="AD15">
      <text>
        <t xml:space="preserve">Kaempferol-7,4'-dimethoxy ether	
Kaempferol-4'-methyl ether	
Kaempferol-3-glucosyl-7-arabinoside</t>
      </text>
    </comment>
    <comment authorId="0" ref="AF15">
      <text>
        <t xml:space="preserve">Quercetin-3-o-alpha-l-arabinopyranoside</t>
      </text>
    </comment>
    <comment authorId="0" ref="AD16">
      <text>
        <t xml:space="preserve">Kaempferol-3-o-beta-d-xylopyranoside</t>
      </text>
    </comment>
    <comment authorId="0" ref="AF16">
      <text>
        <t xml:space="preserve">Quercetin-3-o-sophoroside</t>
      </text>
    </comment>
    <comment authorId="0" ref="AD17">
      <text>
        <t xml:space="preserve">Kaempferol-3-sophoroside	
Kaempferol-7-rhamnoside</t>
      </text>
    </comment>
    <comment authorId="0" ref="AF17">
      <text>
        <t xml:space="preserve">3',4'-Dimethoxy Quercetin</t>
      </text>
    </comment>
    <comment authorId="0" ref="AD18">
      <text>
        <t xml:space="preserve">Kaempferol-3-o-beta-d-glucuronide	
Kaempferol-3-sophoroside	
Kaempferol-7-rhamnoside</t>
      </text>
    </comment>
    <comment authorId="0" ref="AF18">
      <text>
        <t xml:space="preserve">Quercetin-3-glucuronide</t>
      </text>
    </comment>
    <comment authorId="0" ref="AD19">
      <text>
        <t xml:space="preserve">Kaempferol 3-O-alpha-L-galactoside</t>
      </text>
    </comment>
    <comment authorId="0" ref="AF19">
      <text>
        <t xml:space="preserve">Quercetin-3-7-di-o-beta-d-glucoside</t>
      </text>
    </comment>
    <comment authorId="0" ref="AF20">
      <text>
        <t xml:space="preserve">Quercetin-3-o-diglucoside	
Quercetin-3-o-glucosyl-galactoside</t>
      </text>
    </comment>
  </commentList>
</comments>
</file>

<file path=xl/comments9.xml><?xml version="1.0" encoding="utf-8"?>
<comments xmlns:r="http://schemas.openxmlformats.org/officeDocument/2006/relationships" xmlns="http://schemas.openxmlformats.org/spreadsheetml/2006/main">
  <authors>
    <author/>
  </authors>
  <commentList>
    <comment authorId="0" ref="T2">
      <text>
        <t xml:space="preserve">Vitexin</t>
      </text>
    </comment>
    <comment authorId="0" ref="U2">
      <text>
        <t xml:space="preserve">catechin gallate</t>
      </text>
    </comment>
    <comment authorId="0" ref="V2">
      <text>
        <t xml:space="preserve">Cyanin</t>
      </text>
    </comment>
    <comment authorId="0" ref="W2">
      <text>
        <t xml:space="preserve">Isoliquiritin</t>
      </text>
    </comment>
    <comment authorId="0" ref="X2">
      <text>
        <t xml:space="preserve">Biochain A</t>
      </text>
    </comment>
    <comment authorId="0" ref="Y2">
      <text>
        <t xml:space="preserve">epicatechin gallate</t>
      </text>
    </comment>
    <comment authorId="0" ref="Z2">
      <text>
        <t xml:space="preserve">epigallocatechin gallate</t>
      </text>
    </comment>
    <comment authorId="0" ref="AA2">
      <text>
        <t xml:space="preserve">Eriocitrin</t>
      </text>
    </comment>
    <comment authorId="0" ref="AB2">
      <text>
        <t xml:space="preserve">Kaempferitrin
Kaempferol 3,7-Di-O-Beta-D-Glucopyranoside</t>
      </text>
    </comment>
    <comment authorId="0" ref="AC2">
      <text>
        <t xml:space="preserve">Orientin</t>
      </text>
    </comment>
    <comment authorId="0" ref="AD2">
      <text>
        <t xml:space="preserve">Myricetin 3-O-Beta-D-Galactopyranoside
Myricetin 3-O-Glucoside
Myricetin-3-O-Beta-D-Glucuronide
Syringetin
Syringetine-3-O-Glucoside</t>
      </text>
    </comment>
    <comment authorId="0" ref="AE2">
      <text>
        <t xml:space="preserve">Narirutin</t>
      </text>
    </comment>
    <comment authorId="0" ref="AF2">
      <text>
        <t xml:space="preserve">Isoquercetin
Rutin</t>
      </text>
    </comment>
    <comment authorId="0" ref="T3">
      <text>
        <t xml:space="preserve">Trimethylapigenin</t>
      </text>
    </comment>
    <comment authorId="0" ref="U3">
      <text>
        <t xml:space="preserve">Catechin-(4Alpha-&gt;6)-Catechin
Catechin-(4Alpha-&gt;6)-Epicatechin
Catechin-(4Alpha-&gt;8)-Epicatechin
Procyanidin B1
Procyanidin B3</t>
      </text>
    </comment>
    <comment authorId="0" ref="V3">
      <text>
        <t xml:space="preserve">Cyanidin Chloride
Ideanin</t>
      </text>
    </comment>
    <comment authorId="0" ref="W3">
      <text>
        <t xml:space="preserve">Liquirtigenin</t>
      </text>
    </comment>
    <comment authorId="0" ref="X3">
      <text>
        <t xml:space="preserve">Genistin</t>
      </text>
    </comment>
    <comment authorId="0" ref="Y3">
      <text>
        <t xml:space="preserve">Procyanidin B1
Procyanidin B2</t>
      </text>
    </comment>
    <comment authorId="0" ref="AB3">
      <text>
        <t xml:space="preserve">3,6-Dimethoxy Kaempferol</t>
      </text>
    </comment>
    <comment authorId="0" ref="AC3">
      <text>
        <t xml:space="preserve">Cynaroside
Orientin</t>
      </text>
    </comment>
    <comment authorId="0" ref="AD3">
      <text>
        <t xml:space="preserve">Myricetin 3-O-Beta-D-Galactopyranoside</t>
      </text>
    </comment>
    <comment authorId="0" ref="AE3">
      <text>
        <t xml:space="preserve">Sakuranetin</t>
      </text>
    </comment>
    <comment authorId="0" ref="AF3">
      <text>
        <t xml:space="preserve">3-O-Methylquercetin
Isorhamnetin 3-O-Galactoside</t>
      </text>
    </comment>
    <comment authorId="0" ref="T4">
      <text>
        <t xml:space="preserve">Apigetrin
Scutellarin
Vicenin-2</t>
      </text>
    </comment>
    <comment authorId="0" ref="U4">
      <text>
        <t xml:space="preserve">Procyanidin B1</t>
      </text>
    </comment>
    <comment authorId="0" ref="V4">
      <text>
        <t xml:space="preserve">Kuromanin</t>
      </text>
    </comment>
    <comment authorId="0" ref="Y4">
      <text>
        <t xml:space="preserve">Procyanidin B2
Procyanidin B5</t>
      </text>
    </comment>
    <comment authorId="0" ref="AB4">
      <text>
        <t xml:space="preserve">Dihydrokaempferol</t>
      </text>
    </comment>
    <comment authorId="0" ref="AC4">
      <text>
        <t xml:space="preserve">Cynaroside
Luteolin-7-O-Glucuronic Acid
Chrysoeriol</t>
      </text>
    </comment>
    <comment authorId="0" ref="AE4">
      <text>
        <t xml:space="preserve">Naringin</t>
      </text>
    </comment>
    <comment authorId="0" ref="AF4">
      <text>
        <t xml:space="preserve">Quercetin-3-O-Rhamnoside
Quercitrin</t>
      </text>
    </comment>
    <comment authorId="0" ref="T5">
      <text>
        <t xml:space="preserve">Isoschaftoside
Isovitexin
Vitexin</t>
      </text>
    </comment>
    <comment authorId="0" ref="U5">
      <text>
        <t xml:space="preserve">Procyanidin B1</t>
      </text>
    </comment>
    <comment authorId="0" ref="Y5">
      <text>
        <t xml:space="preserve">Epicatechin Pentaacetate</t>
      </text>
    </comment>
    <comment authorId="0" ref="AB5">
      <text>
        <t xml:space="preserve">Kaempferol 3-O-D-Galactoside
Kaempferol 7-O-Beta-D-Glucopyranoside
Kaempferol-3-O-Robinobioside
Astragalin
Nicotiflorin</t>
      </text>
    </comment>
    <comment authorId="0" ref="AC5">
      <text>
        <t xml:space="preserve">Cynaroside
Diosmetin
Isoorientin
Orientin</t>
      </text>
    </comment>
    <comment authorId="0" ref="AE5">
      <text>
        <t xml:space="preserve">(2R)-Naringenin-5-O-Beta-D-Glucopyranoside</t>
      </text>
    </comment>
    <comment authorId="0" ref="AF5">
      <text>
        <t xml:space="preserve">3-O-Methylquercetin</t>
      </text>
    </comment>
    <comment authorId="0" ref="T6">
      <text>
        <t xml:space="preserve">Isovitexin
Vitexin</t>
      </text>
    </comment>
    <comment authorId="0" ref="U6">
      <text>
        <t xml:space="preserve">Catechin gallate
Catechin-(4Alpha-&gt;6)-Catechin
Catechin-(4Alpha-&gt;6)-Epicatechin
Catechin-(4Alpha-&gt;8)-Epicatechin
Procyanidin B1
Procyanidin B3</t>
      </text>
    </comment>
    <comment authorId="0" ref="Y6">
      <text>
        <t xml:space="preserve">Procyanidin B2
Procyanidin B5
Procyanidin C1</t>
      </text>
    </comment>
    <comment authorId="0" ref="AB6">
      <text>
        <t xml:space="preserve">Kaempferol-3-O-(2'',6''-Di-E-P-Coumaroyl)-Beta-Glucopyranoside
Kaempferol-3-O-(3'',4"-Diacetyl-2",6"-Di-E-P-Coumaroyl)-Glucoside</t>
      </text>
    </comment>
    <comment authorId="0" ref="AC6">
      <text>
        <t xml:space="preserve">Cynaroside</t>
      </text>
    </comment>
    <comment authorId="0" ref="AE6">
      <text>
        <t xml:space="preserve">Prunin</t>
      </text>
    </comment>
    <comment authorId="0" ref="AF6">
      <text>
        <t xml:space="preserve">Rutin</t>
      </text>
    </comment>
    <comment authorId="0" ref="T7">
      <text>
        <t xml:space="preserve">Isovitexin
Vicenin-2
Vitexin</t>
      </text>
    </comment>
    <comment authorId="0" ref="Y7">
      <text>
        <t xml:space="preserve">Procyanidin B1</t>
      </text>
    </comment>
    <comment authorId="0" ref="AB7">
      <text>
        <t xml:space="preserve">Afzelin
Astragalin
Kaempferol 3-O-D-Galactoside
Kaempferol 3-O-Rhamnopyranoside
Kaempferol-3-O-Alpha-L-Arabinopyranoside
Nicotiflorin</t>
      </text>
    </comment>
    <comment authorId="0" ref="AC7">
      <text>
        <t xml:space="preserve">Chrysoeriol</t>
      </text>
    </comment>
    <comment authorId="0" ref="AF7">
      <text>
        <t xml:space="preserve">Taxifolin</t>
      </text>
    </comment>
    <comment authorId="0" ref="Y8">
      <text>
        <t xml:space="preserve">Epicatechin Gallate
Epicatechin-(4Beta-8)-Epicatechin-(4Beta-6)-Epicatechin
Procyanidin B1
Procyanidin B2
Procyanidin B5
Procyanidin C1</t>
      </text>
    </comment>
    <comment authorId="0" ref="AB8">
      <text>
        <t xml:space="preserve">Astragalin</t>
      </text>
    </comment>
    <comment authorId="0" ref="AF8">
      <text>
        <t xml:space="preserve">Isorhamnetin 
Rutin</t>
      </text>
    </comment>
    <comment authorId="0" ref="Y9">
      <text>
        <t xml:space="preserve">Procyanidin B2</t>
      </text>
    </comment>
    <comment authorId="0" ref="AB9">
      <text>
        <t xml:space="preserve">Nicotiflorin</t>
      </text>
    </comment>
    <comment authorId="0" ref="AF9">
      <text>
        <t xml:space="preserve">Isoquercetin
Quercetin-3-O-galactopyranoside
Isorhamnetin
Isorhamnetin 3-Glucoside
Rutin
Taxifolin</t>
      </text>
    </comment>
    <comment authorId="0" ref="AF10">
      <text>
        <t xml:space="preserve">Quercetin Glucuronide
</t>
      </text>
    </comment>
    <comment authorId="0" ref="AF11">
      <text>
        <t xml:space="preserve">Isoquercetin
Isorhamnetin 3-O-Rhamnoside
Quercetin 3-O-Neohesperidoside</t>
      </text>
    </comment>
    <comment authorId="0" ref="AF12">
      <text>
        <t xml:space="preserve">Isoquercetin
Isorhamnetin 3-Glucoside</t>
      </text>
    </comment>
    <comment authorId="0" ref="AF13">
      <text>
        <t xml:space="preserve">Isoquercetin
Quercetin 3-O-Rhamnopyranoside
Quercetin-3-O-Rhamnoside
Quercetin-3-Ogalactopyranoside
Quercetin Glucuronide
Quercitrin</t>
      </text>
    </comment>
    <comment authorId="0" ref="AF14">
      <text>
        <t xml:space="preserve">Rhamnetin</t>
      </text>
    </comment>
    <comment authorId="0" ref="AF15">
      <text>
        <t xml:space="preserve">7-O-Beta-D-Glucopyranosyl-Quercetin-3-O-Beta-D-Glucopyranoside
Quercetin 7,4'-Di-O-Beta-D-Glucopyranoside
Quercetin-3,4'-Diglucoside</t>
      </text>
    </comment>
    <comment authorId="0" ref="AF16">
      <text>
        <t xml:space="preserve">Rutin</t>
      </text>
    </comment>
    <comment authorId="0" ref="AF17">
      <text>
        <t xml:space="preserve">Isoquercetin
Quercetin Glucuronide</t>
      </text>
    </comment>
    <comment authorId="0" ref="AF18">
      <text>
        <t xml:space="preserve">Isoquercetin
Quercetin-3-O-galactopyranoside
Rutin</t>
      </text>
    </comment>
  </commentList>
</comments>
</file>

<file path=xl/comments10.xml><?xml version="1.0" encoding="utf-8"?>
<comments xmlns:r="http://schemas.openxmlformats.org/officeDocument/2006/relationships" xmlns="http://schemas.openxmlformats.org/spreadsheetml/2006/main">
  <authors>
    <author/>
  </authors>
  <commentList>
    <comment authorId="0" ref="G2">
      <text>
        <t xml:space="preserve">Epicatechin 3-gallate</t>
      </text>
    </comment>
    <comment authorId="0" ref="J2">
      <text>
        <t xml:space="preserve">epigallocatechin 3-gallate</t>
      </text>
    </comment>
    <comment authorId="0" ref="G3">
      <text>
        <t xml:space="preserve">Epicatechin 3-gallate</t>
      </text>
    </comment>
    <comment authorId="0" ref="J3">
      <text>
        <t xml:space="preserve">epigallocatechin 3-gallate</t>
      </text>
    </comment>
    <comment authorId="0" ref="G4">
      <text>
        <t xml:space="preserve">Epicatechin 3-gallate</t>
      </text>
    </comment>
    <comment authorId="0" ref="G5">
      <text>
        <t xml:space="preserve">Epicatechin 3-gallate</t>
      </text>
    </comment>
  </commentList>
</comments>
</file>

<file path=xl/comments11.xml><?xml version="1.0" encoding="utf-8"?>
<comments xmlns:r="http://schemas.openxmlformats.org/officeDocument/2006/relationships" xmlns="http://schemas.openxmlformats.org/spreadsheetml/2006/main">
  <authors>
    <author/>
  </authors>
  <commentList>
    <comment authorId="0" ref="T2">
      <text>
        <t xml:space="preserve">Missing in relation to our list of plants from KEGG
	-Maggie Horton</t>
      </text>
    </comment>
  </commentList>
</comments>
</file>

<file path=xl/comments12.xml><?xml version="1.0" encoding="utf-8"?>
<comments xmlns:r="http://schemas.openxmlformats.org/officeDocument/2006/relationships" xmlns="http://schemas.openxmlformats.org/spreadsheetml/2006/main">
  <authors>
    <author/>
  </authors>
  <commentList>
    <comment authorId="0" ref="O94">
      <text>
        <t xml:space="preserve">data for varieties but not *just* lactuca sativa
	-Maggie Horton</t>
      </text>
    </comment>
  </commentList>
</comments>
</file>

<file path=xl/comments13.xml><?xml version="1.0" encoding="utf-8"?>
<comments xmlns:r="http://schemas.openxmlformats.org/officeDocument/2006/relationships" xmlns="http://schemas.openxmlformats.org/spreadsheetml/2006/main">
  <authors>
    <author/>
  </authors>
  <commentList>
    <comment authorId="0" ref="F27">
      <text>
        <t xml:space="preserve">Fragaria vesca should have not predicted epicatechin - has EC1.17.1.3 &amp; EC1.3.1.77 but does not have EC1.1.1.219 which is needed for KXN &amp; EC
	-Maggie Horton</t>
      </text>
    </comment>
    <comment authorId="0" ref="F65">
      <text>
        <t xml:space="preserve">Does not meet requirements for dihydroquercetin or dihydrokaempferol (both require EC 1.14.20.4) which are required for both catechin and epicatechin
	-Maggie Horton</t>
      </text>
    </comment>
    <comment authorId="0" ref="E27">
      <text>
        <t xml:space="preserve">Fragaria vesca should have not predicted epicatechin - has EC1.17.1.3 &amp; EC1.3.1.77 but does not have EC1.1.1.219 which is needed for KXN &amp; EC
	-Maggie Horton</t>
      </text>
    </comment>
    <comment authorId="0" ref="F8">
      <text>
        <t xml:space="preserve">Arachis ipaensis should have not predicted epicatechin - has EC1.17.1.3 &amp; EC1.3.1.77 but does not have EC1.1.1.219 which is needed for KXN &amp; EC
	-Maggie Horton</t>
      </text>
    </comment>
    <comment authorId="0" ref="E8">
      <text>
        <t xml:space="preserve">Arachis ipaensis should have not predicted epicatechin - has EC1.17.1.3 &amp; EC1.3.1.77 but does not have EC1.1.1.219 which is needed for KXN &amp; EC
	-Maggie Horton</t>
      </text>
    </comment>
    <comment authorId="0" ref="H17">
      <text>
        <t xml:space="preserve">Should not be in list. 
Lacks 2.3.1.74 which is required to get to NAR, which is required for both of the paths to ERD.
Most likely due to the faulty NAR check combined with having 1.14.14.82, which is one of the required EC nums for ERD.
	-Maggie Horton</t>
      </text>
    </comment>
    <comment authorId="0" ref="J17">
      <text>
        <t xml:space="preserve">Should not be in list. 
Lacks 2.3.1.74 which is required to get to NAR, which is required for both of the paths to ERD.
Most likely due to the faulty NAR check combined with having 1.14.14.82, which is one of the required EC nums for ERD.
	-Maggie Horton</t>
      </text>
    </comment>
    <comment authorId="0" ref="G65">
      <text>
        <t xml:space="preserve">Does not meet requirements for dihydroquercetin or dihydrokaempferol (both require EC 1.14.20.4) which are required for both catechin and epicatechin
	-Maggie Horton</t>
      </text>
    </comment>
    <comment authorId="0" ref="C10">
      <text>
        <t xml:space="preserve">Does not meet requirements for dihydroquercetin or dihydrokaempferol (both require EC 1.14.20.4) which are required for both catechin and epicatechin
	-Maggie Horton</t>
      </text>
    </comment>
    <comment authorId="0" ref="B10">
      <text>
        <t xml:space="preserve">Does not meet requirements for dihydroquercetin or dihydrokaempferol (both require EC 1.14.20.4) which are required for both catechin and epicatechin
	-Maggie Horton</t>
      </text>
    </comment>
    <comment authorId="0" ref="E65">
      <text>
        <t xml:space="preserve">Does not meet requirements for dihydroquercetin or dihydrokaempferol (both require EC 1.14.20.4) which are required for both catechin and epicatechin
	-Maggie Horton</t>
      </text>
    </comment>
    <comment authorId="0" ref="K17">
      <text>
        <t xml:space="preserve">Should not be in list. 
Lacks 2.3.1.74 which is required to get to NAR.
The faulty NAR check seemed to bypass the requirements for Naringenin chalcone, resulting in a false positive.
	-Maggie Horton</t>
      </text>
    </comment>
    <comment authorId="0" ref="I53">
      <text>
        <t xml:space="preserve">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text>
    </comment>
    <comment authorId="0" ref="D10">
      <text>
        <t xml:space="preserve">Does not meet requirements for dihydroquercetin or dihydrokaempferol (both require EC 1.14.20.4) which are required for both catechin and epicatechin
	-Maggie Horton</t>
      </text>
    </comment>
    <comment authorId="0" ref="F17">
      <text>
        <t xml:space="preserve">Should not be in list. 
Lacks 2.3.1.74 which is required to get to NAR, which is required for both of the paths to EC.
Most likely due to the faulty NAR check combined with having 1.14.14.82 and 1.14.11.9, which are required for the two main paths to get to EC.
	-Maggie Horton</t>
      </text>
    </comment>
    <comment authorId="0" ref="G8">
      <text>
        <t xml:space="preserve">Arachis ipaensis should have not predicted epicatechin - has EC1.17.1.3 &amp; EC1.3.1.77 but does not have EC1.1.1.219 which is needed for KXN &amp; EC
	-Maggie Horton</t>
      </text>
    </comment>
    <comment authorId="0" ref="H53">
      <text>
        <t xml:space="preserve">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text>
    </comment>
    <comment authorId="0" ref="E11">
      <text>
        <t xml:space="preserve">Non issue  
1.14.20.4 is not present,  which is needed to get to Cyanidin and ultimately Epicatechin
	-Maggie Horton</t>
      </text>
    </comment>
    <comment authorId="0" ref="I17">
      <text>
        <t xml:space="preserve">Should not be in list. 
Lacks 2.3.1.74 which is required to get to NAR, which is required for both of the paths to ERD.
Most likely due to the faulty NAR check combined with having 1.14.14.82, which is one of the required EC nums for ERD.
	-Maggie Horton</t>
      </text>
    </comment>
    <comment authorId="0" ref="M17">
      <text>
        <t xml:space="preserve">Should not be in list. 
Lacks 2.3.1.74 which is required to get to NAR.
The faulty NAR check seemed to bypass the requirements for Naringenin chalcone, resulting in a false positive.
	-Maggie Horton</t>
      </text>
    </comment>
    <comment authorId="0" ref="J53">
      <text>
        <t xml:space="preserve">It does not have 1.14.14.96 or  1.14.13.-, which is needed to get to ERD from the caffeoyl-coa route. 
It also does not have 1.14.14.81 or 1.14.14.82, which is needed to get ERD from the NAR route.
False positive most likely due to presence of 2.3.1.74 or due to the small NAR check bug which didn't fully check requirements as it was expected to.
	-Maggie Horton</t>
      </text>
    </comment>
    <comment authorId="0" ref="F11">
      <text>
        <t xml:space="preserve">Non issue  
1.14.20.4 is not present,  which is needed to get to Cyanidin and ultimately Epicatechin
	-Maggie Horton</t>
      </text>
    </comment>
    <comment authorId="0" ref="G15">
      <text>
        <t xml:space="preserve">Does not meet requirements for dihydroquercetin or dihydrokaempferol (both require EC 1.14.20.4) which are required for both catechin and epicatechin
	-Maggie Horton</t>
      </text>
    </comment>
    <comment authorId="0" ref="D19">
      <text>
        <t xml:space="preserve">Has 1.17.1.3 &amp; 1.3.1.77 but does not have 1.1.1.219 which is needed for KXN &amp; EC
	-Maggie Horton</t>
      </text>
    </comment>
    <comment authorId="0" ref="C6">
      <text>
        <t xml:space="preserve">Has 1.17.1.3 &amp; 1.3.1.77 but does not have 1.1.1.219 which is needed for KXN &amp; EC
	-Maggie Horton</t>
      </text>
    </comment>
    <comment authorId="0" ref="D6">
      <text>
        <t xml:space="preserve">Arachis ipaensis should have not predicted catechin - has EC1.17.1.3 &amp; EC1.3.1.77 but does not have EC1.1.1.219 which is needed for KXN &amp; EC
	-Maggie Horton</t>
      </text>
    </comment>
    <comment authorId="0" ref="E15">
      <text>
        <t xml:space="preserve">Does not meet requirements for dihydroquercetin or dihydrokaempferol (both require EC 1.14.20.4) which are required for both catechin and epicatechin
	-Maggie Horton</t>
      </text>
    </comment>
    <comment authorId="0" ref="G17">
      <text>
        <t xml:space="preserve">Should not be in list. 
Lacks 2.3.1.74 which is required to get to NAR, which is required for both of the paths to EC.
Most likely due to the faulty NAR check combined with having 1.14.14.82 and 1.14.11.9, which are required for the two main paths to get to EC.
	-Maggie Horton</t>
      </text>
    </comment>
    <comment authorId="0" ref="B6">
      <text>
        <t xml:space="preserve">Arachis ipaensis should have not predicted catechin - has EC1.17.1.3 &amp; EC1.3.1.77 but does not have EC1.1.1.219 which is needed for KXN &amp; EC
	-Maggie Horton</t>
      </text>
    </comment>
    <comment authorId="0" ref="G11">
      <text>
        <t xml:space="preserve">Non issue  
1.14.20.4 is not present,  which is needed to get to Cyanidin and ultimately Epicatechin
	-Maggie Horton</t>
      </text>
    </comment>
    <comment authorId="0" ref="E17">
      <text>
        <t xml:space="preserve">Should not be in list. 
Lacks 2.3.1.74 which is required to get to NAR, which is required for both of the paths to EC.
Most likely due to the faulty NAR check combined with having 1.14.14.82 and 1.14.11.9, which are required for the two main paths to get to EC.
	-Maggie Horton</t>
      </text>
    </comment>
    <comment authorId="0" ref="C19">
      <text>
        <t xml:space="preserve">Has 1.17.1.3 &amp; 1.3.1.77 but does not have 1.1.1.219 which is needed for KXN &amp; EC
	-Maggie Horton</t>
      </text>
    </comment>
    <comment authorId="0" ref="G27">
      <text>
        <t xml:space="preserve">Fragaria vesca should have not predicted epicatechin - has EC1.17.1.3 &amp; EC1.3.1.77 but does not have EC1.1.1.219 which is needed for KXN &amp; EC
	-Maggie Horton</t>
      </text>
    </comment>
    <comment authorId="0" ref="B19">
      <text>
        <t xml:space="preserve">Has 1.17.1.3 &amp; 1.3.1.77 but does not have 1.1.1.219 which is needed for KXN &amp; EC
	-Maggie Horton</t>
      </text>
    </comment>
    <comment authorId="0" ref="L17">
      <text>
        <t xml:space="preserve">Should not be in list. 
Lacks 2.3.1.74 which is required to get to NAR.
The faulty NAR check seemed to bypass the requirements for Naringenin chalcone, resulting in a false positive.
	-Maggie Horton</t>
      </text>
    </comment>
    <comment authorId="0" ref="F15">
      <text>
        <t xml:space="preserve">Does not meet requirements for dihydroquercetin or dihydrokaempferol (both require EC 1.14.20.4) which are required for both catechin and epicatechin
	-Maggie Horton</t>
      </text>
    </comment>
  </commentList>
</comments>
</file>

<file path=xl/sharedStrings.xml><?xml version="1.0" encoding="utf-8"?>
<sst xmlns="http://schemas.openxmlformats.org/spreadsheetml/2006/main" count="30697" uniqueCount="4112">
  <si>
    <t>This sheet serves as a reference/reminder for information within the other sheets.</t>
  </si>
  <si>
    <t>VRM-Update</t>
  </si>
  <si>
    <t>- Keeps track of plants that are experimentally known to produce a specific flavonoid and keeps track of the sources if the information came from a large database such as the USDA or NPASS. - There are two codes and one color for each of the database sources. One code is used to indicate that the plant is experimentally known to produce a specific flavonoid while the other is used to indicate that a related compound of a specific flavonoid was experimentally known to be produced by one of the plants.
- The values are filled out using simple formulas to give an arbitrary single letter code based on results from each of the database. If a match appears in more than one database, then the first database given in the formula is used to fill out the sheet. This may be changed later but this is currently uncertain.</t>
  </si>
  <si>
    <t>Kegg Taxon</t>
  </si>
  <si>
    <t>- Contains the taxonomical information for the plants being used in this project.
- ITIS was the primary source for the taxonomical information, with UniProt used as a secondary source. Sources were limited in an attempt to maintain consistency.
- Reference used in color coding: Pryer, Kathleen M, et al. “Deciding among Green Plants for Whole Genome Studies.” TRENDS in Plant Science, vol. 7, no. 12, Dec. 2002, pp. 550–554.</t>
  </si>
  <si>
    <t>Similar</t>
  </si>
  <si>
    <t>- [WIP] List of plants that are taxonomically similar to those used in the KEGG code. Also includes common or descriptive names as well as the phylogenetic color coding used in the Taxon sheet.</t>
  </si>
  <si>
    <t>DBInfo</t>
  </si>
  <si>
    <t>- Holds different infomation for the databases including their abbreviations, number of missing plants &amp; flavonoids, website links, codes used in VRM-update, etc.</t>
  </si>
  <si>
    <t>DUKE</t>
  </si>
  <si>
    <t>- Holds information regarding which plants have been known to produce the target flavonoids and/or similar compounds. Data gathered from Dr. Duke's database.</t>
  </si>
  <si>
    <t>IMPPAT</t>
  </si>
  <si>
    <t>- Holds information regarding which plants have been known to produce the target flavonoids and/or similar compounds. Data from IMPPAT.</t>
  </si>
  <si>
    <t>JWR</t>
  </si>
  <si>
    <t>- Holds information regarding which plants have been known to produce select target flavonoids as reported in JW thesis.</t>
  </si>
  <si>
    <t>KNAP</t>
  </si>
  <si>
    <t>- Holds information regarding which plants have been known to produce the target flavonoids and/or similar compounds. Data gathered from knapsack</t>
  </si>
  <si>
    <t>MICR</t>
  </si>
  <si>
    <t>- Holds information regarding which plants have been known to produce the target flavonoids and/or similar compounds. Data gathered from microbiome analaysis for patients.</t>
  </si>
  <si>
    <t>NAPR</t>
  </si>
  <si>
    <t>- Holds information regarding which plants have been known to produce the target flavonoids and/or similar compounds. Data gathered from NAPRALERT.</t>
  </si>
  <si>
    <t>NPASS</t>
  </si>
  <si>
    <t>- Holds information regarding which plants have been known to produce the target flavonoids and/or similar compounds. Data gathered from NPASS.</t>
  </si>
  <si>
    <t>USDA</t>
  </si>
  <si>
    <t>- Holds information regarding which plants have been known to produce the target flavonoids and/or similar compounds. Data gathered from USDA.</t>
  </si>
  <si>
    <t>OLS</t>
  </si>
  <si>
    <t>- Holds information regarding which plants have been known to produce the target flavonoids and/or similar compounds. Data gathered from various smaller, non-db sources: papers, journals, etc.</t>
  </si>
  <si>
    <t>DBRes</t>
  </si>
  <si>
    <t>- Contains the output from gathering the plant &amp; metabolite from knapsack &amp; NPASS. - (knapsack values only) exact matches for the compund names &amp; IDs are highlighted green. The other values are relatives of the target compounds.
- The known &amp; relative tab was updated using this data by filtering by each compound of interest and then pasting the appropriate species in the correct column. Then the same was done for the relatives, except that each compound's relatives were treated as a collective, and then pasted accordingly.</t>
  </si>
  <si>
    <t>DBMiss</t>
  </si>
  <si>
    <t>- Used for finding, making and keeping track of which plants and flavonoids are completely missing entries from the databases,</t>
  </si>
  <si>
    <t>LitMisc</t>
  </si>
  <si>
    <t>- Holds some COMBINED data for information regarding which plants have been known to produce the target flavonoids and/or their relatives.</t>
  </si>
  <si>
    <t>Direct</t>
  </si>
  <si>
    <t>- This sheet is used to keep a list of the compounds from the KEGG pathways that do not have an EC number between the specific compound and its precursor.</t>
  </si>
  <si>
    <t>Output</t>
  </si>
  <si>
    <t>- Contains the output from the python program. The data is then used to place an x in the KEGG column for the compounds.</t>
  </si>
  <si>
    <t>ECNums</t>
  </si>
  <si>
    <t>- This contains the list of EC numbers for each plant, collected and displayed while running the KEGG code.</t>
  </si>
  <si>
    <t>OldAndNew</t>
  </si>
  <si>
    <t>- This sheet was used to compare the differences in output between the older version of the code and the two newer ones, with the newest being revised after noticing an output error while manually comparing the results to the KEGG pathway maps.</t>
  </si>
  <si>
    <t>#</t>
  </si>
  <si>
    <t>KEGG code</t>
  </si>
  <si>
    <t>Scientific name</t>
  </si>
  <si>
    <t>Scientific name, post-regex (for matching)</t>
  </si>
  <si>
    <t>Common/ descriptive name</t>
  </si>
  <si>
    <t>NCBI Code</t>
  </si>
  <si>
    <t>Key - Lit Chart</t>
  </si>
  <si>
    <t>Experimentally Known by Literature --&gt;</t>
  </si>
  <si>
    <t>AGI</t>
  </si>
  <si>
    <t>BUN</t>
  </si>
  <si>
    <t>KXN</t>
  </si>
  <si>
    <t>HWB</t>
  </si>
  <si>
    <t>EKXN</t>
  </si>
  <si>
    <t>ECG</t>
  </si>
  <si>
    <t>EGT</t>
  </si>
  <si>
    <t>EGCG</t>
  </si>
  <si>
    <t>ERC</t>
  </si>
  <si>
    <t>ERD</t>
  </si>
  <si>
    <t>GKXN</t>
  </si>
  <si>
    <t>GEN</t>
  </si>
  <si>
    <t>HCC</t>
  </si>
  <si>
    <t>KMP</t>
  </si>
  <si>
    <t>LU2</t>
  </si>
  <si>
    <t>MYC</t>
  </si>
  <si>
    <t>NAR</t>
  </si>
  <si>
    <t>QUE</t>
  </si>
  <si>
    <t>Similar Compound Experimentally Known by Literature --&gt;</t>
  </si>
  <si>
    <t>Predicted Using KEGG Data --&gt;</t>
  </si>
  <si>
    <t>Summarized Results of Previous Columns, by Plant --&gt;</t>
  </si>
  <si>
    <t>ERCT</t>
  </si>
  <si>
    <t>ats</t>
  </si>
  <si>
    <t>Aegilops tauschii</t>
  </si>
  <si>
    <t>Tausch's goatgrass (Wheat D)</t>
  </si>
  <si>
    <t>X: Predicted by KEGG</t>
  </si>
  <si>
    <t>atr</t>
  </si>
  <si>
    <t>Amborella trichopoda</t>
  </si>
  <si>
    <t>Basal Magnoliophyta</t>
  </si>
  <si>
    <t>U = USDA</t>
  </si>
  <si>
    <t>aly</t>
  </si>
  <si>
    <t>Arabidopsis lyrata</t>
  </si>
  <si>
    <t>Lyrate Rockcress</t>
  </si>
  <si>
    <t>K = Knapsack</t>
  </si>
  <si>
    <t>ath</t>
  </si>
  <si>
    <t>Arabidopsis thaliana</t>
  </si>
  <si>
    <t>Thale Cress</t>
  </si>
  <si>
    <t>P = NPASS</t>
  </si>
  <si>
    <t>adu</t>
  </si>
  <si>
    <t>Arachis duranensis</t>
  </si>
  <si>
    <t>Peanut Diploid Ancestor</t>
  </si>
  <si>
    <t>M = MAP</t>
  </si>
  <si>
    <t>aip</t>
  </si>
  <si>
    <t>Arachis ipaensis</t>
  </si>
  <si>
    <t>T = IMPPAT</t>
  </si>
  <si>
    <t>aof</t>
  </si>
  <si>
    <t>Asparagus officinalis</t>
  </si>
  <si>
    <t>Garden Asparagus</t>
  </si>
  <si>
    <t>D = DDPED</t>
  </si>
  <si>
    <t>apro</t>
  </si>
  <si>
    <t>Auxenochlorella protothecoides</t>
  </si>
  <si>
    <t>Green Microalga</t>
  </si>
  <si>
    <t>A = NAPRALERT</t>
  </si>
  <si>
    <t>bpg</t>
  </si>
  <si>
    <t>Bathycoccus prasinos</t>
  </si>
  <si>
    <t>Picoplankton</t>
  </si>
  <si>
    <t>V = Various non DB</t>
  </si>
  <si>
    <t>bvg</t>
  </si>
  <si>
    <t>Beta vulgaris</t>
  </si>
  <si>
    <t>Sugar Beet (subp vulgaris)</t>
  </si>
  <si>
    <t>J = From JW thesis</t>
  </si>
  <si>
    <t>bdi</t>
  </si>
  <si>
    <t>Brachypodium distachyon</t>
  </si>
  <si>
    <t>Purple False Brome</t>
  </si>
  <si>
    <t>bna</t>
  </si>
  <si>
    <t>Brassica napus</t>
  </si>
  <si>
    <t>Rapeseed</t>
  </si>
  <si>
    <t>boe</t>
  </si>
  <si>
    <t>Brassica oleracea</t>
  </si>
  <si>
    <t>Wild Cabbage</t>
  </si>
  <si>
    <t>brp</t>
  </si>
  <si>
    <t>Brassica rapa</t>
  </si>
  <si>
    <t>Field Mustard</t>
  </si>
  <si>
    <t>ccaj</t>
  </si>
  <si>
    <t>Cajanus cajan</t>
  </si>
  <si>
    <t>Pigeon Pea</t>
  </si>
  <si>
    <t>csat</t>
  </si>
  <si>
    <t>Camelina sativa</t>
  </si>
  <si>
    <t>False Flax</t>
  </si>
  <si>
    <t>crb</t>
  </si>
  <si>
    <t>Capsella rubella</t>
  </si>
  <si>
    <t>Pink Shepard's-purse</t>
  </si>
  <si>
    <t>cann</t>
  </si>
  <si>
    <t>Capsicum annuum</t>
  </si>
  <si>
    <t>Cayanne Peppers</t>
  </si>
  <si>
    <t>cpap</t>
  </si>
  <si>
    <t>Carica papaya</t>
  </si>
  <si>
    <t>Papaya</t>
  </si>
  <si>
    <t>cqi</t>
  </si>
  <si>
    <t>Chenopodium quinoa</t>
  </si>
  <si>
    <t>Quinoa</t>
  </si>
  <si>
    <t>cre</t>
  </si>
  <si>
    <t>Chlamydomonas reinhardtii</t>
  </si>
  <si>
    <t>Freshwater Single-cell Alga</t>
  </si>
  <si>
    <t>cvr</t>
  </si>
  <si>
    <t>Chlorella variabilis</t>
  </si>
  <si>
    <t>Freshwater Green Algae</t>
  </si>
  <si>
    <t>ccp</t>
  </si>
  <si>
    <t>Chondrus crispus</t>
  </si>
  <si>
    <t>Carragheen Moss</t>
  </si>
  <si>
    <t>cam</t>
  </si>
  <si>
    <t>Cicer arietinum</t>
  </si>
  <si>
    <t>Chickpea</t>
  </si>
  <si>
    <t>cic</t>
  </si>
  <si>
    <t>Citrus clementina</t>
  </si>
  <si>
    <t>Mandarin Orange</t>
  </si>
  <si>
    <t>cit</t>
  </si>
  <si>
    <t>Citrus sinensis</t>
  </si>
  <si>
    <t>Valenica Orange</t>
  </si>
  <si>
    <t>csl</t>
  </si>
  <si>
    <t>Coccomyxa subellipsoidea</t>
  </si>
  <si>
    <t>Freshwater Microalga</t>
  </si>
  <si>
    <t>cmo</t>
  </si>
  <si>
    <t>Cucumis melo</t>
  </si>
  <si>
    <t>Muskmelon</t>
  </si>
  <si>
    <t>csv</t>
  </si>
  <si>
    <t>Cucumis sativus</t>
  </si>
  <si>
    <t>Cucumber</t>
  </si>
  <si>
    <t>cmax</t>
  </si>
  <si>
    <t>Cucurbita maxima</t>
  </si>
  <si>
    <t>Winter Squash</t>
  </si>
  <si>
    <t>cmos</t>
  </si>
  <si>
    <t>Cucurbita moschata</t>
  </si>
  <si>
    <t>Crookneck Pumpkin</t>
  </si>
  <si>
    <t>cpep</t>
  </si>
  <si>
    <t>Cucurbita pepo subsp. Pepo</t>
  </si>
  <si>
    <t>Vegetable Marrow</t>
  </si>
  <si>
    <t>cme</t>
  </si>
  <si>
    <t>Cyanidioschyzon merolae</t>
  </si>
  <si>
    <t>Extremophile Unicellular Red Algae</t>
  </si>
  <si>
    <t>ccav</t>
  </si>
  <si>
    <t>Cynara cardunculus var. scolymus</t>
  </si>
  <si>
    <t>Artichoke</t>
  </si>
  <si>
    <t>dcr</t>
  </si>
  <si>
    <t>Daucus carota</t>
  </si>
  <si>
    <t>Carrot</t>
  </si>
  <si>
    <t>dct</t>
  </si>
  <si>
    <t>Dendrobium catenatum</t>
  </si>
  <si>
    <t>Chained Dendrobium</t>
  </si>
  <si>
    <t>dzi</t>
  </si>
  <si>
    <t>Durio zibethinus</t>
  </si>
  <si>
    <t>Durian</t>
  </si>
  <si>
    <t>egu</t>
  </si>
  <si>
    <t>Elaeis guineensis</t>
  </si>
  <si>
    <t>African Oil Palm</t>
  </si>
  <si>
    <t>egr</t>
  </si>
  <si>
    <t>Eucalyptus grandis</t>
  </si>
  <si>
    <t>Rose Gum</t>
  </si>
  <si>
    <t>eus</t>
  </si>
  <si>
    <t>Eutrema salsugineum</t>
  </si>
  <si>
    <t>Saltwater Cress</t>
  </si>
  <si>
    <t>fve</t>
  </si>
  <si>
    <t>Fragaria vesca</t>
  </si>
  <si>
    <t>Woodland Strawberry</t>
  </si>
  <si>
    <t>gsl</t>
  </si>
  <si>
    <t>Galdieria sulphuraria</t>
  </si>
  <si>
    <t>Italian Freshwater Alga</t>
  </si>
  <si>
    <t>gmx</t>
  </si>
  <si>
    <t>Glycine max</t>
  </si>
  <si>
    <t>Soybean</t>
  </si>
  <si>
    <t>gsj</t>
  </si>
  <si>
    <t>Glycine soja</t>
  </si>
  <si>
    <t>Wild Soybean</t>
  </si>
  <si>
    <t>gab</t>
  </si>
  <si>
    <t>Gossypium arboreum</t>
  </si>
  <si>
    <t>Tree Cotton</t>
  </si>
  <si>
    <t>ghi</t>
  </si>
  <si>
    <t>Gossypium hirsutum</t>
  </si>
  <si>
    <t>Upland Cotton</t>
  </si>
  <si>
    <t>gra</t>
  </si>
  <si>
    <t>Gossypium raimondii</t>
  </si>
  <si>
    <t>Peruvian Tree Cotton</t>
  </si>
  <si>
    <t>han</t>
  </si>
  <si>
    <t>Helianthus annuus</t>
  </si>
  <si>
    <t>Common Sunflower</t>
  </si>
  <si>
    <t>hbr</t>
  </si>
  <si>
    <t>Hevea brasiliensis</t>
  </si>
  <si>
    <t>Rubber Tree</t>
  </si>
  <si>
    <t>ini</t>
  </si>
  <si>
    <t>Ipomoea nil</t>
  </si>
  <si>
    <t>Japanese Morning Glory</t>
  </si>
  <si>
    <t>jcu</t>
  </si>
  <si>
    <t>Jatropha curcas</t>
  </si>
  <si>
    <t>Barbados Nut</t>
  </si>
  <si>
    <t>jre</t>
  </si>
  <si>
    <t>Juglans regia</t>
  </si>
  <si>
    <t>English Walnut</t>
  </si>
  <si>
    <t>lsv</t>
  </si>
  <si>
    <t>Lactuca sativa</t>
  </si>
  <si>
    <t>Garden Lettuce</t>
  </si>
  <si>
    <t>lja</t>
  </si>
  <si>
    <t>Lotus japonicus</t>
  </si>
  <si>
    <t>Birdsfoot Trefoil</t>
  </si>
  <si>
    <t>lang</t>
  </si>
  <si>
    <t>Lupinus angustifolius</t>
  </si>
  <si>
    <t>Narrow-leaved Blue Lupine</t>
  </si>
  <si>
    <t>mdm</t>
  </si>
  <si>
    <t>Malus domestica</t>
  </si>
  <si>
    <t>Apple</t>
  </si>
  <si>
    <t>mesc</t>
  </si>
  <si>
    <t>Manihot esculenta</t>
  </si>
  <si>
    <t>Cassava</t>
  </si>
  <si>
    <t>mtr</t>
  </si>
  <si>
    <t>Medicago truncatula</t>
  </si>
  <si>
    <t>Barrel Medic</t>
  </si>
  <si>
    <t>mis</t>
  </si>
  <si>
    <t>Micromonas commoda</t>
  </si>
  <si>
    <t>Marine Green Picoplankton</t>
  </si>
  <si>
    <t>mpp</t>
  </si>
  <si>
    <t>Micromonas pusilla</t>
  </si>
  <si>
    <t>mcha</t>
  </si>
  <si>
    <t>Momordica charantia</t>
  </si>
  <si>
    <t>Bitter Melon</t>
  </si>
  <si>
    <t>mng</t>
  </si>
  <si>
    <t>Monoraphidium neglectum</t>
  </si>
  <si>
    <t>mus</t>
  </si>
  <si>
    <t>Musa acuminata</t>
  </si>
  <si>
    <t>Wild Malaysian Banana</t>
  </si>
  <si>
    <t>nnu</t>
  </si>
  <si>
    <t>Nelumbo nucifera</t>
  </si>
  <si>
    <t>Sacred Lotus</t>
  </si>
  <si>
    <t>nau</t>
  </si>
  <si>
    <t>Nicotiana attenuata</t>
  </si>
  <si>
    <t>Coyote Tobacco</t>
  </si>
  <si>
    <t>nsy</t>
  </si>
  <si>
    <t>Nicotiana sylvestris</t>
  </si>
  <si>
    <t>Woodland Tobacco</t>
  </si>
  <si>
    <t>nta</t>
  </si>
  <si>
    <t>Nicotiana tabacum</t>
  </si>
  <si>
    <t>Cultivated Tobacco</t>
  </si>
  <si>
    <t>nto</t>
  </si>
  <si>
    <t>Nicotiana tomentosiformis</t>
  </si>
  <si>
    <t>Yungas Valley Tobacco</t>
  </si>
  <si>
    <t>oeu</t>
  </si>
  <si>
    <t>Olea europaea var. sylvestris</t>
  </si>
  <si>
    <t>Wild European Olive</t>
  </si>
  <si>
    <t>obr</t>
  </si>
  <si>
    <t>Oryza brachyantha</t>
  </si>
  <si>
    <t>Malo Sina, Wild Rice</t>
  </si>
  <si>
    <t>osa</t>
  </si>
  <si>
    <t>Oryza sativa japonica</t>
  </si>
  <si>
    <t>Japanese Rice</t>
  </si>
  <si>
    <t>dosa</t>
  </si>
  <si>
    <t>^^^^</t>
  </si>
  <si>
    <t>olu</t>
  </si>
  <si>
    <t>Ostreococcus lucimarinus</t>
  </si>
  <si>
    <t>Marine Surface-Isolated Green Algae</t>
  </si>
  <si>
    <t>ota</t>
  </si>
  <si>
    <t>Ostreococcus tauri</t>
  </si>
  <si>
    <t>Marine Light-Polyvalent Green Algae</t>
  </si>
  <si>
    <t>psom</t>
  </si>
  <si>
    <t>Papaver somniferum</t>
  </si>
  <si>
    <t>Opium Poppy</t>
  </si>
  <si>
    <t>peq</t>
  </si>
  <si>
    <t>Phalaenopsis equestris</t>
  </si>
  <si>
    <t>Moth Orchid</t>
  </si>
  <si>
    <t>pvu</t>
  </si>
  <si>
    <t>Phaseolus vulgaris</t>
  </si>
  <si>
    <t>Common Bean</t>
  </si>
  <si>
    <t>pda</t>
  </si>
  <si>
    <t>Phoenix dactylifera</t>
  </si>
  <si>
    <t>Date Palm</t>
  </si>
  <si>
    <t>ppp</t>
  </si>
  <si>
    <t>Physcomitrium patens</t>
  </si>
  <si>
    <t>Spreading Earthmoss</t>
  </si>
  <si>
    <t>peu</t>
  </si>
  <si>
    <t>Populus euphratica</t>
  </si>
  <si>
    <t>Euphrates Poplar</t>
  </si>
  <si>
    <t>pop</t>
  </si>
  <si>
    <t>Populus trichocarpa</t>
  </si>
  <si>
    <t>Black Cottonwood</t>
  </si>
  <si>
    <t>pavi</t>
  </si>
  <si>
    <t>Prunus avium</t>
  </si>
  <si>
    <t>Sweet Cherry</t>
  </si>
  <si>
    <t>pmum</t>
  </si>
  <si>
    <t>Prunus mume</t>
  </si>
  <si>
    <t>Japanese Apricot</t>
  </si>
  <si>
    <t>pper</t>
  </si>
  <si>
    <t>Prunus persica</t>
  </si>
  <si>
    <t>Peach</t>
  </si>
  <si>
    <t>pxb</t>
  </si>
  <si>
    <t>Pyrus x bretschneideri</t>
  </si>
  <si>
    <t>Chinese White Pear</t>
  </si>
  <si>
    <t>qsu</t>
  </si>
  <si>
    <t>Quercus suber</t>
  </si>
  <si>
    <t>Cork Oak</t>
  </si>
  <si>
    <t>rsz</t>
  </si>
  <si>
    <t>Raphanus sativus</t>
  </si>
  <si>
    <t>Radish</t>
  </si>
  <si>
    <t>rcu</t>
  </si>
  <si>
    <t>Ricinus communis</t>
  </si>
  <si>
    <t>Castor Bean</t>
  </si>
  <si>
    <t>rcn</t>
  </si>
  <si>
    <t>Rosa chinensis</t>
  </si>
  <si>
    <t>China Rose</t>
  </si>
  <si>
    <t>smo</t>
  </si>
  <si>
    <t>Selaginella moellendorffii</t>
  </si>
  <si>
    <t>Spikemoss</t>
  </si>
  <si>
    <t>sind</t>
  </si>
  <si>
    <t>Sesamum indicum</t>
  </si>
  <si>
    <t>Sesame</t>
  </si>
  <si>
    <t>sita</t>
  </si>
  <si>
    <t>Setaria italica</t>
  </si>
  <si>
    <t>Foxtail Millet</t>
  </si>
  <si>
    <t>sly</t>
  </si>
  <si>
    <t>Solanum lycopersicum</t>
  </si>
  <si>
    <t>Tomato</t>
  </si>
  <si>
    <t>spen</t>
  </si>
  <si>
    <t>Solanum pennellii</t>
  </si>
  <si>
    <t>Stress-Tolerant Wild Tomato</t>
  </si>
  <si>
    <t>sot</t>
  </si>
  <si>
    <t>Solanum tuberosum</t>
  </si>
  <si>
    <t>Potato</t>
  </si>
  <si>
    <t>sbi</t>
  </si>
  <si>
    <t>Sorghum bicolor</t>
  </si>
  <si>
    <t>Sorghum</t>
  </si>
  <si>
    <t>soe</t>
  </si>
  <si>
    <t>Spinacia oleracea</t>
  </si>
  <si>
    <t>Spinach</t>
  </si>
  <si>
    <t>thj</t>
  </si>
  <si>
    <t>Tarenaya hassleriana</t>
  </si>
  <si>
    <t>Spider Flower</t>
  </si>
  <si>
    <t>tcc</t>
  </si>
  <si>
    <t>Theobroma cacao</t>
  </si>
  <si>
    <t>Cacao</t>
  </si>
  <si>
    <t>var</t>
  </si>
  <si>
    <t>Vigna angularis</t>
  </si>
  <si>
    <t>Adzuki Bean</t>
  </si>
  <si>
    <t>vra</t>
  </si>
  <si>
    <t>Vigna radiata</t>
  </si>
  <si>
    <t>Mung Bean</t>
  </si>
  <si>
    <t>vun</t>
  </si>
  <si>
    <t>Vigna unguiculata</t>
  </si>
  <si>
    <t>Cowpea</t>
  </si>
  <si>
    <t>vvi</t>
  </si>
  <si>
    <t>Vitis vinifera</t>
  </si>
  <si>
    <t>Wine Grape</t>
  </si>
  <si>
    <t>vcn</t>
  </si>
  <si>
    <t>Volvox carteri f. nagariensis</t>
  </si>
  <si>
    <t>Fierce Roller</t>
  </si>
  <si>
    <t>zma</t>
  </si>
  <si>
    <t>Zea mays</t>
  </si>
  <si>
    <t>Maize</t>
  </si>
  <si>
    <t>zju</t>
  </si>
  <si>
    <t>Ziziphus jujuba</t>
  </si>
  <si>
    <t>Chinese Date</t>
  </si>
  <si>
    <t>Various Lit Sources</t>
  </si>
  <si>
    <t>URL</t>
  </si>
  <si>
    <t>Citation</t>
  </si>
  <si>
    <t>arbitrary code</t>
  </si>
  <si>
    <t>gkxn</t>
  </si>
  <si>
    <t>R_AGI</t>
  </si>
  <si>
    <t>R_KXN</t>
  </si>
  <si>
    <t>R_EKXN</t>
  </si>
  <si>
    <t>R_HWB</t>
  </si>
  <si>
    <t>R_ERD</t>
  </si>
  <si>
    <t>R_GEN</t>
  </si>
  <si>
    <t>R_KMP</t>
  </si>
  <si>
    <t>R_LU2</t>
  </si>
  <si>
    <t>R_MYC</t>
  </si>
  <si>
    <t>R_NAR</t>
  </si>
  <si>
    <t>R_QUE</t>
  </si>
  <si>
    <t>http://journals.chemsociety.org.ng/index.php/jcsn/article/view/406/468</t>
  </si>
  <si>
    <t>Duru, I. A., &amp; Duru, C. E. (2019). IDENTIFICATION AND QUANTIFICATION OF PHYTOCHEMICALS FROM Carica papaya Linn (Caricaceae) ROOT EXTRACT USING GC-FID. Journal of Chemical Society of Nigeria, 44(7). Retrieved from http://journals.chemsociety.org.ng/index.php/jcsn/article/view/406</t>
  </si>
  <si>
    <t>L0</t>
  </si>
  <si>
    <t>https://pubs.acs.org/doi/full/10.1021/acs.jafc.7b01897</t>
  </si>
  <si>
    <t>Vissers, Kiskini, Hilgers, Marinea, Wierenga, Gruppen &amp; Vincken. Enzymatic Browning in Sugar Beet Leaves (Beta vulgaris L.): Influence of Caffeic Acid Derivatives, Oxidative Coupling, and Coupled Oxidation. Journal of Agricultural and Food Chemistry 2017 65 (24), 4911-4920. DOI: 10.1021/acs.jafc.7b01897</t>
  </si>
  <si>
    <t>L1</t>
  </si>
  <si>
    <t>https://sci-hub.se/10.1002/fsn3.1142</t>
  </si>
  <si>
    <t>Tamasi, G., Baratto, M. C., Bonechi, C., Byelyakova, A., Pardini, A., Donati, A., … Rossi, C. (2019). Chemical characterization and antioxidant properties of products and by‐products from Olea europaea L. Food Science &amp; Nutrition. doi:10.1002/fsn3.1142</t>
  </si>
  <si>
    <t>L2</t>
  </si>
  <si>
    <t>https://sci-hub.se/10.1007/s00436-011-2589-8</t>
  </si>
  <si>
    <t>Zahir, A. A., Rahuman, A. A., Bagavan, A., Geetha, K., Kamaraj, C., &amp; Elango, G. (2011). Evaluation of medicinal plant extracts and isolated compound epicatechin from Ricinus communis against Paramphistomum cervi. Parasitology Research, 111(4), 1629–1635. doi:10.1007/s00436-011-2589-8</t>
  </si>
  <si>
    <t>L3</t>
  </si>
  <si>
    <t>https://sci-hub.se/10.1007/s10341-015-0253-7</t>
  </si>
  <si>
    <t>Yıldırım, F., Yıldırım, A. N., San, B., &amp; Ercişli, S. (2015). The Relationship Between Growth Vigour of Rootstock and Phenolic Contents in Apple (Malus × domestica). Erwerbs-Obstbau, 58(1), 25–29. doi:10.1007/s10341-015-0253-7</t>
  </si>
  <si>
    <t>L4</t>
  </si>
  <si>
    <t>https://sci-hub.se/10.1007/s11130-018-0661-6</t>
  </si>
  <si>
    <t>Quintero-Soto, M. F., Saracho-Peña, A. G., Chavez-Ontiveros, J., Garzon-Tiznado, J. A., Pineda-Hidalgo, K. V., Delgado-Vargas, F., &amp; Lopez-Valenzuela, J. A. (2018). Phenolic profiles and their contribution to the antioxidant activity of selected chickpea genotypes from Mexico and ICRISAT collections. Plant Foods for Human Nutrition, 73(2), 122–129. doi:10.1007/s11130-018-0661-6</t>
  </si>
  <si>
    <t>L5</t>
  </si>
  <si>
    <t>https://sci-hub.se/10.1007/s11240-019-01679-3</t>
  </si>
  <si>
    <t>Gallego, A. M., Rojas, L. F., Rodriguez, H. A., Mora, C., Atehortúa, L., Urrea, A. I., … Pabón-Mora, N. (2019). Metabolomic profile of cacao cell suspensions growing in blue light/dark conditions with potential in food biotechnology. Plant Cell, Tissue and Organ Culture (PCTOC). doi:10.1007/s11240-019-01679-3</t>
  </si>
  <si>
    <t>L6</t>
  </si>
  <si>
    <t>https://sci-hub.se/10.1007/s11694-017-9514-5</t>
  </si>
  <si>
    <t>Zeb, A., Muhammad, B., &amp; Ullah, F. (2017). Characterization of sesame (Sesamum indicum L.) seed oil from Pakistan for phenolic composition, quality characteristics and potential beneficial properties. Journal of Food Measurement and Characterization, 11(3), 1362–1369. doi:10.1007/s11694-017-9514-5</t>
  </si>
  <si>
    <t>L7</t>
  </si>
  <si>
    <t>name</t>
  </si>
  <si>
    <t>code list</t>
  </si>
  <si>
    <t>https://sci-hub.se/10.1007/s11738-019-2925-7</t>
  </si>
  <si>
    <t>Xu, X., Tian, H., He, M., Gebretsadik, K., Qi, X., Xu, Q., &amp; Chen, X. (2019). Changes in catechin contents and expression of catechin biosynthesis-associated genes during early cucumber fruit development. Acta Physiologiae Plantarum, 41(8). doi:10.1007/s11738-019-2925-7</t>
  </si>
  <si>
    <t>L8</t>
  </si>
  <si>
    <t>https://sci-hub.se/10.1007/s12041-015-0559-0</t>
  </si>
  <si>
    <t>DONG DONG, Z., CHEN, J., LI, T., CHEN, F., &amp; QUN CUI, D. (2015). Molecular survey of Tamyb10-1 genes and their association with grain colour and germinability in Chinese wheat and Aegilops tauschii. Journal of Genetics, 94(3), 453–459. doi:10.1007/s12041-015-0559-0</t>
  </si>
  <si>
    <t>L9</t>
  </si>
  <si>
    <t>https://sci-hub.se/10.1016/j.chroma.2010.07.020</t>
  </si>
  <si>
    <t>Klejdus, B., Lojková, L., Plaza, M., Šnóblová, M., &amp; Štěrbová, D. (2010). Hyphenated technique for the extraction and determination of isoflavones in algae: Ultrasound-assisted supercritical fluid extraction followed by fast chromatography with tandem mass spectrometry. Journal of Chromatography A, 1217(51), 7956–7965. doi:10.1016/j.chroma.2010.07.020</t>
  </si>
  <si>
    <t>M0</t>
  </si>
  <si>
    <t>https://sci-hub.se/10.1016/j.chroma.2015.08.033</t>
  </si>
  <si>
    <t>Zhang, X., Lin, Z., Fang, J., Liu, M., Niu, Y., Chen, S., &amp; Wang, H. (2015). An on-line high-performance liquid chromatography–diode-array detector–electrospray ionization–ion-trap–time-of-flight–mass spectrometry–total antioxidant capacity detection system applying two antioxidant methods for activity evaluation of the edible flowers from Prunus mume. Journal of Chromatography A, 1414, 88–102. doi:10.1016/j.chroma.2015.08.033</t>
  </si>
  <si>
    <t>M1</t>
  </si>
  <si>
    <t>https://sci-hub.se/10.1016/j.febslet.2009.05.006</t>
  </si>
  <si>
    <t>Preuß, A., Stracke, R., Weisshaar, B., Hillebrecht, A., Matern, U., &amp; Martens, S. (2009). Arabidopsis thalianaexpresses a second functional flavonol synthase. FEBS Letters, 583(12), 1981–1986. doi:10.1016/j.febslet.2009.05.006</t>
  </si>
  <si>
    <t>M2</t>
  </si>
  <si>
    <t>https://sci-hub.se/10.1016/j.foodchem.2009.04.051</t>
  </si>
  <si>
    <t>Dueñas, M., Hernández, T., Estrella, I., &amp; Fernández, D. (2009). Germination as a process to increase the polyphenol content and antioxidant activity of lupin seeds (Lupinus angustifolius L.). Food Chemistry, 117(4), 599–607. doi:10.1016/j.foodchem.2009.04.051</t>
  </si>
  <si>
    <t>M3</t>
  </si>
  <si>
    <t>https://sci-hub.se/10.1016/j.foodchem.2011.03.050</t>
  </si>
  <si>
    <t>Jaffri, J. M., Mohamed, S., Ahmad, I. N., Mustapha, N. M., Manap, Y. A., &amp; Rohimi, N. (2011). Effects of catechin-rich oil palm leaf extract on normal and hypertensive rats’ kidney and liver. Food Chemistry, 128(2), 433–441. doi:10.1016/j.foodchem.2011.03.050</t>
  </si>
  <si>
    <t>M4</t>
  </si>
  <si>
    <t>https://sci-hub.se/10.1016/j.foodchem.2012.04.102</t>
  </si>
  <si>
    <t>Perestrelo, R., Lu, Y., Santos, S. A. O., Silvestre, A. J. D., Neto, C. P., Câmara, J. S., &amp; Rocha, S. M. (2012). Phenolic profile of Sercial and Tinta Negra Vitis vinifera L. grape skins by HPLC–DAD–ESI-MSn. Food Chemistry, 135(1), 94–104. doi:10.1016/j.foodchem.2012.04.102</t>
  </si>
  <si>
    <t>M5</t>
  </si>
  <si>
    <t>https://sci-hub.se/10.1016/j.foodchem.2014.10.012</t>
  </si>
  <si>
    <t>Thiruvengadam, M., &amp; Chung, I.-M. (2015). Selenium, putrescine, and cadmium influence health-promoting phytochemicals and molecular-level effects on turnip (Brassica rapa ssp. rapa). Food Chemistry, 173, 185–193. doi:10.1016/j.foodchem.2014.10.012</t>
  </si>
  <si>
    <t>M6</t>
  </si>
  <si>
    <t>https://sci-hub.se/10.1016/j.foodchem.2015.11.127</t>
  </si>
  <si>
    <t>Singh, S. (2016). Enhancing phytochemical levels, enzymatic and antioxidant activity of spinach leaves by chitosan treatment and an insight into the metabolic pathway using DART-MS technique. Food Chemistry, 199, 176–184. doi:10.1016/j.foodchem.2015.11.127</t>
  </si>
  <si>
    <t>M7</t>
  </si>
  <si>
    <t>https://sci-hub.se/10.1016/j.foodchem.2015.12.025</t>
  </si>
  <si>
    <t>Hemalatha, P., Bomzan, D. P., Sathyendra Rao, B. V., &amp; Sreerama, Y. N. (2016). Distribution of phenolic antioxidants in whole and milled fractions of quinoa and their inhibitory effects on α-amylase and α-glucosidase activities. Food Chemistry, 199, 330–338. doi:10.1016/j.foodchem.2015.12.025</t>
  </si>
  <si>
    <t>M8</t>
  </si>
  <si>
    <t>https://sci-hub.se/10.1016/j.foodchem.2016.08.069</t>
  </si>
  <si>
    <t>Kim, M. Y., Lee, S. H., Jang, G. Y., Li, M., Lee, Y. R., Lee, J., &amp; Jeong, H. S. (2017). Changes of phenolic-acids and vitamin E profiles on germinated rough rice ( Oryza sativa L.) treated by high hydrostatic pressure. Food Chemistry, 217, 106–111. doi:10.1016/j.foodchem.2016.08.069</t>
  </si>
  <si>
    <t>M9</t>
  </si>
  <si>
    <t>https://sci-hub.se/10.1016/j.foodchem.2016.10.117</t>
  </si>
  <si>
    <t>Mallek-Ayadi, S., Bahloul, N., &amp; Kechaou, N. (2017). Characterization, phenolic compounds and functional properties of Cucumis melo L. peels. Food Chemistry, 221, 1691–1697. doi:10.1016/j.foodchem.2016.10.117</t>
  </si>
  <si>
    <t>N0</t>
  </si>
  <si>
    <t>https://sci-hub.se/10.1016/j.foodchem.2017.02.150</t>
  </si>
  <si>
    <t>Valiñas, M. A., Lanteri, M. L., ten Have, A., &amp; Andreu, A. B. (2017). Chlorogenic acid, anthocyanin and flavan-3-ol biosynthesis in flesh and skin of Andean potato tubers ( Solanum tuberosum subsp. andigena ). Food Chemistry, 229, 837–846. doi:10.1016/j.foodchem.2017.02.150</t>
  </si>
  <si>
    <t>N1</t>
  </si>
  <si>
    <t>https://sci-hub.se/10.1016/j.foodchem.2018.04.073</t>
  </si>
  <si>
    <t>Luo, X., Cui, J., Zhang, H., &amp; Duan, Y. (2018). Subcritical water extraction of polyphenolic compounds from sorghum ( Sorghum bicolor L.) bran and their biological activities. Food Chemistry, 262, 14–20. doi:10.1016/j.foodchem.2018.04.073</t>
  </si>
  <si>
    <t>N2</t>
  </si>
  <si>
    <t>https://sci-hub.se/10.1016/j.foodchem.2019.03.002</t>
  </si>
  <si>
    <t>Zhou, J., Ma, Y., Jia, Y., Pang, M., Cheng, G., &amp; Cai, S. (2019). Phenolic profiles, antioxidant activities and cytoprotective effects of different phenolic fractions from oil palm (Elaeis guineensis Jacq.) fruits treated by ultra-high pressure. Food Chemistry, 288, 68–77. doi:10.1016/j.foodchem.2019.03.002</t>
  </si>
  <si>
    <t>N3</t>
  </si>
  <si>
    <t>https://sci-hub.se/10.1016/j.fshw.2017.11.002</t>
  </si>
  <si>
    <t>Ganesan, K., &amp; Xu, B. (2018). A critical review on phytochemical profile and health promoting effects of mung bean ( Vigna radiata ). Food Science and Human Wellness, 7(1), 11–33. doi:10.1016/j.fshw.2017.11.002</t>
  </si>
  <si>
    <t>N4</t>
  </si>
  <si>
    <t>https://sci-hub.se/10.1016/j.jchromb.2013.08.034</t>
  </si>
  <si>
    <t>Santos, S. A. O., Vilela, C., Freire, C. S. R., Neto, C. P., &amp; Silvestre, A. J. D. (2013). Ultra-high performance liquid chromatography coupled to mass spectrometry applied to the identification of valuable phenolic compounds from Eucalyptus wood. Journal of Chromatography B, 938, 65–74. doi:10.1016/j.jchromb.2013.08.034</t>
  </si>
  <si>
    <t>N5</t>
  </si>
  <si>
    <t>https://sci-hub.se/10.1016/j.jfca.2004.06.008</t>
  </si>
  <si>
    <t>Tsanova-Savova, S., Ribarova, F., &amp; Gerova, M. (2005). (+)-Catechin and (−)-epicatechin in Bulgarian fruits. Journal of Food Composition and Analysis, 18(7), 691–698. doi:10.1016/j.jfca.2004.06.008</t>
  </si>
  <si>
    <t>N6</t>
  </si>
  <si>
    <t>https://sci-hub.se/10.1016/j.jfca.2010.02.008</t>
  </si>
  <si>
    <t>San, B., &amp; Yildirim, A. N. (2010). Phenolic, alpha-tocopherol, beta-carotene and fatty acid composition of four promising jujube (Ziziphus jujuba Miller) selections. Journal of Food Composition and Analysis, 23(7), 706–710. doi:10.1016/j.jfca.2010.02.008</t>
  </si>
  <si>
    <t>N7</t>
  </si>
  <si>
    <t>https://sci-hub.se/10.1016/j.jfca.2018.03.005</t>
  </si>
  <si>
    <t>Khallouki, F., Ricarte, I., Breuer, A., &amp; Owen, R. W. (2018). Characterization of phenolic compounds in mature Moroccan Medjool date palm fruits ( Phoenix dactylifera ) by HPLC-DAD-ESI-MS. Journal of Food Composition and Analysis, 70, 63–71. doi:10.1016/j.jfca.2018.03.005</t>
  </si>
  <si>
    <t>N8</t>
  </si>
  <si>
    <t>https://sci-hub.se/10.1016/j.jff.2011.02.002</t>
  </si>
  <si>
    <t>Ghasemnezhad, M., Sherafati, M., &amp; Payvast, G. A. (2011). Variation in phenolic compounds, ascorbic acid and antioxidant activity of five coloured bell pepper (Capsicum annum) fruits at two different harvest times. Journal of Functional Foods, 3(1), 44–49. doi:10.1016/j.jff.2011.02.002</t>
  </si>
  <si>
    <t>N9</t>
  </si>
  <si>
    <t>https://sci-hub.se/10.1016/j.jff.2014.08.013</t>
  </si>
  <si>
    <t>Gasperotti, M., Masuero, D., Mattivi, F., &amp; Vrhovsek, U. (2015). Overall dietary polyphenol intake in a bowl of strawberries: The influence of Fragaria spp. in nutritional studies. Journal of Functional Foods, 18, 1057–1069. doi:10.1016/j.jff.2014.08.013</t>
  </si>
  <si>
    <t>P0</t>
  </si>
  <si>
    <t>https://sci-hub.se/10.1016/j.jff.2017.11.041</t>
  </si>
  <si>
    <t>Di Sotto, A., Vecchiato, M., Abete, L., Toniolo, C., Giusti, A. M., Mannina, L., … Di Giacomo, S. (2018). Capsicum annuum L. var. Cornetto di Pontecorvo PDO: Polyphenolic profile and in vitro biological activities. Journal of Functional Foods, 40, 679–691. doi:10.1016/j.jff.2017.11.041</t>
  </si>
  <si>
    <t>P1</t>
  </si>
  <si>
    <t>https://sci-hub.se/10.1016/j.jpba.2018.11.029</t>
  </si>
  <si>
    <t>Yan, M., Chen, M., Zhou, F., Cai, D., Bai, H., Wang, P., … Ma, Q. (2019). Separation and analysis of flavonoid chemical constituents in flowers of Juglans regia L. by ultra-high-performance liquid chromatography-hybrid quadrupole time-of-flight mass spectrometry. Journal of Pharmaceutical and Biomedical Analysis, 164, 734–741. doi:10.1016/j.jpba.2018.11.029</t>
  </si>
  <si>
    <t>P2</t>
  </si>
  <si>
    <t>https://sci-hub.se/10.1016/j.phytol.2012.12.001</t>
  </si>
  <si>
    <t>Chen, J., Leng, H., Duan, Y., Zhao, W., Yang, G., Guo, Y., … Hu, Q. (2013). Three new flavonoids from the leaves of oriental tobacco and their cytotoxicity. Phytochemistry Letters, 6(1), 144–147. doi:10.1016/j.phytol.2012.12.001</t>
  </si>
  <si>
    <t>P3</t>
  </si>
  <si>
    <t>https://sci-hub.se/10.1021/acs.jafc.5b02086</t>
  </si>
  <si>
    <t>Kim, Y. J., Kim, Y. B., Li, X., Choi, S. R., Park, S., Park, J. S., … Park, S. U. (2015). Accumulation of Phenylpropanoids by White, Blue, and Red Light Irradiation and Their Organ-Specific Distribution in Chinese Cabbage (Brassica rapa ssp. pekinensis). Journal of Agricultural and Food Chemistry, 63(30), 6772–6778. doi:10.1021/acs.jafc.5b02086</t>
  </si>
  <si>
    <t>P4</t>
  </si>
  <si>
    <t>https://sci-hub.se/10.1021/jf000025h</t>
  </si>
  <si>
    <t>Arts, I. C. W., van de Putte, B., &amp; Hollman, P. C. H. (2000). Catechin Contents of Foods Commonly Consumed in The Netherlands. 1. Fruits, Vegetables, Staple Foods, and Processed Foods. Journal of Agricultural and Food Chemistry, 48(5), 1746–1751. doi:10.1021/jf000025h</t>
  </si>
  <si>
    <t>P5</t>
  </si>
  <si>
    <t>https://sci-hub.se/10.1021/jf000513p</t>
  </si>
  <si>
    <t>Buschmann, H., Reilly, K., Rodriguez, M. X., Tohme, J., &amp; Beeching, J. R. (2000). Hydrogen Peroxide and Flavan-3-ols in Storage Roots of Cassava (Manihot esculentaCrantz) during Postharvest Deterioration. Journal of Agricultural and Food Chemistry, 48(11), 5522–5529. doi:10.1021/jf000513p</t>
  </si>
  <si>
    <t>P6</t>
  </si>
  <si>
    <t>https://sci-hub.se/10.1021/jf000549h</t>
  </si>
  <si>
    <t>De Pascual-Teresa, S., Santos-Buelga, C., &amp; Rivas-Gonzalo, J. C. (2000). Quantitative Analysis of Flavan-3-ols in Spanish Foodstuffs and Beverages. Journal of Agricultural and Food Chemistry, 48(11), 5331–5337. doi:10.1021/jf000549h</t>
  </si>
  <si>
    <t>P7</t>
  </si>
  <si>
    <t>https://sci-hub.se/10.1021/jf100236v</t>
  </si>
  <si>
    <t>Sanz, M., Cadahía, E., Esteruelas, E., Muñoz, A. M., Fernández De Simón, B., Hernández, T., &amp; Estrella, I. (2010). Phenolic Compounds in Cherry (Prunus avium) Heartwood with a View to Their Use in Cooperage. Journal of Agricultural and Food Chemistry, 58(8), 4907–4914. doi:10.1021/jf100236v</t>
  </si>
  <si>
    <t>P8</t>
  </si>
  <si>
    <t>https://sci-hub.se/10.1021/jf101504v</t>
  </si>
  <si>
    <t>Svensson, L., Sekwati-Monang, B., Lutz, D. L., Schieber, A., &amp; Gänzle, M. G. (2010). Phenolic Acids and Flavonoids in Nonfermented and Fermented Red Sorghum (Sorghum bicolor (L.) Moench). Journal of Agricultural and Food Chemistry, 58(16), 9214–9220. doi:10.1021/jf101504v</t>
  </si>
  <si>
    <t>P9</t>
  </si>
  <si>
    <t>https://sci-hub.se/10.1021/jf103382h</t>
  </si>
  <si>
    <t>Huang, C. F., Chen, Y. W., Yang, C. Y., Lin, H. Y., Way, T. D., Chiang, W., &amp; Liu, S. H. (2011). Extract of Lotus Leaf (Nelumbo nucifera) and Its Active Constituent Catechin with Insulin Secretagogue Activity. Journal of Agricultural and Food Chemistry, 59(4), 1087–1094. doi:10.1021/jf103382h</t>
  </si>
  <si>
    <t>Q0</t>
  </si>
  <si>
    <t>https://sci-hub.se/10.1021/jf3026524</t>
  </si>
  <si>
    <t>Gao, Q.-H., Wu, C.-S., Wang, M., Xu, B.-N., &amp; Du, L.-J. (2012). Effect of Drying of Jujubes (Ziziphus jujuba Mill.) on the Contents of Sugars, Organic Acids, α-Tocopherol, β-Carotene, and Phenolic Compounds. Journal of Agricultural and Food Chemistry, 60(38), 9642–9648. doi:10.1021/jf3026524</t>
  </si>
  <si>
    <t>Q1</t>
  </si>
  <si>
    <t>https://sci-hub.se/10.1021/jf304614j</t>
  </si>
  <si>
    <t>Hammouda, H., Chérif, J. K., Trabelsi-Ayadi, M., Baron, A., &amp; Guyot, S. (2013). Detailed Polyphenol and Tannin Composition and Its Variability in Tunisian Dates (Phoenix dactylifera L.) at Different Maturity Stages. Journal of Agricultural and Food Chemistry, 61(13), 3252–3263. doi:10.1021/jf304614j</t>
  </si>
  <si>
    <t>Q2</t>
  </si>
  <si>
    <t>https://sci-hub.se/10.1021/jf903619v</t>
  </si>
  <si>
    <t>Auger, B., Marnet, N., Gautier, V., Maia-Grondard, A., Leprince, F., Renard, M., … Routaboul, J.-M. (2010). A Detailed Survey of Seed Coat Flavonoids in Developing Seeds ofBrassica napusL. Journal of Agricultural and Food Chemistry, 58(10), 6246–6256. doi:10.1021/jf903619v</t>
  </si>
  <si>
    <t>Q3</t>
  </si>
  <si>
    <t>https://sci-hub.se/10.1111/tpj.12008</t>
  </si>
  <si>
    <t>Yobi, A., Wone, B. W. M., Xu, W., Alexander, D. C., Guo, L., Ryals, J. A., … Cushman, J. C. (2012). Comparative metabolic profiling between desiccation-sensitive and desiccation-tolerant species ofSelaginellareveals insights into the resurrection trait. The Plant Journal, 72(6), 983–999. doi:10.1111/tpj.12008</t>
  </si>
  <si>
    <t>Q4</t>
  </si>
  <si>
    <t>https://sci-hub.se/10.1155/2015/541591</t>
  </si>
  <si>
    <t>Hashmi, M. A., Khan, A., Hanif, M., Farooq, U., &amp; Perveen, S. (2015). Traditional Uses, Phytochemistry, and Pharmacology ofOlea europaea(Olive). Evidence-Based Complementary and Alternative Medicine, 2015, 1–29. doi:10.1155/2015/541591</t>
  </si>
  <si>
    <t>Q5</t>
  </si>
  <si>
    <t>https://sci-hub.se/10.1155/2016/5498618</t>
  </si>
  <si>
    <t>Bhandari, S. R., &amp; Lee, J. G. (2016). Ripening-Dependent Changes in Antioxidants, Color Attributes, and Antioxidant Activity of Seven Tomato (Solanum lycopersicumL.) Cultivars. Journal of Analytical Methods in Chemistry, 2016, 1–13. doi:10.1155/2016/5498618</t>
  </si>
  <si>
    <t>Q6</t>
  </si>
  <si>
    <t>https://sci-hub.se/10.1186/1475-2859-11-155</t>
  </si>
  <si>
    <t>Koopman, F., Beekwilder, J., Crimi, B., van Houwelingen, A., Hall, R. D., Bosch, D., … Daran, J.-M. (2012). De novo production of the flavonoid naringenin in engineered Saccharomyces cerevisiae. Microbial Cell Factories, 11(1), 155. doi:10.1186/1475-2859-11-155</t>
  </si>
  <si>
    <t>Q7</t>
  </si>
  <si>
    <t>https://sci-hub.se/10.1186/s40064-015-0906-x</t>
  </si>
  <si>
    <t>Nix, A., Paull, C. A., &amp; Colgrave, M. (2015). The flavonoid profile of pigeonpea, Cajanus cajan: a review. SpringerPlus, 4(1). doi:10.1186/s40064-015-0906-x</t>
  </si>
  <si>
    <t>Q8</t>
  </si>
  <si>
    <t>https://sci-hub.se/10.1365/s10337-009-1329-z</t>
  </si>
  <si>
    <t>Hou, Z., Luo, J., &amp; Kong, L. (2009). Medium-Pressure Liquid Chromatography Coupled to Electrospray Ionization Mass Spectrometry for Separation and On-Line Characterization of Flavonoids from Asparagus officinalis. Chromatographia, 70(9-10), 1447–1450. doi:10.1365/s10337-009-1329-z</t>
  </si>
  <si>
    <t>Q9</t>
  </si>
  <si>
    <t>https://sci-hub.se/10.1371/journal.pone.0064664</t>
  </si>
  <si>
    <t>Wang, L., Jiang, Y., Yuan, L., Lu, W., Yang, L., Karim, A., &amp; Luo, K. (2013). Isolation and Characterization of cDNAs Encoding Leucoanthocyanidin Reductase and Anthocyanidin Reductase from Populus trichocarpa. PLoS ONE, 8(5), e64664. doi:10.1371/journal.pone.0064664</t>
  </si>
  <si>
    <t>R0</t>
  </si>
  <si>
    <t>https://sci-hub.se/10.1371/journal.pone.0091945</t>
  </si>
  <si>
    <t>Zhai, R., Liu, X.-T., Feng, W.-T., Chen, S.-S., Xu, L.-F., Wang, Z.-G., … Ma, F.-W. (2014). Different Biosynthesis Patterns among Flavonoid 3-glycosides with Distinct Effects on Accumulation of Other Flavonoid Metabolites in Pears (Pyrus bretschneideri Rehd.). PLoS ONE, 9(3), e91945. doi:10.1371/journal.pone.0091945</t>
  </si>
  <si>
    <t>R1</t>
  </si>
  <si>
    <t>https://sci-hub.se/10.1371/journal.pone.0222789</t>
  </si>
  <si>
    <t>El-Kholy, W. M., Soliman, T. N., &amp; Darwish, A. M. G. (2019). Evaluation of date palm pollen (Phoenix dactylifera L.) encapsulation, impact on the nutritional and functional properties of fortified yoghurt. PLOS ONE, 14(10), e0222789. doi:10.1371/journal.pone.0222789</t>
  </si>
  <si>
    <t>R2</t>
  </si>
  <si>
    <t>https://sci-hub.se/10.3109/13880209.2013.782321</t>
  </si>
  <si>
    <t>Oboh, G., Olabiyi, A. A., &amp; Akinyemi, A. J. (2013). Inhibitory effect of aqueous extract of different parts of unripe pawpaw (Carica papaya) fruit on Fe2+-induced oxidative stress in rat pancreasin vitro. Pharmaceutical Biology, 51(9), 1165–1174. doi:10.3109/13880209.2013.782321</t>
  </si>
  <si>
    <t>R3</t>
  </si>
  <si>
    <t>https://sci-hub.se/10.3390/ijms12052958</t>
  </si>
  <si>
    <t>Igbinosa, O. O., Igbinosa, I. H., Chigor, V. N., Uzunuigbe, O. E., Oyedemi, S. O., Odjadjare, E. E., … Igbinosa, E. O. (2011). Polyphenolic Contents and Antioxidant Potential of Stem Bark Extracts from Jatropha curcas (Linn). International Journal of Molecular Sciences, 12(5), 2958–2971. doi:10.3390/ijms12052958</t>
  </si>
  <si>
    <t>R4</t>
  </si>
  <si>
    <t>https://sci-hub.se/10.3390/ijms18112331</t>
  </si>
  <si>
    <t>Ganesan, K., &amp; Xu, B. (2017). Polyphenol-Rich Dry Common Beans (Phaseolus vulgaris L.) and Their Health Benefits. International Journal of Molecular Sciences, 18(11), 2331. doi:10.3390/ijms18112331</t>
  </si>
  <si>
    <t>R5</t>
  </si>
  <si>
    <t>https://sci-hub.se/10.3390/molecules22071036</t>
  </si>
  <si>
    <t>Tang, X., Tang, P., &amp; Liu, L. (2017). Molecular Structure–Affinity Relationship of Flavonoids in Lotus Leaf (Nelumbo nucifera Gaertn.) on Binding to Human Serum Albumin and Bovine Serum Albumin by Spectroscopic Method. Molecules, 22(7), 1036. doi:10.3390/molecules22071036</t>
  </si>
  <si>
    <t>R6</t>
  </si>
  <si>
    <t>https://sci-hub.se/10.3390/molecules23020469</t>
  </si>
  <si>
    <t>Cuong, D., Kwon, S.-J., Jeon, J., Park, Y., Park, J., &amp; Park, S. (2018). Identification and Characterization of Phenylpropanoid Biosynthetic Genes and Their Accumulation in Bitter Melon (Momordica charantia). Molecules, 23(2), 469. doi:10.3390/molecules23020469</t>
  </si>
  <si>
    <t>R7</t>
  </si>
  <si>
    <t>https://sci-hub.se/10.3390/plants6040043</t>
  </si>
  <si>
    <t>Nix, A., Paull, C., &amp; Colgrave, M. (2017). Flavonoid Profile of the Cotton Plant, Gossypium hirsutum: A Review. Plants, 6(4), 43. doi:10.3390/plants6040043</t>
  </si>
  <si>
    <t>R8</t>
  </si>
  <si>
    <t>https://sci-hub.se/10.7717/peerj.5331</t>
  </si>
  <si>
    <t>Liew, S. S., Ho, W. Y., Yeap, S. K., &amp; Sharifudin, S. A. B. (2018). Phytochemical composition and in vitro antioxidant activities of Citrus sinensis peel extracts. PeerJ, 6, e5331. doi:10.7717/peerj.5331</t>
  </si>
  <si>
    <t>R9</t>
  </si>
  <si>
    <t>https://sci-hub.se/https://bmcchem.biomedcentral.com/articles/10.1186/1752-153X-8-4</t>
  </si>
  <si>
    <t>Tang, D., Dong, Y., Ren, H., Li, L., &amp; He, C. (2014). A review of phytochemistry, metabolite changes, and medicinal uses of the common food mung bean and its sprouts (Vigna radiata). Chemistry Central Journal, 8(1), 4. doi:10.1186/1752-153x-8-4</t>
  </si>
  <si>
    <t>S0</t>
  </si>
  <si>
    <t>https://sci-hub.se/https://ifst.onlinelibrary.wiley.com/doi/abs/10.1111/ijfs.13185</t>
  </si>
  <si>
    <t>Gan, R.-Y., Wang, M.-F., Lui, W.-Y., Wu, K., &amp; Corke, H. (2016). Dynamic changes in phytochemical composition and antioxidant capacity in green and black mung bean (Vigna radiata) sprouts. International Journal of Food Science &amp; Technology, 51(9), 2090–2098. doi:10.1111/ijfs.13185</t>
  </si>
  <si>
    <t>S1</t>
  </si>
  <si>
    <t>https://sci-hub.se/https://link.springer.com/article/10.1007/s00217-018-3116-2</t>
  </si>
  <si>
    <t>Koprivica, M. R., Trifković, J. Đ., Dramićanin, A. M., Gašić, U. M., Akšić, M. M. F., &amp; Milojković-Opsenica, D. M. (2018). Determination of the phenolic profile of peach (Prunus persica L.) kernels using UHPLC–LTQ OrbiTrap MS/MS technique. European Food Research and Technology. doi:10.1007/s00217-018-3116-2</t>
  </si>
  <si>
    <t>S2</t>
  </si>
  <si>
    <t>https://sci-hub.se/https://link.springer.com/article/10.1007/s10600-012-0232-2</t>
  </si>
  <si>
    <t>Pei, D., Liu, D., Liu, J.-X., &amp; Di, D.-L. (2012). Chemical investigation of the pollen of Brassica napus. Chemistry of Natural Compounds, 48(2), 310–312. doi:10.1007/s10600-012-0232-2</t>
  </si>
  <si>
    <t>S3</t>
  </si>
  <si>
    <t>https://sci-hub.se/https://link.springer.com/article/10.1007%252Fs11130-010-0156-6</t>
  </si>
  <si>
    <t>Georgiev, V. G., Weber, J., Kneschke, E.-M., Denev, P. N., Bley, T., &amp; Pavlov, A. I. (2010). Antioxidant Activity and Phenolic Content of Betalain Extracts from Intact Plants and Hairy Root Cultures of the Red Beetroot Beta vulgaris cv. Detroit Dark Red. Plant Foods for Human Nutrition, 65(2), 105–111. doi:10.1007/s11130-010-0156-6</t>
  </si>
  <si>
    <t>S4</t>
  </si>
  <si>
    <t>https://sci-hub.se/https://onlinelibrary.wiley.com/doi/abs/10.1002/ptr.6612</t>
  </si>
  <si>
    <t>Silva, L. G. S., Morelli, A. P., Pavan, I. C. B., Tavares, M. R., Pestana, N. F., Rostagno, M. A., … Bezerra, R. M. N. (2020). Protective effects of beet ( Beta vulgaris ) leaves extract against oxidative stress in endothelial cells in vitro. Phytotherapy Research. doi:10.1002/ptr.6612</t>
  </si>
  <si>
    <t>S5</t>
  </si>
  <si>
    <t>https://sci-hub.se/https://www.journal.csj.jp/doi/abs/10.1246/cl.2007.1292?journalCode=cl</t>
  </si>
  <si>
    <t>Shimoda, K., Otsuka, T., Morimoto, Y., Hamada, H., &amp; Hamada, H. (2007). Glycosylation and Malonylation of Quercetin, Epicatechin, and Catechin by Cultured Plant Cells. Chemistry Letters, 36(10), 1292–1293. doi:10.1246/cl.2007.1292</t>
  </si>
  <si>
    <t>S6</t>
  </si>
  <si>
    <t>https://sci-hub.se/https://www.sciencedirect.com/science/article/abs/pii/S0022286017315831</t>
  </si>
  <si>
    <t>Ahmad, T., Bustam, M. A., Irfan, M., Moniruzzaman, M., Anwaar Asghar, H. M., &amp; Bhattacharjee, S. (2018). Green synthesis of stabilized spherical shaped gold nanoparticles using novel aqueous Elaeis guineensis (oil palm) leaves extract. Journal of Molecular Structure, 1159, 167–173. doi:10.1016/j.molstruc.2017.11.095</t>
  </si>
  <si>
    <t>S7</t>
  </si>
  <si>
    <t>https://sci-hub.se/https://www.sciencedirect.com/science/article/abs/pii/S0031942200862998</t>
  </si>
  <si>
    <t>Gardner, R. L., Kerst, A. F., Wilson, D. M., &amp; Payne, M. G. (1967). Beta vulgaris L.: The characterization of three polyphenols isolated from the leaves. Phytochemistry, 6(3), 417–422. doi:10.1016/s0031-9422(00)86299-8</t>
  </si>
  <si>
    <t>S8</t>
  </si>
  <si>
    <t>https://sci-hub.se/https://www.sciencedirect.com/science/article/abs/pii/S0168945205003614</t>
  </si>
  <si>
    <t>Solar, A., Colarič, M., Usenik, V., &amp; Stampar, F. (2006). Seasonal variations of selected flavonoids, phenolic acids and quinones in annual shoots of common walnut (Juglans regia L.). Plant Science, 170(3), 453–461. doi:10.1016/j.plantsci.2005.09.012</t>
  </si>
  <si>
    <t>S9</t>
  </si>
  <si>
    <t>https://sci-hub.se/https://www.sciencedirect.com/science/article/abs/pii/S0168945217301863</t>
  </si>
  <si>
    <t>Napoleão, T. A., Soares, G., Vital, C. E., Bastos, C., Castro, R., Loureiro, M. E., &amp; Giordano, A. (2017). Methyl jasmonate and salicylic acid are able to modify cell wall but only salicylic acid alters biomass digestibility in the model grass Brachypodium distachyon. Plant Science, 263, 46–54. doi:10.1016/j.plantsci.2017.06.014</t>
  </si>
  <si>
    <t>T0</t>
  </si>
  <si>
    <t>https://sci-hub.se/https://www.sciencedirect.com/science/article/abs/pii/S0308814609011662</t>
  </si>
  <si>
    <t>Repo-Carrasco-Valencia, R., Hellström, J. K., Pihlava, J.-M., &amp; Mattila, P. H. (2010). Flavonoids and other phenolic compounds in Andean indigenous grains: Quinoa (Chenopodium quinoa), kañiwa (Chenopodium pallidicaule) and kiwicha (Amaranthus caudatus). Food Chemistry, 120(1), 128–133. doi:10.1016/j.foodchem.2009.09.087</t>
  </si>
  <si>
    <t>T1</t>
  </si>
  <si>
    <t>https://sci-hub.se/https://www.sciencedirect.com/science/article/abs/pii/S0308814611012908</t>
  </si>
  <si>
    <t>Terpinc, P., Polak, T., Makuc, D., Ulrih, N. P., &amp; Abramovič, H. (2012). The occurrence and characterisation of phenolic compounds in Camelina sativa seed, cake and oil. Food Chemistry, 131(2), 580–589. doi:10.1016/j.foodchem.2011.09.033</t>
  </si>
  <si>
    <t>T2</t>
  </si>
  <si>
    <t>https://sci-hub.se/https://www.sciencedirect.com/science/article/abs/pii/S0308814614010528</t>
  </si>
  <si>
    <t>Ho, L.-H., &amp; Bhat, R. (2015). Exploring the potential nutraceutical values of durian (Durio zibethinus L.) – An exotic tropical fruit. Food Chemistry, 168, 80–89. doi:10.1016/j.foodchem.2014.07.020</t>
  </si>
  <si>
    <t>T3</t>
  </si>
  <si>
    <t>https://sci-hub.se/https://www.sciencedirect.com/science/article/abs/pii/S0926669012000829</t>
  </si>
  <si>
    <t>Santos, S. A. O., Villaverde, J. J., Freire, C. S. R., Domingues, M. R. M., Neto, C. P., &amp; Silvestre, A. J. D. (2012). Phenolic composition and antioxidant activity of Eucalyptus grandis, E. urograndis (E. grandis×E. urophylla) and E. maidenii bark extracts. Industrial Crops and Products, 39, 120–127. doi:10.1016/j.indcrop.2012.02.003</t>
  </si>
  <si>
    <t>T4</t>
  </si>
  <si>
    <t>https://sci-hub.se/https://www.sciencedirect.com/science/article/abs/pii/S0926669016307294</t>
  </si>
  <si>
    <t>Santos, S. A. O., Vilela, C., Domingues, R. M. A., Oliveira, C. S. D., Villaverde, J. J., Freire, C. S. R., … Silvestre, A. J. D. (2017). Secondary metabolites from Eucalyptus grandis wood cultivated in Portugal, Brazil and South Africa. Industrial Crops and Products, 95, 357–364. doi:10.1016/j.indcrop.2016.10.044</t>
  </si>
  <si>
    <t>T5</t>
  </si>
  <si>
    <t>https://sci-hub.se/https://www.tandfonline.com/doi/abs/10.1080/00021369.1987.10868021</t>
  </si>
  <si>
    <t>Abe, N., Sato, H., &amp; Sakamura, S. (1987). Antifungal Stress Compounds from Adzuki Bean,Vigna angularis,Treated withCephalosporium gregatumType B. Agricultural and Biological Chemistry, 51(2), 349–353. doi:10.1080/00021369.1987.10868021</t>
  </si>
  <si>
    <t>T6</t>
  </si>
  <si>
    <t>https://www.japsonline.com/admin/php/uploads/1988_pdf.pdf</t>
  </si>
  <si>
    <t>Akomolafe, S. F., Oboh, G., Oyeleye, S. I., Molehin, O. R., &amp; Ogunsuyi, O. B. (2016). Phenolic Composition and Inhibitory Ability of Methanolic Extract from Pumpkin (Cucurbita pepo L) Seeds on Fe-induced Thiobarbituric acid reactive species in Albino Rat’s Testicular Tissue In-Vitro. Journal of Applied Pharmaceutical Science, 6(9), 115–120. https://doi.org/10.7324/JAPS.2016.60917</t>
  </si>
  <si>
    <t>T7</t>
  </si>
  <si>
    <t>https://www.mdpi.com/1420-3049/12/3/576/htm</t>
  </si>
  <si>
    <t>Malenčić, D., Popović, M., &amp; Miladinović, J. (2007). Phenolic Content and Antioxidant Properties of Soybean (Glycine max (L.) Merr.) Seeds. Molecules, 12(3), 576–581. doi:10.3390/12030576</t>
  </si>
  <si>
    <t>T8</t>
  </si>
  <si>
    <t>https://www.mdpi.com/1420-3049/18/11/14172/htm</t>
  </si>
  <si>
    <t>Liu, Y., Feng, S., Song, L., He, G., Chen, M., &amp; Huang, D. (2013). Secondary Metabolites in Durian Seeds: Oligomeric Proanthocyanidins. Molecules, 18(11), 14172–14185. doi:10.3390/molecules181114172</t>
  </si>
  <si>
    <t>T9</t>
  </si>
  <si>
    <t>https://www.mdpi.com/1420-3049/24/21/3814/htm</t>
  </si>
  <si>
    <t>Wu, S., Wilson, A. E., Chang, L., &amp; Tian, L. (2019). Exploring the Phytochemical Landscape of the Early-Diverging Flowering Plant Amborella trichopoda Baill. Molecules, 24(21), 3814. doi:10.3390/molecules24213814</t>
  </si>
  <si>
    <t>U0</t>
  </si>
  <si>
    <t>https://www.mdpi.com/1420-3049/25/8/1792/htm</t>
  </si>
  <si>
    <t>Kostecka-Gugała, A., Kruczek, M., Ledwożyw-Smoleń, I., &amp; Kaszycki, P. (2020). Antioxidants and Health-Beneficial Nutrients in Fruits of Eighteen Cucurbita Cultivars: Analysis of Diversity and Dietary Implications. Molecules, 25(8), 1792. doi:10.3390/molecules25081792</t>
  </si>
  <si>
    <t>U1</t>
  </si>
  <si>
    <t>https://www.mdpi.com/1422-0067/17/6/835/htm</t>
  </si>
  <si>
    <t>Akyol, H., Riciputi, Y., Capanoglu, E., Caboni, M., &amp; Verardo, V. (2016). Phenolic Compounds in the Potato and Its Byproducts: An Overview. International Journal of Molecular Sciences, 17(6), 835. doi:10.3390/ijms17060835</t>
  </si>
  <si>
    <t>U2</t>
  </si>
  <si>
    <t>https://journals.sagepub.com/doi/10.1177/1934578X1701200111</t>
  </si>
  <si>
    <t xml:space="preserve">Petkovska, A., Gjamovski, V., Stanoeva, J. P., Stefova, M. (2017). Characterization of the Polyphenolic Profiles of Peel, Flesh and Leaves of Malus domestica Cultivars Using UHPLC-DAD-HESI-MS n. Natural Product Communications, 12(1), 1934578X1701200–. doi:10.1177/1934578x1701200111 </t>
  </si>
  <si>
    <t>U3</t>
  </si>
  <si>
    <t>counted values based on research &amp; predictions</t>
  </si>
  <si>
    <t>compound</t>
  </si>
  <si>
    <t>#K total</t>
  </si>
  <si>
    <t>#L total</t>
  </si>
  <si>
    <t># S total</t>
  </si>
  <si>
    <t>SK + S</t>
  </si>
  <si>
    <t># LK</t>
  </si>
  <si>
    <t># SK</t>
  </si>
  <si>
    <t># K only</t>
  </si>
  <si>
    <t># L only</t>
  </si>
  <si>
    <t># S only</t>
  </si>
  <si>
    <t>Apigenin-7-glycoside</t>
  </si>
  <si>
    <t>Epigallocatechin gallate</t>
  </si>
  <si>
    <t>Epicatechin gallate</t>
  </si>
  <si>
    <t>Cyanidin 3-glucoside</t>
  </si>
  <si>
    <t>1. Ipomoea nil</t>
  </si>
  <si>
    <t>Chalcononaringenin</t>
  </si>
  <si>
    <t>Apigenin 7-(6''-p-coumarylglucoside)</t>
  </si>
  <si>
    <t>KNApSAcK</t>
  </si>
  <si>
    <t>9,10-Dihydro-8-hydroxy-10-methyl-8H-pyrano[2,3-h]epicatechin</t>
  </si>
  <si>
    <t>Cyanidin-3-rhamnosyl-glucosyl-glucoside</t>
  </si>
  <si>
    <t>NAPRALERT</t>
  </si>
  <si>
    <t>Naringenin-7-o-beta-d-glucoside</t>
  </si>
  <si>
    <t>Vitexin</t>
  </si>
  <si>
    <t>Leucocyanidin</t>
  </si>
  <si>
    <t>2. Ricinus communis</t>
  </si>
  <si>
    <t>Naringenin 7-(2-p-Coumaroylglucoside)</t>
  </si>
  <si>
    <t>Apigenin-6-c-((6-o-para-hydroxy-benzoyl)-beta-d-glucopyranosyl(1-2))-beta-d-glucopyranoside</t>
  </si>
  <si>
    <t>Cyanidin 3-(4''-acetylglucoside)</t>
  </si>
  <si>
    <t>Naringenin-7-o-(3 ' '-6 ' '-di-para-coumaroyl-glucoside)</t>
  </si>
  <si>
    <t>Cyanidin 3-(6''-malonylglucoside)</t>
  </si>
  <si>
    <t>Naringenin-7-o-(3''-para-coumaroyl-glucoside)</t>
  </si>
  <si>
    <t>Cyanidin-3-O-glucoside</t>
  </si>
  <si>
    <t>3. Ziziphus jujuba</t>
  </si>
  <si>
    <t>6,8-Di-C-glucopyranosylnaringenin</t>
  </si>
  <si>
    <t>Cyanidin glycoside</t>
  </si>
  <si>
    <t>Naringenin,2-(r): 6-8-di-c-glucoside</t>
  </si>
  <si>
    <t>Cyanidin 3-xyloside</t>
  </si>
  <si>
    <t>Naringenin,2-(s): 6-8-di-c-glucoside</t>
  </si>
  <si>
    <t>Proanthocyanidin A1</t>
  </si>
  <si>
    <t>Proanthocyanidin A2</t>
  </si>
  <si>
    <t>Procyanidin B2</t>
  </si>
  <si>
    <t>Procyanidin B5</t>
  </si>
  <si>
    <t>Cyanidin 3-O-[6-O-(malonyl)-beta-D-glucopyranoside]-7,3'-di-O-[6-O-(sinapyl)-beta-D-glucopyranoside]</t>
  </si>
  <si>
    <t>Cyanidin 3-O-[beta-D-glucopyranoside]-7,3'-di-O-[6-O-(sinapyl)-beta-D-glucopyranoside]</t>
  </si>
  <si>
    <t>Procyanidin dimer B1</t>
  </si>
  <si>
    <t>1. Glycine soja</t>
  </si>
  <si>
    <t>Dihydrokaempferol</t>
  </si>
  <si>
    <t>2. Gossypium arboreum</t>
  </si>
  <si>
    <t>Kaempferol glycoside</t>
  </si>
  <si>
    <t>3. Ipomoea nil</t>
  </si>
  <si>
    <t>Dihydrokaempferol 7-o-beta-d-glucoside</t>
  </si>
  <si>
    <t>4. Phoenix dactylifera</t>
  </si>
  <si>
    <t>Kaempferol-3-O-rhamnoglucoside</t>
  </si>
  <si>
    <t>5. Populus trichocarpa</t>
  </si>
  <si>
    <t>Kaempferol 4'-methyl ether</t>
  </si>
  <si>
    <t>6. Prunus mume</t>
  </si>
  <si>
    <t xml:space="preserve">Kaempferol-3-O-rutinoside </t>
  </si>
  <si>
    <t>Kaempferol-7-O-rutinoside</t>
  </si>
  <si>
    <t>7. Quercus suber</t>
  </si>
  <si>
    <t>Kaempferol glucopyranosides</t>
  </si>
  <si>
    <t>Kaempferol glucosides</t>
  </si>
  <si>
    <t>8. Vigna angularis</t>
  </si>
  <si>
    <t>Kaempferol-3-sophoroside</t>
  </si>
  <si>
    <t>Kaempferol-7-rhamnoside</t>
  </si>
  <si>
    <t>Quercetin-4-o-beta-d-glucoside</t>
  </si>
  <si>
    <t>2. Sesamum indicum</t>
  </si>
  <si>
    <t>Quercetin Glucuronide</t>
  </si>
  <si>
    <t>Common name</t>
  </si>
  <si>
    <t>Kingdom</t>
  </si>
  <si>
    <t>Classification Letters</t>
  </si>
  <si>
    <t>Subkingdom</t>
  </si>
  <si>
    <t>Infrakingdom</t>
  </si>
  <si>
    <t>Superdivision</t>
  </si>
  <si>
    <t>Division</t>
  </si>
  <si>
    <t>Subdivision</t>
  </si>
  <si>
    <t>Class</t>
  </si>
  <si>
    <t>Subclass</t>
  </si>
  <si>
    <t>mono/eudicot</t>
  </si>
  <si>
    <t>Superorder</t>
  </si>
  <si>
    <t>Order</t>
  </si>
  <si>
    <t>Family</t>
  </si>
  <si>
    <t>Subfamily</t>
  </si>
  <si>
    <t>Tribe</t>
  </si>
  <si>
    <t>Subtribe</t>
  </si>
  <si>
    <t>Genus</t>
  </si>
  <si>
    <t>Species</t>
  </si>
  <si>
    <t>Variety or subspecies</t>
  </si>
  <si>
    <t>At some point we will need to look for additional species in genus that is commonly edible</t>
  </si>
  <si>
    <t>Subkingdoms</t>
  </si>
  <si>
    <t>Infrakingdoms</t>
  </si>
  <si>
    <t>Superdivisions</t>
  </si>
  <si>
    <t>Divisions</t>
  </si>
  <si>
    <t>Subdivisions</t>
  </si>
  <si>
    <t>Classes</t>
  </si>
  <si>
    <t>Superorders</t>
  </si>
  <si>
    <t>Orders</t>
  </si>
  <si>
    <t>Families</t>
  </si>
  <si>
    <t>Subfamilies</t>
  </si>
  <si>
    <t>Tribes</t>
  </si>
  <si>
    <t>Subtribes</t>
  </si>
  <si>
    <t>Sugar Beet</t>
  </si>
  <si>
    <t>Plantae</t>
  </si>
  <si>
    <t>LVESF</t>
  </si>
  <si>
    <t>Viridiplantae</t>
  </si>
  <si>
    <t>Streptophyta (land)</t>
  </si>
  <si>
    <t>Embryophyta</t>
  </si>
  <si>
    <t>Tracheophyta</t>
  </si>
  <si>
    <t>Spermophytina</t>
  </si>
  <si>
    <t>Magnoliopsida</t>
  </si>
  <si>
    <t>--</t>
  </si>
  <si>
    <t>eudicot</t>
  </si>
  <si>
    <t>Caryophyllanae</t>
  </si>
  <si>
    <t>Caryophyllales</t>
  </si>
  <si>
    <t>Amaranthaceae</t>
  </si>
  <si>
    <t>Beta</t>
  </si>
  <si>
    <t>vulgaris</t>
  </si>
  <si>
    <t>lit</t>
  </si>
  <si>
    <t>kegg</t>
  </si>
  <si>
    <t>lit-kegg</t>
  </si>
  <si>
    <t>Chlorophyta</t>
  </si>
  <si>
    <t>Chlorophytina</t>
  </si>
  <si>
    <t>Rhodymeniophycidae</t>
  </si>
  <si>
    <t>Lilianae</t>
  </si>
  <si>
    <t>Amborellales</t>
  </si>
  <si>
    <t>Amborellaceae</t>
  </si>
  <si>
    <t>Asparagoideae</t>
  </si>
  <si>
    <t>Dalbergieae</t>
  </si>
  <si>
    <t>Carduinae</t>
  </si>
  <si>
    <t>Orchidaceae</t>
  </si>
  <si>
    <t>Chenopodioideae</t>
  </si>
  <si>
    <t>Anserineae</t>
  </si>
  <si>
    <t>Spinica</t>
  </si>
  <si>
    <t>oleracea</t>
  </si>
  <si>
    <t>Papaveraceae</t>
  </si>
  <si>
    <t>??</t>
  </si>
  <si>
    <t>Amborella</t>
  </si>
  <si>
    <t>trichopoda</t>
  </si>
  <si>
    <t>rel-kegg</t>
  </si>
  <si>
    <t>Asteranae</t>
  </si>
  <si>
    <t>Apiales</t>
  </si>
  <si>
    <t>Apiaceae</t>
  </si>
  <si>
    <t>Apioideae</t>
  </si>
  <si>
    <t>Scandiceae</t>
  </si>
  <si>
    <t>Daucinae</t>
  </si>
  <si>
    <t>Daucus</t>
  </si>
  <si>
    <t>carota</t>
  </si>
  <si>
    <t>Rosales</t>
  </si>
  <si>
    <t>Asteraceae</t>
  </si>
  <si>
    <t>Pedaliaceae</t>
  </si>
  <si>
    <t>monocot</t>
  </si>
  <si>
    <t>Arecales</t>
  </si>
  <si>
    <t>Arecaceae</t>
  </si>
  <si>
    <t>Arecoideae</t>
  </si>
  <si>
    <t>Cocoseae</t>
  </si>
  <si>
    <t>Elaeidinae</t>
  </si>
  <si>
    <t>Elaeis</t>
  </si>
  <si>
    <t>guineensis</t>
  </si>
  <si>
    <t>Rhamnaceae</t>
  </si>
  <si>
    <t>Paliureae</t>
  </si>
  <si>
    <t>Cucurbitaceae</t>
  </si>
  <si>
    <t>Petrosaviidae</t>
  </si>
  <si>
    <t>Coryphoideae</t>
  </si>
  <si>
    <t>Phoeniceae</t>
  </si>
  <si>
    <t>Phoenix</t>
  </si>
  <si>
    <t>dactylifera</t>
  </si>
  <si>
    <t>Cyanidiaceae</t>
  </si>
  <si>
    <t>Asparagales</t>
  </si>
  <si>
    <t>Asparagaceae</t>
  </si>
  <si>
    <t>Asparagus</t>
  </si>
  <si>
    <t>officinalis</t>
  </si>
  <si>
    <t>Amygdaloideae</t>
  </si>
  <si>
    <t>Maleae</t>
  </si>
  <si>
    <t>Euphorbiaceae</t>
  </si>
  <si>
    <t>Cynara cardunculus</t>
  </si>
  <si>
    <t>Asterales</t>
  </si>
  <si>
    <t>Carduoideae</t>
  </si>
  <si>
    <t>Cardueae</t>
  </si>
  <si>
    <t>Cynara</t>
  </si>
  <si>
    <t>cardunculus</t>
  </si>
  <si>
    <t>scolymus</t>
  </si>
  <si>
    <t>Trebouxiophyceae</t>
  </si>
  <si>
    <t>Poaceae</t>
  </si>
  <si>
    <t>Asteroideae</t>
  </si>
  <si>
    <t>Heliantheae</t>
  </si>
  <si>
    <t>Helianthus</t>
  </si>
  <si>
    <t>annuus</t>
  </si>
  <si>
    <t>Florideophyceae</t>
  </si>
  <si>
    <t>Green Algae</t>
  </si>
  <si>
    <t>Cichorioideae</t>
  </si>
  <si>
    <t>Cichorieae</t>
  </si>
  <si>
    <t>Lactucinae</t>
  </si>
  <si>
    <t>Lactuca</t>
  </si>
  <si>
    <t>sativa</t>
  </si>
  <si>
    <t>Rosaceae</t>
  </si>
  <si>
    <t>Chlorophyta (green algae)</t>
  </si>
  <si>
    <t>Prasinophytina</t>
  </si>
  <si>
    <t>Mamiellophyceae</t>
  </si>
  <si>
    <t>Mamiellales</t>
  </si>
  <si>
    <t>Bathycoccaceae</t>
  </si>
  <si>
    <t>Bathycoccus</t>
  </si>
  <si>
    <t>prasinos</t>
  </si>
  <si>
    <t>Myrtaceae</t>
  </si>
  <si>
    <t>Bangiophycideae</t>
  </si>
  <si>
    <t>Flowering Plants</t>
  </si>
  <si>
    <t>Caricaceae</t>
  </si>
  <si>
    <t>Ostreococcus</t>
  </si>
  <si>
    <t>lucimarinus</t>
  </si>
  <si>
    <t>Chenopodiaceae</t>
  </si>
  <si>
    <t>tauri</t>
  </si>
  <si>
    <t>Chlamydomonadaceae</t>
  </si>
  <si>
    <t>Rosanae</t>
  </si>
  <si>
    <t>Malvales</t>
  </si>
  <si>
    <t>Bombacaceae</t>
  </si>
  <si>
    <t>Durio</t>
  </si>
  <si>
    <t>zibethinus</t>
  </si>
  <si>
    <t>Rutaceae</t>
  </si>
  <si>
    <t>Brassicales</t>
  </si>
  <si>
    <t>Brassicaceae</t>
  </si>
  <si>
    <t>Arabidopsis</t>
  </si>
  <si>
    <t>lyrata</t>
  </si>
  <si>
    <t>Mamiellaceae</t>
  </si>
  <si>
    <t>Manihoteae</t>
  </si>
  <si>
    <t>Lycopodiopsida</t>
  </si>
  <si>
    <t>Red Algae</t>
  </si>
  <si>
    <t>Salicaceae</t>
  </si>
  <si>
    <t>thaliana</t>
  </si>
  <si>
    <t>Myrtoideae</t>
  </si>
  <si>
    <t>Selaginellaceae</t>
  </si>
  <si>
    <t>Brassica</t>
  </si>
  <si>
    <t>napus</t>
  </si>
  <si>
    <t>Selenastraceae</t>
  </si>
  <si>
    <t>Solanaceae</t>
  </si>
  <si>
    <t>rapa</t>
  </si>
  <si>
    <t>Acalyphoideae</t>
  </si>
  <si>
    <t>Acalypheae</t>
  </si>
  <si>
    <t>Vitaceae</t>
  </si>
  <si>
    <t>Camelina</t>
  </si>
  <si>
    <t>Biliphyta</t>
  </si>
  <si>
    <t>Papilionoideae</t>
  </si>
  <si>
    <t>Brachypodieae</t>
  </si>
  <si>
    <t>Volvocaceae</t>
  </si>
  <si>
    <t>Capsella rubella (bursa-pastoris)</t>
  </si>
  <si>
    <t>Capsella</t>
  </si>
  <si>
    <t>rubella</t>
  </si>
  <si>
    <t>Eutrema</t>
  </si>
  <si>
    <t>salsugineum</t>
  </si>
  <si>
    <t>Raphanus</t>
  </si>
  <si>
    <t>sativus</t>
  </si>
  <si>
    <t>Carica</t>
  </si>
  <si>
    <t>papaya</t>
  </si>
  <si>
    <t>Atripliceae</t>
  </si>
  <si>
    <t>Chenopodium</t>
  </si>
  <si>
    <t>quinoa</t>
  </si>
  <si>
    <t>Solaneae</t>
  </si>
  <si>
    <t>Sorghinae</t>
  </si>
  <si>
    <t>Chlorophyceae</t>
  </si>
  <si>
    <t>Chlamydomonadales</t>
  </si>
  <si>
    <t>Chlamydomonas</t>
  </si>
  <si>
    <t>reinhardtii</t>
  </si>
  <si>
    <t>Chlorellales</t>
  </si>
  <si>
    <t>Chlorellaceae</t>
  </si>
  <si>
    <t>Auxenochlorella</t>
  </si>
  <si>
    <t>protothecoides</t>
  </si>
  <si>
    <t>Nicotianoideae</t>
  </si>
  <si>
    <t>Nicotianeae</t>
  </si>
  <si>
    <t>Chlorella</t>
  </si>
  <si>
    <t>variabilis</t>
  </si>
  <si>
    <t>Amygdaleae</t>
  </si>
  <si>
    <t>Cleomaceae</t>
  </si>
  <si>
    <t>Tarenaya</t>
  </si>
  <si>
    <t>hassleriana</t>
  </si>
  <si>
    <t>Chlorococcales</t>
  </si>
  <si>
    <t>Coccomyxaceae</t>
  </si>
  <si>
    <t>Coccomyxa</t>
  </si>
  <si>
    <t>subellipsoidea</t>
  </si>
  <si>
    <t>Solanales</t>
  </si>
  <si>
    <t>Convolvulaceae</t>
  </si>
  <si>
    <t>Ipomoeeae</t>
  </si>
  <si>
    <t>Ipomoea</t>
  </si>
  <si>
    <t>nil</t>
  </si>
  <si>
    <t>Loteae</t>
  </si>
  <si>
    <t>Cucurbitales</t>
  </si>
  <si>
    <t>Benincaseae</t>
  </si>
  <si>
    <t>Cucumis</t>
  </si>
  <si>
    <t>melo</t>
  </si>
  <si>
    <t>rel</t>
  </si>
  <si>
    <t>Cucurbiteae</t>
  </si>
  <si>
    <t>Cucurbita</t>
  </si>
  <si>
    <t>maxima</t>
  </si>
  <si>
    <t>moschata</t>
  </si>
  <si>
    <t>Cucurbita pepo</t>
  </si>
  <si>
    <t>pepo</t>
  </si>
  <si>
    <t>Momordiceae</t>
  </si>
  <si>
    <t>Momordica</t>
  </si>
  <si>
    <t>charantia</t>
  </si>
  <si>
    <t>Rhodophyta</t>
  </si>
  <si>
    <t>Rhodophyta (red algae)</t>
  </si>
  <si>
    <t>Eurhodophytina</t>
  </si>
  <si>
    <t>Cyanidiales</t>
  </si>
  <si>
    <t>Cyanidioschyzon</t>
  </si>
  <si>
    <t>merolae</t>
  </si>
  <si>
    <t>Galdiera</t>
  </si>
  <si>
    <t>sulphuraria</t>
  </si>
  <si>
    <t>Mosses</t>
  </si>
  <si>
    <t>Malpighiales</t>
  </si>
  <si>
    <t>Crotonoideae</t>
  </si>
  <si>
    <t>Micrandreae</t>
  </si>
  <si>
    <t>Hevea</t>
  </si>
  <si>
    <t>brasiliensis</t>
  </si>
  <si>
    <t>Jatropheae</t>
  </si>
  <si>
    <t>Jatropha</t>
  </si>
  <si>
    <t>curcas</t>
  </si>
  <si>
    <t>Manihot</t>
  </si>
  <si>
    <t>esculenta</t>
  </si>
  <si>
    <t>Poales</t>
  </si>
  <si>
    <t>Fabaceae</t>
  </si>
  <si>
    <t>Epidendroideae</t>
  </si>
  <si>
    <t>Ricinus</t>
  </si>
  <si>
    <t>communis</t>
  </si>
  <si>
    <t>Sapindales</t>
  </si>
  <si>
    <t>Malvaceae</t>
  </si>
  <si>
    <t>Fabales</t>
  </si>
  <si>
    <t>Arachis</t>
  </si>
  <si>
    <t>duranensis</t>
  </si>
  <si>
    <t>ipaensis</t>
  </si>
  <si>
    <t>Phaseoleae</t>
  </si>
  <si>
    <t>Cajanus</t>
  </si>
  <si>
    <t>cajan</t>
  </si>
  <si>
    <t>Cicereae</t>
  </si>
  <si>
    <t>Cicer</t>
  </si>
  <si>
    <t>arietinum</t>
  </si>
  <si>
    <t>Glycine</t>
  </si>
  <si>
    <t>max</t>
  </si>
  <si>
    <t>soja</t>
  </si>
  <si>
    <t>Lotus</t>
  </si>
  <si>
    <t>japonicus</t>
  </si>
  <si>
    <t>Genisteae</t>
  </si>
  <si>
    <t>Lupinus</t>
  </si>
  <si>
    <t>angustifolius</t>
  </si>
  <si>
    <t>Lamiales</t>
  </si>
  <si>
    <t>Oleaceae</t>
  </si>
  <si>
    <t>Oleeae</t>
  </si>
  <si>
    <t>Trifolieae</t>
  </si>
  <si>
    <t>Medicago</t>
  </si>
  <si>
    <t>truncatula</t>
  </si>
  <si>
    <t>Phaseolus</t>
  </si>
  <si>
    <t>Vigna</t>
  </si>
  <si>
    <t>angularis</t>
  </si>
  <si>
    <t>Panicoideae</t>
  </si>
  <si>
    <t>Paniceae</t>
  </si>
  <si>
    <t>Cenchrinae</t>
  </si>
  <si>
    <t>radiata</t>
  </si>
  <si>
    <t>unguiculata</t>
  </si>
  <si>
    <t>Fagales</t>
  </si>
  <si>
    <t>Fagaceae</t>
  </si>
  <si>
    <t>Quercus</t>
  </si>
  <si>
    <t>suber</t>
  </si>
  <si>
    <t>L</t>
  </si>
  <si>
    <t>Byrophyta</t>
  </si>
  <si>
    <t>Bryophytina</t>
  </si>
  <si>
    <t>Bryopsida</t>
  </si>
  <si>
    <t>Funariidae</t>
  </si>
  <si>
    <t>Funariales</t>
  </si>
  <si>
    <t>Funariaceae</t>
  </si>
  <si>
    <t>Physcomitrium</t>
  </si>
  <si>
    <t>patens</t>
  </si>
  <si>
    <t>Gigartinales</t>
  </si>
  <si>
    <t>Gigartinaceae</t>
  </si>
  <si>
    <t>Chrondus</t>
  </si>
  <si>
    <t>crispus</t>
  </si>
  <si>
    <t>Streptophytina</t>
  </si>
  <si>
    <t>Proteanae</t>
  </si>
  <si>
    <t>Zingiberales</t>
  </si>
  <si>
    <t>Musaceae</t>
  </si>
  <si>
    <t>Juglandaceae</t>
  </si>
  <si>
    <t>Juglans</t>
  </si>
  <si>
    <t>regia</t>
  </si>
  <si>
    <t>Vitales</t>
  </si>
  <si>
    <t>Byttnerioideae</t>
  </si>
  <si>
    <t>Gossypium</t>
  </si>
  <si>
    <t>arboreum</t>
  </si>
  <si>
    <t>Andropogoneae</t>
  </si>
  <si>
    <t>Malvoideae</t>
  </si>
  <si>
    <t>hirsutum</t>
  </si>
  <si>
    <t>Lycopodiophytina</t>
  </si>
  <si>
    <t>Solanoideae</t>
  </si>
  <si>
    <t>Capsiceae</t>
  </si>
  <si>
    <t>Dendrobiinae</t>
  </si>
  <si>
    <t>raimondii</t>
  </si>
  <si>
    <t>Theobroma</t>
  </si>
  <si>
    <t>cacao</t>
  </si>
  <si>
    <t>Micromonas</t>
  </si>
  <si>
    <t>commoda</t>
  </si>
  <si>
    <t>Rosoideae</t>
  </si>
  <si>
    <t>Malaxideae</t>
  </si>
  <si>
    <t>pusilla</t>
  </si>
  <si>
    <t>Musa</t>
  </si>
  <si>
    <t>acuminata</t>
  </si>
  <si>
    <t>Lycopodiopsida (clubmosses)</t>
  </si>
  <si>
    <t>Selaginellales</t>
  </si>
  <si>
    <t>Eucalypteae</t>
  </si>
  <si>
    <t>Eucalyptus</t>
  </si>
  <si>
    <t>grandis</t>
  </si>
  <si>
    <t>Ranunculanae</t>
  </si>
  <si>
    <t>Proteales</t>
  </si>
  <si>
    <t>Nelumbonaceae</t>
  </si>
  <si>
    <t>Nelumbo</t>
  </si>
  <si>
    <t>nucifera</t>
  </si>
  <si>
    <t>Olea europaea</t>
  </si>
  <si>
    <t>Olea</t>
  </si>
  <si>
    <t>europaea</t>
  </si>
  <si>
    <t>sylvestris</t>
  </si>
  <si>
    <t>Ranunculales</t>
  </si>
  <si>
    <t>Papaveroideae</t>
  </si>
  <si>
    <t>Vandeae</t>
  </si>
  <si>
    <t>Aeridinae</t>
  </si>
  <si>
    <t>Dendobium</t>
  </si>
  <si>
    <t>catenatum</t>
  </si>
  <si>
    <t>Phalaenopsis</t>
  </si>
  <si>
    <t>equestris</t>
  </si>
  <si>
    <t>Papaver</t>
  </si>
  <si>
    <t>somniferum</t>
  </si>
  <si>
    <t>Sesamum</t>
  </si>
  <si>
    <t>indicum</t>
  </si>
  <si>
    <t>Aegilops</t>
  </si>
  <si>
    <t>tauschii</t>
  </si>
  <si>
    <t>Viteae</t>
  </si>
  <si>
    <t>Tripsacinae</t>
  </si>
  <si>
    <t>Pooideae</t>
  </si>
  <si>
    <t>Brachypodium</t>
  </si>
  <si>
    <t>distachyon</t>
  </si>
  <si>
    <t>Oryzoideae</t>
  </si>
  <si>
    <t>Oryzeae</t>
  </si>
  <si>
    <t>Oryzinae</t>
  </si>
  <si>
    <t>Oryza</t>
  </si>
  <si>
    <t>brachyantha</t>
  </si>
  <si>
    <t>Fragariinae</t>
  </si>
  <si>
    <t>Oryza sativa</t>
  </si>
  <si>
    <t>japonica</t>
  </si>
  <si>
    <t>Potentilleae</t>
  </si>
  <si>
    <t>dup</t>
  </si>
  <si>
    <t>Setaria</t>
  </si>
  <si>
    <t>italica</t>
  </si>
  <si>
    <t>bicolor</t>
  </si>
  <si>
    <t>Zea</t>
  </si>
  <si>
    <t>mays</t>
  </si>
  <si>
    <t>Ziziphus</t>
  </si>
  <si>
    <t>jujuba</t>
  </si>
  <si>
    <t>Fragaria</t>
  </si>
  <si>
    <t>vesca</t>
  </si>
  <si>
    <t>Malus</t>
  </si>
  <si>
    <t>domestica</t>
  </si>
  <si>
    <t>Prunus</t>
  </si>
  <si>
    <t>avium</t>
  </si>
  <si>
    <t>mume</t>
  </si>
  <si>
    <t>persica</t>
  </si>
  <si>
    <t>Pyrus</t>
  </si>
  <si>
    <t>x bretschneideri</t>
  </si>
  <si>
    <t>Rosa</t>
  </si>
  <si>
    <t>chinensis</t>
  </si>
  <si>
    <t>Citrus</t>
  </si>
  <si>
    <t>clementina</t>
  </si>
  <si>
    <t>sinensis</t>
  </si>
  <si>
    <t>Saliceae</t>
  </si>
  <si>
    <t>Populus</t>
  </si>
  <si>
    <t>euphratica</t>
  </si>
  <si>
    <t>trichocarpa</t>
  </si>
  <si>
    <t>LV</t>
  </si>
  <si>
    <t>Selaginella</t>
  </si>
  <si>
    <t>moellendorffii</t>
  </si>
  <si>
    <t>Myrtales</t>
  </si>
  <si>
    <t>Sphaeropleales</t>
  </si>
  <si>
    <t>Monoraphidium</t>
  </si>
  <si>
    <t>neglectum</t>
  </si>
  <si>
    <t>Capsicum</t>
  </si>
  <si>
    <t>annuum</t>
  </si>
  <si>
    <t>Club Mosses</t>
  </si>
  <si>
    <t>Nicotiana</t>
  </si>
  <si>
    <t>attenuata</t>
  </si>
  <si>
    <t>tabacum</t>
  </si>
  <si>
    <t>tomentosiformis</t>
  </si>
  <si>
    <t>Solanum</t>
  </si>
  <si>
    <t>lycopersicum</t>
  </si>
  <si>
    <t>pennellii</t>
  </si>
  <si>
    <t>tuberosum</t>
  </si>
  <si>
    <t>Vitis</t>
  </si>
  <si>
    <t>vinifera</t>
  </si>
  <si>
    <t>Volvox carteri</t>
  </si>
  <si>
    <t>Volvox</t>
  </si>
  <si>
    <t>carteri</t>
  </si>
  <si>
    <t>nagariensis</t>
  </si>
  <si>
    <t>Land Plants</t>
  </si>
  <si>
    <t>Non-vascular Plants</t>
  </si>
  <si>
    <t>Vascular Plants</t>
  </si>
  <si>
    <t>Seedless</t>
  </si>
  <si>
    <t>Basal Angiosperms</t>
  </si>
  <si>
    <t>Monocotyledons</t>
  </si>
  <si>
    <t>Eudicotyledons</t>
  </si>
  <si>
    <t>Cucurbita pepo subsp. pepo</t>
  </si>
  <si>
    <t>Basal Angiosperm</t>
  </si>
  <si>
    <t>Nymphaeaceae</t>
  </si>
  <si>
    <t>Nymphaea colorata</t>
  </si>
  <si>
    <t>ncol</t>
  </si>
  <si>
    <t>T04345</t>
  </si>
  <si>
    <t>Aegilops tauschii (wheat D)</t>
  </si>
  <si>
    <t>Eudicot</t>
  </si>
  <si>
    <t>Anacardiaceae</t>
  </si>
  <si>
    <t>Mangifera indica (mango)</t>
  </si>
  <si>
    <t>minc</t>
  </si>
  <si>
    <t>T02990</t>
  </si>
  <si>
    <t>Pistacia vera (pistachio)</t>
  </si>
  <si>
    <t>pvy</t>
  </si>
  <si>
    <t>T01578</t>
  </si>
  <si>
    <t>Arabidopsis lyrata (lyrate rockcress)</t>
  </si>
  <si>
    <t>Erigeron canadensis (horseweed)</t>
  </si>
  <si>
    <t>ecad</t>
  </si>
  <si>
    <t>T00041</t>
  </si>
  <si>
    <t>Arabidopsis thaliana (thale cress)</t>
  </si>
  <si>
    <t>Celastraceae</t>
  </si>
  <si>
    <t>Tripterygium wilfordii (thunder duke vine)</t>
  </si>
  <si>
    <t>twl</t>
  </si>
  <si>
    <t>T04300</t>
  </si>
  <si>
    <t>Ipomoea triloba (trilobed morning glory)</t>
  </si>
  <si>
    <t>itr</t>
  </si>
  <si>
    <t>T04301</t>
  </si>
  <si>
    <t>Benincasa hispida (wax gourd)</t>
  </si>
  <si>
    <t>bhj</t>
  </si>
  <si>
    <t>T05243</t>
  </si>
  <si>
    <t>Asparagus officinalis (garden asparagus)</t>
  </si>
  <si>
    <t>Abrus precatorius (Indian licorice)</t>
  </si>
  <si>
    <t>aprc</t>
  </si>
  <si>
    <t>T04132</t>
  </si>
  <si>
    <t>Arachis hypogaea (peanut)</t>
  </si>
  <si>
    <t>ahf</t>
  </si>
  <si>
    <t>T03089</t>
  </si>
  <si>
    <t>Quercus lobata (valley oak)</t>
  </si>
  <si>
    <t>qlo</t>
  </si>
  <si>
    <t>T03548</t>
  </si>
  <si>
    <t>Beta vulgaris (sugar beet)</t>
  </si>
  <si>
    <t>Lamiaceae</t>
  </si>
  <si>
    <t>Salvia splendens (scarlet sage)</t>
  </si>
  <si>
    <t>sspl</t>
  </si>
  <si>
    <t>T01717</t>
  </si>
  <si>
    <t>Moraceae</t>
  </si>
  <si>
    <t>Morus notabilis (mulberry species)</t>
  </si>
  <si>
    <t>mnt</t>
  </si>
  <si>
    <t>T04128</t>
  </si>
  <si>
    <t>Brassica napus (rape)</t>
  </si>
  <si>
    <t>Phrymaceae</t>
  </si>
  <si>
    <t>Erythranthe guttata (spotted monkey flower)</t>
  </si>
  <si>
    <t>egt</t>
  </si>
  <si>
    <t>T04124</t>
  </si>
  <si>
    <t>Brassica oleracea (wild cabbage)</t>
  </si>
  <si>
    <t>Proteaceae</t>
  </si>
  <si>
    <t>Macadamia integrifolia (macadamia nut)</t>
  </si>
  <si>
    <t>ming</t>
  </si>
  <si>
    <t>T07330</t>
  </si>
  <si>
    <t>Prunus dulcis (almond)</t>
  </si>
  <si>
    <t>pdul</t>
  </si>
  <si>
    <t>T07294</t>
  </si>
  <si>
    <t>Populus alba (white poplar)</t>
  </si>
  <si>
    <t>palz</t>
  </si>
  <si>
    <t>T03449</t>
  </si>
  <si>
    <t>Brassica rapa (field mustard)</t>
  </si>
  <si>
    <t>Vitis riparia (riverbank grape)</t>
  </si>
  <si>
    <t>vri</t>
  </si>
  <si>
    <t>T04868</t>
  </si>
  <si>
    <t>Cajanus cajan (pigeon pea)</t>
  </si>
  <si>
    <t>Monocot</t>
  </si>
  <si>
    <t>Panicum hallii (Hall's panicgrass)</t>
  </si>
  <si>
    <t>phai</t>
  </si>
  <si>
    <t>T05044</t>
  </si>
  <si>
    <t>Camelina sativa (false flax)</t>
  </si>
  <si>
    <t>Panicum virgatum (switchgrass)</t>
  </si>
  <si>
    <t>pvir</t>
  </si>
  <si>
    <t>T07364</t>
  </si>
  <si>
    <t>csin</t>
  </si>
  <si>
    <t>Camellia sinensis</t>
  </si>
  <si>
    <t>Triticum aestivum (bread wheat)</t>
  </si>
  <si>
    <t>taes</t>
  </si>
  <si>
    <t>T02984</t>
  </si>
  <si>
    <t>Triticum dicoccoides (wild emmer wheat)</t>
  </si>
  <si>
    <t>tdc</t>
  </si>
  <si>
    <t>T04646</t>
  </si>
  <si>
    <t>T05151</t>
  </si>
  <si>
    <t>Carica papaya (papaya)</t>
  </si>
  <si>
    <t>T05764</t>
  </si>
  <si>
    <t>Chenopodium quinoa (quinoa)</t>
  </si>
  <si>
    <t>T01039</t>
  </si>
  <si>
    <t>T02924</t>
  </si>
  <si>
    <t>T02916</t>
  </si>
  <si>
    <t>Chondrus crispus (carragheen)</t>
  </si>
  <si>
    <t>T02819</t>
  </si>
  <si>
    <t>Cicer arietinum (chickpea)</t>
  </si>
  <si>
    <t>T02982</t>
  </si>
  <si>
    <t>Citrus clementina (mandarin orange)</t>
  </si>
  <si>
    <t>T07258</t>
  </si>
  <si>
    <t>T02983</t>
  </si>
  <si>
    <t>Citrus sinensis (Valencia orange)</t>
  </si>
  <si>
    <t>T02914</t>
  </si>
  <si>
    <t>T03195</t>
  </si>
  <si>
    <t>Cucumis melo (muskmelon)</t>
  </si>
  <si>
    <t>T02486</t>
  </si>
  <si>
    <t>Cucumis sativus (cucumber)</t>
  </si>
  <si>
    <t>T05246</t>
  </si>
  <si>
    <t>Cucurbita maxima (winter squash)</t>
  </si>
  <si>
    <t>T07610</t>
  </si>
  <si>
    <t>T05248</t>
  </si>
  <si>
    <t>Cucurbita moschata (crookneck pumpkin)</t>
  </si>
  <si>
    <t>T05351</t>
  </si>
  <si>
    <t>Cucurbita pepo subsp. pepo (vegetable marrow)</t>
  </si>
  <si>
    <t>T00175</t>
  </si>
  <si>
    <t>T05604</t>
  </si>
  <si>
    <t>Cynara cardunculus var. scolymus (artichoke)</t>
  </si>
  <si>
    <t>T05350</t>
  </si>
  <si>
    <t>Daucus carota (carrot)</t>
  </si>
  <si>
    <t>T05027</t>
  </si>
  <si>
    <t>T07346</t>
  </si>
  <si>
    <t>T05242</t>
  </si>
  <si>
    <t>Durio zibethinus (durian)</t>
  </si>
  <si>
    <t>T03921</t>
  </si>
  <si>
    <t>Elaeis guineensis (African oil palm)</t>
  </si>
  <si>
    <t>T03547</t>
  </si>
  <si>
    <t>Eucalyptus grandis (rose gum)</t>
  </si>
  <si>
    <t>T07384</t>
  </si>
  <si>
    <t>T02985</t>
  </si>
  <si>
    <t>T02666</t>
  </si>
  <si>
    <t>Fragaria vesca (woodland strawberry)</t>
  </si>
  <si>
    <t>T07436</t>
  </si>
  <si>
    <t>T02926</t>
  </si>
  <si>
    <t>T01710</t>
  </si>
  <si>
    <t>Glycine max (soybean)</t>
  </si>
  <si>
    <t>T06057</t>
  </si>
  <si>
    <t>Glycine soja (wild soybean)</t>
  </si>
  <si>
    <t>T05776</t>
  </si>
  <si>
    <t>T04793</t>
  </si>
  <si>
    <t>Gossypium hirsutum (upland cotton)</t>
  </si>
  <si>
    <t>T04129</t>
  </si>
  <si>
    <t>T05101</t>
  </si>
  <si>
    <t>Helianthus annuus (common sunflower)</t>
  </si>
  <si>
    <t>T05150</t>
  </si>
  <si>
    <t>Hevea brasiliensis (rubber tree)</t>
  </si>
  <si>
    <t>T04663</t>
  </si>
  <si>
    <t>Ipomoea nil (Japanese morning glory)</t>
  </si>
  <si>
    <t>T03922</t>
  </si>
  <si>
    <t>T07684</t>
  </si>
  <si>
    <t>T05245</t>
  </si>
  <si>
    <t>Juglans regia (English walnut)</t>
  </si>
  <si>
    <t>T05352</t>
  </si>
  <si>
    <t>Lactuca sativa (garden lettuce)</t>
  </si>
  <si>
    <t>T07292</t>
  </si>
  <si>
    <t>Morus notabilis</t>
  </si>
  <si>
    <t>T07418</t>
  </si>
  <si>
    <t>T04348</t>
  </si>
  <si>
    <t>T07366</t>
  </si>
  <si>
    <t>Panicum hallii</t>
  </si>
  <si>
    <t>T04664</t>
  </si>
  <si>
    <t>Lupinus angustifolius (narrow-leaved blue lupine)</t>
  </si>
  <si>
    <t>T03194</t>
  </si>
  <si>
    <t>Malus domestica (apple)</t>
  </si>
  <si>
    <t>T05761</t>
  </si>
  <si>
    <t>Manihot esculenta (cassava)</t>
  </si>
  <si>
    <t>T01716</t>
  </si>
  <si>
    <t>Medicago truncatula (barrel medic)</t>
  </si>
  <si>
    <t>T02695</t>
  </si>
  <si>
    <t>T02696</t>
  </si>
  <si>
    <t>T05045</t>
  </si>
  <si>
    <t>Momordica charantia (bitter melon)</t>
  </si>
  <si>
    <t>T05028</t>
  </si>
  <si>
    <t>T03447</t>
  </si>
  <si>
    <t>Musa acuminata (wild Malaysian banana)</t>
  </si>
  <si>
    <t>T07260</t>
  </si>
  <si>
    <t>T04131</t>
  </si>
  <si>
    <t>Nelumbo nucifera (sacred lotus)</t>
  </si>
  <si>
    <t>T05870</t>
  </si>
  <si>
    <t>T07386</t>
  </si>
  <si>
    <t>T07314</t>
  </si>
  <si>
    <t>T05026</t>
  </si>
  <si>
    <t>T07328</t>
  </si>
  <si>
    <t>T04643</t>
  </si>
  <si>
    <t>Nicotiana tabacum (common tobacco)</t>
  </si>
  <si>
    <t>T05025</t>
  </si>
  <si>
    <t>T05244</t>
  </si>
  <si>
    <t>Olea europaea var. sylvestris (wild olive)</t>
  </si>
  <si>
    <t>T02995</t>
  </si>
  <si>
    <t>Oryza brachyantha (malo sina)</t>
  </si>
  <si>
    <t>T02163</t>
  </si>
  <si>
    <t>Oryza sativa japonica (Japanese rice) (RAPDB)</t>
  </si>
  <si>
    <t>T01015</t>
  </si>
  <si>
    <t>Oryza sativa japonica (Japanese rice) (RefSeq)</t>
  </si>
  <si>
    <t>T01029</t>
  </si>
  <si>
    <t>T01358</t>
  </si>
  <si>
    <t>T07350</t>
  </si>
  <si>
    <t>T05758</t>
  </si>
  <si>
    <t>Papaver somniferum (opium poppy)</t>
  </si>
  <si>
    <t>T07627</t>
  </si>
  <si>
    <t>T05601</t>
  </si>
  <si>
    <t>T03093</t>
  </si>
  <si>
    <t>Phaseolus vulgaris (common bean)</t>
  </si>
  <si>
    <t>T03274</t>
  </si>
  <si>
    <t>Phoenix dactylifera (date palm)</t>
  </si>
  <si>
    <t>T01041</t>
  </si>
  <si>
    <t>T05872</t>
  </si>
  <si>
    <t>Populus euphratica (Euphrates poplar)</t>
  </si>
  <si>
    <t>T07256</t>
  </si>
  <si>
    <t>Tripterygium wilfordii</t>
  </si>
  <si>
    <t>T07757</t>
  </si>
  <si>
    <t>T01077</t>
  </si>
  <si>
    <t>Populus trichocarpa (black cottonwood)</t>
  </si>
  <si>
    <t>T05161</t>
  </si>
  <si>
    <t>Prunus avium (sweet cherry)</t>
  </si>
  <si>
    <t>T03196</t>
  </si>
  <si>
    <t>Prunus mume (Japanese apricot)</t>
  </si>
  <si>
    <t>T07278</t>
  </si>
  <si>
    <t>T07274</t>
  </si>
  <si>
    <t>T03092</t>
  </si>
  <si>
    <t>Prunus persica (peach)</t>
  </si>
  <si>
    <t>T03446</t>
  </si>
  <si>
    <t>Pyrus x bretschneideri (Chinese white pear)</t>
  </si>
  <si>
    <t>T05868</t>
  </si>
  <si>
    <t>Quercus suber (cork oak)</t>
  </si>
  <si>
    <t>T06014</t>
  </si>
  <si>
    <t>Raphanus sativus (radish)</t>
  </si>
  <si>
    <t>T01087</t>
  </si>
  <si>
    <t>Ricinus communis (castor bean)</t>
  </si>
  <si>
    <t>T06020</t>
  </si>
  <si>
    <t>Rosa chinensis (China rose)</t>
  </si>
  <si>
    <t>T01496</t>
  </si>
  <si>
    <t>T04135</t>
  </si>
  <si>
    <t>Sesamum indicum (sesame)</t>
  </si>
  <si>
    <t>T02818</t>
  </si>
  <si>
    <t>Setaria italica (foxtail millet)</t>
  </si>
  <si>
    <t>T02665</t>
  </si>
  <si>
    <t>Solanum lycopersicum (tomato)</t>
  </si>
  <si>
    <t>T04130</t>
  </si>
  <si>
    <t>T02981</t>
  </si>
  <si>
    <t>Solanum tuberosum (potato)</t>
  </si>
  <si>
    <t>T01086</t>
  </si>
  <si>
    <t>Sorghum bicolor (sorghum)</t>
  </si>
  <si>
    <t>T05137</t>
  </si>
  <si>
    <t>Spinacia oleracea (spinach)</t>
  </si>
  <si>
    <t>T04125</t>
  </si>
  <si>
    <t>Tarenaya hassleriana (spider flower)</t>
  </si>
  <si>
    <t>T02994</t>
  </si>
  <si>
    <t>Theobroma cacao (cacao)</t>
  </si>
  <si>
    <t>T04660</t>
  </si>
  <si>
    <t>Vigna angularis (adzuki bean)</t>
  </si>
  <si>
    <t>T04126</t>
  </si>
  <si>
    <t>Vigna radiata (mung bean)</t>
  </si>
  <si>
    <t>T06017</t>
  </si>
  <si>
    <t>Vigna unguiculata (cowpea)</t>
  </si>
  <si>
    <t>T01084</t>
  </si>
  <si>
    <t>Vitis vinifera (wine grape)</t>
  </si>
  <si>
    <t>T01330</t>
  </si>
  <si>
    <t>T01088</t>
  </si>
  <si>
    <t>Zea mays (maize)</t>
  </si>
  <si>
    <t>T04794</t>
  </si>
  <si>
    <t>Ziziphus jujuba (Chinese jujube)</t>
  </si>
  <si>
    <t>Data from IMPPAT</t>
  </si>
  <si>
    <t>Number of exact matches:</t>
  </si>
  <si>
    <t>Number of similar- compound matches:</t>
  </si>
  <si>
    <t>Data from Dr. Duke's Database</t>
  </si>
  <si>
    <t>JW</t>
  </si>
  <si>
    <t>Data from Knapsack</t>
  </si>
  <si>
    <t>R_EGT</t>
  </si>
  <si>
    <t>R_GKXN</t>
  </si>
  <si>
    <t>R_HCC</t>
  </si>
  <si>
    <t>Data from Microbiome analysis</t>
  </si>
  <si>
    <t>Data from NAPRALERT</t>
  </si>
  <si>
    <t>R_BUN</t>
  </si>
  <si>
    <t>R_ERC</t>
  </si>
  <si>
    <t>Data from NPASS</t>
  </si>
  <si>
    <t>Data from USDA</t>
  </si>
  <si>
    <t>Olea europaea v. sylvestris</t>
  </si>
  <si>
    <t>Oryza sativa japonica RAPDB</t>
  </si>
  <si>
    <t>Oryza sativa japonica RefSeq</t>
  </si>
  <si>
    <t>EC Num</t>
  </si>
  <si>
    <t>Code</t>
  </si>
  <si>
    <t>Plant Name</t>
  </si>
  <si>
    <t>EC list formatted</t>
  </si>
  <si>
    <t>EC Data</t>
  </si>
  <si>
    <t>1.1.1.195</t>
  </si>
  <si>
    <t>Tracheophyta (vascular)</t>
  </si>
  <si>
    <t>Spermophytina (seed)</t>
  </si>
  <si>
    <t>Magnoliopsida (flowering)</t>
  </si>
  <si>
    <t>1.1.1.219</t>
  </si>
  <si>
    <t>1.1.1.234</t>
  </si>
  <si>
    <t>__</t>
  </si>
  <si>
    <t>1.11.1.27</t>
  </si>
  <si>
    <t>1.11.1.7</t>
  </si>
  <si>
    <t>1.14.-.-</t>
  </si>
  <si>
    <t>1.14.11.9</t>
  </si>
  <si>
    <t>1.14.14.81</t>
  </si>
  <si>
    <t>1.14.14.82</t>
  </si>
  <si>
    <t>1.14.14.91</t>
  </si>
  <si>
    <t>1.14.14.96</t>
  </si>
  <si>
    <t>1.14.19.76</t>
  </si>
  <si>
    <t>1.14.20.4</t>
  </si>
  <si>
    <t>1.14.20.6</t>
  </si>
  <si>
    <t>1.17.1.3</t>
  </si>
  <si>
    <t>1.2.1.44</t>
  </si>
  <si>
    <t>1.2.1.68</t>
  </si>
  <si>
    <t>1.3.1.77</t>
  </si>
  <si>
    <t>2.1.1.104</t>
  </si>
  <si>
    <t>2.3.1.133</t>
  </si>
  <si>
    <t>2.3.1.74</t>
  </si>
  <si>
    <t>2.4.1.-</t>
  </si>
  <si>
    <t>2.4.1.115</t>
  </si>
  <si>
    <t>2.4.1.128</t>
  </si>
  <si>
    <t>2.4.1.159</t>
  </si>
  <si>
    <t>2.4.1.357</t>
  </si>
  <si>
    <t>3.1.1.-</t>
  </si>
  <si>
    <t>3.2.1.21</t>
  </si>
  <si>
    <t>4.3.1.24</t>
  </si>
  <si>
    <t>4.3.1.25</t>
  </si>
  <si>
    <t>5.5.1.6</t>
  </si>
  <si>
    <t>6.2.1.12</t>
  </si>
  <si>
    <t>2.1.1.68</t>
  </si>
  <si>
    <t>1.14.11.61</t>
  </si>
  <si>
    <t>1.14.13.-</t>
  </si>
  <si>
    <t>2.3.1.92</t>
  </si>
  <si>
    <t>2.4.1.111</t>
  </si>
  <si>
    <t>2.4.2.51</t>
  </si>
  <si>
    <t>3.4.16.-</t>
  </si>
  <si>
    <t>1.1.1.348</t>
  </si>
  <si>
    <t>2.1.1.-</t>
  </si>
  <si>
    <t>2.3.1.91</t>
  </si>
  <si>
    <t>2.4.1.120</t>
  </si>
  <si>
    <t>2.4.1.298</t>
  </si>
  <si>
    <t>2.4.1.91</t>
  </si>
  <si>
    <t>1.11.1.21</t>
  </si>
  <si>
    <t>Fabaceae (peas, legumes)</t>
  </si>
  <si>
    <t>1.14.14.87</t>
  </si>
  <si>
    <t>1.14.14.88</t>
  </si>
  <si>
    <t>1.14.14.89</t>
  </si>
  <si>
    <t>1.14.14.90</t>
  </si>
  <si>
    <t>2.1.1.150</t>
  </si>
  <si>
    <t>2.1.1.212</t>
  </si>
  <si>
    <t>2.1.1.46</t>
  </si>
  <si>
    <t>2.4.1.239</t>
  </si>
  <si>
    <t>1.14.11.19</t>
  </si>
  <si>
    <t>1.14.11.23</t>
  </si>
  <si>
    <t>A</t>
  </si>
  <si>
    <t>1.14.11.62</t>
  </si>
  <si>
    <t>B</t>
  </si>
  <si>
    <t>C</t>
  </si>
  <si>
    <t>D</t>
  </si>
  <si>
    <t>1.14.13.21</t>
  </si>
  <si>
    <t>E</t>
  </si>
  <si>
    <t>1.23.1.-</t>
  </si>
  <si>
    <t>2.3.1.115</t>
  </si>
  <si>
    <t>4.2.1.105</t>
  </si>
  <si>
    <t>F</t>
  </si>
  <si>
    <t>1.14.14.93</t>
  </si>
  <si>
    <t>2.4.1.236</t>
  </si>
  <si>
    <t>2.1.1.231</t>
  </si>
  <si>
    <t>2.1.1.232</t>
  </si>
  <si>
    <t>2.1.1.267</t>
  </si>
  <si>
    <t>2.4.1.170</t>
  </si>
  <si>
    <t>2.3.1.215</t>
  </si>
  <si>
    <t>2.4.1.297</t>
  </si>
  <si>
    <t>Juglandaceae (walnuts)</t>
  </si>
  <si>
    <t>2.4.1.234</t>
  </si>
  <si>
    <t>Musaceae (banana)</t>
  </si>
  <si>
    <t>Nelumbonaceae (indian lotus)</t>
  </si>
  <si>
    <t>2.5.1.129</t>
  </si>
  <si>
    <t>3.2.1.117</t>
  </si>
  <si>
    <t>3.2.1.149</t>
  </si>
  <si>
    <t>Oleaceae (olives)</t>
  </si>
  <si>
    <t>3.2.1.58</t>
  </si>
  <si>
    <t>4.3.1.5</t>
  </si>
  <si>
    <t>4.1.1.102</t>
  </si>
  <si>
    <t>Papaveraceae (poppies)</t>
  </si>
  <si>
    <t>2.1.1.4</t>
  </si>
  <si>
    <t>Salicaceae (willows)</t>
  </si>
  <si>
    <t>Rhamnaceae (buckthorn)</t>
  </si>
  <si>
    <t>Name</t>
  </si>
  <si>
    <t>Abbreviation</t>
  </si>
  <si>
    <t>Database</t>
  </si>
  <si>
    <t>Website</t>
  </si>
  <si>
    <t>Last Access</t>
  </si>
  <si>
    <t>Fee (Y/N?)</t>
  </si>
  <si>
    <t>Search Method</t>
  </si>
  <si>
    <t>Data Availability at Time of Retrieval</t>
  </si>
  <si>
    <t>Structure</t>
  </si>
  <si>
    <t>Code for known by LIT</t>
  </si>
  <si>
    <t>Code for relative known by LIT</t>
  </si>
  <si>
    <t>Number of Exact Matches</t>
  </si>
  <si>
    <t>Number of Similar Matches</t>
  </si>
  <si>
    <t>Total Matches</t>
  </si>
  <si>
    <t>Number of Missing Plants</t>
  </si>
  <si>
    <t>Number of Missing Compounds</t>
  </si>
  <si>
    <t>Missing plants %</t>
  </si>
  <si>
    <t>United states department of agriculture</t>
  </si>
  <si>
    <t>http://bidd.group/NPASS/index.php</t>
  </si>
  <si>
    <t>N</t>
  </si>
  <si>
    <t>programmatic</t>
  </si>
  <si>
    <t>Full Availability</t>
  </si>
  <si>
    <t>G</t>
  </si>
  <si>
    <t>Natural product activity &amp; species source database</t>
  </si>
  <si>
    <t>https://www.napralert.org/</t>
  </si>
  <si>
    <t>Y</t>
  </si>
  <si>
    <t>manual</t>
  </si>
  <si>
    <t>Partial Availability</t>
  </si>
  <si>
    <t>O</t>
  </si>
  <si>
    <t>Microbiome Analysis for Patients</t>
  </si>
  <si>
    <t>MAP</t>
  </si>
  <si>
    <t>Dr. Duke</t>
  </si>
  <si>
    <t>https://phytochem.nal.usda.gov/phytochem/search/list</t>
  </si>
  <si>
    <t>M</t>
  </si>
  <si>
    <t>Indian Medicinal Plants, Phytochemistry And Therapeutics</t>
  </si>
  <si>
    <t>https://cb.imsc.res.in/imppat/home</t>
  </si>
  <si>
    <t>J</t>
  </si>
  <si>
    <t>K</t>
  </si>
  <si>
    <t>Dr. Duke's Phytochemical and Ethnobotanical Databases</t>
  </si>
  <si>
    <t>DDPED</t>
  </si>
  <si>
    <t>Natural Products Alert</t>
  </si>
  <si>
    <t>Microbiome</t>
  </si>
  <si>
    <t>https://www.microbiomeprescription.com/Library/Flavonoids</t>
  </si>
  <si>
    <t>H</t>
  </si>
  <si>
    <t>I</t>
  </si>
  <si>
    <t>list</t>
  </si>
  <si>
    <t>None</t>
  </si>
  <si>
    <t>KNApSAcK
NAPRALERT</t>
  </si>
  <si>
    <t>KNApSAcK
NPASS</t>
  </si>
  <si>
    <t xml:space="preserve">NAPRALERT
NPASS
</t>
  </si>
  <si>
    <t>Dr. Duke 
IMPPAT 
KNApSAcK</t>
  </si>
  <si>
    <t>KNApSAcK
NAPRALERT
NPASS</t>
  </si>
  <si>
    <t>NAPRALERT
USDA
NPASS</t>
  </si>
  <si>
    <t>Dr. Duke
IMPPAT
KNApSAcK
NAPRALERT</t>
  </si>
  <si>
    <t>KNApSAcK
Microbiome
NAPRALERT
NPASS</t>
  </si>
  <si>
    <t>KNApSAcK
NAPRALERT
NPASS
USDA</t>
  </si>
  <si>
    <t>Dr. Duke
IMPPAT
KNApSAcK
NAPRALERT
NPASS</t>
  </si>
  <si>
    <t>Dr. Duke
IMPPAT
Microbiome
NAPRALERT
USDA</t>
  </si>
  <si>
    <t>KNApSAcK
Microbiome
NAPRALERT
NPASS
USDA</t>
  </si>
  <si>
    <t>Dr. Duke
IMPPAT
KNApSAcK
Microbiome
NAPRALERT
NPASS</t>
  </si>
  <si>
    <t>Dr. Duke
IMPPAT
KNApSAcK
NAPRALERT
NPASS
USDA</t>
  </si>
  <si>
    <t>All</t>
  </si>
  <si>
    <t>Dukes</t>
  </si>
  <si>
    <t>none</t>
  </si>
  <si>
    <t>a</t>
  </si>
  <si>
    <t>p</t>
  </si>
  <si>
    <t>kpida</t>
  </si>
  <si>
    <t>all</t>
  </si>
  <si>
    <t>ka</t>
  </si>
  <si>
    <t>kpma</t>
  </si>
  <si>
    <t>ukpa</t>
  </si>
  <si>
    <t>kpa</t>
  </si>
  <si>
    <t>kid</t>
  </si>
  <si>
    <t>Overlap Grouping</t>
  </si>
  <si>
    <t>Number of Species</t>
  </si>
  <si>
    <t>NAPRALERT
NPASS</t>
  </si>
  <si>
    <t>upa</t>
  </si>
  <si>
    <t>kp</t>
  </si>
  <si>
    <t>kida</t>
  </si>
  <si>
    <t>ukpma</t>
  </si>
  <si>
    <t>umida</t>
  </si>
  <si>
    <t>kpmida</t>
  </si>
  <si>
    <t>pa</t>
  </si>
  <si>
    <t>Missing Plants (scientific name)</t>
  </si>
  <si>
    <t>Missing flavonoids</t>
  </si>
  <si>
    <t>Plants Not in Databases</t>
  </si>
  <si>
    <r>
      <rPr>
        <rFont val="Source Sans Pro"/>
        <b/>
        <color theme="1"/>
        <sz val="12.0"/>
      </rPr>
      <t xml:space="preserve">All flavs
</t>
    </r>
    <r>
      <rPr>
        <rFont val="Source Sans Pro"/>
        <b val="0"/>
        <i/>
        <color theme="1"/>
        <sz val="9.0"/>
      </rPr>
      <t>Red text = not in matches
Orange fill = no data from DB
Blue fill = present in DB (no data for specific plants)</t>
    </r>
  </si>
  <si>
    <t>Plants from matches (lit &amp; rel)</t>
  </si>
  <si>
    <t>Flavs from matches</t>
  </si>
  <si>
    <t>NAPRA Plants</t>
  </si>
  <si>
    <t>NAPRA</t>
  </si>
  <si>
    <t>in NAPRALERT</t>
  </si>
  <si>
    <t>Butein</t>
  </si>
  <si>
    <t>Isoliquiritigenin</t>
  </si>
  <si>
    <t>Epigallocatechin</t>
  </si>
  <si>
    <t>Apigenin</t>
  </si>
  <si>
    <t>Eriocitrin</t>
  </si>
  <si>
    <t>Catechin</t>
  </si>
  <si>
    <t>Cyanidin</t>
  </si>
  <si>
    <t>Genistein</t>
  </si>
  <si>
    <t>Epicatechin</t>
  </si>
  <si>
    <t>Epicatechin Gallate</t>
  </si>
  <si>
    <t>Gallocatechin</t>
  </si>
  <si>
    <t>Epigallocatechin Gallate</t>
  </si>
  <si>
    <t>Kaempferol</t>
  </si>
  <si>
    <t>Luteolin</t>
  </si>
  <si>
    <t>eriodictyol</t>
  </si>
  <si>
    <t>Myricetin</t>
  </si>
  <si>
    <t>Naringenin</t>
  </si>
  <si>
    <t>Quercetin</t>
  </si>
  <si>
    <t>Spinacia</t>
  </si>
  <si>
    <t>LAYOUT
Name EC numbers
L: Known by lit
K: Predicted by KEGG</t>
  </si>
  <si>
    <t>J0</t>
  </si>
  <si>
    <r>
      <rPr>
        <rFont val="Source Sans Pro"/>
        <b/>
        <color theme="1"/>
        <sz val="9.0"/>
      </rPr>
      <t>Streptophyta</t>
    </r>
    <r>
      <rPr>
        <rFont val="Source Sans Pro"/>
        <color theme="1"/>
        <sz val="9.0"/>
      </rPr>
      <t xml:space="preserve">
J0, J6, K5, KC, L1, LA, MF, N2, N7, NA</t>
    </r>
  </si>
  <si>
    <r>
      <rPr>
        <rFont val="Source Sans Pro"/>
        <b/>
        <color theme="1"/>
        <sz val="9.0"/>
      </rPr>
      <t>Asteranae</t>
    </r>
    <r>
      <rPr>
        <rFont val="Source Sans Pro"/>
        <color theme="1"/>
        <sz val="9.0"/>
      </rPr>
      <t xml:space="preserve">
J1, J2, J5, J7, JC, K0, K7, KA, KD, L8, LC, M3
K: BUN, ERD, HCC, KMP, NAR, QUE</t>
    </r>
  </si>
  <si>
    <r>
      <rPr>
        <rFont val="Source Sans Pro"/>
        <b/>
        <color theme="1"/>
        <sz val="9.0"/>
      </rPr>
      <t>trichopoda</t>
    </r>
    <r>
      <rPr>
        <rFont val="Source Sans Pro"/>
        <color theme="1"/>
        <sz val="9.0"/>
      </rPr>
      <t xml:space="preserve">
K9, KB, KF, M4, MB
L: KXN, EC, ERD, NAR
K: KXN, HWB, EC</t>
    </r>
  </si>
  <si>
    <t>J1</t>
  </si>
  <si>
    <r>
      <rPr>
        <rFont val="Source Sans Pro"/>
        <b/>
        <color theme="1"/>
        <sz val="9.0"/>
      </rPr>
      <t>carota</t>
    </r>
    <r>
      <rPr>
        <rFont val="Source Sans Pro"/>
        <color theme="1"/>
        <sz val="9.0"/>
      </rPr>
      <t xml:space="preserve">
JA, K9, LF, M1, M8, MB
L: AGI, HWB, KMP, LU2, MYC, NAR, QUE</t>
    </r>
    <r>
      <rPr>
        <rFont val="Source Sans Pro"/>
        <b/>
        <color theme="1"/>
        <sz val="9.0"/>
      </rPr>
      <t xml:space="preserve">
</t>
    </r>
    <r>
      <rPr>
        <rFont val="Source Sans Pro"/>
        <color theme="1"/>
        <sz val="9.0"/>
      </rPr>
      <t>K:</t>
    </r>
    <r>
      <rPr>
        <rFont val="Source Sans Pro"/>
        <b/>
        <color theme="1"/>
        <sz val="9.0"/>
      </rPr>
      <t xml:space="preserve"> </t>
    </r>
    <r>
      <rPr>
        <rFont val="Source Sans Pro"/>
        <color theme="1"/>
        <sz val="9.0"/>
      </rPr>
      <t>AGI, HWB, LU2, MYC</t>
    </r>
  </si>
  <si>
    <t>J2</t>
  </si>
  <si>
    <r>
      <rPr>
        <rFont val="Source Sans Pro"/>
        <b/>
        <color theme="1"/>
        <sz val="9.0"/>
      </rPr>
      <t>Asteraceae</t>
    </r>
    <r>
      <rPr>
        <rFont val="Source Sans Pro"/>
        <color theme="1"/>
        <sz val="9.0"/>
      </rPr>
      <t xml:space="preserve">
JA, K8, M0, M1, M4, MB
K: AGI, LU2</t>
    </r>
  </si>
  <si>
    <r>
      <rPr>
        <rFont val="Source Sans Pro"/>
        <b/>
        <color theme="1"/>
        <sz val="9.0"/>
      </rPr>
      <t>cardunculus</t>
    </r>
    <r>
      <rPr>
        <rFont val="Source Sans Pro"/>
        <color theme="1"/>
        <sz val="9.0"/>
      </rPr>
      <t xml:space="preserve">
K9, LF, M8
L: AGI, LU2, NAR
K: HWB</t>
    </r>
  </si>
  <si>
    <t>J3</t>
  </si>
  <si>
    <r>
      <rPr>
        <rFont val="Source Sans Pro"/>
        <b/>
        <color theme="1"/>
        <sz val="9.0"/>
      </rPr>
      <t>annus</t>
    </r>
    <r>
      <rPr>
        <rFont val="Source Sans Pro"/>
        <color theme="1"/>
        <sz val="9.0"/>
      </rPr>
      <t xml:space="preserve">
K9, KB
K: KXN, HWB</t>
    </r>
  </si>
  <si>
    <t>J4</t>
  </si>
  <si>
    <r>
      <rPr>
        <rFont val="Source Sans Pro"/>
        <b/>
        <color theme="1"/>
        <sz val="9.0"/>
      </rPr>
      <t xml:space="preserve">sativa
</t>
    </r>
    <r>
      <rPr>
        <rFont val="Source Sans Pro"/>
        <color theme="1"/>
        <sz val="9.0"/>
      </rPr>
      <t>L: AGI, KMP</t>
    </r>
  </si>
  <si>
    <t>J5</t>
  </si>
  <si>
    <r>
      <rPr>
        <rFont val="Source Sans Pro"/>
        <b/>
        <color theme="1"/>
        <sz val="9.0"/>
      </rPr>
      <t>Lamiales</t>
    </r>
    <r>
      <rPr>
        <rFont val="Source Sans Pro"/>
        <color theme="1"/>
        <sz val="9.0"/>
      </rPr>
      <t xml:space="preserve">
K3, K4, K8, K9, LF, M0, M1, M4, M8, MB, MD
L: KXN
K: AGI, HWB</t>
    </r>
  </si>
  <si>
    <r>
      <rPr>
        <rFont val="Source Sans Pro"/>
        <b/>
        <color theme="1"/>
        <sz val="9.0"/>
      </rPr>
      <t>europaea</t>
    </r>
    <r>
      <rPr>
        <rFont val="Source Sans Pro"/>
        <color theme="1"/>
        <sz val="9.0"/>
      </rPr>
      <t xml:space="preserve">
KB
L: AGI, LU2, NAR
K: KXN</t>
    </r>
  </si>
  <si>
    <t>J6</t>
  </si>
  <si>
    <r>
      <rPr>
        <rFont val="Source Sans Pro"/>
        <b/>
        <color theme="1"/>
        <sz val="9.0"/>
      </rPr>
      <t>indicum</t>
    </r>
    <r>
      <rPr>
        <rFont val="Source Sans Pro"/>
        <color theme="1"/>
        <sz val="9.0"/>
      </rPr>
      <t xml:space="preserve">
LB
L: EC</t>
    </r>
  </si>
  <si>
    <t>J7</t>
  </si>
  <si>
    <r>
      <rPr>
        <rFont val="Source Sans Pro"/>
        <b/>
        <color theme="1"/>
        <sz val="9.0"/>
      </rPr>
      <t>Solanales</t>
    </r>
    <r>
      <rPr>
        <rFont val="Source Sans Pro"/>
        <color theme="1"/>
        <sz val="9.0"/>
      </rPr>
      <t xml:space="preserve">
JA, K3, K4, K9, M0, M1, M4
K: HWB</t>
    </r>
  </si>
  <si>
    <r>
      <rPr>
        <rFont val="Source Sans Pro"/>
        <b/>
        <color theme="1"/>
        <sz val="9.0"/>
      </rPr>
      <t xml:space="preserve">nil
</t>
    </r>
    <r>
      <rPr>
        <rFont val="Source Sans Pro"/>
        <color theme="1"/>
        <sz val="9.0"/>
      </rPr>
      <t>JB, M9, MD</t>
    </r>
  </si>
  <si>
    <t>J8</t>
  </si>
  <si>
    <r>
      <rPr>
        <rFont val="Source Sans Pro"/>
        <b/>
        <color theme="1"/>
        <sz val="9.0"/>
      </rPr>
      <t>Solanaceae</t>
    </r>
    <r>
      <rPr>
        <rFont val="Source Sans Pro"/>
        <color theme="1"/>
        <sz val="9.0"/>
      </rPr>
      <t xml:space="preserve">
JF</t>
    </r>
  </si>
  <si>
    <r>
      <rPr>
        <rFont val="Source Sans Pro"/>
        <b/>
        <color theme="1"/>
        <sz val="9.0"/>
      </rPr>
      <t>annum</t>
    </r>
    <r>
      <rPr>
        <rFont val="Source Sans Pro"/>
        <color theme="1"/>
        <sz val="9.0"/>
      </rPr>
      <t xml:space="preserve">
LF, MD
L: KXN, HWB, EC, KMP, LU2, MYC, NAR, QUE
K: MYC</t>
    </r>
  </si>
  <si>
    <t>J9</t>
  </si>
  <si>
    <r>
      <rPr>
        <rFont val="Source Sans Pro"/>
        <b/>
        <color theme="1"/>
        <sz val="9.0"/>
      </rPr>
      <t xml:space="preserve">Nicotiana
</t>
    </r>
    <r>
      <rPr>
        <rFont val="Source Sans Pro"/>
        <color theme="1"/>
        <sz val="9.0"/>
      </rPr>
      <t>KB, KF
K: KXN, EC, EGT, GC, MYC</t>
    </r>
  </si>
  <si>
    <r>
      <rPr>
        <rFont val="Source Sans Pro"/>
        <b/>
        <color theme="1"/>
        <sz val="9.0"/>
      </rPr>
      <t>attenuata</t>
    </r>
    <r>
      <rPr>
        <rFont val="Source Sans Pro"/>
        <color theme="1"/>
        <sz val="9.0"/>
      </rPr>
      <t xml:space="preserve">
LF, M8</t>
    </r>
  </si>
  <si>
    <t>JA</t>
  </si>
  <si>
    <r>
      <rPr>
        <rFont val="Source Sans Pro"/>
        <b/>
        <color theme="1"/>
        <sz val="9.0"/>
      </rPr>
      <t xml:space="preserve">sylvestris
</t>
    </r>
    <r>
      <rPr>
        <rFont val="Source Sans Pro"/>
        <color theme="1"/>
        <sz val="9.0"/>
      </rPr>
      <t>L: EC</t>
    </r>
  </si>
  <si>
    <t>JB</t>
  </si>
  <si>
    <r>
      <rPr>
        <rFont val="Source Sans Pro"/>
        <b/>
        <color theme="1"/>
        <sz val="9.0"/>
      </rPr>
      <t xml:space="preserve">tabacum
</t>
    </r>
    <r>
      <rPr>
        <rFont val="Source Sans Pro"/>
        <color theme="1"/>
        <sz val="9.0"/>
      </rPr>
      <t>LF, M8
L: KXN, EC</t>
    </r>
  </si>
  <si>
    <t>JC</t>
  </si>
  <si>
    <t>JD</t>
  </si>
  <si>
    <r>
      <rPr>
        <rFont val="Source Sans Pro"/>
        <b/>
        <color theme="1"/>
        <sz val="9.0"/>
      </rPr>
      <t xml:space="preserve">Solanum
</t>
    </r>
    <r>
      <rPr>
        <rFont val="Source Sans Pro"/>
        <color theme="1"/>
        <sz val="9.0"/>
      </rPr>
      <t>KF, MD
K: EC, EGT, MYC</t>
    </r>
  </si>
  <si>
    <r>
      <rPr>
        <rFont val="Source Sans Pro"/>
        <b/>
        <color theme="1"/>
        <sz val="9.0"/>
      </rPr>
      <t>lycopersicum</t>
    </r>
    <r>
      <rPr>
        <rFont val="Source Sans Pro"/>
        <color theme="1"/>
        <sz val="9.0"/>
      </rPr>
      <t xml:space="preserve">
M6
L: KMP</t>
    </r>
  </si>
  <si>
    <t>JE</t>
  </si>
  <si>
    <r>
      <rPr>
        <rFont val="Source Sans Pro"/>
        <b/>
        <color theme="1"/>
        <sz val="9.0"/>
      </rPr>
      <t xml:space="preserve">pennellii
</t>
    </r>
    <r>
      <rPr>
        <rFont val="Source Sans Pro"/>
        <color theme="1"/>
        <sz val="9.0"/>
      </rPr>
      <t>KB
K: KXN, GC</t>
    </r>
  </si>
  <si>
    <t>JF</t>
  </si>
  <si>
    <r>
      <rPr>
        <rFont val="Source Sans Pro"/>
        <b/>
        <color theme="1"/>
        <sz val="9.0"/>
      </rPr>
      <t>tubersome</t>
    </r>
    <r>
      <rPr>
        <rFont val="Source Sans Pro"/>
        <color theme="1"/>
        <sz val="9.0"/>
      </rPr>
      <t xml:space="preserve">
KB, LF, M6, M8
L: EC, HWB, EC, KMP, NAR, QUE
K: KXN, GC</t>
    </r>
  </si>
  <si>
    <t>K0</t>
  </si>
  <si>
    <r>
      <rPr>
        <rFont val="Source Sans Pro"/>
        <b/>
        <color theme="1"/>
        <sz val="9.0"/>
      </rPr>
      <t>Amaranthaceae</t>
    </r>
    <r>
      <rPr>
        <rFont val="Source Sans Pro"/>
        <color theme="1"/>
        <sz val="9.0"/>
      </rPr>
      <t xml:space="preserve">
J1, J2, J5, J7, JA, JC, K0, K7, K9, KA, KD,L8, LC, LF, M0, M1, M3, M4, M8, MB, MD
L: KXN KMP LU2 QUE
K: BUN, KXN, HWB, ERD, HCC, KMP, NAR, QUE</t>
    </r>
  </si>
  <si>
    <r>
      <rPr>
        <rFont val="Source Sans Pro"/>
        <b/>
        <color theme="1"/>
        <sz val="9.0"/>
      </rPr>
      <t xml:space="preserve">vulgaris
</t>
    </r>
    <r>
      <rPr>
        <rFont val="Source Sans Pro"/>
        <color theme="1"/>
        <sz val="9.0"/>
      </rPr>
      <t>KF</t>
    </r>
  </si>
  <si>
    <t>K1</t>
  </si>
  <si>
    <t>K2</t>
  </si>
  <si>
    <r>
      <rPr>
        <rFont val="Source Sans Pro"/>
        <b/>
        <color theme="1"/>
        <sz val="9.0"/>
      </rPr>
      <t>Lilianae</t>
    </r>
    <r>
      <rPr>
        <rFont val="Source Sans Pro"/>
        <color theme="1"/>
        <sz val="9.0"/>
      </rPr>
      <t xml:space="preserve">
J1, J2, J7, K0, K7, LC, M1, MB</t>
    </r>
  </si>
  <si>
    <r>
      <rPr>
        <rFont val="Source Sans Pro"/>
        <b/>
        <color theme="1"/>
        <sz val="9.0"/>
      </rPr>
      <t xml:space="preserve">Arecaceae
</t>
    </r>
    <r>
      <rPr>
        <rFont val="Source Sans Pro"/>
        <color theme="1"/>
        <sz val="9.0"/>
      </rPr>
      <t>J5, JC, JF, K9, KA, KD, KF, L8, LF, M3, M4</t>
    </r>
  </si>
  <si>
    <t>K3</t>
  </si>
  <si>
    <t>K4</t>
  </si>
  <si>
    <r>
      <rPr>
        <rFont val="Source Sans Pro"/>
        <b/>
        <color theme="1"/>
        <sz val="9.0"/>
      </rPr>
      <t>Asparagales</t>
    </r>
    <r>
      <rPr>
        <rFont val="Source Sans Pro"/>
        <color theme="1"/>
        <sz val="9.0"/>
      </rPr>
      <t xml:space="preserve">
JC, K9, KA, KD, L8, M3, M4</t>
    </r>
  </si>
  <si>
    <r>
      <rPr>
        <rFont val="Source Sans Pro"/>
        <b/>
        <color theme="1"/>
        <sz val="9.0"/>
      </rPr>
      <t xml:space="preserve">officinalis
</t>
    </r>
    <r>
      <rPr>
        <rFont val="Source Sans Pro"/>
        <color theme="1"/>
        <sz val="9.0"/>
      </rPr>
      <t>J5, KF, LF</t>
    </r>
  </si>
  <si>
    <t>K5</t>
  </si>
  <si>
    <r>
      <rPr>
        <rFont val="Source Sans Pro"/>
        <b/>
        <color theme="1"/>
        <sz val="9.0"/>
      </rPr>
      <t xml:space="preserve">Orchidaceae
</t>
    </r>
    <r>
      <rPr>
        <rFont val="Source Sans Pro"/>
        <color theme="1"/>
        <sz val="9.0"/>
      </rPr>
      <t>JF</t>
    </r>
  </si>
  <si>
    <t>K6</t>
  </si>
  <si>
    <t>K7</t>
  </si>
  <si>
    <r>
      <rPr>
        <rFont val="Source Sans Pro"/>
        <b/>
        <color theme="1"/>
        <sz val="9.0"/>
      </rPr>
      <t>quinoa</t>
    </r>
    <r>
      <rPr>
        <rFont val="Source Sans Pro"/>
        <color theme="1"/>
        <sz val="9.0"/>
      </rPr>
      <t xml:space="preserve">
J5, K9, KA, KD, KF, L8, LF, M0, M3, M4, M8, MD</t>
    </r>
  </si>
  <si>
    <t>K8</t>
  </si>
  <si>
    <r>
      <rPr>
        <rFont val="Source Sans Pro"/>
        <b/>
        <color theme="1"/>
        <sz val="9.0"/>
      </rPr>
      <t>Poaceae</t>
    </r>
    <r>
      <rPr>
        <rFont val="Source Sans Pro"/>
        <color theme="1"/>
        <sz val="9.0"/>
      </rPr>
      <t xml:space="preserve">
J5, JF, K8, KD, KF, LF, M4, N8</t>
    </r>
  </si>
  <si>
    <r>
      <rPr>
        <rFont val="Source Sans Pro"/>
        <b/>
        <color theme="1"/>
        <sz val="9.0"/>
      </rPr>
      <t>tauschii</t>
    </r>
    <r>
      <rPr>
        <rFont val="Source Sans Pro"/>
        <color theme="1"/>
        <sz val="9.0"/>
      </rPr>
      <t xml:space="preserve">
JC, K9, KA, M3</t>
    </r>
  </si>
  <si>
    <t>K9</t>
  </si>
  <si>
    <r>
      <rPr>
        <rFont val="Source Sans Pro"/>
        <b/>
        <color theme="1"/>
        <sz val="9.0"/>
      </rPr>
      <t xml:space="preserve">distachyon
</t>
    </r>
    <r>
      <rPr>
        <rFont val="Source Sans Pro"/>
        <color theme="1"/>
        <sz val="9.0"/>
      </rPr>
      <t>KA, LD, M3, N4</t>
    </r>
  </si>
  <si>
    <t>KA</t>
  </si>
  <si>
    <r>
      <rPr>
        <rFont val="Source Sans Pro"/>
        <b/>
        <color theme="1"/>
        <sz val="9.0"/>
      </rPr>
      <t xml:space="preserve">Oryza
</t>
    </r>
    <r>
      <rPr>
        <rFont val="Source Sans Pro"/>
        <color theme="1"/>
        <sz val="9.0"/>
      </rPr>
      <t>JC, K9</t>
    </r>
  </si>
  <si>
    <r>
      <rPr>
        <rFont val="Source Sans Pro"/>
        <b/>
        <color theme="1"/>
        <sz val="9.0"/>
      </rPr>
      <t xml:space="preserve">brachyantha
</t>
    </r>
    <r>
      <rPr>
        <rFont val="Source Sans Pro"/>
        <color theme="1"/>
        <sz val="9.0"/>
      </rPr>
      <t>M3</t>
    </r>
  </si>
  <si>
    <t>KB</t>
  </si>
  <si>
    <r>
      <rPr>
        <rFont val="Source Sans Pro"/>
        <b/>
        <color theme="1"/>
        <sz val="9.0"/>
      </rPr>
      <t xml:space="preserve">sativa
</t>
    </r>
    <r>
      <rPr>
        <rFont val="Source Sans Pro"/>
        <color theme="1"/>
        <sz val="9.0"/>
      </rPr>
      <t>J8, J9, JE, KA, L5, L8, MC, N0, N1, N3, N9</t>
    </r>
  </si>
  <si>
    <t>KC</t>
  </si>
  <si>
    <r>
      <rPr>
        <rFont val="Source Sans Pro"/>
        <b/>
        <color theme="1"/>
        <sz val="9.0"/>
      </rPr>
      <t xml:space="preserve">italica
</t>
    </r>
    <r>
      <rPr>
        <rFont val="Source Sans Pro"/>
        <color theme="1"/>
        <sz val="9.0"/>
      </rPr>
      <t>JC, K9, KA</t>
    </r>
  </si>
  <si>
    <t>KD</t>
  </si>
  <si>
    <r>
      <rPr>
        <rFont val="Source Sans Pro"/>
        <b/>
        <color theme="1"/>
        <sz val="9.0"/>
      </rPr>
      <t xml:space="preserve">bicolor
</t>
    </r>
    <r>
      <rPr>
        <rFont val="Source Sans Pro"/>
        <color theme="1"/>
        <sz val="9.0"/>
      </rPr>
      <t>K9, KA, L5, M3</t>
    </r>
  </si>
  <si>
    <t>KE</t>
  </si>
  <si>
    <r>
      <rPr>
        <rFont val="Source Sans Pro"/>
        <b/>
        <color theme="1"/>
        <sz val="9.0"/>
      </rPr>
      <t>mays</t>
    </r>
    <r>
      <rPr>
        <rFont val="Source Sans Pro"/>
        <color theme="1"/>
        <sz val="9.0"/>
      </rPr>
      <t xml:space="preserve">
JC, K9, KA, L5</t>
    </r>
  </si>
  <si>
    <t>KF</t>
  </si>
  <si>
    <r>
      <rPr>
        <rFont val="Source Sans Pro"/>
        <b/>
        <color theme="1"/>
        <sz val="9.0"/>
      </rPr>
      <t xml:space="preserve">vinifera
</t>
    </r>
    <r>
      <rPr>
        <rFont val="Source Sans Pro"/>
        <color theme="1"/>
        <sz val="9.0"/>
      </rPr>
      <t>J5, JA, JC, JF, K3, K4, K9, KA, L6, L8, M0, M3, M7</t>
    </r>
  </si>
  <si>
    <r>
      <rPr>
        <rFont val="Source Sans Pro"/>
        <b/>
        <color theme="1"/>
        <sz val="9.0"/>
      </rPr>
      <t>acuminata</t>
    </r>
    <r>
      <rPr>
        <rFont val="Source Sans Pro"/>
        <color theme="1"/>
        <sz val="9.0"/>
      </rPr>
      <t xml:space="preserve">
J1, J2, J5, J7, JC, JF, K0, K7, K9, KA, KD, KF, L8,LC, LF, M1,M3, M4, MB</t>
    </r>
  </si>
  <si>
    <r>
      <rPr>
        <rFont val="Source Sans Pro"/>
        <b/>
        <color theme="1"/>
        <sz val="9.0"/>
      </rPr>
      <t xml:space="preserve">nucifera
</t>
    </r>
    <r>
      <rPr>
        <rFont val="Source Sans Pro"/>
        <color theme="1"/>
        <sz val="9.0"/>
      </rPr>
      <t>J1, J2, J5, J7, JA, JC, JF, K0, K7, K9, KA, KD, KF, L8, LC, LF, M1, M8, MB</t>
    </r>
  </si>
  <si>
    <r>
      <rPr>
        <rFont val="Source Sans Pro"/>
        <b/>
        <color theme="1"/>
        <sz val="9.0"/>
      </rPr>
      <t xml:space="preserve">Rosanae
</t>
    </r>
    <r>
      <rPr>
        <rFont val="Source Sans Pro"/>
        <color theme="1"/>
        <sz val="9.0"/>
      </rPr>
      <t>J5, KA, KD, L8</t>
    </r>
  </si>
  <si>
    <r>
      <rPr>
        <rFont val="Source Sans Pro"/>
        <b/>
        <color theme="1"/>
        <sz val="9.0"/>
      </rPr>
      <t xml:space="preserve">Brassicales
</t>
    </r>
    <r>
      <rPr>
        <rFont val="Source Sans Pro"/>
        <color theme="1"/>
        <sz val="9.0"/>
      </rPr>
      <t>J7, JC, K7, K9, KF, M0</t>
    </r>
  </si>
  <si>
    <r>
      <rPr>
        <rFont val="Source Sans Pro"/>
        <b/>
        <color theme="1"/>
        <sz val="9.0"/>
      </rPr>
      <t xml:space="preserve">Brassicaceae
</t>
    </r>
    <r>
      <rPr>
        <rFont val="Source Sans Pro"/>
        <color theme="1"/>
        <sz val="9.0"/>
      </rPr>
      <t>J1, J2, JA, JD, K0, KD</t>
    </r>
  </si>
  <si>
    <r>
      <rPr>
        <rFont val="Source Sans Pro"/>
        <b/>
        <color theme="1"/>
        <sz val="9.0"/>
      </rPr>
      <t>Arabidopsis</t>
    </r>
    <r>
      <rPr>
        <rFont val="Source Sans Pro"/>
        <color theme="1"/>
        <sz val="9.0"/>
      </rPr>
      <t xml:space="preserve">
LC, LE, MD, N4</t>
    </r>
  </si>
  <si>
    <r>
      <rPr>
        <rFont val="Source Sans Pro"/>
        <b/>
        <color theme="1"/>
        <sz val="9.0"/>
      </rPr>
      <t xml:space="preserve">thaliana
</t>
    </r>
    <r>
      <rPr>
        <rFont val="Source Sans Pro"/>
        <color theme="1"/>
        <sz val="9.0"/>
      </rPr>
      <t>L0, LD, M2, MA, MC</t>
    </r>
  </si>
  <si>
    <r>
      <rPr>
        <rFont val="Source Sans Pro"/>
        <b/>
        <color theme="1"/>
        <sz val="9.0"/>
      </rPr>
      <t xml:space="preserve">Brassica
</t>
    </r>
    <r>
      <rPr>
        <rFont val="Source Sans Pro"/>
        <color theme="1"/>
        <sz val="9.0"/>
      </rPr>
      <t>LC, M2, M3, MC</t>
    </r>
  </si>
  <si>
    <r>
      <rPr>
        <rFont val="Source Sans Pro"/>
        <b/>
        <color theme="1"/>
        <sz val="9.0"/>
      </rPr>
      <t xml:space="preserve">napus
</t>
    </r>
    <r>
      <rPr>
        <rFont val="Source Sans Pro"/>
        <color theme="1"/>
        <sz val="9.0"/>
      </rPr>
      <t>LD, MA, MD, N4</t>
    </r>
  </si>
  <si>
    <r>
      <rPr>
        <rFont val="Source Sans Pro"/>
        <b/>
        <color theme="1"/>
        <sz val="9.0"/>
      </rPr>
      <t xml:space="preserve">oleracea
</t>
    </r>
    <r>
      <rPr>
        <rFont val="Source Sans Pro"/>
        <color theme="1"/>
        <sz val="9.0"/>
      </rPr>
      <t>MD</t>
    </r>
  </si>
  <si>
    <r>
      <rPr>
        <rFont val="Source Sans Pro"/>
        <b/>
        <color theme="1"/>
        <sz val="9.0"/>
      </rPr>
      <t xml:space="preserve">rapa
</t>
    </r>
    <r>
      <rPr>
        <rFont val="Source Sans Pro"/>
        <color theme="1"/>
        <sz val="9.0"/>
      </rPr>
      <t>LD, MA, N4</t>
    </r>
  </si>
  <si>
    <r>
      <rPr>
        <rFont val="Source Sans Pro"/>
        <b/>
        <color theme="1"/>
        <sz val="9.0"/>
      </rPr>
      <t xml:space="preserve">sativa
</t>
    </r>
    <r>
      <rPr>
        <rFont val="Source Sans Pro"/>
        <color theme="1"/>
        <sz val="9.0"/>
      </rPr>
      <t>L0, LC, LF, M2, M3, MC, MD</t>
    </r>
  </si>
  <si>
    <r>
      <rPr>
        <rFont val="Source Sans Pro"/>
        <b/>
        <color theme="1"/>
        <sz val="9.0"/>
      </rPr>
      <t xml:space="preserve">rubella
</t>
    </r>
    <r>
      <rPr>
        <rFont val="Source Sans Pro"/>
        <color theme="1"/>
        <sz val="9.0"/>
      </rPr>
      <t>LD, M2, MA, MC, MD, N4</t>
    </r>
  </si>
  <si>
    <r>
      <rPr>
        <rFont val="Source Sans Pro"/>
        <b/>
        <color theme="1"/>
        <sz val="9.0"/>
      </rPr>
      <t xml:space="preserve">salsugineum
</t>
    </r>
    <r>
      <rPr>
        <rFont val="Source Sans Pro"/>
        <color theme="1"/>
        <sz val="9.0"/>
      </rPr>
      <t>L0, LC, LD, M2, M3, MA, MC, MD, N4</t>
    </r>
  </si>
  <si>
    <t>LA</t>
  </si>
  <si>
    <r>
      <rPr>
        <rFont val="Source Sans Pro"/>
        <b/>
        <color theme="1"/>
        <sz val="9.0"/>
      </rPr>
      <t xml:space="preserve">sativus
</t>
    </r>
    <r>
      <rPr>
        <rFont val="Source Sans Pro"/>
        <color theme="1"/>
        <sz val="9.0"/>
      </rPr>
      <t>LC, M2, M3, MA, MC, MD</t>
    </r>
  </si>
  <si>
    <t>LB</t>
  </si>
  <si>
    <r>
      <rPr>
        <rFont val="Source Sans Pro"/>
        <b/>
        <color theme="1"/>
        <sz val="9.0"/>
      </rPr>
      <t xml:space="preserve">papaya
</t>
    </r>
    <r>
      <rPr>
        <rFont val="Source Sans Pro"/>
        <color theme="1"/>
        <sz val="9.0"/>
      </rPr>
      <t>K3, K4, KB, LC, LF, M3, M4</t>
    </r>
  </si>
  <si>
    <t>LC</t>
  </si>
  <si>
    <r>
      <rPr>
        <rFont val="Source Sans Pro"/>
        <b/>
        <color theme="1"/>
        <sz val="9.0"/>
      </rPr>
      <t xml:space="preserve">hassleriana
</t>
    </r>
    <r>
      <rPr>
        <rFont val="Source Sans Pro"/>
        <color theme="1"/>
        <sz val="9.0"/>
      </rPr>
      <t>LC, M3, MA, MD</t>
    </r>
  </si>
  <si>
    <t>LD</t>
  </si>
  <si>
    <r>
      <rPr>
        <rFont val="Source Sans Pro"/>
        <b/>
        <color theme="1"/>
        <sz val="9.0"/>
      </rPr>
      <t xml:space="preserve">Cucurbitales
</t>
    </r>
    <r>
      <rPr>
        <rFont val="Source Sans Pro"/>
        <color theme="1"/>
        <sz val="9.0"/>
      </rPr>
      <t>JC, K3, K4, LC, LF, M3, M8</t>
    </r>
  </si>
  <si>
    <r>
      <rPr>
        <rFont val="Source Sans Pro"/>
        <b/>
        <color theme="1"/>
        <sz val="9.0"/>
      </rPr>
      <t xml:space="preserve">Cucumis
</t>
    </r>
    <r>
      <rPr>
        <rFont val="Source Sans Pro"/>
        <color theme="1"/>
        <sz val="9.0"/>
      </rPr>
      <t>J7, K7, M0</t>
    </r>
  </si>
  <si>
    <t>LE</t>
  </si>
  <si>
    <r>
      <rPr>
        <rFont val="Source Sans Pro"/>
        <b/>
        <color theme="1"/>
        <sz val="9.0"/>
      </rPr>
      <t xml:space="preserve">sativus
</t>
    </r>
    <r>
      <rPr>
        <rFont val="Source Sans Pro"/>
        <color theme="1"/>
        <sz val="9.0"/>
      </rPr>
      <t>JA</t>
    </r>
  </si>
  <si>
    <t>LF</t>
  </si>
  <si>
    <r>
      <rPr>
        <rFont val="Source Sans Pro"/>
        <b/>
        <color theme="1"/>
        <sz val="9.0"/>
      </rPr>
      <t xml:space="preserve">Cucurbita
</t>
    </r>
    <r>
      <rPr>
        <rFont val="Source Sans Pro"/>
        <color theme="1"/>
        <sz val="9.0"/>
      </rPr>
      <t>J7, K0, K7, M0</t>
    </r>
  </si>
  <si>
    <r>
      <rPr>
        <rFont val="Source Sans Pro"/>
        <b/>
        <color theme="1"/>
        <sz val="9.0"/>
      </rPr>
      <t xml:space="preserve">charantia
</t>
    </r>
    <r>
      <rPr>
        <rFont val="Source Sans Pro"/>
        <color theme="1"/>
        <sz val="9.0"/>
      </rPr>
      <t>JA</t>
    </r>
  </si>
  <si>
    <r>
      <rPr>
        <rFont val="Source Sans Pro"/>
        <b/>
        <color theme="1"/>
        <sz val="9.0"/>
      </rPr>
      <t xml:space="preserve">Fabaceae
</t>
    </r>
    <r>
      <rPr>
        <rFont val="Source Sans Pro"/>
        <color theme="1"/>
        <sz val="9.0"/>
      </rPr>
      <t>K0, K1, K3, K4, K9, KB, KF, L2, L3, L7, LC, LF, M0, M3, M8, MB</t>
    </r>
  </si>
  <si>
    <r>
      <rPr>
        <rFont val="Source Sans Pro"/>
        <b/>
        <color theme="1"/>
        <sz val="9.0"/>
      </rPr>
      <t xml:space="preserve">Arachis
</t>
    </r>
    <r>
      <rPr>
        <rFont val="Source Sans Pro"/>
        <color theme="1"/>
        <sz val="9.0"/>
      </rPr>
      <t>J3, J7, JA, JC, JD, K2, K7, K8, M1</t>
    </r>
  </si>
  <si>
    <r>
      <rPr>
        <rFont val="Source Sans Pro"/>
        <b/>
        <color theme="1"/>
        <sz val="9.0"/>
      </rPr>
      <t xml:space="preserve">duranesis
</t>
    </r>
    <r>
      <rPr>
        <rFont val="Source Sans Pro"/>
        <color theme="1"/>
        <sz val="9.0"/>
      </rPr>
      <t>J1, J2</t>
    </r>
  </si>
  <si>
    <r>
      <rPr>
        <rFont val="Source Sans Pro"/>
        <b/>
        <color theme="1"/>
        <sz val="9.0"/>
      </rPr>
      <t xml:space="preserve">cajan
</t>
    </r>
    <r>
      <rPr>
        <rFont val="Source Sans Pro"/>
        <color theme="1"/>
        <sz val="9.0"/>
      </rPr>
      <t>J1, J2, J3, J7, JA, JD, JF, K2, K7, K8, KE, L9, M1, M4, MD, N6</t>
    </r>
  </si>
  <si>
    <r>
      <rPr>
        <rFont val="Source Sans Pro"/>
        <b/>
        <color theme="1"/>
        <sz val="9.0"/>
      </rPr>
      <t>arietinum</t>
    </r>
    <r>
      <rPr>
        <rFont val="Source Sans Pro"/>
        <color theme="1"/>
        <sz val="9.0"/>
      </rPr>
      <t xml:space="preserve">
J1, J2, J3, J7, JC, JD, JF, K2, K7, K8, KE, L9, M1, M4, N6</t>
    </r>
  </si>
  <si>
    <r>
      <rPr>
        <rFont val="Source Sans Pro"/>
        <b/>
        <color theme="1"/>
        <sz val="9.0"/>
      </rPr>
      <t>Glycine</t>
    </r>
    <r>
      <rPr>
        <rFont val="Source Sans Pro"/>
        <color theme="1"/>
        <sz val="9.0"/>
      </rPr>
      <t xml:space="preserve">
J1, J2, J3, J7, JA, JC, JD, JF, K2, K7, K8, L9, M1, M4, M5, N6</t>
    </r>
  </si>
  <si>
    <r>
      <rPr>
        <rFont val="Source Sans Pro"/>
        <b/>
        <color theme="1"/>
        <sz val="9.0"/>
      </rPr>
      <t xml:space="preserve">soja
</t>
    </r>
    <r>
      <rPr>
        <rFont val="Source Sans Pro"/>
        <color theme="1"/>
        <sz val="9.0"/>
      </rPr>
      <t>MD</t>
    </r>
  </si>
  <si>
    <r>
      <rPr>
        <rFont val="Source Sans Pro"/>
        <b/>
        <color theme="1"/>
        <sz val="9.0"/>
      </rPr>
      <t xml:space="preserve">japonicus
</t>
    </r>
    <r>
      <rPr>
        <rFont val="Source Sans Pro"/>
        <color theme="1"/>
        <sz val="9.0"/>
      </rPr>
      <t>J1, J2, J3, JA, JC, JF, K7, KE, L9, M1,</t>
    </r>
  </si>
  <si>
    <r>
      <rPr>
        <rFont val="Source Sans Pro"/>
        <b/>
        <color theme="1"/>
        <sz val="9.0"/>
      </rPr>
      <t>angustfolius</t>
    </r>
    <r>
      <rPr>
        <rFont val="Source Sans Pro"/>
        <color theme="1"/>
        <sz val="9.0"/>
      </rPr>
      <t xml:space="preserve">
J1, J2, J7, JA, JC, JD, JF, K7, K8, L9, M4, MD, N6</t>
    </r>
  </si>
  <si>
    <t>MA</t>
  </si>
  <si>
    <r>
      <rPr>
        <rFont val="Source Sans Pro"/>
        <b/>
        <color theme="1"/>
        <sz val="9.0"/>
      </rPr>
      <t xml:space="preserve">truncatula
</t>
    </r>
    <r>
      <rPr>
        <rFont val="Source Sans Pro"/>
        <color theme="1"/>
        <sz val="9.0"/>
      </rPr>
      <t>J1, J2, J3, JA, JC, JD, JF, K2, K8, L9, M4</t>
    </r>
  </si>
  <si>
    <t>MB</t>
  </si>
  <si>
    <r>
      <rPr>
        <rFont val="Source Sans Pro"/>
        <b/>
        <color theme="1"/>
        <sz val="9.0"/>
      </rPr>
      <t xml:space="preserve">vulgaris
</t>
    </r>
    <r>
      <rPr>
        <rFont val="Source Sans Pro"/>
        <color theme="1"/>
        <sz val="9.0"/>
      </rPr>
      <t>J1, J2, J3, J7, JA, JC, JD, JF, K2, K7, K8, KE, M1, M4, M5, N6</t>
    </r>
  </si>
  <si>
    <t>MC</t>
  </si>
  <si>
    <r>
      <rPr>
        <rFont val="Source Sans Pro"/>
        <b/>
        <color theme="1"/>
        <sz val="9.0"/>
      </rPr>
      <t xml:space="preserve">Vigna
</t>
    </r>
    <r>
      <rPr>
        <rFont val="Source Sans Pro"/>
        <color theme="1"/>
        <sz val="9.0"/>
      </rPr>
      <t>J1, J2, J3, J7, JA, JC, JD, JF, K2, KE, M1, M4, M5, N6</t>
    </r>
  </si>
  <si>
    <r>
      <rPr>
        <rFont val="Source Sans Pro"/>
        <b/>
        <color theme="1"/>
        <sz val="9.0"/>
      </rPr>
      <t xml:space="preserve">angularis
</t>
    </r>
    <r>
      <rPr>
        <rFont val="Source Sans Pro"/>
        <color theme="1"/>
        <sz val="9.0"/>
      </rPr>
      <t>K8</t>
    </r>
  </si>
  <si>
    <t>MD</t>
  </si>
  <si>
    <t>ME</t>
  </si>
  <si>
    <r>
      <rPr>
        <rFont val="Source Sans Pro"/>
        <b/>
        <color theme="1"/>
        <sz val="9.0"/>
      </rPr>
      <t xml:space="preserve">unguiculata
</t>
    </r>
    <r>
      <rPr>
        <rFont val="Source Sans Pro"/>
        <color theme="1"/>
        <sz val="9.0"/>
      </rPr>
      <t>K8</t>
    </r>
  </si>
  <si>
    <t>MF</t>
  </si>
  <si>
    <r>
      <rPr>
        <rFont val="Source Sans Pro"/>
        <b/>
        <color theme="1"/>
        <sz val="9.0"/>
      </rPr>
      <t>Fagales</t>
    </r>
    <r>
      <rPr>
        <rFont val="Source Sans Pro"/>
        <color theme="1"/>
        <sz val="9.0"/>
      </rPr>
      <t xml:space="preserve">
J1, J2, J7, JA, JC, JF, K0, K3, K4, K7, K9, KB, KF, LC, LF, M0, M3, M8, MB</t>
    </r>
  </si>
  <si>
    <t>Juglandceae</t>
  </si>
  <si>
    <r>
      <rPr>
        <rFont val="Source Sans Pro"/>
        <b/>
        <color theme="1"/>
        <sz val="9.0"/>
      </rPr>
      <t xml:space="preserve">suber
</t>
    </r>
    <r>
      <rPr>
        <rFont val="Source Sans Pro"/>
        <color theme="1"/>
        <sz val="9.0"/>
      </rPr>
      <t>J4, M1, MD, ME, N5</t>
    </r>
  </si>
  <si>
    <r>
      <rPr>
        <rFont val="Source Sans Pro"/>
        <b/>
        <color theme="1"/>
        <sz val="9.0"/>
      </rPr>
      <t xml:space="preserve">Malpighiales
</t>
    </r>
    <r>
      <rPr>
        <rFont val="Source Sans Pro"/>
        <color theme="1"/>
        <sz val="9.0"/>
      </rPr>
      <t>J1, J2, J7, JA, JC, K0, K7, K8, K9, KB, KF, LC, LF, M0, M1, M3, M8, MB</t>
    </r>
  </si>
  <si>
    <r>
      <rPr>
        <rFont val="Source Sans Pro"/>
        <b/>
        <color theme="1"/>
        <sz val="9.0"/>
      </rPr>
      <t>Euphorbiaceae</t>
    </r>
    <r>
      <rPr>
        <rFont val="Source Sans Pro"/>
        <color theme="1"/>
        <sz val="9.0"/>
      </rPr>
      <t xml:space="preserve">
K3, K4</t>
    </r>
  </si>
  <si>
    <r>
      <rPr>
        <rFont val="Source Sans Pro"/>
        <b/>
        <color theme="1"/>
        <sz val="9.0"/>
      </rPr>
      <t xml:space="preserve">brasiliensis
</t>
    </r>
    <r>
      <rPr>
        <rFont val="Source Sans Pro"/>
        <color theme="1"/>
        <sz val="9.0"/>
      </rPr>
      <t>JF, M4</t>
    </r>
  </si>
  <si>
    <r>
      <rPr>
        <rFont val="Source Sans Pro"/>
        <b/>
        <color theme="1"/>
        <sz val="9.0"/>
      </rPr>
      <t xml:space="preserve">curcas
</t>
    </r>
    <r>
      <rPr>
        <rFont val="Source Sans Pro"/>
        <color theme="1"/>
        <sz val="9.0"/>
      </rPr>
      <t>JF</t>
    </r>
  </si>
  <si>
    <r>
      <rPr>
        <rFont val="Source Sans Pro"/>
        <b/>
        <color theme="1"/>
        <sz val="9.0"/>
      </rPr>
      <t xml:space="preserve">Esculenta
</t>
    </r>
    <r>
      <rPr>
        <rFont val="Source Sans Pro"/>
        <color theme="1"/>
        <sz val="9.0"/>
      </rPr>
      <t>JF, M4, MD</t>
    </r>
  </si>
  <si>
    <r>
      <rPr>
        <rFont val="Source Sans Pro"/>
        <b/>
        <color theme="1"/>
        <sz val="9.0"/>
      </rPr>
      <t xml:space="preserve">communis
</t>
    </r>
    <r>
      <rPr>
        <rFont val="Source Sans Pro"/>
        <color theme="1"/>
        <sz val="9.0"/>
      </rPr>
      <t>M4, ME</t>
    </r>
  </si>
  <si>
    <r>
      <rPr>
        <rFont val="Source Sans Pro"/>
        <b/>
        <color theme="1"/>
        <sz val="9.0"/>
      </rPr>
      <t xml:space="preserve">Salicaceae
</t>
    </r>
    <r>
      <rPr>
        <rFont val="Source Sans Pro"/>
        <color theme="1"/>
        <sz val="9.0"/>
      </rPr>
      <t>JF, MD</t>
    </r>
  </si>
  <si>
    <r>
      <rPr>
        <rFont val="Source Sans Pro"/>
        <b/>
        <color theme="1"/>
        <sz val="9.0"/>
      </rPr>
      <t xml:space="preserve">euphratica
</t>
    </r>
    <r>
      <rPr>
        <rFont val="Source Sans Pro"/>
        <color theme="1"/>
        <sz val="9.0"/>
      </rPr>
      <t>K3, K4, M4</t>
    </r>
  </si>
  <si>
    <r>
      <rPr>
        <rFont val="Source Sans Pro"/>
        <b/>
        <color theme="1"/>
        <sz val="9.0"/>
      </rPr>
      <t xml:space="preserve">Malvales
</t>
    </r>
    <r>
      <rPr>
        <rFont val="Source Sans Pro"/>
        <color theme="1"/>
        <sz val="9.0"/>
      </rPr>
      <t>J1, J2, J7, JC, JF, K0, K3, K4, K7, K8, K9, KB, KF, LC, LF, M0, M1, M3, M8, MB</t>
    </r>
  </si>
  <si>
    <t>Bobmbacaceae</t>
  </si>
  <si>
    <r>
      <rPr>
        <rFont val="Source Sans Pro"/>
        <b/>
        <color theme="1"/>
        <sz val="9.0"/>
      </rPr>
      <t xml:space="preserve">zibethinus
</t>
    </r>
    <r>
      <rPr>
        <rFont val="Source Sans Pro"/>
        <color theme="1"/>
        <sz val="9.0"/>
      </rPr>
      <t>JA, M4, MD</t>
    </r>
  </si>
  <si>
    <r>
      <rPr>
        <rFont val="Source Sans Pro"/>
        <b/>
        <color theme="1"/>
        <sz val="9.0"/>
      </rPr>
      <t xml:space="preserve">Malvaceae
</t>
    </r>
    <r>
      <rPr>
        <rFont val="Source Sans Pro"/>
        <color theme="1"/>
        <sz val="9.0"/>
      </rPr>
      <t>JA</t>
    </r>
  </si>
  <si>
    <r>
      <rPr>
        <rFont val="Source Sans Pro"/>
        <b/>
        <color theme="1"/>
        <sz val="9.0"/>
      </rPr>
      <t>arboreum</t>
    </r>
    <r>
      <rPr>
        <rFont val="Source Sans Pro"/>
        <color theme="1"/>
        <sz val="9.0"/>
      </rPr>
      <t xml:space="preserve">
M4, MD</t>
    </r>
  </si>
  <si>
    <r>
      <rPr>
        <rFont val="Source Sans Pro"/>
        <b/>
        <color theme="1"/>
        <sz val="9.0"/>
      </rPr>
      <t>hirsutum</t>
    </r>
    <r>
      <rPr>
        <rFont val="Source Sans Pro"/>
        <color theme="1"/>
        <sz val="9.0"/>
      </rPr>
      <t xml:space="preserve">
M4, MC</t>
    </r>
  </si>
  <si>
    <t>NA</t>
  </si>
  <si>
    <r>
      <rPr>
        <rFont val="Source Sans Pro"/>
        <b/>
        <color theme="1"/>
        <sz val="9.0"/>
      </rPr>
      <t>raimondii</t>
    </r>
    <r>
      <rPr>
        <rFont val="Source Sans Pro"/>
        <color theme="1"/>
        <sz val="9.0"/>
      </rPr>
      <t xml:space="preserve">
M4</t>
    </r>
  </si>
  <si>
    <t>NB</t>
  </si>
  <si>
    <t>Theoborma</t>
  </si>
  <si>
    <r>
      <rPr>
        <rFont val="Source Sans Pro"/>
        <b/>
        <color theme="1"/>
        <sz val="9.0"/>
      </rPr>
      <t xml:space="preserve">cacao
</t>
    </r>
    <r>
      <rPr>
        <rFont val="Source Sans Pro"/>
        <color theme="1"/>
        <sz val="9.0"/>
      </rPr>
      <t>MD</t>
    </r>
  </si>
  <si>
    <t>NC</t>
  </si>
  <si>
    <r>
      <rPr>
        <rFont val="Source Sans Pro"/>
        <b/>
        <color theme="1"/>
        <sz val="9.0"/>
      </rPr>
      <t xml:space="preserve">grandis
</t>
    </r>
    <r>
      <rPr>
        <rFont val="Source Sans Pro"/>
        <color theme="1"/>
        <sz val="9.0"/>
      </rPr>
      <t>MD</t>
    </r>
  </si>
  <si>
    <t>Runinculales</t>
  </si>
  <si>
    <r>
      <rPr>
        <rFont val="Source Sans Pro"/>
        <b/>
        <color theme="1"/>
        <sz val="9.0"/>
      </rPr>
      <t xml:space="preserve">somniferum
</t>
    </r>
    <r>
      <rPr>
        <rFont val="Source Sans Pro"/>
        <color theme="1"/>
        <sz val="9.0"/>
      </rPr>
      <t>J1, J2, J7, JC, K0, K7, K9, KB, KF, LC, LF, M0, M1, M3, M4, M8</t>
    </r>
  </si>
  <si>
    <r>
      <rPr>
        <rFont val="Source Sans Pro"/>
        <b/>
        <color theme="1"/>
        <sz val="9.0"/>
      </rPr>
      <t xml:space="preserve">Rosales
</t>
    </r>
    <r>
      <rPr>
        <rFont val="Source Sans Pro"/>
        <color theme="1"/>
        <sz val="9.0"/>
      </rPr>
      <t>J7, JC, K3, K4, K7, K9, KB, KF, LC, LF, M0, M1, M3, M8, MB</t>
    </r>
  </si>
  <si>
    <r>
      <rPr>
        <rFont val="Source Sans Pro"/>
        <b/>
        <color theme="1"/>
        <sz val="9.0"/>
      </rPr>
      <t xml:space="preserve">vesca
</t>
    </r>
    <r>
      <rPr>
        <rFont val="Source Sans Pro"/>
        <color theme="1"/>
        <sz val="9.0"/>
      </rPr>
      <t>JA</t>
    </r>
  </si>
  <si>
    <r>
      <rPr>
        <rFont val="Source Sans Pro"/>
        <b/>
        <color theme="1"/>
        <sz val="9.0"/>
      </rPr>
      <t xml:space="preserve">domestica
</t>
    </r>
    <r>
      <rPr>
        <rFont val="Source Sans Pro"/>
        <color theme="1"/>
        <sz val="9.0"/>
      </rPr>
      <t>J1, J2, JA, K0</t>
    </r>
  </si>
  <si>
    <r>
      <rPr>
        <rFont val="Source Sans Pro"/>
        <b/>
        <color theme="1"/>
        <sz val="9.0"/>
      </rPr>
      <t xml:space="preserve">Prunus
</t>
    </r>
    <r>
      <rPr>
        <rFont val="Source Sans Pro"/>
        <color theme="1"/>
        <sz val="9.0"/>
      </rPr>
      <t>J1, J2, K0</t>
    </r>
  </si>
  <si>
    <r>
      <rPr>
        <rFont val="Source Sans Pro"/>
        <b/>
        <color theme="1"/>
        <sz val="9.0"/>
      </rPr>
      <t xml:space="preserve">mume
</t>
    </r>
    <r>
      <rPr>
        <rFont val="Source Sans Pro"/>
        <color theme="1"/>
        <sz val="9.0"/>
      </rPr>
      <t>JA</t>
    </r>
  </si>
  <si>
    <r>
      <rPr>
        <rFont val="Source Sans Pro"/>
        <b/>
        <color theme="1"/>
        <sz val="9.0"/>
      </rPr>
      <t xml:space="preserve">persica
</t>
    </r>
    <r>
      <rPr>
        <rFont val="Source Sans Pro"/>
        <color theme="1"/>
        <sz val="9.0"/>
      </rPr>
      <t>JA</t>
    </r>
  </si>
  <si>
    <r>
      <rPr>
        <rFont val="Source Sans Pro"/>
        <b/>
        <color theme="1"/>
        <sz val="9.0"/>
      </rPr>
      <t xml:space="preserve">x bretschneideri
</t>
    </r>
    <r>
      <rPr>
        <rFont val="Source Sans Pro"/>
        <color theme="1"/>
        <sz val="9.0"/>
      </rPr>
      <t>J1, J2, JA, K0, MD</t>
    </r>
  </si>
  <si>
    <t>chinesis</t>
  </si>
  <si>
    <r>
      <rPr>
        <rFont val="Source Sans Pro"/>
        <b/>
        <color theme="1"/>
        <sz val="9.0"/>
      </rPr>
      <t xml:space="preserve">jujuba
</t>
    </r>
    <r>
      <rPr>
        <rFont val="Source Sans Pro"/>
        <color theme="1"/>
        <sz val="9.0"/>
      </rPr>
      <t>J1, J2, JA, K0, M4</t>
    </r>
  </si>
  <si>
    <r>
      <rPr>
        <rFont val="Source Sans Pro"/>
        <b/>
        <color theme="1"/>
        <sz val="9.0"/>
      </rPr>
      <t xml:space="preserve">Citrus
</t>
    </r>
    <r>
      <rPr>
        <rFont val="Source Sans Pro"/>
        <color theme="1"/>
        <sz val="9.0"/>
      </rPr>
      <t>J1, J2, J7, JA, JB, JC, JF, K0, K3, K4, K7, K8, K9, KB, KF, LC, LF, M0, M1, M3, M4, M7, M8, MB</t>
    </r>
  </si>
  <si>
    <t>N/A</t>
  </si>
  <si>
    <t>moellendorffii
J5, K7, KD, L8, LC</t>
  </si>
  <si>
    <t>Byrophytina</t>
  </si>
  <si>
    <t>Byropsida</t>
  </si>
  <si>
    <t>patens
J5, K7, L8, LC</t>
  </si>
  <si>
    <t>Chlamydomondales</t>
  </si>
  <si>
    <t>Chlamydomondaceae</t>
  </si>
  <si>
    <t>Volvovaceae</t>
  </si>
  <si>
    <r>
      <rPr>
        <rFont val="Source Sans Pro"/>
        <b/>
        <color theme="1"/>
        <sz val="9.0"/>
      </rPr>
      <t xml:space="preserve">neglectum
</t>
    </r>
    <r>
      <rPr>
        <rFont val="Source Sans Pro"/>
        <color theme="1"/>
        <sz val="9.0"/>
      </rPr>
      <t>J5, J6, MF</t>
    </r>
  </si>
  <si>
    <r>
      <rPr>
        <rFont val="Source Sans Pro"/>
        <b/>
        <color theme="1"/>
        <sz val="9.0"/>
      </rPr>
      <t>prasinos</t>
    </r>
    <r>
      <rPr>
        <rFont val="Source Sans Pro"/>
        <color theme="1"/>
        <sz val="9.0"/>
      </rPr>
      <t xml:space="preserve">
J5, J6, MF</t>
    </r>
  </si>
  <si>
    <r>
      <rPr>
        <rFont val="Source Sans Pro"/>
        <b/>
        <color theme="1"/>
        <sz val="9.0"/>
      </rPr>
      <t xml:space="preserve">variabilis
</t>
    </r>
    <r>
      <rPr>
        <rFont val="Source Sans Pro"/>
        <color theme="1"/>
        <sz val="9.0"/>
      </rPr>
      <t>J5, J6, MF, N2</t>
    </r>
  </si>
  <si>
    <r>
      <rPr>
        <rFont val="Source Sans Pro"/>
        <b/>
        <color theme="1"/>
        <sz val="9.0"/>
      </rPr>
      <t xml:space="preserve">subellipsoidea
</t>
    </r>
    <r>
      <rPr>
        <rFont val="Source Sans Pro"/>
        <color theme="1"/>
        <sz val="9.0"/>
      </rPr>
      <t>J5, J6, MF, NS</t>
    </r>
  </si>
  <si>
    <t>Bilophyta</t>
  </si>
  <si>
    <t>Cyanidales</t>
  </si>
  <si>
    <t>Cyanidiochyzon</t>
  </si>
  <si>
    <r>
      <rPr>
        <rFont val="Source Sans Pro"/>
        <b/>
        <color theme="1"/>
        <sz val="9.0"/>
      </rPr>
      <t xml:space="preserve">merolae
</t>
    </r>
    <r>
      <rPr>
        <rFont val="Source Sans Pro"/>
        <color theme="1"/>
        <sz val="9.0"/>
      </rPr>
      <t>J5, J6, MF</t>
    </r>
  </si>
  <si>
    <r>
      <rPr>
        <rFont val="Source Sans Pro"/>
        <b/>
        <color theme="1"/>
        <sz val="9.0"/>
      </rPr>
      <t xml:space="preserve">crispus
</t>
    </r>
    <r>
      <rPr>
        <rFont val="Source Sans Pro"/>
        <color theme="1"/>
        <sz val="9.0"/>
      </rPr>
      <t>J5, J6, MF</t>
    </r>
  </si>
  <si>
    <t>List of all plants associated with each selected compound, as reported from Knapsack</t>
  </si>
  <si>
    <t>EC</t>
  </si>
  <si>
    <t>Acacia aroma</t>
  </si>
  <si>
    <t>Baeria chrysostoma</t>
  </si>
  <si>
    <t>Acacia adunca</t>
  </si>
  <si>
    <t>Acacia nilotica</t>
  </si>
  <si>
    <t>Acacia rhodoxylon</t>
  </si>
  <si>
    <t>Abies amabilis</t>
  </si>
  <si>
    <t>Adina racemosa</t>
  </si>
  <si>
    <t>Abrus precatorius</t>
  </si>
  <si>
    <t>Abelmoschus manihot</t>
  </si>
  <si>
    <t>Acacia dealbata</t>
  </si>
  <si>
    <t>Albizzia lebbeck</t>
  </si>
  <si>
    <t>Acanthus ilicifolius</t>
  </si>
  <si>
    <t>Butea frondosa</t>
  </si>
  <si>
    <t>Acacia baileyana</t>
  </si>
  <si>
    <t>Agapanthus africanus</t>
  </si>
  <si>
    <t>Abies grandis</t>
  </si>
  <si>
    <t>Afzelia bella</t>
  </si>
  <si>
    <t>Acacia calamifolia</t>
  </si>
  <si>
    <t>Acacia longifolia</t>
  </si>
  <si>
    <t>Allium cepa</t>
  </si>
  <si>
    <t>Achillea clavennae</t>
  </si>
  <si>
    <t>Caesalpinia japonica</t>
  </si>
  <si>
    <t>Cistus salviifolius</t>
  </si>
  <si>
    <t>Acacia binervata</t>
  </si>
  <si>
    <t>Allium ascalonicum</t>
  </si>
  <si>
    <t>Aechmea glomerata</t>
  </si>
  <si>
    <t>Ajuga taiwanensis</t>
  </si>
  <si>
    <t>Acacia cardiophylla</t>
  </si>
  <si>
    <t>Acacia caven</t>
  </si>
  <si>
    <t>Acacia cyanophylla</t>
  </si>
  <si>
    <t>Aeschynanthus bracteatus</t>
  </si>
  <si>
    <t>Allium Sativum</t>
  </si>
  <si>
    <t>Achillea millefolium</t>
  </si>
  <si>
    <t>Coreopsis maritima</t>
  </si>
  <si>
    <t>Acacia catechu</t>
  </si>
  <si>
    <t>Combretum quadrangulare</t>
  </si>
  <si>
    <t>Allium chinense</t>
  </si>
  <si>
    <t>Anigozanthos pulcherrimus</t>
  </si>
  <si>
    <t>Alkanna orientalis</t>
  </si>
  <si>
    <t>Acacia furcatispina</t>
  </si>
  <si>
    <t>Anethum graveolens</t>
  </si>
  <si>
    <t>Dahlia variabilis</t>
  </si>
  <si>
    <t>Acacia concurrens</t>
  </si>
  <si>
    <t>Croton lechleri</t>
  </si>
  <si>
    <t>Anigozanthos rufus</t>
  </si>
  <si>
    <t>Aloe vera</t>
  </si>
  <si>
    <t>Acacia chrysotricha</t>
  </si>
  <si>
    <t>Acacia leucophloea</t>
  </si>
  <si>
    <t>Ampelopsis grossedentata</t>
  </si>
  <si>
    <t>Anacardium occidentale</t>
  </si>
  <si>
    <t>Agrimonia pilosa</t>
  </si>
  <si>
    <t>Dalbergia odorifera</t>
  </si>
  <si>
    <t>Ginkgo biloba</t>
  </si>
  <si>
    <t>Bauhinia manca</t>
  </si>
  <si>
    <t>Antirrhinum majus</t>
  </si>
  <si>
    <t>Ampelopsis brevipedunculata</t>
  </si>
  <si>
    <t>Acacia praecox</t>
  </si>
  <si>
    <t>Ardisia colorata</t>
  </si>
  <si>
    <t>Rhus javanica</t>
  </si>
  <si>
    <t>Acacia deanei</t>
  </si>
  <si>
    <t>Guazuma ulmifolia</t>
  </si>
  <si>
    <t>Brosimum acutifolium</t>
  </si>
  <si>
    <t>Angelica furcijuga KITAGAWA</t>
  </si>
  <si>
    <t>Acacia constablei</t>
  </si>
  <si>
    <t>Ajuga decumbens</t>
  </si>
  <si>
    <t>Annona muricata</t>
  </si>
  <si>
    <t>Amberboa ramosa</t>
  </si>
  <si>
    <t>Robinia pseudoacacia</t>
  </si>
  <si>
    <t>Acacia falciformis</t>
  </si>
  <si>
    <t>Broussonetia papyrifera</t>
  </si>
  <si>
    <t>Brassica napa</t>
  </si>
  <si>
    <t>Acacia cultriformis</t>
  </si>
  <si>
    <t>Astragalus complanatus</t>
  </si>
  <si>
    <t>Artemisia glutinosa</t>
  </si>
  <si>
    <t>Anisomeles indica</t>
  </si>
  <si>
    <t>Taxus fuana</t>
  </si>
  <si>
    <t>Acacia fimbriata</t>
  </si>
  <si>
    <t>Myrica rubra</t>
  </si>
  <si>
    <t>Bridelia ferruginea</t>
  </si>
  <si>
    <t>Anthemis altissima</t>
  </si>
  <si>
    <t>Taxus yunnanensis</t>
  </si>
  <si>
    <t>Acacia homalophylla</t>
  </si>
  <si>
    <t>Pelargonium sidoides</t>
  </si>
  <si>
    <t>Clausena excavata</t>
  </si>
  <si>
    <t>Caragana frutex</t>
  </si>
  <si>
    <t>Bauhinia guianensis</t>
  </si>
  <si>
    <t>Toxicodendron semilata</t>
  </si>
  <si>
    <t>Acacia ixiophylla</t>
  </si>
  <si>
    <t>Phyllanthus emblica</t>
  </si>
  <si>
    <t>Crinum bulbispermum Milne</t>
  </si>
  <si>
    <t>Acacia decurrens</t>
  </si>
  <si>
    <t>Caragana jubata</t>
  </si>
  <si>
    <t>Artemisia vestita</t>
  </si>
  <si>
    <t>Apis mellifera ligustica</t>
  </si>
  <si>
    <t>Toxicodendron vernicifluum</t>
  </si>
  <si>
    <t>Acacia lanigera</t>
  </si>
  <si>
    <t>Pinus sibirica</t>
  </si>
  <si>
    <t>Dioscorea alata</t>
  </si>
  <si>
    <t>Acacia elata</t>
  </si>
  <si>
    <t>Apium graveolens</t>
  </si>
  <si>
    <t>Ceratonia siliqua</t>
  </si>
  <si>
    <t>Viguiera eriophora</t>
  </si>
  <si>
    <t>Acacia mabellae</t>
  </si>
  <si>
    <t>Punica granatum</t>
  </si>
  <si>
    <t>Dalbergia ecastaphyllum</t>
  </si>
  <si>
    <t>Euscaphis konishii</t>
  </si>
  <si>
    <t>Apocynum venetum</t>
  </si>
  <si>
    <t>Acacia erioloba</t>
  </si>
  <si>
    <t>Aquilegia ecalcarata</t>
  </si>
  <si>
    <t>Davidsonia pruriens</t>
  </si>
  <si>
    <t>Cannabis indica</t>
  </si>
  <si>
    <t>Azadirachta indica</t>
  </si>
  <si>
    <t>Viguiera multiflora</t>
  </si>
  <si>
    <t>Acacia melanoxylon</t>
  </si>
  <si>
    <t>Rhodiola sachalinensis</t>
  </si>
  <si>
    <t>Arachis hypogaea</t>
  </si>
  <si>
    <t>Diploknema butyracea</t>
  </si>
  <si>
    <t>Cannabis inflorescences</t>
  </si>
  <si>
    <t>Blumea balsamifera</t>
  </si>
  <si>
    <t>Artabotrys uncinatus</t>
  </si>
  <si>
    <t>Acacia mollifolia</t>
  </si>
  <si>
    <t>Rhododendron catawbiense</t>
  </si>
  <si>
    <t>Acacia filicifolia</t>
  </si>
  <si>
    <t>Dalbergia sericea</t>
  </si>
  <si>
    <t>Hibiscus mutabilis</t>
  </si>
  <si>
    <t>Eskemukerjea megacarpum HARA</t>
  </si>
  <si>
    <t>Cannabis sativa</t>
  </si>
  <si>
    <t>Brassica carinata Y line</t>
  </si>
  <si>
    <t>Artemisia minor</t>
  </si>
  <si>
    <t>Rhododendron micranthum</t>
  </si>
  <si>
    <t>Acacia farnesiana</t>
  </si>
  <si>
    <t>Dalbergia stevensonii</t>
  </si>
  <si>
    <t>Magnolia denudata</t>
  </si>
  <si>
    <t>Artemisia annua</t>
  </si>
  <si>
    <t>Eucalyptus globulus</t>
  </si>
  <si>
    <t>Capparis himalayensis</t>
  </si>
  <si>
    <t>Acacia obtusifolia</t>
  </si>
  <si>
    <t>Rhododendron oreotrephes</t>
  </si>
  <si>
    <t>Acacia holosericea</t>
  </si>
  <si>
    <t>Dipteryx odorata</t>
  </si>
  <si>
    <t>Magnolia liliiflora</t>
  </si>
  <si>
    <t>Ascarina lucida</t>
  </si>
  <si>
    <t>Eugenia jambolana</t>
  </si>
  <si>
    <t>Capparis spinosa</t>
  </si>
  <si>
    <t>Acacia oswaldii</t>
  </si>
  <si>
    <t>Rhododendron praevernum</t>
  </si>
  <si>
    <t>Acacia irrorata</t>
  </si>
  <si>
    <t>Dracaena draco</t>
  </si>
  <si>
    <t>Mangifera indica</t>
  </si>
  <si>
    <t>Euphorbia palustris</t>
  </si>
  <si>
    <t>Chrysothamnus humilis</t>
  </si>
  <si>
    <t>Asphodeline globifera</t>
  </si>
  <si>
    <t>Acacia pendula</t>
  </si>
  <si>
    <t>Rhododendron smirnowii</t>
  </si>
  <si>
    <t>Acacia kettlewelliae</t>
  </si>
  <si>
    <t>Flemingia chappar</t>
  </si>
  <si>
    <t>Medicago arabica</t>
  </si>
  <si>
    <t>Astragalus membranaceus</t>
  </si>
  <si>
    <t>Astragalus coluteocarpus</t>
  </si>
  <si>
    <t>Euphorbia stepposa</t>
  </si>
  <si>
    <t>Chrysothamnus viscidiflorus</t>
  </si>
  <si>
    <t>Baccharis gaudichaudiana</t>
  </si>
  <si>
    <t>Acacia pycnantha</t>
  </si>
  <si>
    <t>Rhododendron ungernii</t>
  </si>
  <si>
    <t>Acacia horrida</t>
  </si>
  <si>
    <t>Astragalus mongholicus</t>
  </si>
  <si>
    <t>Astragalus eremophilus</t>
  </si>
  <si>
    <t>Citrus grandis</t>
  </si>
  <si>
    <t>Bacopa monniera</t>
  </si>
  <si>
    <t>Acacia retinodes</t>
  </si>
  <si>
    <t>Salacia prinoides</t>
  </si>
  <si>
    <t>Acacia leucoclada</t>
  </si>
  <si>
    <t>Glycyrrhiza glabra</t>
  </si>
  <si>
    <t>Petunia hybrida</t>
  </si>
  <si>
    <t>Astrantia major</t>
  </si>
  <si>
    <t>Astragalus kabadianus</t>
  </si>
  <si>
    <t>Halophila johnsonii</t>
  </si>
  <si>
    <t>Citrus unshiu</t>
  </si>
  <si>
    <t>Conyza aegyptica</t>
  </si>
  <si>
    <t>Bellis perennis</t>
  </si>
  <si>
    <t>Acacia rigens</t>
  </si>
  <si>
    <t>Stryphnodendron adstringens</t>
  </si>
  <si>
    <t>Glycyrrhiza glara</t>
  </si>
  <si>
    <t>Polygonum perfoliatum</t>
  </si>
  <si>
    <t>Bletilla formosana</t>
  </si>
  <si>
    <t>Astragalus quisqualis</t>
  </si>
  <si>
    <t>Haplopappus canescens</t>
  </si>
  <si>
    <t>Cochlospermum gillivraei</t>
  </si>
  <si>
    <t>Costus spicatus</t>
  </si>
  <si>
    <t>Betula nigra</t>
  </si>
  <si>
    <t>Acacia verniciflua</t>
  </si>
  <si>
    <t>Glycyrrhiza inflata</t>
  </si>
  <si>
    <t>Polygonum senticosum</t>
  </si>
  <si>
    <t>Brassica carinata B line</t>
  </si>
  <si>
    <t>Hippophae rhamnoides</t>
  </si>
  <si>
    <t>Crotalaria assamica</t>
  </si>
  <si>
    <t>Croton tonkinensis GAGNEP</t>
  </si>
  <si>
    <t>Bidens tripartita</t>
  </si>
  <si>
    <t>Acer nikoense</t>
  </si>
  <si>
    <t>Acacia mearnsii</t>
  </si>
  <si>
    <t>Glycyrrhiza pallidiflora</t>
  </si>
  <si>
    <t>Baptisia arachnifera</t>
  </si>
  <si>
    <t>Hovenia dulcis</t>
  </si>
  <si>
    <t>Crotalaria pallida</t>
  </si>
  <si>
    <t>Cruciata taurica</t>
  </si>
  <si>
    <t>Biebersteinia orphanidis</t>
  </si>
  <si>
    <t>Aesculus californica</t>
  </si>
  <si>
    <t>Tripterygium hypoglaucum</t>
  </si>
  <si>
    <t>Glycyrrhiza uralensis</t>
  </si>
  <si>
    <t>Baptisia australis</t>
  </si>
  <si>
    <t>Hypericum hirsutum</t>
  </si>
  <si>
    <t>Curcuma mangga</t>
  </si>
  <si>
    <t>Ephedra sinica</t>
  </si>
  <si>
    <t>Blepharis sindica</t>
  </si>
  <si>
    <t>Aesculus carnea</t>
  </si>
  <si>
    <t>Vicia faba</t>
  </si>
  <si>
    <t>Glycyrrhiza yunnanensis</t>
  </si>
  <si>
    <t>Calligonum leucocladum</t>
  </si>
  <si>
    <t>Baptisia bracteata</t>
  </si>
  <si>
    <t>Hypericum scabrum</t>
  </si>
  <si>
    <t>Epimedium acuminatum</t>
  </si>
  <si>
    <t>Xanthoceras sorbifolia</t>
  </si>
  <si>
    <t>Acacia neriifolia</t>
  </si>
  <si>
    <t>Lespedeza bicolor</t>
  </si>
  <si>
    <t>Sophora flavescens</t>
  </si>
  <si>
    <t>Baptisia calycosa</t>
  </si>
  <si>
    <t>Hypocalyptus sophoroides</t>
  </si>
  <si>
    <t>Epimedium brevicornum</t>
  </si>
  <si>
    <t>Boehmeria nivea</t>
  </si>
  <si>
    <t>Ampelopsis japonica</t>
  </si>
  <si>
    <t>Medicago sativa</t>
  </si>
  <si>
    <t>Syzygium cumini</t>
  </si>
  <si>
    <t>Baptisia cinerea</t>
  </si>
  <si>
    <t>Intsia bijuga</t>
  </si>
  <si>
    <t>Epimedium davidii</t>
  </si>
  <si>
    <t>Acacia mellifera</t>
  </si>
  <si>
    <t>Acacia oshanesii</t>
  </si>
  <si>
    <t>Taxus chinensis</t>
  </si>
  <si>
    <t>Baptisia lanceolata</t>
  </si>
  <si>
    <t>Intsia palembanica</t>
  </si>
  <si>
    <t>Epimedium dolichostemen</t>
  </si>
  <si>
    <t>Buddleja officinalis</t>
  </si>
  <si>
    <t>Muntingia calabura</t>
  </si>
  <si>
    <t>Thuja plicata</t>
  </si>
  <si>
    <t>Baptisia lecontei</t>
  </si>
  <si>
    <t>Kunzea ericoides</t>
  </si>
  <si>
    <t>Epimedium fargesii</t>
  </si>
  <si>
    <t>Bulbine capitata</t>
  </si>
  <si>
    <t>Acacia parramattensis</t>
  </si>
  <si>
    <t>Oxytropis pseudoglandulosa</t>
  </si>
  <si>
    <t>Vaccinium alaskaense</t>
  </si>
  <si>
    <t>Carthamus tinctorius</t>
  </si>
  <si>
    <t>Acacia omalophylla</t>
  </si>
  <si>
    <t>Baptisia megacarpa</t>
  </si>
  <si>
    <t>Lathyrus aphaca</t>
  </si>
  <si>
    <t>Epimedium franchetii</t>
  </si>
  <si>
    <t>Cadia purpurea</t>
  </si>
  <si>
    <t>Brosimopsis acutifolium</t>
  </si>
  <si>
    <t>Psorothamnus arborescens</t>
  </si>
  <si>
    <t>Vaccinium angustifolium</t>
  </si>
  <si>
    <t>Casearia ilicifolia</t>
  </si>
  <si>
    <t>Baptisia nuttalliana</t>
  </si>
  <si>
    <t>Lotus maritimus</t>
  </si>
  <si>
    <t>Flemingia stricta</t>
  </si>
  <si>
    <t>Epimedium koreanum</t>
  </si>
  <si>
    <t>Campsis grandiflora</t>
  </si>
  <si>
    <t>Calycolpus warszewiczianus</t>
  </si>
  <si>
    <t>Pterocarpus marsupium</t>
  </si>
  <si>
    <t>Vaccinium myrtillus</t>
  </si>
  <si>
    <t>Cassia acutifolia</t>
  </si>
  <si>
    <t>Baptisia perfoliata</t>
  </si>
  <si>
    <t>Gentiana triflora</t>
  </si>
  <si>
    <t>Epimedium leishanense</t>
  </si>
  <si>
    <t>Camellia japonica</t>
  </si>
  <si>
    <t>Pterocarpus santalinus</t>
  </si>
  <si>
    <t>Vaccinium uliginosum</t>
  </si>
  <si>
    <t>Cassia angustifolia</t>
  </si>
  <si>
    <t>Baptisia simplicifolia</t>
  </si>
  <si>
    <t>Epimedium leptorrhizum</t>
  </si>
  <si>
    <t>Acacia silvestris</t>
  </si>
  <si>
    <t>Pueraria lobata</t>
  </si>
  <si>
    <t>Cassia fistula</t>
  </si>
  <si>
    <t>Baptisia sphaerocarpa</t>
  </si>
  <si>
    <t>Medicago blancheana</t>
  </si>
  <si>
    <t>Epimedium membranaceum</t>
  </si>
  <si>
    <t>Acacia terminalis</t>
  </si>
  <si>
    <t>Robinia paeudoacacia</t>
  </si>
  <si>
    <t>Vitis labrusca</t>
  </si>
  <si>
    <t>Cassia tora</t>
  </si>
  <si>
    <t>Acacia planifrons</t>
  </si>
  <si>
    <t>Baptisia tinctoria</t>
  </si>
  <si>
    <t>Medicago cancellata</t>
  </si>
  <si>
    <t>Epimedium myrianthum</t>
  </si>
  <si>
    <t>Cassia javanica</t>
  </si>
  <si>
    <t>Acacia trachyphloia</t>
  </si>
  <si>
    <t>Casuarina junghaniana</t>
  </si>
  <si>
    <t>Medicago cretacea</t>
  </si>
  <si>
    <t>Epimedium pauciflorum</t>
  </si>
  <si>
    <t>Celastrus orbiculatus</t>
  </si>
  <si>
    <t>Casuarina rigida</t>
  </si>
  <si>
    <t>Medicago doliata</t>
  </si>
  <si>
    <t>Gynerium sagittatum</t>
  </si>
  <si>
    <t>Epimedium pubescens</t>
  </si>
  <si>
    <t>Cephalotaxus fortunei</t>
  </si>
  <si>
    <t>Chaenomeles japonica</t>
  </si>
  <si>
    <t>Acacia vestita</t>
  </si>
  <si>
    <t>Sophora gypsophila</t>
  </si>
  <si>
    <t>Cercis chinensis</t>
  </si>
  <si>
    <t>Medicago falcata</t>
  </si>
  <si>
    <t>Helichrysum arenarium</t>
  </si>
  <si>
    <t>Epimedium sagittatum</t>
  </si>
  <si>
    <t>Cephalotaxus koreana</t>
  </si>
  <si>
    <t>Chamaecyparis formosensis</t>
  </si>
  <si>
    <t>Acacia saligna</t>
  </si>
  <si>
    <t>Acca sellowiana</t>
  </si>
  <si>
    <t>Sophora tomentosa</t>
  </si>
  <si>
    <t>Medicago glomerata</t>
  </si>
  <si>
    <t>Helichrysum graveolen</t>
  </si>
  <si>
    <t>Epimedium stellatum</t>
  </si>
  <si>
    <t>Cephalotaxus wilsoniana</t>
  </si>
  <si>
    <t>Cinchona succirubra</t>
  </si>
  <si>
    <t>Acacia seyal</t>
  </si>
  <si>
    <t>Adenocarpus decorticans</t>
  </si>
  <si>
    <t>Tephrosia toxicaria</t>
  </si>
  <si>
    <t>Cheilanthes grisea</t>
  </si>
  <si>
    <t>Medicago hybrida</t>
  </si>
  <si>
    <t>Epimedium zhenbaense</t>
  </si>
  <si>
    <t>Chamaecyparis pisifera</t>
  </si>
  <si>
    <t>Cinnamomum sieboldii</t>
  </si>
  <si>
    <t>Acacia sieberiana</t>
  </si>
  <si>
    <t>Adenocarpus foliolosus</t>
  </si>
  <si>
    <t>Tithonia brachypappa</t>
  </si>
  <si>
    <t>Chenopodium murale</t>
  </si>
  <si>
    <t>Medicago intertexta</t>
  </si>
  <si>
    <t>Lespedeza cyrtobotrya</t>
  </si>
  <si>
    <t>Epimedium zhushanense</t>
  </si>
  <si>
    <t>Chamomilla recutina</t>
  </si>
  <si>
    <t>Cinnamomum subavenium</t>
  </si>
  <si>
    <t>Trifolium subterraneum</t>
  </si>
  <si>
    <t>Coccinia grandis</t>
  </si>
  <si>
    <t>Caesalpinia gilliesii</t>
  </si>
  <si>
    <t>Medicago laciniata</t>
  </si>
  <si>
    <t>Lupinus subcarnosus</t>
  </si>
  <si>
    <t>Eriobotrya japonica</t>
  </si>
  <si>
    <t>Cheilanthes bullosa</t>
  </si>
  <si>
    <t>Amphicarpaea bracteata</t>
  </si>
  <si>
    <t>Zollernia paraensis</t>
  </si>
  <si>
    <t>Consolida oliveriana</t>
  </si>
  <si>
    <t>Medicago lupulina</t>
  </si>
  <si>
    <t>Lupinus texensis</t>
  </si>
  <si>
    <t>Euchresta formosana</t>
  </si>
  <si>
    <t>Chrysanthemum boreale</t>
  </si>
  <si>
    <t>Colophospermum mopane</t>
  </si>
  <si>
    <t>Acacia tortilis</t>
  </si>
  <si>
    <t>Andira inermis</t>
  </si>
  <si>
    <t>Crocus sativus</t>
  </si>
  <si>
    <t>Alhagi kirghisorum</t>
  </si>
  <si>
    <t>Medicago monantha</t>
  </si>
  <si>
    <t>Maclura tinctoria</t>
  </si>
  <si>
    <t>Euphorbia tinctoria</t>
  </si>
  <si>
    <t>Chrysanthemum cineraiaefolium</t>
  </si>
  <si>
    <t>Apios americana</t>
  </si>
  <si>
    <t>Cuscuta australis</t>
  </si>
  <si>
    <t>Alhagi maurorum</t>
  </si>
  <si>
    <t>Medicago monspeliaca</t>
  </si>
  <si>
    <t>Chrysothamnus nauseosus</t>
  </si>
  <si>
    <t>Convallaria keiskei</t>
  </si>
  <si>
    <t>Cuscuta chinensis</t>
  </si>
  <si>
    <t>Medicago murex</t>
  </si>
  <si>
    <t>Houttuynia cordata</t>
  </si>
  <si>
    <t>Cladogynos orientalis</t>
  </si>
  <si>
    <t>Cowania mexicana</t>
  </si>
  <si>
    <t>Cuscuta japonica</t>
  </si>
  <si>
    <t>Chamaecrista absus</t>
  </si>
  <si>
    <t>Medicago orbicularis</t>
  </si>
  <si>
    <t>Humulus lupulus</t>
  </si>
  <si>
    <t>Crataegus monogyna</t>
  </si>
  <si>
    <t>Baptisia alba</t>
  </si>
  <si>
    <t>Cuscuta lupuliformis</t>
  </si>
  <si>
    <t>Chamaecrista mimosoides</t>
  </si>
  <si>
    <t>Medicago polyceratia</t>
  </si>
  <si>
    <t>Hypericum perforatum</t>
  </si>
  <si>
    <t>Daphne sericea</t>
  </si>
  <si>
    <t>Dicranopteris pedata</t>
  </si>
  <si>
    <t>Medicago polymorpha</t>
  </si>
  <si>
    <t>Hypericum sampsonii</t>
  </si>
  <si>
    <t>Ecdysanthera utilis</t>
  </si>
  <si>
    <t>Diphylleia grayi</t>
  </si>
  <si>
    <t>Chrysanthemum indicum</t>
  </si>
  <si>
    <t>Medicago radiata</t>
  </si>
  <si>
    <t>Millettia brandisiana</t>
  </si>
  <si>
    <t>Kadsura heteroclita</t>
  </si>
  <si>
    <t>Elsholtzia bodinieri</t>
  </si>
  <si>
    <t>Elaeagnus angustifolia</t>
  </si>
  <si>
    <t>Diphylleia sinensis</t>
  </si>
  <si>
    <t>Areca catechu</t>
  </si>
  <si>
    <t>Chrysanthemum morifolium</t>
  </si>
  <si>
    <t>Medicago rotata</t>
  </si>
  <si>
    <t>Mimosa hostilis</t>
  </si>
  <si>
    <t>Levisticum officinale</t>
  </si>
  <si>
    <t>Enhalus acoroides</t>
  </si>
  <si>
    <t>Ephedra nebrodensis</t>
  </si>
  <si>
    <t>Elateriospermum tapos</t>
  </si>
  <si>
    <t>Croton urucurana</t>
  </si>
  <si>
    <t>Artocarpus dadah</t>
  </si>
  <si>
    <t>Cytisophyllum sessilifolium</t>
  </si>
  <si>
    <t>Medicago scutellata</t>
  </si>
  <si>
    <t>Cytisus eriocarpus</t>
  </si>
  <si>
    <t>Nymphaea caerulea</t>
  </si>
  <si>
    <t>Malus doumeri varl formosana</t>
  </si>
  <si>
    <t>Erythroxylum cambodianum</t>
  </si>
  <si>
    <t>Hordeum vulgare</t>
  </si>
  <si>
    <t>Astragalus floccosifolius</t>
  </si>
  <si>
    <t>Cytisus hirsutus</t>
  </si>
  <si>
    <t>Melilotus italica</t>
  </si>
  <si>
    <t>Euterpe oleracea</t>
  </si>
  <si>
    <t>Kandelia candel</t>
  </si>
  <si>
    <t>Cytisus proliferus</t>
  </si>
  <si>
    <t>Melilotus messanensis</t>
  </si>
  <si>
    <t>Eysenhardtia subcoriacea Pennell</t>
  </si>
  <si>
    <t>Laurus nobilis</t>
  </si>
  <si>
    <t>Averrhoa carambola</t>
  </si>
  <si>
    <t>Cytisus striatus</t>
  </si>
  <si>
    <t>Melilotus officinalis</t>
  </si>
  <si>
    <t>Phlomis caucasica</t>
  </si>
  <si>
    <t>Fagopyrum esculentum</t>
  </si>
  <si>
    <t>Betula papyrifera</t>
  </si>
  <si>
    <t>Melilotus sulcatus</t>
  </si>
  <si>
    <t>Fagopyrum homotropicum</t>
  </si>
  <si>
    <t>Pelargonium reniforme</t>
  </si>
  <si>
    <t>Bowdichia nitida</t>
  </si>
  <si>
    <t>Daphne genkwa</t>
  </si>
  <si>
    <t>Melilotus wolgicus</t>
  </si>
  <si>
    <t>Geranium pratense</t>
  </si>
  <si>
    <t>Carpinus cordata</t>
  </si>
  <si>
    <t>Millettia racemosa</t>
  </si>
  <si>
    <t>Piper crassinervium Kunth</t>
  </si>
  <si>
    <t>Mucor hiemalis</t>
  </si>
  <si>
    <t>Psoralea repens</t>
  </si>
  <si>
    <t>Bupleurum scorzonerifolium</t>
  </si>
  <si>
    <t>Myrica cerifera</t>
  </si>
  <si>
    <t>Podocarpus fasciculus</t>
  </si>
  <si>
    <t>Pterocarpus angolensis</t>
  </si>
  <si>
    <t>Cassia roxburghii</t>
  </si>
  <si>
    <t>Myrica nagi</t>
  </si>
  <si>
    <t>Polygonum minus</t>
  </si>
  <si>
    <t>Nymphaea alba</t>
  </si>
  <si>
    <t>Pueraria phaseoloides</t>
  </si>
  <si>
    <t>Cajanus scarabaeoides</t>
  </si>
  <si>
    <t>Ceiba pentandra</t>
  </si>
  <si>
    <t>Polymnia fruticosa</t>
  </si>
  <si>
    <t>Calicotome spinosa</t>
  </si>
  <si>
    <t>Nymphaea odorata</t>
  </si>
  <si>
    <t>Larix sibirica</t>
  </si>
  <si>
    <t>Retama monosperma</t>
  </si>
  <si>
    <t>Calicotome villosa</t>
  </si>
  <si>
    <t>Chamaerops humilis</t>
  </si>
  <si>
    <t>Nymphaea lotus</t>
  </si>
  <si>
    <t>Prunus cerasus</t>
  </si>
  <si>
    <t>Nymphaea stellata</t>
  </si>
  <si>
    <t>Retama raetam</t>
  </si>
  <si>
    <t>Calopogonium caeruleum</t>
  </si>
  <si>
    <t>Prunus davidiana</t>
  </si>
  <si>
    <t>Lupinus albus</t>
  </si>
  <si>
    <t>Camptosema rubicundum</t>
  </si>
  <si>
    <t>Maytenus heterophylla</t>
  </si>
  <si>
    <t>Rhododendron fortunei</t>
  </si>
  <si>
    <t>Canavalia eurycarpa</t>
  </si>
  <si>
    <t>Epimedium wushanense</t>
  </si>
  <si>
    <t>Peltophorum africanum</t>
  </si>
  <si>
    <t>Rhododendron kaempferi</t>
  </si>
  <si>
    <t>Canavalia gladiata</t>
  </si>
  <si>
    <t>Cola acuminata</t>
  </si>
  <si>
    <t>Pimenta dioica</t>
  </si>
  <si>
    <t>Prunus yedoensis</t>
  </si>
  <si>
    <t>Phellodendron amurense</t>
  </si>
  <si>
    <t>Plinia pinnata</t>
  </si>
  <si>
    <t>Pseudotsuga wilsoniana</t>
  </si>
  <si>
    <t>Phellodendron japonicum MAXIM</t>
  </si>
  <si>
    <t>Clitoria falcata</t>
  </si>
  <si>
    <t>Equisetum hiemale</t>
  </si>
  <si>
    <t>Posidonia oceanica</t>
  </si>
  <si>
    <t>Ficus formosana</t>
  </si>
  <si>
    <t>Clitoria ternatea</t>
  </si>
  <si>
    <t>Eucommia ulmoides</t>
  </si>
  <si>
    <t>Crataegus monogyna calli</t>
  </si>
  <si>
    <t>Prosopis reptans</t>
  </si>
  <si>
    <t>Phyllanthus niruri</t>
  </si>
  <si>
    <t>Ficus hirta</t>
  </si>
  <si>
    <t>Rhynchosia caribaea</t>
  </si>
  <si>
    <t>Crotalaria juncea</t>
  </si>
  <si>
    <t>Eugenia edulis</t>
  </si>
  <si>
    <t>Pseudolarix amabilis</t>
  </si>
  <si>
    <t>Rhynchosia beddomei</t>
  </si>
  <si>
    <t>Phyllanthus urinaria</t>
  </si>
  <si>
    <t>Genista ephedroides</t>
  </si>
  <si>
    <t>Ochna beddomei</t>
  </si>
  <si>
    <t>Rhynchosia densiflora</t>
  </si>
  <si>
    <t>Cudrania cochinchinensis</t>
  </si>
  <si>
    <t>Desmoncus polyacanthos</t>
  </si>
  <si>
    <t>Satureja subspicata</t>
  </si>
  <si>
    <t>Pinus roxburghii</t>
  </si>
  <si>
    <t>Rhynchosia hirsuta</t>
  </si>
  <si>
    <t>Cytisus albus</t>
  </si>
  <si>
    <t>Euphorbia geniculata</t>
  </si>
  <si>
    <t>Rhododendron calophytum</t>
  </si>
  <si>
    <t>Podocarpus nagi</t>
  </si>
  <si>
    <t>Rhynchosia phaseoloides</t>
  </si>
  <si>
    <t>Cytisus baeticus</t>
  </si>
  <si>
    <t>Euphorbia lunulata</t>
  </si>
  <si>
    <t>Sophora japonica</t>
  </si>
  <si>
    <t>Piper umbellatum</t>
  </si>
  <si>
    <t>Gnaphalium affine</t>
  </si>
  <si>
    <t>Polygonum bistorta</t>
  </si>
  <si>
    <t>Rhynchosia pyramidalis</t>
  </si>
  <si>
    <t>Cytisus commutatus</t>
  </si>
  <si>
    <t>Euphorbia magalanta</t>
  </si>
  <si>
    <t>Swartzia polyphylla</t>
  </si>
  <si>
    <t>Polygonum hydropiper</t>
  </si>
  <si>
    <t>Strongylodon macrobotrys</t>
  </si>
  <si>
    <t>Cytisus fontanesii</t>
  </si>
  <si>
    <t>Euphorbia pekinensis</t>
  </si>
  <si>
    <t>Etlingera elatior</t>
  </si>
  <si>
    <t>Erycibe expansa</t>
  </si>
  <si>
    <t>Halophila stipulacea</t>
  </si>
  <si>
    <t>Potentilla anserina</t>
  </si>
  <si>
    <t>Euphorbia prostrata</t>
  </si>
  <si>
    <t>Eucalyptus camaldulensis</t>
  </si>
  <si>
    <t>Erythrophleum suaveolens</t>
  </si>
  <si>
    <t>Cytisus ratisbonensis</t>
  </si>
  <si>
    <t>Euphorbia virgata</t>
  </si>
  <si>
    <t>Eucommia ulmoides Oliver</t>
  </si>
  <si>
    <t>Ficus cordata</t>
  </si>
  <si>
    <t>Rhododendron mucronatum</t>
  </si>
  <si>
    <t>Psidium guajava</t>
  </si>
  <si>
    <t>Prunus domestica</t>
  </si>
  <si>
    <t>Cytisus scoparius</t>
  </si>
  <si>
    <t>Euodia meliaefolia</t>
  </si>
  <si>
    <t>Galega officinalis</t>
  </si>
  <si>
    <t>Rhododendron ponticum</t>
  </si>
  <si>
    <t>Typha angustifolia</t>
  </si>
  <si>
    <t>Psorospermum androsaemifolium BAKER</t>
  </si>
  <si>
    <t>Ibicella lutea</t>
  </si>
  <si>
    <t>Teyleria koordersii</t>
  </si>
  <si>
    <t>Genista acanthoclada</t>
  </si>
  <si>
    <t>Indigofera tetrantha</t>
  </si>
  <si>
    <t>Thermopsis alterniflora</t>
  </si>
  <si>
    <t>Genista carpetana</t>
  </si>
  <si>
    <t>Viscum angulatum</t>
  </si>
  <si>
    <t>Kummerowia striata</t>
  </si>
  <si>
    <t>Rheum emodi</t>
  </si>
  <si>
    <t>Thermopsis macrophylla</t>
  </si>
  <si>
    <t>Derris scandens</t>
  </si>
  <si>
    <t>Gleditsia triacanthos</t>
  </si>
  <si>
    <t>Genista corsica</t>
  </si>
  <si>
    <t>Viscum coloratum</t>
  </si>
  <si>
    <t>Lactuca indica</t>
  </si>
  <si>
    <t>Rhodiola crenulata</t>
  </si>
  <si>
    <t>Thermopsis mollis</t>
  </si>
  <si>
    <t>Desmodium gangeticum</t>
  </si>
  <si>
    <t>Gymnosporia trigyna</t>
  </si>
  <si>
    <t>Genista depressa</t>
  </si>
  <si>
    <t>Rhus parviflora</t>
  </si>
  <si>
    <t>Larrea divaricata</t>
  </si>
  <si>
    <t>Thermopsis rhombifolia</t>
  </si>
  <si>
    <t>Desmodium uncinatum</t>
  </si>
  <si>
    <t>Gutierrezia wrightii</t>
  </si>
  <si>
    <t>Genista ferox</t>
  </si>
  <si>
    <t>Rhus wallichi</t>
  </si>
  <si>
    <t>Xylopia poilanei</t>
  </si>
  <si>
    <t>Larrea tridentata</t>
  </si>
  <si>
    <t>Thermopsis villosa</t>
  </si>
  <si>
    <t>Dipogon lignosus</t>
  </si>
  <si>
    <t>Gynostemma cardiospermum</t>
  </si>
  <si>
    <t>Genista januensis</t>
  </si>
  <si>
    <t>Rosa damascene</t>
  </si>
  <si>
    <t>Rhododendron galactinum</t>
  </si>
  <si>
    <t>Leiothrix curvifolia</t>
  </si>
  <si>
    <t>Trifolium campestre</t>
  </si>
  <si>
    <t>Dunbaria villosa</t>
  </si>
  <si>
    <t>Haplopappus foliosus</t>
  </si>
  <si>
    <t>Genista lydia</t>
  </si>
  <si>
    <t>Salvia hispanica</t>
  </si>
  <si>
    <t>Rhododendron insigne</t>
  </si>
  <si>
    <t>Lespedeza virgata</t>
  </si>
  <si>
    <t>Trifolium globosum</t>
  </si>
  <si>
    <t>Echinosophora koreensis</t>
  </si>
  <si>
    <t>Hedysarum caucasicum</t>
  </si>
  <si>
    <t>Genista morisii</t>
  </si>
  <si>
    <t>Leucas aspera</t>
  </si>
  <si>
    <t>Trifolium pannonicum</t>
  </si>
  <si>
    <t>Echinospartum horridum</t>
  </si>
  <si>
    <t>Hedysarum sericeum</t>
  </si>
  <si>
    <t>Liquidambar styraciflua</t>
  </si>
  <si>
    <t>Genista nissana</t>
  </si>
  <si>
    <t>Sedum takesimense Nakai</t>
  </si>
  <si>
    <t>Leucophyllum ambiguum</t>
  </si>
  <si>
    <t>Trifolium repens</t>
  </si>
  <si>
    <t>Erinacea anthyllis</t>
  </si>
  <si>
    <t>Machilus thunbergii</t>
  </si>
  <si>
    <t>Genista obtusiramea</t>
  </si>
  <si>
    <t>Semecarpus vitiensis</t>
  </si>
  <si>
    <t>Ulex boivinii</t>
  </si>
  <si>
    <t>Eriosema glomeratum</t>
  </si>
  <si>
    <t>Hippocratea mucronata</t>
  </si>
  <si>
    <t>Genista pilosa</t>
  </si>
  <si>
    <t>Soymida febrifuga</t>
  </si>
  <si>
    <t>Ulex europaeus</t>
  </si>
  <si>
    <t>Eriosema nutans</t>
  </si>
  <si>
    <t>Genista sagittalis</t>
  </si>
  <si>
    <t>Syzygium aromaticum</t>
  </si>
  <si>
    <t>Ulex gallii</t>
  </si>
  <si>
    <t>Eriosema psoraleoides</t>
  </si>
  <si>
    <t>Mitrella kentii</t>
  </si>
  <si>
    <t>Genista scorpius</t>
  </si>
  <si>
    <t>Ulex genistoides</t>
  </si>
  <si>
    <t>Hypericum ascyron</t>
  </si>
  <si>
    <t>Genista spartioides</t>
  </si>
  <si>
    <t>Syzygium samarangense</t>
  </si>
  <si>
    <t>Melandrium album</t>
  </si>
  <si>
    <t>Ulex micranthus</t>
  </si>
  <si>
    <t>Erythrina burttii</t>
  </si>
  <si>
    <t>Hypericum japonicum</t>
  </si>
  <si>
    <t>Genista stenopetala</t>
  </si>
  <si>
    <t>Rodgersia podophylla</t>
  </si>
  <si>
    <t>Mentha pulegium</t>
  </si>
  <si>
    <t>Ulex minor</t>
  </si>
  <si>
    <t>Erythrina indica</t>
  </si>
  <si>
    <t>Parkia biglobosa</t>
  </si>
  <si>
    <t>Genista teretifolia</t>
  </si>
  <si>
    <t>Thuja orientalis</t>
  </si>
  <si>
    <t>Rosa luciae</t>
  </si>
  <si>
    <t>Mentha x piperita</t>
  </si>
  <si>
    <t>Ulex parviflorus</t>
  </si>
  <si>
    <t>Erythrina latissima</t>
  </si>
  <si>
    <t>Genista tinctoria</t>
  </si>
  <si>
    <t>Rumex acetosa</t>
  </si>
  <si>
    <t>Microtoena prainiana</t>
  </si>
  <si>
    <t>Rumex japonicus</t>
  </si>
  <si>
    <t>Vandasina retusa</t>
  </si>
  <si>
    <t>Erythroxylum ulei</t>
  </si>
  <si>
    <t>Impatiens capensis</t>
  </si>
  <si>
    <t>Genista triacanthos</t>
  </si>
  <si>
    <t>Trigonella balansae</t>
  </si>
  <si>
    <t>Salvia dorrii</t>
  </si>
  <si>
    <t>Inula britannica</t>
  </si>
  <si>
    <t>Genista versicolor</t>
  </si>
  <si>
    <t>Trigonella calliceras</t>
  </si>
  <si>
    <t>Sarcandra glabra</t>
  </si>
  <si>
    <t>Newbouldia laevis</t>
  </si>
  <si>
    <t>Saraca asoca</t>
  </si>
  <si>
    <t>Kaempferia galanga</t>
  </si>
  <si>
    <t>Picea abies</t>
  </si>
  <si>
    <t>Gentiana arisanensis</t>
  </si>
  <si>
    <t>Trigonella cretica</t>
  </si>
  <si>
    <t>Saussurea medusa</t>
  </si>
  <si>
    <t>Notholaena candida</t>
  </si>
  <si>
    <t>Schotia brachypetala</t>
  </si>
  <si>
    <t>Vigna mungo</t>
  </si>
  <si>
    <t>Ficus nymphaeifolia</t>
  </si>
  <si>
    <t>Polygonum cuspidatum</t>
  </si>
  <si>
    <t>Gentianopsis paludosa</t>
  </si>
  <si>
    <t>Trigonella geminiflora</t>
  </si>
  <si>
    <t>Scurrula atropurpurea</t>
  </si>
  <si>
    <t>Ficus septica</t>
  </si>
  <si>
    <t>Vicia bithynica</t>
  </si>
  <si>
    <t>Sinocrassula indica</t>
  </si>
  <si>
    <t>Ocimum sanctum</t>
  </si>
  <si>
    <t>Vigna subterranea</t>
  </si>
  <si>
    <t>Flemingia macrophylla</t>
  </si>
  <si>
    <t>Prosopis nigra</t>
  </si>
  <si>
    <t>Gleditsia australis</t>
  </si>
  <si>
    <t>Smilax bracteata</t>
  </si>
  <si>
    <t>Onopordum acanthium</t>
  </si>
  <si>
    <t>Wisteria brachybotrys</t>
  </si>
  <si>
    <t>Flemingia philippinensis</t>
  </si>
  <si>
    <t>Prosopis torquata</t>
  </si>
  <si>
    <t>Vicia johannis</t>
  </si>
  <si>
    <t>Smilax riparia</t>
  </si>
  <si>
    <t>Onosma hispida</t>
  </si>
  <si>
    <t>Spatholobus suberectus</t>
  </si>
  <si>
    <t>Wisteria sinensis</t>
  </si>
  <si>
    <t>Lysimachia capillipes</t>
  </si>
  <si>
    <t>Gonocytisus angulatus</t>
  </si>
  <si>
    <t>Solidago canadensis</t>
  </si>
  <si>
    <t>Tamarindus indica</t>
  </si>
  <si>
    <t>Flemingia strobilifera</t>
  </si>
  <si>
    <t>Lysimachia christinae</t>
  </si>
  <si>
    <t>Phlomis nissolii</t>
  </si>
  <si>
    <t>Galactia jussiaeana</t>
  </si>
  <si>
    <t>Prunus tomentosa</t>
  </si>
  <si>
    <t>Hesperolaburnum platycarpum</t>
  </si>
  <si>
    <t>Physocarpus capitatus</t>
  </si>
  <si>
    <t>Theobroma grandiflorum</t>
  </si>
  <si>
    <t>Spiraea formosana</t>
  </si>
  <si>
    <t>Picris cyanocarpa</t>
  </si>
  <si>
    <t>Toona sinensis</t>
  </si>
  <si>
    <t>Genista albida</t>
  </si>
  <si>
    <t>Quercus robur</t>
  </si>
  <si>
    <t>Styphnolobium japonicum</t>
  </si>
  <si>
    <t>Picris kamtschatica</t>
  </si>
  <si>
    <t>Uncaria elliptica</t>
  </si>
  <si>
    <t>Genista anglica</t>
  </si>
  <si>
    <t>Meconopsis betonicifolia</t>
  </si>
  <si>
    <t>Inula japonica</t>
  </si>
  <si>
    <t>Uncaria gambir</t>
  </si>
  <si>
    <t>Genista canariensis</t>
  </si>
  <si>
    <t>Rheum palmatum</t>
  </si>
  <si>
    <t>Juncus effusus</t>
  </si>
  <si>
    <t>Plantago major</t>
  </si>
  <si>
    <t>Uncaria rhynchophylla</t>
  </si>
  <si>
    <t>Genista cupanii</t>
  </si>
  <si>
    <t>Rheum tanguticum</t>
  </si>
  <si>
    <t>Uncaria tomentosa</t>
  </si>
  <si>
    <t>Microtropis fokienensis</t>
  </si>
  <si>
    <t>Pogostemon cablin</t>
  </si>
  <si>
    <t>Vaccinium macrocarpon</t>
  </si>
  <si>
    <t>Lathyrus pratensis</t>
  </si>
  <si>
    <t>Genista hispanica</t>
  </si>
  <si>
    <t>Morinda citrifolia</t>
  </si>
  <si>
    <t>Trifolium pratense</t>
  </si>
  <si>
    <t>Genista hystrix</t>
  </si>
  <si>
    <t>Lens culinaris</t>
  </si>
  <si>
    <t>Genista linifolia</t>
  </si>
  <si>
    <t>Nerium oleander</t>
  </si>
  <si>
    <t>Leontodon autumnalis</t>
  </si>
  <si>
    <t>Warburgia stuhlmannii</t>
  </si>
  <si>
    <t>Genista lobelii</t>
  </si>
  <si>
    <t>Notholaena standleyi</t>
  </si>
  <si>
    <t>Lippia sidoides</t>
  </si>
  <si>
    <t>Xylopia emarginata</t>
  </si>
  <si>
    <t>Rhaponticum carthamoides</t>
  </si>
  <si>
    <t>Xylopia vielana</t>
  </si>
  <si>
    <t>Genista microphylla</t>
  </si>
  <si>
    <t>Lupinus arboreus</t>
  </si>
  <si>
    <t>Xylopia langsdorffiana</t>
  </si>
  <si>
    <t>Rhodiola kirilowii</t>
  </si>
  <si>
    <t>Genista monspessulana</t>
  </si>
  <si>
    <t>Lupinus polyphyllus</t>
  </si>
  <si>
    <t>Rhodiola rosea</t>
  </si>
  <si>
    <t>Lupinus sericeus</t>
  </si>
  <si>
    <t>Xyris pteygoblephara</t>
  </si>
  <si>
    <t>Rosmarinus officinalis</t>
  </si>
  <si>
    <t>Onobrychis vassiltschenkoi</t>
  </si>
  <si>
    <t>Luzula multiflora</t>
  </si>
  <si>
    <t>Salvia aegyptiaca</t>
  </si>
  <si>
    <t>Genista pulchella</t>
  </si>
  <si>
    <t>Ononis leiosperma</t>
  </si>
  <si>
    <t>Machilus philippinensis</t>
  </si>
  <si>
    <t>Zingiber officinale</t>
  </si>
  <si>
    <t>Salvia albimaculata</t>
  </si>
  <si>
    <t>Genista radiata</t>
  </si>
  <si>
    <t>Ophioglossum petiolatum</t>
  </si>
  <si>
    <t>Zygophyllum album</t>
  </si>
  <si>
    <t>Salvia glutinosa</t>
  </si>
  <si>
    <t>Paeonia albiflora</t>
  </si>
  <si>
    <t>Matricaria chamomilla</t>
  </si>
  <si>
    <t>Salvia horminum</t>
  </si>
  <si>
    <t>Genista salzmannii</t>
  </si>
  <si>
    <t>Rosa amblyotis</t>
  </si>
  <si>
    <t>Salvia kopolnovii</t>
  </si>
  <si>
    <t>Rosa cymosa</t>
  </si>
  <si>
    <t>Medicago coronata</t>
  </si>
  <si>
    <t>Salvia lavandulaefolia</t>
  </si>
  <si>
    <t>Genista sericea</t>
  </si>
  <si>
    <t>Rosa maximowicziana</t>
  </si>
  <si>
    <t>Salvia lavandulifolia</t>
  </si>
  <si>
    <t>Genista sessilifolia</t>
  </si>
  <si>
    <t>Phegopteris connectilis</t>
  </si>
  <si>
    <t>Rumex patientia</t>
  </si>
  <si>
    <t>Medicago littoralis</t>
  </si>
  <si>
    <t>Salvia limbata</t>
  </si>
  <si>
    <t>Medicago marina</t>
  </si>
  <si>
    <t>Salvia moorcroftiana</t>
  </si>
  <si>
    <t>Salix caprea</t>
  </si>
  <si>
    <t>Medicago minima</t>
  </si>
  <si>
    <t>Salvia nemorosa</t>
  </si>
  <si>
    <t>Genista subcapitata</t>
  </si>
  <si>
    <t>Picea obovata</t>
  </si>
  <si>
    <t>Salvia officinalis</t>
  </si>
  <si>
    <t>Salvia palaestina</t>
  </si>
  <si>
    <t>Salvia pedicellata</t>
  </si>
  <si>
    <t>Genista tridens</t>
  </si>
  <si>
    <t>Merremia tridentata</t>
  </si>
  <si>
    <t>Salvia pinnata</t>
  </si>
  <si>
    <t>Genista tridentata</t>
  </si>
  <si>
    <t>Salvia pratensis</t>
  </si>
  <si>
    <t>Genista ulicina</t>
  </si>
  <si>
    <t>Potentilla chinensis</t>
  </si>
  <si>
    <t>Myoporum bontioides</t>
  </si>
  <si>
    <t>Salvia sclarea</t>
  </si>
  <si>
    <t>Glycine canescens</t>
  </si>
  <si>
    <t>Prunus mahaleb</t>
  </si>
  <si>
    <t>Thalassia ciliatum</t>
  </si>
  <si>
    <t>Notholaena californica</t>
  </si>
  <si>
    <t>Salvia staminea</t>
  </si>
  <si>
    <t>Glycine clandestina</t>
  </si>
  <si>
    <t>Salvia verbenaca</t>
  </si>
  <si>
    <t>Glycine falcata</t>
  </si>
  <si>
    <t>Pterospermum lanceaefolium</t>
  </si>
  <si>
    <t>Ononis spinosa</t>
  </si>
  <si>
    <t>Salvia yosgadensis</t>
  </si>
  <si>
    <t>Glycine latifolia</t>
  </si>
  <si>
    <t>Trachycarpus fortunei</t>
  </si>
  <si>
    <t>Parkinsonia aculeata</t>
  </si>
  <si>
    <t>Santolina chamaecyperissus</t>
  </si>
  <si>
    <t>Pyrrosia lingua</t>
  </si>
  <si>
    <t>Sapindus mukorossi</t>
  </si>
  <si>
    <t>Glycine tabacina</t>
  </si>
  <si>
    <t>Glycine tomentella</t>
  </si>
  <si>
    <t>Rhamnus davurica</t>
  </si>
  <si>
    <t>Uncaria lanosa</t>
  </si>
  <si>
    <t>Phyllospadix iwatensis</t>
  </si>
  <si>
    <t>Rhamnus disperma</t>
  </si>
  <si>
    <t>Phyllospadix japonicus</t>
  </si>
  <si>
    <t>Schnabelia tetradonta</t>
  </si>
  <si>
    <t>Scorzonera divaricata</t>
  </si>
  <si>
    <t>Scutellaria barbata</t>
  </si>
  <si>
    <t>Hardenbergia violacea</t>
  </si>
  <si>
    <t>Scutellaria karjagini</t>
  </si>
  <si>
    <t>Xylocarpus granatum</t>
  </si>
  <si>
    <t>Scutellaria orientalis</t>
  </si>
  <si>
    <t>Kennedia coccinea</t>
  </si>
  <si>
    <t>Rhodiola sacra</t>
  </si>
  <si>
    <t>Podocytisus caramanicus</t>
  </si>
  <si>
    <t>Scutellaria strigillosa</t>
  </si>
  <si>
    <t>Kennedia nigricans</t>
  </si>
  <si>
    <t>Rhododendron dauricum</t>
  </si>
  <si>
    <t>Prosopis affinis</t>
  </si>
  <si>
    <t>Sonchus arvensis</t>
  </si>
  <si>
    <t>Kennedia procurrens</t>
  </si>
  <si>
    <t>Rhododendron huianum</t>
  </si>
  <si>
    <t>Prosopis alba</t>
  </si>
  <si>
    <t>Spiraea hypericifolia</t>
  </si>
  <si>
    <t>Kennedia rubicunda</t>
  </si>
  <si>
    <t>Prosopis argentina</t>
  </si>
  <si>
    <t>Taraxacum officinale</t>
  </si>
  <si>
    <t>Lablab purpureus</t>
  </si>
  <si>
    <t>Prosopis chilensis</t>
  </si>
  <si>
    <t>Laburnum anagyroides</t>
  </si>
  <si>
    <t>Prosopis flexuosa</t>
  </si>
  <si>
    <t>Prosopis glandulosa</t>
  </si>
  <si>
    <t>Lespedeza juncea</t>
  </si>
  <si>
    <t>Prosopis juliflora</t>
  </si>
  <si>
    <t>Thalassia testudinum</t>
  </si>
  <si>
    <t>Salvia farinacea</t>
  </si>
  <si>
    <t>Prosopis laevigata</t>
  </si>
  <si>
    <t>Thymus serpyllum</t>
  </si>
  <si>
    <t>Salvia folium</t>
  </si>
  <si>
    <t>Verbascum lychnitis</t>
  </si>
  <si>
    <t>Lupinus arcticus</t>
  </si>
  <si>
    <t>Veronica spicata</t>
  </si>
  <si>
    <t>Lupinus elegans</t>
  </si>
  <si>
    <t>Saxifraga azizoon</t>
  </si>
  <si>
    <t>Prosopis ruscifolia</t>
  </si>
  <si>
    <t>Lupinus luteus</t>
  </si>
  <si>
    <t>Sedum ewersii</t>
  </si>
  <si>
    <t>Prosopis sericantha</t>
  </si>
  <si>
    <t>Xiphidium caeruleum</t>
  </si>
  <si>
    <t>Lupinus mutabilis</t>
  </si>
  <si>
    <t>Prosopis strombulifera</t>
  </si>
  <si>
    <t>Lupinus nanus</t>
  </si>
  <si>
    <t>Sinoadina Racemosa</t>
  </si>
  <si>
    <t>Prosopis velutina</t>
  </si>
  <si>
    <t>Lupinus pilosus</t>
  </si>
  <si>
    <t>Prosopis vinalillo</t>
  </si>
  <si>
    <t>Solanum elaeagnifolium</t>
  </si>
  <si>
    <t>Prunella vulgaris</t>
  </si>
  <si>
    <t>Maackia amurensis</t>
  </si>
  <si>
    <t>Reseda luteola</t>
  </si>
  <si>
    <t>Macroptilium bracteatum</t>
  </si>
  <si>
    <t>Macroptilium lathyroides</t>
  </si>
  <si>
    <t>Macroptilium martii</t>
  </si>
  <si>
    <t>Taxus brevifolia</t>
  </si>
  <si>
    <t>Rhynchosia suaveolens</t>
  </si>
  <si>
    <t>Millettia dielsiana</t>
  </si>
  <si>
    <t>Tetrapanax papyriferus</t>
  </si>
  <si>
    <t>Mucuna pruriens</t>
  </si>
  <si>
    <t>Neonotonia wightii</t>
  </si>
  <si>
    <t>Thesium chinense</t>
  </si>
  <si>
    <t>Neorautanenia amboensis</t>
  </si>
  <si>
    <t>Thevetia peruviana</t>
  </si>
  <si>
    <t>Salvia hypoleuca</t>
  </si>
  <si>
    <t>Ormosia monosperma</t>
  </si>
  <si>
    <t>Otholobium bolusii</t>
  </si>
  <si>
    <t>Urtica dioica</t>
  </si>
  <si>
    <t>Otholobium bracteolatum</t>
  </si>
  <si>
    <t>Vicia amoena</t>
  </si>
  <si>
    <t>Otholobium candicans</t>
  </si>
  <si>
    <t>Salvia nutans</t>
  </si>
  <si>
    <t>Otholobium hirtum</t>
  </si>
  <si>
    <t>Vismia laurentii</t>
  </si>
  <si>
    <t>Otholobium spicatum</t>
  </si>
  <si>
    <t>Otholobium striatum</t>
  </si>
  <si>
    <t>Otholobium uncinatum</t>
  </si>
  <si>
    <t>Otholobium wilmsii</t>
  </si>
  <si>
    <t>Pericopsis laxiflora</t>
  </si>
  <si>
    <t>Phaseolus coccineus</t>
  </si>
  <si>
    <t>Phaseolus lunatus</t>
  </si>
  <si>
    <t>Schizonepeta tenuifolia</t>
  </si>
  <si>
    <t>Piptanthus nepalensis</t>
  </si>
  <si>
    <t>Pisum sativum</t>
  </si>
  <si>
    <t>Senna didymobotrya</t>
  </si>
  <si>
    <t>Senna siamea</t>
  </si>
  <si>
    <t>Pseudeminia comosa</t>
  </si>
  <si>
    <t>Pseudoeriosema borianii</t>
  </si>
  <si>
    <t>Pseudovigna argentea</t>
  </si>
  <si>
    <t>Sonneratia caseolaris</t>
  </si>
  <si>
    <t>Psoralea aculeata</t>
  </si>
  <si>
    <t>Sophora microphylla</t>
  </si>
  <si>
    <t>Psoralea arborea</t>
  </si>
  <si>
    <t>Sophora prostrata</t>
  </si>
  <si>
    <t>Psoralea axillaris</t>
  </si>
  <si>
    <t>Syringa afghanica</t>
  </si>
  <si>
    <t>Psoralea corylifolia</t>
  </si>
  <si>
    <t>Psoralea effusa</t>
  </si>
  <si>
    <t>Psoralea fascicularis</t>
  </si>
  <si>
    <t>Psoralea laxa</t>
  </si>
  <si>
    <t>Psoralea oligophylla</t>
  </si>
  <si>
    <t>Thermopsis dolichocarpa</t>
  </si>
  <si>
    <t>Pueraria mirifica</t>
  </si>
  <si>
    <t>Pueraria tuberosa</t>
  </si>
  <si>
    <t>Verbascum sinaiticum</t>
  </si>
  <si>
    <t>Vernonia pectoralis</t>
  </si>
  <si>
    <t>Vicia acutifolia</t>
  </si>
  <si>
    <t>Vicia americana</t>
  </si>
  <si>
    <t>Vicia articulata</t>
  </si>
  <si>
    <t>Vicia balansae</t>
  </si>
  <si>
    <t>Vicia benghalensis</t>
  </si>
  <si>
    <t>Vicia ciceroidea</t>
  </si>
  <si>
    <t>Vicia cracca</t>
  </si>
  <si>
    <t>Securidaca inappendiculata</t>
  </si>
  <si>
    <t>Vicia dumetorum</t>
  </si>
  <si>
    <t>Vicia epetiolaris</t>
  </si>
  <si>
    <t>Sophora secundiflora</t>
  </si>
  <si>
    <t>Vicia ervilia</t>
  </si>
  <si>
    <t>Sophora subprostrata</t>
  </si>
  <si>
    <t>Vicia floridana</t>
  </si>
  <si>
    <t>Vicia glauca</t>
  </si>
  <si>
    <t>Vicia hirsuta</t>
  </si>
  <si>
    <t>Vicia michauxii</t>
  </si>
  <si>
    <t>Vicia minutiflora</t>
  </si>
  <si>
    <t>Vicia mollis</t>
  </si>
  <si>
    <t>Vicia monantha</t>
  </si>
  <si>
    <t>Vicia multijuga</t>
  </si>
  <si>
    <t>Vicia ochroleuca</t>
  </si>
  <si>
    <t>Vicia onobrychioides</t>
  </si>
  <si>
    <t>Vicia pannonica</t>
  </si>
  <si>
    <t>Vicia pinetorum</t>
  </si>
  <si>
    <t>Vicia sicula</t>
  </si>
  <si>
    <t>Vicia splendens</t>
  </si>
  <si>
    <t>Vicia sylvatica</t>
  </si>
  <si>
    <t>Vicia tenuifolia</t>
  </si>
  <si>
    <t>Vigna trilobata</t>
  </si>
  <si>
    <t>\</t>
  </si>
  <si>
    <t>Output From NPASS</t>
  </si>
  <si>
    <t>Compound name</t>
  </si>
  <si>
    <t>Metabolite ID</t>
  </si>
  <si>
    <t>Metabolite Name</t>
  </si>
  <si>
    <t>C00003817</t>
  </si>
  <si>
    <t>Kaempferol 3,7-Di-O-Beta-D-Glucopyranoside</t>
  </si>
  <si>
    <t>C00000947</t>
  </si>
  <si>
    <t>C00006941</t>
  </si>
  <si>
    <t>Isoquercetin</t>
  </si>
  <si>
    <t>C00000956</t>
  </si>
  <si>
    <t>3-O-Methylquercetin</t>
  </si>
  <si>
    <t>C00000982</t>
  </si>
  <si>
    <t>C00006614</t>
  </si>
  <si>
    <t>3,6-Dimethoxy Kaempferol</t>
  </si>
  <si>
    <t>C00002526</t>
  </si>
  <si>
    <t>Eriodictyol</t>
  </si>
  <si>
    <t>C00000960</t>
  </si>
  <si>
    <t>C00004565</t>
  </si>
  <si>
    <t>C00004631</t>
  </si>
  <si>
    <t>C00008818</t>
  </si>
  <si>
    <t>Galuteolin</t>
  </si>
  <si>
    <t>C00005178</t>
  </si>
  <si>
    <t>{Kaempferol IN NAME} Kaempferol 3-galactoside-7-rhamnoside</t>
  </si>
  <si>
    <t>C00008817</t>
  </si>
  <si>
    <t>C00005234</t>
  </si>
  <si>
    <t>{Kaempferol IN NAME} Kaempferol 3-gentiobioside-7-rhamnoside</t>
  </si>
  <si>
    <t>C00005428</t>
  </si>
  <si>
    <t>{Quercetin IN NAME} Quercetin 3-O-beta-D-glucopyranosyl-7-O-alpha-L-rhamnopyranoside</t>
  </si>
  <si>
    <t>Quercetin-3-O-Rhamnoside</t>
  </si>
  <si>
    <t>C00005432</t>
  </si>
  <si>
    <t>{Quercetin IN NAME} Quercetin 3	7-di-O-alpha-L-rhamnopyranoside</t>
  </si>
  <si>
    <t>C00006925</t>
  </si>
  <si>
    <t>C00000674</t>
  </si>
  <si>
    <t>C00006673</t>
  </si>
  <si>
    <t>{Cyanidin IN NAME} Cyanidin 3-sambubioside-5-glucoside</t>
  </si>
  <si>
    <t>C00001071</t>
  </si>
  <si>
    <t>C00007233</t>
  </si>
  <si>
    <t>{Naringenin IN NAME} Naringenin chalcone</t>
  </si>
  <si>
    <t>C00007234</t>
  </si>
  <si>
    <t>{Kaempferol IN NAME} dihydrokaempferol</t>
  </si>
  <si>
    <t>Trimethylapigenin</t>
  </si>
  <si>
    <t>C00007235</t>
  </si>
  <si>
    <t>{Cyanidin IN NAME} Leucocyanidin</t>
  </si>
  <si>
    <t>C00007402</t>
  </si>
  <si>
    <t>{Quercetin IN NAME} Quercetin 3-O-[6''-O-rhamnosyl)glucoside] 7-O-rhamnoside</t>
  </si>
  <si>
    <t>C00007570</t>
  </si>
  <si>
    <t>{Cyanidin IN NAME} Cyanidin 3-O-[2-O-(2-O-(sinapoyl)-bata-D-xylopyranosyl) 6-O-(4-O-(beta-D-glucopyranosyl)-p-coumaroyl-bata-D-glucopyranoside] 5-O-[6-O-(malonyl) bata-D-glucopyranoside]</t>
  </si>
  <si>
    <t>C00007655</t>
  </si>
  <si>
    <t>{Cyanidin IN NAME} Cyanidin 3-O-[2''-O-(xylosyl) glucoside] 5-O-(6'''-O-malonyl) glucoside</t>
  </si>
  <si>
    <t>C00007656</t>
  </si>
  <si>
    <t>{Cyanidin IN NAME} Cyanidin 3-O-[2''-O-(2'''-O-(sinapoyl) xylosyl) glucoside] 5-O-glucoside</t>
  </si>
  <si>
    <t>C00007657</t>
  </si>
  <si>
    <t>{Cyanidin IN NAME} Cyanidin 3-O-[2''-O-(xylosyl)-6''-O-(p-coumaroyl) glucoside] 5-O-malonylglucoside</t>
  </si>
  <si>
    <t>C00007658</t>
  </si>
  <si>
    <t>{Cyanidin IN NAME} Cyanidin 3-O-[2''-O-(xylosyl)-6''-O-(p-O-(glucosyl)-p-coumaroyl) glucoside] 5-O-glucoside</t>
  </si>
  <si>
    <t>Luteolin-7-O-Glucuronic Acid</t>
  </si>
  <si>
    <t>C00007659</t>
  </si>
  <si>
    <t>{Cyanidin IN NAME} Cyanidin 3-O-[2''-O-(xylosyl) 6''-O-(p-O-(glucosyl) p-coumaroyl) glucoside] 5-O-[6'''-O-(malonyl) glucoside]</t>
  </si>
  <si>
    <t>Procyanidin B1</t>
  </si>
  <si>
    <t>C00007660</t>
  </si>
  <si>
    <t>{Cyanidin IN NAME} Cyanidin 3-O-[2''-O-(2'''-O-(sinapoyl) xylosyl) 6''-O-(p-coumaroyl) glucoside] 5-O-glucoside</t>
  </si>
  <si>
    <t>C00007661</t>
  </si>
  <si>
    <t>{Cyanidin IN NAME} Cyanidin 3-O-[2''-O-(2'''-O-(sinapoyl) xylosyl) 6''-O-(p-O-(glucosyl) p-coumaroyl) glucoside] 5-O-glucoside</t>
  </si>
  <si>
    <t>Cyanidin Chloride</t>
  </si>
  <si>
    <t>C00000938</t>
  </si>
  <si>
    <t>{Myricetin IN NAME} Dihydromyricetin</t>
  </si>
  <si>
    <t>Catechin Gallate</t>
  </si>
  <si>
    <t>C00005413</t>
  </si>
  <si>
    <t>{Quercetin REL} Rutin</t>
  </si>
  <si>
    <t>Epigalocatechin Gallate</t>
  </si>
  <si>
    <t>C00014091</t>
  </si>
  <si>
    <t>{Apigenin REL} Vitexin 6''-O-malonyl 2''-O-xyloside</t>
  </si>
  <si>
    <t>C00005229</t>
  </si>
  <si>
    <t>{Kaempferol IN NAME} Kaempferol 3-O-sophoroside 7-O-beta-D-glucopyranoside:Kaempferol 3-sophoroside-7-glucoside</t>
  </si>
  <si>
    <t>C00005464</t>
  </si>
  <si>
    <t>{Quercetin IN NAME} Quercetin 3-sophoroside-7-glucoside</t>
  </si>
  <si>
    <t>(-)-Catechin</t>
  </si>
  <si>
    <t>C00005530</t>
  </si>
  <si>
    <t>{Quercetin REL} Isorhamnetin 7-O-beta-D-glucopyranoside</t>
  </si>
  <si>
    <t>(+)-Epicatechin</t>
  </si>
  <si>
    <t>C00005557</t>
  </si>
  <si>
    <t>{Quercetin REL} Isorhamnetin 3-O-beta-glucopyranoside-7-O-alpha-rhamnopyranoside</t>
  </si>
  <si>
    <t>C00005579</t>
  </si>
  <si>
    <t>{Quercetin REL} Isorhamnetin 3-sophoroside-7-glucoside</t>
  </si>
  <si>
    <t>Catechin-(4Alpha-&gt;6)-Catechin</t>
  </si>
  <si>
    <t>C00005922</t>
  </si>
  <si>
    <t>{Kaempferol IN NAME} Kaempferol 3-(2''-sinapylglucoside)-7-sophoroside</t>
  </si>
  <si>
    <t>Catechin-(4Alpha-&gt;6)-Epicatechin</t>
  </si>
  <si>
    <t>Catechin-(4Alpha-&gt;8)-Epicatechin</t>
  </si>
  <si>
    <t>Kaempferol 3-O-D-Galactoside</t>
  </si>
  <si>
    <t>Kaempferol 7-O-Beta-D-Glucopyranoside</t>
  </si>
  <si>
    <t>Kaempferol-3-O-Robinobioside</t>
  </si>
  <si>
    <t>C00004635</t>
  </si>
  <si>
    <t>{Quercetin REL} Isorhamnetin</t>
  </si>
  <si>
    <t>C00005409</t>
  </si>
  <si>
    <t>{Quercetin IN NAME} Quercetin 3-O-sophoroside</t>
  </si>
  <si>
    <t>Myricetin 3-O-Beta-D-Galactopyranoside</t>
  </si>
  <si>
    <t>Myricetin 3-O-Glucoside</t>
  </si>
  <si>
    <t>Myricetin-3-O-Beta-D-Glucuronide</t>
  </si>
  <si>
    <t>C00005912</t>
  </si>
  <si>
    <t>{Kaempferol IN NAME} Kaempferol 3-(2'''-(E)-p-coumarylsophoroside)-7-glucoside</t>
  </si>
  <si>
    <t>C00005913</t>
  </si>
  <si>
    <t>{Kaempferol IN NAME} Kaempferol 3-(2'''-(E)-caffeylsophoroside)-7-glucoside</t>
  </si>
  <si>
    <t>Procyanidin B3</t>
  </si>
  <si>
    <t>C00005914</t>
  </si>
  <si>
    <t>{Kaempferol IN NAME} Kaempferol 3-[2'''-(E)-ferulylsophoroside]-7-glucoside</t>
  </si>
  <si>
    <t>C00005996</t>
  </si>
  <si>
    <t>{Quercetin IN NAME} Quercetin 3-(2'''-(E)-caffeylsophoroside]-7-glucoside</t>
  </si>
  <si>
    <t>C00005997</t>
  </si>
  <si>
    <t>{Quercetin IN NAME} Quercetin 3-[2'''-(E)-feruloylsophoroside]-7-glucoside</t>
  </si>
  <si>
    <t>Quercetin-3-Ogalactopyranoside</t>
  </si>
  <si>
    <t>(-)-Epicatechin</t>
  </si>
  <si>
    <t>C00006846</t>
  </si>
  <si>
    <t>{Cyanidin IN NAME} Cyanidin 3-[6''-(4-glucosyl-p-coumaryl)sophoroside]-5-glucoside</t>
  </si>
  <si>
    <t>C00006848</t>
  </si>
  <si>
    <t>{Cyanidin IN NAME} Cyanidin 3-[6''-(4-glucosylferulyl)-sophoroside]-5-glucoside</t>
  </si>
  <si>
    <t>C00006854</t>
  </si>
  <si>
    <t>{Cyanidin IN NAME} Cyanidin 3-(6''	6'''-disinapylsophoroside)-5-glucoside</t>
  </si>
  <si>
    <t>C00013766</t>
  </si>
  <si>
    <t>{Kaempferol IN NAME} Kaempferol 3-sophoroside-7-cellobioside</t>
  </si>
  <si>
    <t>C00013805</t>
  </si>
  <si>
    <t>{Kaempferol IN NAME} Kaempferol 3-(2'''-(E)-caffeoylglucosyl)-(1-&gt;2)-glucoside-7-cellobioside</t>
  </si>
  <si>
    <t>C00036981</t>
  </si>
  <si>
    <t>{Cyanidin IN NAME} Cyanidin 3-O-sophoroside-5-O-glucoside</t>
  </si>
  <si>
    <t>C00005556</t>
  </si>
  <si>
    <t>{Quercetin REL} Isorhamnetin 3	7-di-O-beta-glucopyranoside</t>
  </si>
  <si>
    <t>2Beta,3Beta-Epoxy-5,7,3',4'-Tetrahydroxyflavan-(4Alpha-&gt;8)-Epicatechin</t>
  </si>
  <si>
    <t>2Beta,3Beta-Epoxy-5,7,4'-Trihydroxyflavan-(4Alpha-&gt;8)-Epicatechin</t>
  </si>
  <si>
    <t>C00009453</t>
  </si>
  <si>
    <t>{Genistein IN NAME} 2'-Hydroxygenistein</t>
  </si>
  <si>
    <t>3'-O-Methylquercetin3-O-Alpha-L-Rhamnopyranosyl(1-&gt;6)-2''-O-Acetyl-Beta-D-Glucopyranoside</t>
  </si>
  <si>
    <t>C00010111</t>
  </si>
  <si>
    <t>{Genistein IN NAME} Isogenistein 7-O-glucoside</t>
  </si>
  <si>
    <t>C00004281</t>
  </si>
  <si>
    <t>{Luteolin IN NAME} Luteolin 7-apiosyl-(1-&gt;2)-glucoside</t>
  </si>
  <si>
    <t>Quercetin 3-O-Neohesperidoside</t>
  </si>
  <si>
    <t>(2R)-Naringenin-5-O-Beta-D-Glucopyranoside</t>
  </si>
  <si>
    <t>C00005374</t>
  </si>
  <si>
    <t>{Quercetin IN NAME} Quercetin3-O-alpha-rhamnopyranoside</t>
  </si>
  <si>
    <t>Epicatechin Pentaacetate</t>
  </si>
  <si>
    <t>C00005431</t>
  </si>
  <si>
    <t>{Quercetin IN NAME} Quercetin 3-rhamnoside-7-glucoside</t>
  </si>
  <si>
    <t>C00006381</t>
  </si>
  <si>
    <t>{Apigenin REL} Isoschaftoside</t>
  </si>
  <si>
    <t>Kaempferol-3-O-(2'',6''-Di-E-P-Coumaroyl)-Beta-Glucopyranoside</t>
  </si>
  <si>
    <t>Kaempferol-3-O-(3'',4"-Diacetyl-2",6"-Di-E-P-Coumaroyl)-Glucoside</t>
  </si>
  <si>
    <t>C00011174</t>
  </si>
  <si>
    <t>{Luteolin IN NAME} Luteolin 7-O-(2-apiofuranosyl-4-glucopyranosyl-6-malonyl)glucopyranoside</t>
  </si>
  <si>
    <t>Kaempferol 3-O-Rhamnopyranoside</t>
  </si>
  <si>
    <t>Kaempferol-3-O-Alpha-L-Arabinopyranoside</t>
  </si>
  <si>
    <t>Quercetin 3-O-Rhamnopyranoside</t>
  </si>
  <si>
    <t>C00005155</t>
  </si>
  <si>
    <t>{Kaempferol IN NAME} Kaempferol 3-apiosyl-(1-&gt;2)-galactoside</t>
  </si>
  <si>
    <t>C00005204</t>
  </si>
  <si>
    <t>{Kaempferol IN NAME} Kaempferol 3-(2Gal-apiosylrobinobioside)</t>
  </si>
  <si>
    <t>C00004540</t>
  </si>
  <si>
    <t>{Kaempferol IN NAME} Resokaempferol</t>
  </si>
  <si>
    <t>7-O-Beta-D-Glucopyranosyl-Quercetin-3-O-Beta-D-Glucopyranoside</t>
  </si>
  <si>
    <t>Quercetin 7,4'-Di-O-Beta-D-Glucopyranoside</t>
  </si>
  <si>
    <t>C00005161</t>
  </si>
  <si>
    <t>{Kaempferol IN NAME} Kaempferol 3-apiosyl-(1-&gt;2)-glucoside</t>
  </si>
  <si>
    <t>Quercetin-3,4'-Diglucoside</t>
  </si>
  <si>
    <t>C00007185</t>
  </si>
  <si>
    <t>{Isoliquiritigenin IN NAME} Neoisoliquiritigenin</t>
  </si>
  <si>
    <t>C00000984</t>
  </si>
  <si>
    <t>{Quercetin REL} Narirutin</t>
  </si>
  <si>
    <t>C00002374</t>
  </si>
  <si>
    <t>{Cyanidin IN NAME} Cyanidin 3-O-glucoside</t>
  </si>
  <si>
    <t>C00006792</t>
  </si>
  <si>
    <t>{Cyanidin IN NAME} Cyanidin 3-(4''-acetylglucoside)</t>
  </si>
  <si>
    <t>C00006796</t>
  </si>
  <si>
    <t>{Cyanidin IN NAME} Cyanidin 3-(6''-malonylglucoside)</t>
  </si>
  <si>
    <t>Procyanidin C1</t>
  </si>
  <si>
    <t>C00001059</t>
  </si>
  <si>
    <t>{Apigenin REL} Isovitexin</t>
  </si>
  <si>
    <t>C00001110</t>
  </si>
  <si>
    <t>{Apigenin REL} Vitexin</t>
  </si>
  <si>
    <t>C00004172</t>
  </si>
  <si>
    <t>{Apigenin IN NAME} Apigenin 7-(6''-p-coumarylglucoside)</t>
  </si>
  <si>
    <t>C00014080</t>
  </si>
  <si>
    <t>{Apigenin REL} Isovitexin 2''-O-(6'''-(E)-p-coumaroyl)glucoside</t>
  </si>
  <si>
    <t>C00014081</t>
  </si>
  <si>
    <t>{Apigenin REL} Isovitexin 2''-O-(6'''-(E)-p-coumaroyl)glucoside 4'-O-glucoside</t>
  </si>
  <si>
    <t>(-)-Catechingallate</t>
  </si>
  <si>
    <t>C00014082</t>
  </si>
  <si>
    <t>{Apigenin REL} Isovitexin 2''-O-(6'''-feruloyl)glucoside</t>
  </si>
  <si>
    <t>(-)-Gallocatechin</t>
  </si>
  <si>
    <t>C00014083</t>
  </si>
  <si>
    <t>{Apigenin REL} Isovitexin 2''-O-(6'''-(E)-feruloyl)glucoside 4'-O-glucoside</t>
  </si>
  <si>
    <t>C00001067</t>
  </si>
  <si>
    <t>{Luteolin IN NAME} Luteolin 7-O-(6''-malonylglucoside)</t>
  </si>
  <si>
    <t>Epicatechin-(4Beta-8)-Epicatechin-(4Beta-6)-Epicatechin</t>
  </si>
  <si>
    <t>C00004156</t>
  </si>
  <si>
    <t>{Quercetin REL} Apigenin 7-O-rutinoside</t>
  </si>
  <si>
    <t>C00004268</t>
  </si>
  <si>
    <t>{Luteolin IN NAME} Luteolin 7-O-beta-D-glucuronide</t>
  </si>
  <si>
    <t>Procyanidin B-2 3,3'-Di-O-Gallate</t>
  </si>
  <si>
    <t>C00004282</t>
  </si>
  <si>
    <t>{Quercetin REL} Luteolin 7-O-rutinoside</t>
  </si>
  <si>
    <t>C00004330</t>
  </si>
  <si>
    <t>{Luteolin IN NAME} Luteolin 4'-sulfate</t>
  </si>
  <si>
    <t>C00006655</t>
  </si>
  <si>
    <t>{Cyanidin IN NAME} Cyanidin 3-lathyroside</t>
  </si>
  <si>
    <t>C00006670</t>
  </si>
  <si>
    <t>{Cyanidin IN NAME} Cyanidin 3-glucosyl-(1-&gt;6)-[xylosyl-(1-&gt;2)-galactoside]</t>
  </si>
  <si>
    <t>C00006831</t>
  </si>
  <si>
    <t>{Cyanidin IN NAME} Cyanidin 3-[6-(6-p-hydroxybenzoylglucosyl)-2-xylosylgalactoside]</t>
  </si>
  <si>
    <t>C00006832</t>
  </si>
  <si>
    <t>{Cyanidin IN NAME} Cyanidin 3-[6-(6-p-coumarylglucosyl)-2-xylosylgalactoside]</t>
  </si>
  <si>
    <t>C00006833</t>
  </si>
  <si>
    <t>{Cyanidin IN NAME} Cyanidin 3-[6-(6-ferulylglucosyl)-2-xylosylgalactoside]</t>
  </si>
  <si>
    <t>C00006834</t>
  </si>
  <si>
    <t>{Cyanidin IN NAME} Cyanidin 3-[6-(6-sinapylglucosyl)-2-xylosylgalactoside]</t>
  </si>
  <si>
    <t>C00033739</t>
  </si>
  <si>
    <t>{Cyanidin IN NAME} Cyanidin 3-O-(2-O-beta-xylopyranosyl)-beta-galactopyranoside</t>
  </si>
  <si>
    <t>C00009075</t>
  </si>
  <si>
    <t>{Cyanidin IN NAME} Procyanidin B1</t>
  </si>
  <si>
    <t>C00005165</t>
  </si>
  <si>
    <t>{Kaempferol IN NAME} Kaempferol 3-O-sophoroside</t>
  </si>
  <si>
    <t>C00005166</t>
  </si>
  <si>
    <t>{Kaempferol IN NAME} Kaempferol 3-O-gentiobioside</t>
  </si>
  <si>
    <t>C00005167</t>
  </si>
  <si>
    <t>{Kaempferol IN NAME} Kaempferol 3-neohesperidoside</t>
  </si>
  <si>
    <t>C00005215</t>
  </si>
  <si>
    <t>{Kaempferol IN NAME} Kaempferol 3-glucosyl-(1-&gt;2)-gentiobioside</t>
  </si>
  <si>
    <t>C00005217</t>
  </si>
  <si>
    <t>{Quercetin REL} Kaempferol 3-(2G-glucosylrutinoside)</t>
  </si>
  <si>
    <t>C00005218</t>
  </si>
  <si>
    <t>{Kaempferol IN NAME} Kaempferol 3-(2G-rhamnosylgentiobioside)</t>
  </si>
  <si>
    <t>C00005411</t>
  </si>
  <si>
    <t>{Quercetin IN NAME} Quercetin 3-gentiobioside</t>
  </si>
  <si>
    <t>C00005412</t>
  </si>
  <si>
    <t>{Quercetin IN NAME} Quercetin 3-O-neohesperidoside</t>
  </si>
  <si>
    <t>C00005453</t>
  </si>
  <si>
    <t>{Quercetin IN NAME} Quercetin 3-(2G-glucosylgentiobioside)</t>
  </si>
  <si>
    <t>C00005454</t>
  </si>
  <si>
    <t>{Quercetin REL} Quercetin 3-(2G-glucosylrutinoside)</t>
  </si>
  <si>
    <t>C00005455</t>
  </si>
  <si>
    <t>{Quercetin IN NAME} Quercetin 3-(2G-rhamnosylgentiobioside)</t>
  </si>
  <si>
    <t>C00006400</t>
  </si>
  <si>
    <t>{Apigenin REL} 6-C-Glucopyranosyl-8-C-galactopyranosylgenkwanin</t>
  </si>
  <si>
    <t>C00010110</t>
  </si>
  <si>
    <t>{Genistein IN NAME} Genistein 7-O-beta-D-glucoside 6''-O-malonate</t>
  </si>
  <si>
    <t>C00005386</t>
  </si>
  <si>
    <t>{Quercetin IN NAME} Quercetin 3'-glucoside</t>
  </si>
  <si>
    <t>C00004636</t>
  </si>
  <si>
    <t>{Quercetin REL} Tamarixetin</t>
  </si>
  <si>
    <t>C00004651</t>
  </si>
  <si>
    <t>{Quercetin IN NAME} Quercetin 3	5	7	4'-tetramethyl ether</t>
  </si>
  <si>
    <t>C00004652</t>
  </si>
  <si>
    <t>{Quercetin IN NAME} Quercetin 3	5	3'	4'-tetramethyl ether</t>
  </si>
  <si>
    <t>C00006651</t>
  </si>
  <si>
    <t>{Cyanidin IN NAME} Cyanidin 3-xyloside</t>
  </si>
  <si>
    <t>C00006828</t>
  </si>
  <si>
    <t>{Cyanidin IN NAME} Cyanidin 3-[6-(3-glucosylcaffeyl)glucoside]-5-glucoside</t>
  </si>
  <si>
    <t>C00006847</t>
  </si>
  <si>
    <t>{Cyanidin IN NAME} Cyanidin 3-[6''-(4-glucosylcaffeyl)sophoroside]-5-glucoside</t>
  </si>
  <si>
    <t>C00013883</t>
  </si>
  <si>
    <t>{Quercetin IN NAME} Quercetin 3-(6''-malonylglucoside)-7-glucoside</t>
  </si>
  <si>
    <t>C00000958</t>
  </si>
  <si>
    <t>{Epigallocatechin REL} epi-Gallocatechin 3-O-gallate</t>
  </si>
  <si>
    <t>C00005372</t>
  </si>
  <si>
    <t>{Quercetin IN NAME} Quercetin 3-galactoside</t>
  </si>
  <si>
    <t>C00009210</t>
  </si>
  <si>
    <t>{Epicatechin IN NAME} Catechin-(4alpha-&gt;8)-epicatechin-3-O-gallate</t>
  </si>
  <si>
    <t>C00009237</t>
  </si>
  <si>
    <t>{Gallocatechin IN NAME} Gallocatechin-(4alpha-&gt;8)-epigallocatechin-3-O-gallate</t>
  </si>
  <si>
    <t>C00009238</t>
  </si>
  <si>
    <t>{Gallocatechin IN NAME} Epigallocatechin-(4beta-&gt;8)-epigallocatechin-3-O-gallate</t>
  </si>
  <si>
    <t>C00008961</t>
  </si>
  <si>
    <t>{Epicatechin IN NAME} 9	10-Dihydro-8-hydroxy-10-methyl-8H-pyrano[2	3-h]epicatechin</t>
  </si>
  <si>
    <t>C00009277</t>
  </si>
  <si>
    <t>{Cyanidin IN NAME} Proanthocyanidin A1</t>
  </si>
  <si>
    <t>C00006686</t>
  </si>
  <si>
    <t>{Quercetin REL} Peonidin 3-rutinoside</t>
  </si>
  <si>
    <t>C00006727</t>
  </si>
  <si>
    <t>{Quercetin REL} Petunidin 3-rutinoside</t>
  </si>
  <si>
    <t>C00006740</t>
  </si>
  <si>
    <t>{Quercetin REL} Malvidin 3-rutinoside</t>
  </si>
  <si>
    <t>C00002644</t>
  </si>
  <si>
    <t>{Catechin IN NAME} Pyrocatechin</t>
  </si>
  <si>
    <t>C00005472</t>
  </si>
  <si>
    <t>{Quercetin REL} Quercetin 3-rutinoside-7-glucoside</t>
  </si>
  <si>
    <t>C00006639</t>
  </si>
  <si>
    <t>{Quercetin REL} Pelargonidin 3-rutinoside</t>
  </si>
  <si>
    <t>C00011095</t>
  </si>
  <si>
    <t>{Cyanidin IN NAME} Cyanidin 3-O-[beta-D-glucopyranoside]-7	3'-di-O-[6-O-(sinapyl)-beta-D-glucopyranoside]</t>
  </si>
  <si>
    <t>C00011096</t>
  </si>
  <si>
    <t>{Cyanidin IN NAME} Cyanidin 3-O-[6-O-(malonyl)-beta-D-glucopyranoside]-7	3'-di-O-[6-O-(sinapyl)-beta-D-glucopyranoside]</t>
  </si>
  <si>
    <t>C00005141</t>
  </si>
  <si>
    <t>{Kaempferol IN NAME} Kaempferol 3-glucuronide</t>
  </si>
  <si>
    <t>C00005150</t>
  </si>
  <si>
    <t>{Kaempferol IN NAME} Kaempferol 7-O-rhamnoside</t>
  </si>
  <si>
    <t>C00005524</t>
  </si>
  <si>
    <t>{Quercetin REL} Isorhamnetin 3-galactoside</t>
  </si>
  <si>
    <t>C00004593</t>
  </si>
  <si>
    <t>{Kaempferol IN NAME} 6-Methoxykaempferol</t>
  </si>
  <si>
    <t>C00005149</t>
  </si>
  <si>
    <t>{Kaempferol IN NAME} Kaempferol-7-O-glucoside</t>
  </si>
  <si>
    <t>C00005152</t>
  </si>
  <si>
    <t>{Kaempferol IN NAME} Kaempferol 4'-glucoside</t>
  </si>
  <si>
    <t>C00005194</t>
  </si>
  <si>
    <t>{Kaempferol IN NAME} Kaempferol 3	4'-di-O-beta-D-glucopyranoside</t>
  </si>
  <si>
    <t>C00005247</t>
  </si>
  <si>
    <t>{Quercetin REL} Kaempferol 3-rutinoside-4'-glucoside</t>
  </si>
  <si>
    <t>C00005477</t>
  </si>
  <si>
    <t>{Quercetin REL} Quercetin 3-rutinoside-4'-glucoside</t>
  </si>
  <si>
    <t>C00005488</t>
  </si>
  <si>
    <t>{Quercetin REL} Quercetin 3-rutinoside-7	3'-diglucoside</t>
  </si>
  <si>
    <t>C00048239</t>
  </si>
  <si>
    <t>C00005526</t>
  </si>
  <si>
    <t>{Quercetin REL} Isorhamnetin-3-O-rhamnoside</t>
  </si>
  <si>
    <t>C00013879</t>
  </si>
  <si>
    <t>{Quercetin IN NAME} Quercetin 3-rhamnosyl-(1-&gt;6)-(2''-acetylglucoside)</t>
  </si>
  <si>
    <t>C00013923</t>
  </si>
  <si>
    <t>{Quercetin REL} Isorhamnetin 3-rhamnosyl-(1-&gt;6)-(2''-acetylglucoside)</t>
  </si>
  <si>
    <t>C00000998</t>
  </si>
  <si>
    <t>{Naringenin IN NAME} Naringenin 7-O-beta-D-glucoside</t>
  </si>
  <si>
    <t>C00009261</t>
  </si>
  <si>
    <t>{Catechin IN NAME} ent-Epiafzelechin-(2alpha-&gt;7	4alpha-&gt;8)-catechin</t>
  </si>
  <si>
    <t>C00005849</t>
  </si>
  <si>
    <t>{Kaempferol IN NAME} Kaempferol 3-(2''-p-coumarylglucoside)</t>
  </si>
  <si>
    <t>C00005853</t>
  </si>
  <si>
    <t>{Kaempferol IN NAME} Kaempferol 3-(4''-acetyl-6''-p-coumarylglucoside)</t>
  </si>
  <si>
    <t>C00005858</t>
  </si>
  <si>
    <t>{Kaempferol IN NAME} Kaempferol 3-(2''	3''-diacetyl-4''-(Z)-p-coumaryl-6''-(E)-p-coumarylglucoside)</t>
  </si>
  <si>
    <t>C00005859</t>
  </si>
  <si>
    <t>{Kaempferol IN NAME} Kaempferol 3-(3''	4''-diacetyl-2''	6''-di-(E)-p-coumarylglucoside)</t>
  </si>
  <si>
    <t>C00005134</t>
  </si>
  <si>
    <t>{Kaempferol IN NAME} Kaempferol 3-xyloside</t>
  </si>
  <si>
    <t>C00013786</t>
  </si>
  <si>
    <t>{Kaempferol IN NAME} Kaempferol 3-(6''-acetylglucosyl)-(1-&gt;3)-galactoside</t>
  </si>
  <si>
    <t>C00014318</t>
  </si>
  <si>
    <t>{Naringenin IN NAME} Naringenin 7-(2-p-Coumaroylglucoside)</t>
  </si>
  <si>
    <t>C00003886</t>
  </si>
  <si>
    <t>{Luteolin IN NAME} 6-Hydroxyluteolin 6-methyl ether</t>
  </si>
  <si>
    <t>C00004436</t>
  </si>
  <si>
    <t>{Luteolin IN NAME} 8-Hydroxyluteolin 8	3'-dimethyl ether 7-glucoside</t>
  </si>
  <si>
    <t>C00004638</t>
  </si>
  <si>
    <t>{Quercetin IN NAME} Quercetin 3	7-dimethyl ether</t>
  </si>
  <si>
    <t>C00004649</t>
  </si>
  <si>
    <t>{Quercetin IN NAME} Quercetin 7	3'	4'-trimethyl ether</t>
  </si>
  <si>
    <t>C00005230</t>
  </si>
  <si>
    <t>{Kaempferol IN NAME} Kaempferol 3-sophoroside-7-rhamnoside</t>
  </si>
  <si>
    <t>C00005258</t>
  </si>
  <si>
    <t>{Kaempferol IN NAME} Kaempferol 3-sophorotrioside-7-rhamnoside</t>
  </si>
  <si>
    <t>C00006789</t>
  </si>
  <si>
    <t>{Quercetin REL} Pelargonidin 3-(4'''-p-coumarylrutinoside)-5-glucoside</t>
  </si>
  <si>
    <t>C00006874</t>
  </si>
  <si>
    <t>{Quercetin REL} Peonidin 3-caffeylrutinoside-5-glucoside</t>
  </si>
  <si>
    <t>C00006897</t>
  </si>
  <si>
    <t>{Quercetin REL} Petunidin 3-(4'''-p-coumarylrutinoside)</t>
  </si>
  <si>
    <t>C00014853</t>
  </si>
  <si>
    <t>{Quercetin REL} Pelargonidin 3-(4'''-feruloylrutinoside)-5-glucoside</t>
  </si>
  <si>
    <t>C00006610</t>
  </si>
  <si>
    <t>{Apigenin IN NAME} Apigeninidin</t>
  </si>
  <si>
    <t>C00006753</t>
  </si>
  <si>
    <t>{Apigenin IN NAME} Apigeninidin 5-(5''-caffeylarabinoside)</t>
  </si>
  <si>
    <t>C00002935</t>
  </si>
  <si>
    <t>{Cyanidin IN NAME} Procyanidin B4</t>
  </si>
  <si>
    <t>C00006650</t>
  </si>
  <si>
    <t>{Cyanidin IN NAME} Cyanidin 3-arabinoside</t>
  </si>
  <si>
    <t>C00009076</t>
  </si>
  <si>
    <t>{Cyanidin IN NAME} Procyanidin B5</t>
  </si>
  <si>
    <t>C00009077</t>
  </si>
  <si>
    <t>{Cyanidin IN NAME} Procyanidin B2</t>
  </si>
  <si>
    <t>C00009098</t>
  </si>
  <si>
    <t>{Cyanidin IN NAME} Procyanidin C1</t>
  </si>
  <si>
    <t>C00009275</t>
  </si>
  <si>
    <t>{Cyanidin IN NAME} Proanthocyanidin A7</t>
  </si>
  <si>
    <t>C00009313</t>
  </si>
  <si>
    <t>{Epicatechin IN NAME} 3-O-L-Arabinopyranosyl-ent-epicatechin-(2alpha-&gt;7	4alpha-&gt;8)-epicatechin</t>
  </si>
  <si>
    <t>C00009314</t>
  </si>
  <si>
    <t>{Epicatechin IN NAME} 3-O-beta-D-Galactopyranosyl-ent-epicatechin-(2alpha-&gt;7	4alpha-&gt;8)-epicatechin</t>
  </si>
  <si>
    <t>C00013256</t>
  </si>
  <si>
    <t>{Epicatechin IN NAME} Epicatechin 8-C-beta-D-galactoside</t>
  </si>
  <si>
    <t>C00036803</t>
  </si>
  <si>
    <t>{Catechin IN NAME} bis-8	8'-Catechinylmethane</t>
  </si>
  <si>
    <t>C00008852</t>
  </si>
  <si>
    <t>{Catechin IN NAME} Catechin 7-O-beta-D-glucopyranoside</t>
  </si>
  <si>
    <t>C00009067</t>
  </si>
  <si>
    <t>{Catechin IN NAME} Catechin-(4alpha-&gt;8)-epiafzelechin</t>
  </si>
  <si>
    <t>C00014041</t>
  </si>
  <si>
    <t>{Apigenin REL} Isovitexin 6''-O-rhamnoside</t>
  </si>
  <si>
    <t>C00006793</t>
  </si>
  <si>
    <t>{Cyanidin IN NAME} Cyanidin 3-(6''-acetylglucoside)</t>
  </si>
  <si>
    <t>C00008672</t>
  </si>
  <si>
    <t>{Kaempferol IN NAME} Dihydrokaempferol-3-O-alpha-L-rhamnopyranoside</t>
  </si>
  <si>
    <t>C00008866</t>
  </si>
  <si>
    <t>{Epicatechin IN NAME} (-)-Epicatechin 3-O-gallate</t>
  </si>
  <si>
    <t>C00008882</t>
  </si>
  <si>
    <t>{Gallocatechin IN NAME} Gallocatechin 3-O-gallate</t>
  </si>
  <si>
    <t>C00009070</t>
  </si>
  <si>
    <t>{Cyanidin IN NAME} Procyanidin B6</t>
  </si>
  <si>
    <t>C00009071</t>
  </si>
  <si>
    <t>{Cyanidin IN NAME} Procyanidin B3</t>
  </si>
  <si>
    <t>C00009073</t>
  </si>
  <si>
    <t>{Cyanidin IN NAME} Procyanidin B8</t>
  </si>
  <si>
    <t>C00009074</t>
  </si>
  <si>
    <t>{Cyanidin IN NAME} Procyanidin B7</t>
  </si>
  <si>
    <t>C00009086</t>
  </si>
  <si>
    <t>{Epicatechin IN NAME} Epicatechin-(4beta-&gt;6)-epicatechin-(4beta-&gt;8)-catechin</t>
  </si>
  <si>
    <t>C00009087</t>
  </si>
  <si>
    <t>{Epicatechin IN NAME} Epicatechin-(4beta-&gt;6)-epicatechin-(4beta-&gt;8)-epicatechin</t>
  </si>
  <si>
    <t>C00009090</t>
  </si>
  <si>
    <t>{Epicatechin IN NAME} Epicatechin-(4beta-&gt;8)-epicatechin-(4beta-&gt;6)-epicatechin</t>
  </si>
  <si>
    <t>C00009206</t>
  </si>
  <si>
    <t>{Epicatechin IN NAME} 3-O-Galloylepicatechin-(4beta-&gt;6)-catechin</t>
  </si>
  <si>
    <t>C00009208</t>
  </si>
  <si>
    <t>{Epicatechin IN NAME} 3-O-Galloylepicatechin-(4beta-&gt;8)-epicatechin</t>
  </si>
  <si>
    <t>C00009211</t>
  </si>
  <si>
    <t>{Epicatechin IN NAME} 3-O-Galloylepicatechin-(4beta-&gt;8)-catechin</t>
  </si>
  <si>
    <t>C00009212</t>
  </si>
  <si>
    <t>{Epicatechin IN NAME} Epicatechin-(4beta-&gt;8)-epicatechin-3-O-gallate</t>
  </si>
  <si>
    <t>C00009213</t>
  </si>
  <si>
    <t>{Epicatechin IN NAME} 3-O-Galloylepicatechin-(4beta-&gt;8)-epicatechin-3-O-gallate</t>
  </si>
  <si>
    <t>C00009224</t>
  </si>
  <si>
    <t>{Epicatechin IN NAME} [Epicatechin-(4beta-8)]2-epicatechin-3-O-gallate</t>
  </si>
  <si>
    <t>C00009225</t>
  </si>
  <si>
    <t>{Epicatechin IN NAME} Epicatechin-(4beta-&gt;8)-3-O-galloylepicatechin-(4beta-&gt;8)-catechin</t>
  </si>
  <si>
    <t>C00009228</t>
  </si>
  <si>
    <t>{Epicatechin IN NAME} Epicatechin-(4beta-&gt;8)-3-O-galloylepicatechin-(4beta-&gt;8)-epicatechin-3-O-gallate</t>
  </si>
  <si>
    <t>C00005427</t>
  </si>
  <si>
    <t>{Quercetin IN NAME} Quercetin 3	7-O-beta-diglucopyranoside</t>
  </si>
  <si>
    <t>C00005435</t>
  </si>
  <si>
    <t>{Quercetin IN NAME} Quercetin 3	3'-diglucoside</t>
  </si>
  <si>
    <t>C00005525</t>
  </si>
  <si>
    <t>{Quercetin REL} Isorhamnetin 3-O-glucoside</t>
  </si>
  <si>
    <t>C00005547</t>
  </si>
  <si>
    <t>{Quercetin REL} Isorhamnetin 3-O-neohesperidoside</t>
  </si>
  <si>
    <t>C00005561</t>
  </si>
  <si>
    <t>{Quercetin REL} Isorhamnetin 3	4'-diglucoside</t>
  </si>
  <si>
    <t>C00005602</t>
  </si>
  <si>
    <t>{Quercetin IN NAME} Quercetin 3	7-dimethyl ether 5-glucoside</t>
  </si>
  <si>
    <t>C00006799</t>
  </si>
  <si>
    <t>{Cyanidin IN NAME} Cyanidin 3-(3''	6''-dimalonylglucoside)</t>
  </si>
  <si>
    <t>C00014063</t>
  </si>
  <si>
    <t>{Luteolin IN NAME} 2''-O-alpha-L-Rhamnosyl-6-C-fucosyl-luteolin</t>
  </si>
  <si>
    <t>C00014064</t>
  </si>
  <si>
    <t>{Luteolin IN NAME} 2''-O-alpha-L-Rhamnosyl-6-C-quinovopyranosyl-luteolin</t>
  </si>
  <si>
    <t>C00052643</t>
  </si>
  <si>
    <t>{Naringenin IN NAME} 2-hydroxynaringenin</t>
  </si>
  <si>
    <t>C00006398</t>
  </si>
  <si>
    <t>{Naringenin IN NAME} 6	8-Di-C-glucopyranosylnaringenin</t>
  </si>
  <si>
    <t>C00008808</t>
  </si>
  <si>
    <t>{Catechin IN NAME} ent-Catechin</t>
  </si>
  <si>
    <t>C00000997</t>
  </si>
  <si>
    <t>{Naringenin IN NAME} 6-Prenylnaringenin</t>
  </si>
  <si>
    <t>C00005145</t>
  </si>
  <si>
    <t>{Kaempferol IN NAME} Kaempferol 7-alpha-L-arabinoside</t>
  </si>
  <si>
    <t>C00006850</t>
  </si>
  <si>
    <t>{Cyanidin IN NAME} Cyanidin 3-(6''-caffeyl-6'''-ferulylsophoroside)-5-glucoside</t>
  </si>
  <si>
    <t>Common name (or descriptive if no common)</t>
  </si>
  <si>
    <t>Aegilops crassa</t>
  </si>
  <si>
    <t>Persian goatgrass</t>
  </si>
  <si>
    <t>Aegilops geniculata</t>
  </si>
  <si>
    <t>Ovate goatgrass</t>
  </si>
  <si>
    <t>Aegilops neglecta</t>
  </si>
  <si>
    <t>Three-awn goat grass</t>
  </si>
  <si>
    <t>Aegilops sharonensis</t>
  </si>
  <si>
    <t>Sharon goatgrass</t>
  </si>
  <si>
    <t>Arabidopsis arenicola</t>
  </si>
  <si>
    <t>Arctic rock-cress</t>
  </si>
  <si>
    <t>Arabidopsis kamchatica</t>
  </si>
  <si>
    <t>Kamchatka rockcress</t>
  </si>
  <si>
    <t>Arachis gregoryi</t>
  </si>
  <si>
    <t>Peanut relative</t>
  </si>
  <si>
    <t>Peanut</t>
  </si>
  <si>
    <t>Arachis lutescens</t>
  </si>
  <si>
    <t>Arachis major</t>
  </si>
  <si>
    <t>Amendoim De Aquidauana (Aquidauana Peanut)</t>
  </si>
  <si>
    <t>Arachis villosa</t>
  </si>
  <si>
    <t>Arachis williamsii</t>
  </si>
  <si>
    <t>Asparagus asparagoides</t>
  </si>
  <si>
    <t>Bridal creeper</t>
  </si>
  <si>
    <t>Asparagus capensis</t>
  </si>
  <si>
    <t>Katdoring (Cat-thorn)</t>
  </si>
  <si>
    <t>Asparagus cochinchinensis</t>
  </si>
  <si>
    <t>Chinese asparagus</t>
  </si>
  <si>
    <t>Asparagus declinatus</t>
  </si>
  <si>
    <t>Asparagus fern</t>
  </si>
  <si>
    <t>Asparagus maritimus</t>
  </si>
  <si>
    <t>Sea asparagus</t>
  </si>
  <si>
    <t>Asparagus scandens</t>
  </si>
  <si>
    <t>Snakefeather</t>
  </si>
  <si>
    <t>Asparagus volubilis</t>
  </si>
  <si>
    <t>Steamrolled Asparagus</t>
  </si>
  <si>
    <t>Auxenochlorella pyrenoidosa</t>
  </si>
  <si>
    <t>Freshwater green alga</t>
  </si>
  <si>
    <t>Auxenochlorella symbiontica</t>
  </si>
  <si>
    <t>Beta corolliflora</t>
  </si>
  <si>
    <t>Beet</t>
  </si>
  <si>
    <t>Beta lomatogona</t>
  </si>
  <si>
    <t>Beta macrocarpa</t>
  </si>
  <si>
    <t>Beta maritima</t>
  </si>
  <si>
    <t>Sea beet</t>
  </si>
  <si>
    <t>Beta nana</t>
  </si>
  <si>
    <t>Brachypodium hybridum</t>
  </si>
  <si>
    <t>Small annual grass</t>
  </si>
  <si>
    <t>Brachypodium phoenicoides</t>
  </si>
  <si>
    <t>Thinleaf false brome</t>
  </si>
  <si>
    <t>Brachypodium rupestre</t>
  </si>
  <si>
    <t>False brome</t>
  </si>
  <si>
    <t>Brachypodium stacei</t>
  </si>
  <si>
    <t>Brassica barrelieri</t>
  </si>
  <si>
    <t>Broad-leaf herb</t>
  </si>
  <si>
    <t>Brassica bourgeaui</t>
  </si>
  <si>
    <t>Cross-flowering plant</t>
  </si>
  <si>
    <t>Brassica cretica</t>
  </si>
  <si>
    <t>Mustard</t>
  </si>
  <si>
    <t>Brassica elongata</t>
  </si>
  <si>
    <t>Elongated mustard</t>
  </si>
  <si>
    <t>Brassica fruticulosa</t>
  </si>
  <si>
    <t>Mediterranean cabbage, Twiggy turnip</t>
  </si>
  <si>
    <t>Brassica hilarionis</t>
  </si>
  <si>
    <t>Sent Hilarion Lahanası</t>
  </si>
  <si>
    <t>Brassica rupestris</t>
  </si>
  <si>
    <t>Brassica tournefortii</t>
  </si>
  <si>
    <t>Wild turnip, Sahara mustard</t>
  </si>
  <si>
    <t>Cajanus crassus</t>
  </si>
  <si>
    <t>Thick-Stemmed Cajanus</t>
  </si>
  <si>
    <t>Cajanus lineatus</t>
  </si>
  <si>
    <t>Wild Toor</t>
  </si>
  <si>
    <t>Showy pigeonpea</t>
  </si>
  <si>
    <t>Camelina rumelica</t>
  </si>
  <si>
    <t>Graceful false flax</t>
  </si>
  <si>
    <t>Capsella grandiflora</t>
  </si>
  <si>
    <t>Grand shepherd's-purse</t>
  </si>
  <si>
    <t>Capsicum buforum</t>
  </si>
  <si>
    <t>Wild Capsicum</t>
  </si>
  <si>
    <t>Capsicum cardenasii</t>
  </si>
  <si>
    <t>Ulupica Hot Pepper</t>
  </si>
  <si>
    <t>Capsicum Chacoense</t>
  </si>
  <si>
    <t>CAP 499 Pepper</t>
  </si>
  <si>
    <t>Capsicum eshbaughii</t>
  </si>
  <si>
    <t>Bolivian wild chile</t>
  </si>
  <si>
    <t>Capsicum eximium</t>
  </si>
  <si>
    <t>Wild hot pepper</t>
  </si>
  <si>
    <t>Capsicum flexuosum</t>
  </si>
  <si>
    <t>Hardy Chili</t>
  </si>
  <si>
    <t>Capsicum frutescens</t>
  </si>
  <si>
    <t>Cayenne pepper</t>
  </si>
  <si>
    <t>Capsicum galapagoense</t>
  </si>
  <si>
    <t>Galapagos Island Pepper</t>
  </si>
  <si>
    <t>Capsicum lanceolatum</t>
  </si>
  <si>
    <t>Wild chilli</t>
  </si>
  <si>
    <t>Capsicum parvifolium</t>
  </si>
  <si>
    <t>Capsicum pereirae</t>
  </si>
  <si>
    <t>Capsicum shrub</t>
  </si>
  <si>
    <t>Capsicum piuranum</t>
  </si>
  <si>
    <t>Andean capsicum</t>
  </si>
  <si>
    <t>Capsicum pubescens</t>
  </si>
  <si>
    <t>Tree Pepper, Rocoto</t>
  </si>
  <si>
    <t>Capsicum tovarii</t>
  </si>
  <si>
    <t>Mukuiru</t>
  </si>
  <si>
    <t>Chenopodium album</t>
  </si>
  <si>
    <t>Fat-hen</t>
  </si>
  <si>
    <t>Chenopodium allanii</t>
  </si>
  <si>
    <t>Straggling perennial herb</t>
  </si>
  <si>
    <t>Chenopodium atrovirens</t>
  </si>
  <si>
    <t>Pinyon goosefoot, Dark goosefoot</t>
  </si>
  <si>
    <t>Chenopodium auricomum</t>
  </si>
  <si>
    <t>Golden goosefoot</t>
  </si>
  <si>
    <t>Chenopodium baccatum</t>
  </si>
  <si>
    <t>Coastal saltbush</t>
  </si>
  <si>
    <t>Chenopodium berlandieri</t>
  </si>
  <si>
    <t>Pitseed goosefoot</t>
  </si>
  <si>
    <t>Chenopodium candolleanum</t>
  </si>
  <si>
    <t>Seaberry saltbush</t>
  </si>
  <si>
    <t>Chenopodium cycloides</t>
  </si>
  <si>
    <t>Sandhill goosefoot</t>
  </si>
  <si>
    <t>Chenopodium desertorum</t>
  </si>
  <si>
    <t>Frosted goosefruit</t>
  </si>
  <si>
    <t>Chenopodium foggii</t>
  </si>
  <si>
    <t>Fogg's goosefoot</t>
  </si>
  <si>
    <t>Chenopodium fremontii</t>
  </si>
  <si>
    <t>Frémont's goosefoot</t>
  </si>
  <si>
    <t>Chenopodium giganteum</t>
  </si>
  <si>
    <t>Tree spinach</t>
  </si>
  <si>
    <t>Chenopodium hians</t>
  </si>
  <si>
    <t>Hians goosefoot</t>
  </si>
  <si>
    <t>Chenopodium leptophyllum</t>
  </si>
  <si>
    <t>Narrowleaf goosefoot</t>
  </si>
  <si>
    <t>Chenopodium neomexicanum</t>
  </si>
  <si>
    <t>New Mexico goosefoot.</t>
  </si>
  <si>
    <t>Chenopodium nevadense</t>
  </si>
  <si>
    <t>Nevada Goosefoot</t>
  </si>
  <si>
    <t>Chenopodium nutans</t>
  </si>
  <si>
    <t>Climbing saltbush</t>
  </si>
  <si>
    <t>Chenopodium oahuense</t>
  </si>
  <si>
    <t>Aweoweo</t>
  </si>
  <si>
    <t>Chenopodium pallescens</t>
  </si>
  <si>
    <t>Slim-Leaf Goosefoot</t>
  </si>
  <si>
    <t>Chenopodium pallidicaule</t>
  </si>
  <si>
    <t>Cañihua</t>
  </si>
  <si>
    <t>Chenopodium parabolicum</t>
  </si>
  <si>
    <t>Fragrant saltbush</t>
  </si>
  <si>
    <t>Chenopodium pratericola</t>
  </si>
  <si>
    <t>Desert goosefoot</t>
  </si>
  <si>
    <t>Chenopodium standleyanum</t>
  </si>
  <si>
    <t>Woodland Goosefoot</t>
  </si>
  <si>
    <t>Chenopodium subglabrum</t>
  </si>
  <si>
    <t>Smooth goosefoot</t>
  </si>
  <si>
    <t>Chenopodium vulvaria</t>
  </si>
  <si>
    <t>Stinking goosefoot</t>
  </si>
  <si>
    <t>Chenopodium watsonii</t>
  </si>
  <si>
    <t>Watson's goosefoot</t>
  </si>
  <si>
    <t>Chondrus canaliculatus</t>
  </si>
  <si>
    <t>Red algae</t>
  </si>
  <si>
    <t>Chondrus elatus</t>
  </si>
  <si>
    <t>Chondrus ocellatus</t>
  </si>
  <si>
    <t>Japanese moss</t>
  </si>
  <si>
    <t>Chondrus platynus</t>
  </si>
  <si>
    <t>Red alga</t>
  </si>
  <si>
    <t>Chondrus retortus</t>
  </si>
  <si>
    <t>Chondrus yendoi</t>
  </si>
  <si>
    <t>Cicer canariense</t>
  </si>
  <si>
    <t>Canary Islands legume</t>
  </si>
  <si>
    <t>Citrus aurantiifolia</t>
  </si>
  <si>
    <t>Key lime</t>
  </si>
  <si>
    <t>Citrus aurantium</t>
  </si>
  <si>
    <t>Bitter orange</t>
  </si>
  <si>
    <t>Citrus hystrix</t>
  </si>
  <si>
    <t>Kaffir lime</t>
  </si>
  <si>
    <t>Citrus jambhiri</t>
  </si>
  <si>
    <t>Rough lemon</t>
  </si>
  <si>
    <t>Citrus junos</t>
  </si>
  <si>
    <t>Yuzu</t>
  </si>
  <si>
    <t>Citrus limon</t>
  </si>
  <si>
    <t>Lemon</t>
  </si>
  <si>
    <t>Citrus maxima</t>
  </si>
  <si>
    <t>Pomelo</t>
  </si>
  <si>
    <t>Citrus medica</t>
  </si>
  <si>
    <t>Citron</t>
  </si>
  <si>
    <t>Citrus natsudaidai</t>
  </si>
  <si>
    <t>Natsudaidai orange</t>
  </si>
  <si>
    <t>Citrus paradisi</t>
  </si>
  <si>
    <t>Grapefruit</t>
  </si>
  <si>
    <t>Citrus reticulata</t>
  </si>
  <si>
    <t>Tangerine</t>
  </si>
  <si>
    <t>Satsuma mandarin</t>
  </si>
  <si>
    <t>Coccomyxa confluens</t>
  </si>
  <si>
    <t>Green algae</t>
  </si>
  <si>
    <t>Coccomyxa dispar</t>
  </si>
  <si>
    <t>Coccomyxa elongata</t>
  </si>
  <si>
    <t>Coccomyxa fottii</t>
  </si>
  <si>
    <t>Coccomyxa galuniae</t>
  </si>
  <si>
    <t>Coccomyxa greatwallensis</t>
  </si>
  <si>
    <t>Coccomyxa melkonianii</t>
  </si>
  <si>
    <t>Coccomyxa onubensis</t>
  </si>
  <si>
    <t>Coccomyxa parasitica</t>
  </si>
  <si>
    <t>Coccomyxa polymorpha</t>
  </si>
  <si>
    <t>Coccomyxa silvae-gabretae</t>
  </si>
  <si>
    <t>Coccomyxa simplex</t>
  </si>
  <si>
    <t>Coccomyxa solorinae</t>
  </si>
  <si>
    <t>Coccomyxa vinatzeri</t>
  </si>
  <si>
    <t>Coccomyxa viridis</t>
  </si>
  <si>
    <t>Cucumis africanus</t>
  </si>
  <si>
    <t>Wild gherkin</t>
  </si>
  <si>
    <t>Cucumis anguria</t>
  </si>
  <si>
    <t>Gherkin</t>
  </si>
  <si>
    <t>Cucumis dipsaceus</t>
  </si>
  <si>
    <t>Hedgehog cucumber</t>
  </si>
  <si>
    <t>Cucumis hirsutus</t>
  </si>
  <si>
    <t>Herbaceous perennial</t>
  </si>
  <si>
    <t>Cucumis humifructus</t>
  </si>
  <si>
    <t>Aardvark cucumber</t>
  </si>
  <si>
    <t>Cucumis maderaspatanus</t>
  </si>
  <si>
    <t>Madras Pea Pumpkin</t>
  </si>
  <si>
    <t>Cucumis metuliferus</t>
  </si>
  <si>
    <t>Horned melon</t>
  </si>
  <si>
    <t>Cucumis myriocarpus</t>
  </si>
  <si>
    <t>Prickly paddy melon</t>
  </si>
  <si>
    <t>Cucumis ritchiei</t>
  </si>
  <si>
    <t>Ritchie Melon</t>
  </si>
  <si>
    <t>Cucumis zeyherii</t>
  </si>
  <si>
    <t>South African Spiny Cucumber</t>
  </si>
  <si>
    <t>Cucurbita argyrosperma</t>
  </si>
  <si>
    <t>mixta squash</t>
  </si>
  <si>
    <t>Cucurbita cordata</t>
  </si>
  <si>
    <t>Cucurbita digitata</t>
  </si>
  <si>
    <t>Cucurbita ecuadorensis</t>
  </si>
  <si>
    <t>Cucurbita ficifolia</t>
  </si>
  <si>
    <t>figleaf gourd</t>
  </si>
  <si>
    <t>Cucurbita foetidissima</t>
  </si>
  <si>
    <t>Cucurbita hybrid cultivar</t>
  </si>
  <si>
    <t>Cucurbita lundelliana</t>
  </si>
  <si>
    <t>Cucurbita mixta</t>
  </si>
  <si>
    <t>Cucurbita okeechobeensis</t>
  </si>
  <si>
    <t>Cucurbita palmata</t>
  </si>
  <si>
    <t>Cucurbita pedatifolia</t>
  </si>
  <si>
    <t>Cucurbita radicans</t>
  </si>
  <si>
    <t>Cynara algarbiensis</t>
  </si>
  <si>
    <t>Cynara baetica</t>
  </si>
  <si>
    <t>Cynara cornigera</t>
  </si>
  <si>
    <t>Cynara cyrenaica</t>
  </si>
  <si>
    <t>Cynara humilis</t>
  </si>
  <si>
    <t>Cynara makrisii</t>
  </si>
  <si>
    <t>Cynara sibthorpiana</t>
  </si>
  <si>
    <t>Cynara syriaca</t>
  </si>
  <si>
    <t>Cynara tournefortii</t>
  </si>
  <si>
    <t>Daucus annuus</t>
  </si>
  <si>
    <t>Daucus arcanus</t>
  </si>
  <si>
    <t>Daucus aureus</t>
  </si>
  <si>
    <t>Daucus biseriatus</t>
  </si>
  <si>
    <t>Daucus broteri</t>
  </si>
  <si>
    <t>Daucus conchitae</t>
  </si>
  <si>
    <t>Daucus crinitus</t>
  </si>
  <si>
    <t>Daucus decipiens</t>
  </si>
  <si>
    <t>Daucus dellacellae</t>
  </si>
  <si>
    <t>Daucus durieua</t>
  </si>
  <si>
    <t>Daucus edulis</t>
  </si>
  <si>
    <t>Daucus elegans</t>
  </si>
  <si>
    <t>Daucus glochidiatus</t>
  </si>
  <si>
    <t>Daucus gracilis</t>
  </si>
  <si>
    <t>Daucus guttatus</t>
  </si>
  <si>
    <t>Daucus incertae sedis</t>
  </si>
  <si>
    <t>Daucus incognitus</t>
  </si>
  <si>
    <t>Daucus insularis</t>
  </si>
  <si>
    <t>Daucus involucratus</t>
  </si>
  <si>
    <t>Daucus junceus</t>
  </si>
  <si>
    <t>Daucus littoralis</t>
  </si>
  <si>
    <t>Daucus mauritii</t>
  </si>
  <si>
    <t>Daucus melananthos</t>
  </si>
  <si>
    <t>Daucus minusculus</t>
  </si>
  <si>
    <t>Daucus mirabilis</t>
  </si>
  <si>
    <t>Daucus montanus</t>
  </si>
  <si>
    <t>Daucus muricatus</t>
  </si>
  <si>
    <t>Daucus pedunculatus</t>
  </si>
  <si>
    <t>Daucus pumilus</t>
  </si>
  <si>
    <t>Daucus pusillus</t>
  </si>
  <si>
    <t>Daucus rouyi</t>
  </si>
  <si>
    <t>Daucus sahariensis</t>
  </si>
  <si>
    <t>Daucus setifolius</t>
  </si>
  <si>
    <t>Daucus setulosus</t>
  </si>
  <si>
    <t>Daucus syrticus</t>
  </si>
  <si>
    <t>Daucus tenuisectus</t>
  </si>
  <si>
    <t>Daucus tenuissimus</t>
  </si>
  <si>
    <t>Daucus virgatus</t>
  </si>
  <si>
    <t>Dendrobium acutilingue</t>
  </si>
  <si>
    <t>Orchid</t>
  </si>
  <si>
    <t>Dendrobium aduncum</t>
  </si>
  <si>
    <t>Angelfish orchid</t>
  </si>
  <si>
    <t>Dendrobium arachnoideum</t>
  </si>
  <si>
    <t>Dendrobium chrysotoxum</t>
  </si>
  <si>
    <t>Dendrobium delicatum</t>
  </si>
  <si>
    <t>Dendrobium denneanum</t>
  </si>
  <si>
    <t>Dendrobium densiflorum</t>
  </si>
  <si>
    <t>Pineapple orchid</t>
  </si>
  <si>
    <t>Dendrobium farmeri</t>
  </si>
  <si>
    <t>Farmer's dendrobium</t>
  </si>
  <si>
    <t>Dendrobium fimbriatum</t>
  </si>
  <si>
    <t>Dendrobium findlayanum</t>
  </si>
  <si>
    <t>Findlay's orchid</t>
  </si>
  <si>
    <t>Dendrobium kingianum</t>
  </si>
  <si>
    <t>Pink rock orchid</t>
  </si>
  <si>
    <t>Dendrobium loddigesii</t>
  </si>
  <si>
    <t>Dendrobium moniliforme</t>
  </si>
  <si>
    <t>Dendrobium moschatum</t>
  </si>
  <si>
    <t>Musky-smelling dendrobium</t>
  </si>
  <si>
    <t>Dendrobium nobile</t>
  </si>
  <si>
    <t>Dendrobium primulinum</t>
  </si>
  <si>
    <t>Dendrobium scabrilingue</t>
  </si>
  <si>
    <t>Dendrobium taurinum</t>
  </si>
  <si>
    <t>Dendrobium taylorii</t>
  </si>
  <si>
    <t>Dendrobium thyrsiflorum</t>
  </si>
  <si>
    <t>Pinecone-like raceme dendrobium</t>
  </si>
  <si>
    <t>Durio acutifolius</t>
  </si>
  <si>
    <t>Durio affinis</t>
  </si>
  <si>
    <t>Durio beccarianus</t>
  </si>
  <si>
    <t>Durio carinatus</t>
  </si>
  <si>
    <t>Durio dulcis</t>
  </si>
  <si>
    <t>Durio excelsus</t>
  </si>
  <si>
    <t>Durio grandiflorus</t>
  </si>
  <si>
    <t>Durio graveolens</t>
  </si>
  <si>
    <t>Durio griffithii</t>
  </si>
  <si>
    <t>Durio kutejensis</t>
  </si>
  <si>
    <t>Durio lanceolatus</t>
  </si>
  <si>
    <t>Durio lowianus</t>
  </si>
  <si>
    <t>Durio oblongus</t>
  </si>
  <si>
    <t>Durio oxleyanus</t>
  </si>
  <si>
    <t>Durio singaporensis</t>
  </si>
  <si>
    <t>Durio tanjungpurensis</t>
  </si>
  <si>
    <t>Durio testudinarius</t>
  </si>
  <si>
    <t>Pasted values from column B to allow text wrapping &amp; better readability</t>
  </si>
  <si>
    <t>Kegg code: aly || Common name: lyrate rockcress || Scientific name: Arabidopsis lyrata || Kingdom: Plantae  || Subkingdom: Tracheobionata || Superdivision: Spermatophyta (Seeds) || Phylum: Magnoliophyta || Class: Magnoliopsida || Subclass: Dilleniidae || Order: Brassicales || Family: Brassicaceae || Genus: Arabidopsis || Species: lyrata</t>
  </si>
  <si>
    <t>Kegg code: ath || Common name: thale cress || Scientific name: Arabidopsis thaliana || Kingdom: Plantae  || Subkingdom: Tracheobionata || Superdivision: Spermatophyta (Seeds) || Phylum: Magnoliophyta || Class: Magnoliopsida || Subclass: Dilleniidae || Order: Brassicales || Family: Brassicaceae || Genus: Arabidopsis || Species: thaliana</t>
  </si>
  <si>
    <t>Kegg code: bna   || Common name: rape || Scientific name: Brassica napus || Kingdom: Plantae  || Subkingdom: Tracheobionata || Superdivision: Spermatophyta (Seeds) || Phylum: Magnoliophyta || Class: Magnoliopsida || Subclass: Dilleniidae || Order: Brassicales || Family: Brassicaceae || Genus: Brassica || Species: napus</t>
  </si>
  <si>
    <t>Kegg code: boe   || Common name: wild cabbage || Scientific name: Brassica oleracea || Kingdom: Plantae  || Subkingdom: Tracheobionata || Superdivision: Spermatophyta (Seeds) || Phylum: Magnoliophyta || Class: Magnoliopsida || Subclass: Dilleniidae || Order: Brassicales || Family: Brassicaceae || Genus: Brassica || Species: oleracea</t>
  </si>
  <si>
    <t>Kegg code: brp  || Common name: field mustard || Scientific name: Brassica rapa || Kingdom: Plantae  || Subkingdom: Tracheobionata || Superdivision: Spermatophyta (Seeds) || Phylum: Magnoliophyta || Class: Magnoliopsida || Subclass: Dilleniidae || Order: Brassicales || Family: Brassicaceae || Genus: Brassica || Species: rapa</t>
  </si>
  <si>
    <t>Kegg code: csat  || Common name: false flax || Scientific name: Camelina sativa || Kingdom: Plantae  || Subkingdom: Tracheobionata || Superdivision: Spermatophyta (Seeds) || Phylum: Magnoliophyta || Class: Magnoliopsida || Subclass: Dilleniidae || Order: Brassicales || Family: Brassicaceae || Genus: Camelina || Species: sativa</t>
  </si>
  <si>
    <t>Kegg code: crb  || Common name: sheperd's purse || Scientific name: Capsella rubella (bursa-pastoris) || Kingdom: Plantae  || Subkingdom: Tracheobionata || Superdivision: Spermatophyta (Seeds) || Phylum: Magnoliophyta || Class: Magnoliopsida || Subclass: Dilleniidae || Order: Brassicales || Family: Brassicaceae || Genus: Capsella || Species: rubella</t>
  </si>
  <si>
    <t>Kegg code: eus   || Common name: saltwater cress || Scientific name: Eutrema salsugineum || Kingdom: Plantae  || Subkingdom: Tracheobionata || Superdivision: Spermatophyta (Seeds) || Phylum: Magnoliophyta || Class: Magnoliopsida || Subclass: Dilleniidae || Order: Brassicales || Family: Brassicaceae || Genus: Eutrema || Species: salsugineum</t>
  </si>
  <si>
    <t>Kegg code: rsz  || Common name: radish || Scientific name: Raphanus sativus || Kingdom: Plantae  || Subkingdom: Tracheobionata || Superdivision: Spermatophyta (Seeds) || Phylum: Magnoliophyta || Class: Magnoliopsida || Subclass: Dilleniidae || Order: Brassicales || Family: Brassicaceae || Genus: Raphanus || Species: sativus</t>
  </si>
  <si>
    <t>Kegg code: thj || Common name: spider flower || Scientific name: Tarenaya hassleriana || Kingdom: Plantae  || Subkingdom: Tracheobionata || Superdivision: Spermatophyta (Seeds) || Phylum: Magnoliophyta || Class: Magnoliopsida || Subclass: Dilleniidae || Order: Brassicales || Family: Cleomaceae || Genus: Tarenaya || Species: hassleriana</t>
  </si>
  <si>
    <t>Kegg code: cpap || Common name: papaya || Scientific name: Carica papaya || Kingdom: Plantae  || Subkingdom: Tracheobionata || Superdivision: Spermatophyta (Seeds) || Phylum: Magnoliophyta || Class: Magnoliopsida || Subclass: Dilleniidae || Order: Brassicales || Family: Caricaceae || Genus: Carica || Species: papaya</t>
  </si>
  <si>
    <t>Kegg code: cit || Common name: valencia orange || Scientific name: Citrus sinensis || Kingdom: Plantae  || Subkingdom: Tracheobionata || Superdivision: Spermatophyta (Seeds) || Phylum: Magnoliophyta || Class: Magnoliopsida || Subclass: Rosidae  || Order: Sapindales  || Family: Rutaceae || Subfamily: Aurantioideae || Genus: Citrus || Species: sinensis</t>
  </si>
  <si>
    <t>Kegg code: cic || Common name: mandarin orange || Scientific name: Citrus clementina || Kingdom: Plantae  || Subkingdom: Tracheobionata || Superdivision: Spermatophyta (Seeds) || Phylum: Magnoliophyta || Class: Magnoliopsida || Subclass: Rosidae  || Order: Sapindales  || Family: Rutaceae || Subfamily: Aurantioideae || Genus: Citrus || Species: clementina</t>
  </si>
  <si>
    <t>Kegg code: dzi || Common name: durian || Scientific name: Durio zibethinus || Kingdom: Plantae  || Subkingdom: Tracheobionata || Superdivision: Spermatophyta (Seeds) || Phylum: Magnoliophyta || Class: Magnoliopsida || Subclass: Dilleniidae || Order: Malvales || Family: Bombacaceae  || Subfamily: Helicteroideae || Genus: Durio || Species: zibethinus</t>
  </si>
  <si>
    <t>Kegg code: gab || Common name: tree cotton || Scientific name: Gossypium arboreum || Kingdom: Plantae  || Subkingdom: Tracheobionata || Superdivision: Spermatophyta (Seeds) || Phylum: Magnoliophyta || Class: Magnoliopsida || Subclass: Dilleniidae || Order: Malvales || Family: Malvaceae || Subfamily: Malvoideae || Genus: Gossypium || Species: arboreum</t>
  </si>
  <si>
    <t>Kegg code: ghi || Common name: upland cotton || Scientific name: Gossypium hirsutum || Kingdom: Plantae  || Subkingdom: Tracheobionata || Superdivision: Spermatophyta (Seeds) || Phylum: Magnoliophyta || Class: Magnoliopsida || Subclass: Dilleniidae || Order: Malvales || Family: Malvaceae || Subfamily: Malvoideae || Genus: Gossypium || Species: hirsutum</t>
  </si>
  <si>
    <t>Kegg code: gra || Common name: peruvian cotton || Scientific name: Gossypium raimondii || Kingdom: Plantae  || Subkingdom: Tracheobionata || Superdivision: Spermatophyta (Seeds) || Phylum: Magnoliophyta || Class: Magnoliopsida || Subclass: Dilleniidae || Order: Malvales || Family: Malvaceae || Subfamily: Malvoideae || Genus: Gossypium || Species: raimondii</t>
  </si>
  <si>
    <t>Kegg code: tcc || Common name: cacao || Scientific name: Theobroma cacao || Kingdom: Plantae  || Subkingdom: Tracheobionata || Superdivision: Spermatophyta (Seeds) || Phylum: Magnoliophyta || Class: Magnoliopsida || Subclass: Dilleniidae || Order: Malvales || Family: Malvaceae || Subfamily: Byttnerioideae || Genus: Theobroma || Species: cacao</t>
  </si>
  <si>
    <t>Kegg code: adu || Common name: wild peanut || Scientific name: Arachis duranensis || Kingdom: Plantae  || Subkingdom: Tracheobionata || Superdivision: Spermatophyta (Seeds) || Phylum: Magnoliophyta || Class: Magnoliopsida || Subclass: Rosidae  || Order: Fabales || Family: Fabaceae || Subfamily: Papilionoideae || Tribe: Dalbergieae || Genus: Arachis || Species: duranensis</t>
  </si>
  <si>
    <t>Kegg code: aip || Common name: wild peanut || Scientific name: Arachis ipaensis || Kingdom: Plantae  || Subkingdom: Tracheobionata || Superdivision: Spermatophyta (Seeds) || Phylum: Magnoliophyta || Class: Magnoliopsida || Subclass: Rosidae  || Order: Fabales || Family: Fabaceae || Subfamily: Papilionoideae || Tribe: Dalbergieae || Genus: Arachis || Species: ipaensis</t>
  </si>
  <si>
    <t>Kegg code: ccaj || Common name: pigeon pea || Scientific name: Cajanus cajan || Kingdom: Plantae  || Subkingdom: Tracheobionata || Superdivision: Spermatophyta (Seeds) || Phylum: Magnoliophyta || Class: Magnoliopsida || Subclass: Rosidae  || Order: Fabales || Family: Fabaceae || Subfamily: Papilionoideae || Tribe: Phaseoleae || Genus: Cajanus || Species: cajan</t>
  </si>
  <si>
    <t>Kegg code: cam || Common name: chickpea || Scientific name: Cicer arietinum || Kingdom: Plantae  || Subkingdom: Tracheobionata || Superdivision: Spermatophyta (Seeds) || Phylum: Magnoliophyta || Class: Magnoliopsida || Subclass: Rosidae  || Order: Fabales || Family: Fabaceae || Subfamily: Papilionoideae || Tribe: Cicereae || Genus: Cicer || Species: arietinum</t>
  </si>
  <si>
    <t>Kegg code: gmx || Common name: soybean || Scientific name: Glycine max || Kingdom: Plantae  || Subkingdom: Tracheobionata || Superdivision: Spermatophyta (Seeds) || Phylum: Magnoliophyta || Class: Magnoliopsida || Subclass: Rosidae  || Order: Fabales || Family: Fabaceae || Subfamily: Papilionoideae || Tribe: Phaseoleae || Genus: Glycine || Species: max</t>
  </si>
  <si>
    <t>Kegg code: gsj || Common name: wild soybean || Scientific name: Glycine soja || Kingdom: Plantae  || Subkingdom: Tracheobionata || Superdivision: Spermatophyta (Seeds) || Phylum: Magnoliophyta || Class: Magnoliopsida || Subclass: Rosidae || Order: Fabales || Family: Fabaceae || Subfamily: Papilionoideae || Tribe: Phaseoleae || Genus: Glycine || Species: soja</t>
  </si>
  <si>
    <t>Kegg code: lja || Common name: birdsfoot trefoil || Scientific name: Lotus japonicus || Kingdom: Plantae  || Subkingdom: Tracheobionata || Superdivision: Spermatophyta (Seeds) || Phylum: Magnoliophyta || Class: Magnoliopsida || Subclass: Rosidae || Order: Fabales || Family: Fabaceae || Subfamily: Papilionoideae || Tribe: Loteae || Genus: Lotus || Species: japonicus</t>
  </si>
  <si>
    <t>Kegg code: lang || Common name: narrow-leaved blue lupine || Scientific name: Lupinus angustifolius || Kingdom: Plantae  || Subkingdom: Tracheobionata || Superdivision: Spermatophyta (Seeds) || Phylum: Magnoliophyta || Class: Magnoliopsida || Subclass: Rosidae || Order: Fabales || Family: Fabaceae || Subfamily: Papilionoideae || Tribe: Genisteae || Genus: Lupinus || Species: angustifoliu</t>
  </si>
  <si>
    <t>Kegg code: mtr || Common name: barell medic || Scientific name: Medicago truncatula || Kingdom: Plantae  || Subkingdom: Tracheobionata || Superdivision: Spermatophyta (Seeds) || Phylum: Magnoliophyta || Class: Magnoliopsida || Subclass: Rosidae || Order: Fabales || Family: Fabaceae || Subfamily: Papilionoideae || Tribe: Trifolieae || Genus: Medicago || Species: truncatula</t>
  </si>
  <si>
    <t>Kegg code: pvu || Common name: common bean || Scientific name: Phaseolus vulgaris || Kingdom: Plantae  || Subkingdom: Tracheobionata || Superdivision: Spermatophyta (Seeds) || Phylum: Magnoliophyta || Class: Magnoliopsida || Subclass: Rosidae || Order: Fabales || Family: Fabaceae || Subfamily: Papilionoideae || Tribe: Phaseoleae || Genus: Phaseolus || Species: vulgaris</t>
  </si>
  <si>
    <t>Kegg code: var || Common name: adzuki bean || Scientific name: Vigna angularis || Kingdom: Plantae  || Subkingdom: Tracheobionata || Superdivision: Spermatophyta (Seeds) || Phylum: Magnoliophyta || Class: Magnoliopsida || Subclass: Rosidae || Order: Fabales || Family: Fabaceae || Subfamily: Papilionoideae || Tribe: Phaseoleae || Genus: Vigna || Species: angularis</t>
  </si>
  <si>
    <t>Kegg code: vra || Common name: mung bean || Scientific name: Vigna radiata || Kingdom: Plantae  || Subkingdom: Tracheobionata || Superdivision: Spermatophyta (Seeds) || Phylum: Magnoliophyta || Class: Magnoliopsida || Subclass: Rosidae || Order: Fabales || Family: Fabaceae || Subfamily: Papilionoideae || Tribe: Phaseoleae || Genus: Vigna || Species: radiata</t>
  </si>
  <si>
    <t>Kegg code: vun || Common name: cowpea || Scientific name: Vigna unguiculata || Kingdom: Plantae  || Subkingdom: Tracheobionata || Superdivision: Spermatophyta (Seeds) || Phylum: Magnoliophyta || Class: Magnoliopsida || Subclass: Rosidae || Order: Fabales || Family: Fabaceae || Subfamily: Papilionoideae || Tribe: Phaseoleae || Genus: Vigna || Species: unguiculata</t>
  </si>
  <si>
    <t>Kegg code: fve || Common name: woodland strawberry || Scientific name: Fragaria vesca || Kingdom: Plantae  || Subkingdom: Tracheobionata || Superdivision: Spermatophyta (Seeds) || Phylum: Magnoliophyta || Class: Magnoliopsida || Subclass: Rosidae || Order: Rosales || Family: Rosaceae || Subfamily: Rosoideae || Tribe: Potentilleae || Subtribe: Fragariinae || Genus: Fragaria || Species: vesca</t>
  </si>
  <si>
    <t>Kegg code: mdm || Common name: apple || Scientific name: Malus domestica || Kingdom: Plantae  || Subkingdom: Tracheobionata || Superdivision: Spermatophyta (Seeds) || Phylum: Magnoliophyta || Class: Magnoliopsida || Subclass: Rosidae || Order: Rosales || Family: Rosaceae || Subfamily: Amygdaloideae || Tribe: Maleae || Genus: Malus || Species: domestica</t>
  </si>
  <si>
    <t>Kegg code: pavi || Common name: sweet cherry || Scientific name: Prunus avium || Kingdom: Plantae  || Subkingdom: Tracheobionata || Superdivision: Spermatophyta (Seeds) || Phylum: Magnoliophyta || Class: Magnoliopsida || Subclass: Rosidae || Order: Rosales || Family: Rosaceae || Subfamily: Amygdaloideae || Tribe: Amygdaleae || Genus: Prunus || Species: avium</t>
  </si>
  <si>
    <t>Kegg code: pmum || Common name: japanese apricot || Scientific name: Prunus mume || Kingdom: Plantae  || Subkingdom: Tracheobionata || Superdivision: Spermatophyta (Seeds) || Phylum: Magnoliophyta || Class: Magnoliopsida || Subclass: Rosidae || Order: Rosales || Family: Rosaceae || Subfamily: Amygdaloideae || Tribe: Amygdaleae || Genus: Prunus || Species: mume</t>
  </si>
  <si>
    <t>Kegg code: pper || Common name: peach || Scientific name: Prunus persica || Kingdom: Plantae  || Subkingdom: Tracheobionata || Superdivision: Spermatophyta (Seeds) || Phylum: Magnoliophyta || Class: Magnoliopsida || Subclass: Rosidae || Order: Rosales || Family: Rosaceae || Subfamily: Amygdaloideae || Tribe: Amygdaleae || Genus: Prunus || Species: persica</t>
  </si>
  <si>
    <t>Kegg code: pxb || Common name: chinese white pear || Scientific name: Pyrus x bretschneideri || Kingdom: Plantae  || Subkingdom: Tracheobionata || Superdivision: Spermatophyta (Seeds) || Phylum: Magnoliophyta || Class: Magnoliopsida || Subclass: Rosidae || Order: Rosales || Family: Rosaceae || Subfamily: Amygdaloideae || Tribe: Maleae || Genus: Pyrus || Species: x bretschneideri</t>
  </si>
  <si>
    <t>Kegg code: rcn || Common name: china rose || Scientific name: Rosa chinensis || Kingdom: Plantae  || Subkingdom: Tracheobionata || Superdivision: Spermatophyta (Seeds) || Phylum: Magnoliophyta || Class: Magnoliopsida || Subclass: Rosidae || Order: Rosales || Family: Rosaceae || Subfamily: Rosoideae || Genus: Rosa || Species: chinensis</t>
  </si>
  <si>
    <t>Kegg code: zju || Common name: chinese jujube || Scientific name: Ziziphus jujuba || Kingdom: Plantae  || Subkingdom: Tracheobionata || Superdivision: Spermatophyta (Seeds) || Phylum: Magnoliophyta || Class: Magnoliopsida || Subclass: Rosidae || Order: Rosales || Family: Rhamnaceae || Tribe: Paliureae || Genus: Ziziphus || Species: jujuba</t>
  </si>
  <si>
    <t>Kegg code: cmo || Common name: muskmelon || Scientific name: Cucumis melo || Kingdom: Plantae  || Subkingdom: Tracheobionata || Superdivision: Spermatophyta (Seeds) || Phylum: Magnoliophyta || Class: Magnoliopsida || Order: Cucurbitales || Family: Cucurbitaceae || Tribe: Benincaseae || Genus: Cucumis || Species: melo</t>
  </si>
  <si>
    <t>Kegg code: csv || Common name: cucumber || Scientific name: Cucumis sativus || Kingdom: Plantae  || Subkingdom: Tracheobionata || Superdivision: Spermatophyta (Seeds) || Phylum: Magnoliophyta || Class: Magnoliopsida || Order: Cucurbitales || Family: Cucurbitaceae || Tribe: Benincaseae || Genus: Cucumis || Species: sativus</t>
  </si>
  <si>
    <t>Kegg code: cmax || Common name: winter squash || Scientific name: Cucurbita maxima || Kingdom: Plantae  || Subkingdom: Tracheobionata || Superdivision: Spermatophyta (Seeds) || Phylum: Magnoliophyta || Class: Magnoliopsida || Order: Cucurbitales || Family: Cucurbitaceae || Tribe: Cucurbiteae || Genus: Cucurbita || Species: maxima</t>
  </si>
  <si>
    <t>Kegg code: cmos || Common name: crookneck pumpkin || Scientific name: Cucurbita moschata || Kingdom: Plantae  || Subkingdom: Tracheobionata || Superdivision: Spermatophyta (Seeds) || Phylum: Magnoliophyta || Class: Magnoliopsida || Order: Cucurbitales || Family: Cucurbitaceae || Tribe: Cucurbiteae || Genus: Cucurbita || Species: moschata</t>
  </si>
  <si>
    <t>Kegg code: cpep || Common name: vegetable marrow || Scientific name: Cucurbita pepo || Kingdom: Plantae  || Subkingdom: Tracheobionata || Superdivision: Spermatophyta (Seeds) || Phylum: Magnoliophyta || Class: Magnoliopsida || Order: Cucurbitales || Family: Cucurbitaceae || Tribe: Cucurbiteae || Genus: Cucurbita || Species: pepo || Var/Subsp: Pepo</t>
  </si>
  <si>
    <t>Kegg code: mcha || Common name: bitter melon || Scientific name: Momordica charantia || Kingdom: Plantae  || Subkingdom: Tracheobionata || Superdivision: Spermatophyta (Seeds) || Phylum: Magnoliophyta || Class: Magnoliopsida || Order: Cucurbitales || Family: Cucurbitaceae || Tribe: Momordiceae || Genus: Momordica || Species: charantia</t>
  </si>
  <si>
    <t>Kegg code: hbr || Common name: rubber tree || Scientific name: Hevea brasiliensis || Kingdom: Plantae  || Subkingdom: Tracheobionata || Superdivision: Spermatophyta (Seeds) || Phylum: Magnoliophyta || Class: Magnoliopsida || Subclass: Rosidae || Order: Malpighiales || Family: Euphorbiaceae || Subfamily: Crotonoideae || Tribe: Micrandreae || Genus: Hevea || Species: brasiliensis</t>
  </si>
  <si>
    <t>Kegg code: jcu || Common name: barbados nut || Scientific name: Jatropha curcas || Kingdom: Plantae  || Subkingdom: Tracheobionata || Superdivision: Spermatophyta (Seeds) || Phylum: Magnoliophyta || Class: Magnoliopsida || Subclass: Rosidae || Order: Malpighiales || Family: Euphorbiaceae || Subfamily: Crotonoideae || Tribe: Jatropheae || Genus: Jatropha || Species: curcas</t>
  </si>
  <si>
    <t>Kegg code: mesc || Common name: cassava || Scientific name: Manihot esculenta || Kingdom: Plantae  || Subkingdom: Tracheobionata || Superdivision: Spermatophyta (Seeds) || Phylum: Magnoliophyta || Class: Magnoliopsida || Subclass: Rosidae || Order: Malpighiales || Family: Euphorbiaceae || Subfamily: Crotonoideae || Tribe: Manihoteae || Genus: Manihot || Species: esculenta</t>
  </si>
  <si>
    <t>Kegg code: rcu || Common name: castor bean || Scientific name: Ricinus communis || Kingdom: Plantae  || Subkingdom: Tracheobionata || Superdivision: Spermatophyta (Seeds) || Phylum: Magnoliophyta || Class: Magnoliopsida || Subclass: Rosidae || Order: Malpighiales || Family: Euphorbiaceae || Subfamily: Acalyphoideae || Tribe: Acalypheae || Genus: Ricinus || Species: communis</t>
  </si>
  <si>
    <t>Kegg code: peu || Common name: euphrates poplar || Scientific name: Populus euphratica || Kingdom: Plantae  || Subkingdom: Tracheobionata || Superdivision: Spermatophyta (Seeds) || Phylum: Magnoliophyta || Class: Magnoliopsida || Subclass: Rosidae || Order: Malpighiales || Family: Salicaceae || Tribe: Saliceae || Genus: Populus || Species: euphratica</t>
  </si>
  <si>
    <t>Kegg code: pop || Common name: black cottonwood || Scientific name: Populus trichocarpa || Kingdom: Plantae  || Subkingdom: Tracheobionata || Superdivision: Spermatophyta (Seeds) || Phylum: Magnoliophyta || Class: Magnoliopsida || Subclass: Rosidae || Order: Malpighiales || Family: Salicaceae || Tribe: Saliceae || Genus: Populus || Species: trichocarpa</t>
  </si>
  <si>
    <t>Kegg code: jre || Common name: english walnut || Scientific name: Juglans regia || Kingdom: Plantae  || Subkingdom: Tracheobionata || Superdivision: Spermatophyta (Seeds) || Phylum: Magnoliophyta || Class: Magnoliopsida || Subclass: Rosidae || Order: Fagales || Family: Juglandaceae || Genus: Juglans || Species: regia</t>
  </si>
  <si>
    <t>Kegg code: qsu || Common name: cork oak || Scientific name: Quercus suber || Kingdom: Plantae  || Subkingdom: Tracheobionata || Superdivision: Spermatophyta (Seeds) || Phylum: Magnoliophyta || Class: Magnoliopsida || Subclass: Rosidae || Order: Fagales || Family: Fagaceae  || Genus: Quercus || Species: suber</t>
  </si>
  <si>
    <t>Kegg code: vvi || Common name: wine grape || Scientific name: Vitis vinifera || Kingdom: Plantae  || Subkingdom: Tracheobionata || Superdivision: Spermatophyta (Seeds) || Phylum: Magnoliophyta || Class: Magnoliopsida || Order: Vitales || Family: Vitaceae  || Tribe: Viteae  || Genus: Vitis || Species: vinifera</t>
  </si>
  <si>
    <t>Kegg code: cann || Common name: cayenne pepper || Scientific name: Capsicum annuum || Kingdom: Plantae  || Subkingdom: Tracheobionata || Superdivision: Spermatophyta (Seeds) || Phylum: Magnoliophyta || Class: Magnoliopsida || Order: Solanales || Family: Solanaceae || Subfamily: Solanoideae || Tribe: Capsiceae || Genus: Capsicum || Species: annuum</t>
  </si>
  <si>
    <t>Kegg code: nau || Common name: coyote tobacco || Scientific name: Nicotiana attenuata || Kingdom: Plantae  || Subkingdom: Tracheobionata || Superdivision: Spermatophyta (Seeds) || Phylum: Magnoliophyta || Class: Magnoliopsida || Order: Solanales || Family: Solanaceae || Subfamily: Nicotianoideae || Tribe: Nicotianeae || Genus: Nicotiana || Species: attenuata</t>
  </si>
  <si>
    <t>Kegg code: nsy || Common name: south american tobacco || Scientific name: Nicotiana sylvestris || Kingdom: Plantae  || Subkingdom: Tracheobionata || Superdivision: Spermatophyta (Seeds) || Phylum: Magnoliophyta || Class: Magnoliopsida || Order: Solanales || Family: Solanaceae || Subfamily: Nicotianoideae || Tribe: Nicotianeae || Genus: Nicotiana || Species: sylvestris</t>
  </si>
  <si>
    <t>Kegg code: nta || Common name: common tabacco || Scientific name: Nicotiana tabacum || Kingdom: Plantae  || Subkingdom: Tracheobionata || Superdivision: Spermatophyta (Seeds) || Phylum: Magnoliophyta || Class: Magnoliopsida || Order: Solanales || Family: Solanaceae || Subfamily: Nicotianoideae || Tribe: Nicotianeae || Genus: Nicotiana || Species: tabacum</t>
  </si>
  <si>
    <t>Kegg code: nto || Common name: tobacco || Scientific name: Nicotiana tomentosiformis || Kingdom: Plantae  || Subkingdom: Tracheobionata || Superdivision: Spermatophyta (Seeds) || Phylum: Magnoliophyta || Class: Magnoliopsida || Order: Solanales || Family: Solanaceae || Subfamily: Nicotianoideae || Tribe: Nicotianeae || Genus: Nicotiana || Species: tomentosiformis</t>
  </si>
  <si>
    <t>Kegg code: sly || Common name: garden tomato || Scientific name: Solanum lycopersicum || Kingdom: Plantae  || Subkingdom: Tracheobionata || Superdivision: Spermatophyta (Seeds) || Phylum: Magnoliophyta || Class: Magnoliopsida || Order: Solanales || Family: Solanaceae || Subfamily: Solanoideae || Tribe: Solaneae  || Genus: Solanum || Subgenus: Lycopersicon || Species: lycopersicum</t>
  </si>
  <si>
    <t>Kegg code: spen || Common name: tomato || Scientific name: Solanum pennellii || Kingdom: Plantae  || Subkingdom: Tracheobionata || Superdivision: Spermatophyta (Seeds) || Phylum: Magnoliophyta || Class: Magnoliopsida || Order: Solanales || Family: Solanaceae || Subfamily: Solanoideae || Tribe: Solaneae  || Genus: Solanum || Subgenus: Lycopersicon || Species: pennellii</t>
  </si>
  <si>
    <t>Kegg code: sot || Common name: potato || Scientific name: Solanum tuberosum || Kingdom: Plantae  || Subkingdom: Tracheobionata || Superdivision: Spermatophyta (Seeds) || Phylum: Magnoliophyta || Class: Magnoliopsida || Order: Solanales || Family: Solanaceae || Subfamily: Solanoideae || Tribe: Solaneae  || Genus: Solanum || Species: tuberosum</t>
  </si>
  <si>
    <t>Kegg code: ini || Common name: japanase morning glory || Scientific name: Ipomoea nil || Kingdom: Plantae  || Subkingdom: Tracheobionata || Superdivision: Spermatophyta (Seeds) || Phylum: Magnoliophyta || Class: Magnoliopsida || Order: Solanales || Family: Convolvulaceae  || Tribe: Ipomoeeae  || Genus: Ipomoea || Species: nil</t>
  </si>
  <si>
    <t>Kegg code: sind || Common name: sesame || Scientific name: Sesamum indicum || Kingdom: Plantae  || Subkingdom: Tracheobionata || Superdivision: Spermatophyta (Seeds) || Phylum: Magnoliophyta || Class: Magnoliopsida || Order: Lamiales || Family: Pedaliaceae  || Genus: Sesamum || Species: indicum</t>
  </si>
  <si>
    <t>Kegg code: oeu || Common name: wild olive || Scientific name: Olea europaea || Kingdom: Plantae  || Subkingdom: Tracheobionata || Superdivision: Spermatophyta (Seeds) || Phylum: Magnoliophyta || Class: Magnoliopsida || Order: Lamiales || Family: Oleaceae || Tribe: Oleeae  || Genus: Olea || Species: europaea || Var/Subsp: sylvestris</t>
  </si>
  <si>
    <t>Kegg code: ccav || Common name: artichoke || Scientific name: Cynara cardunculus || Kingdom: Plantae  || Subkingdom: Tracheobionata || Superdivision: Spermatophyta (Seeds) || Phylum: Magnoliophyta || Class: Magnoliopsida || Order: Asterales || Family: Asteraceae || Subfamily: Carduoideae || Tribe: Cardueae || Subtribe: Carduinae || Genus: Cynara || Species: cardunculus || Var/Subsp: scolymus</t>
  </si>
  <si>
    <t>Kegg code: han || Common name: common sunflower || Scientific name: Helianthus annuus || Kingdom: Plantae  || Subkingdom: Tracheobionata || Superdivision: Spermatophyta (Seeds) || Phylum: Magnoliophyta || Class: Magnoliopsida || Order: Asterales || Family: Asteraceae || Subfamily: Asteroideae || Tribe: Heliantheae || Genus: Helianthus || Species: annuus</t>
  </si>
  <si>
    <t>Kegg code: lsv || Common name: garden lettuce || Scientific name: Lactuca sativa || Kingdom: Plantae  || Subkingdom: Tracheobionata || Superdivision: Spermatophyta (Seeds) || Phylum: Magnoliophyta || Class: Magnoliopsida || Order: Asterales || Family: Asteraceae || Subfamily: Cichorioideae || Tribe: Cichorieae || Subtribe: Lactucinae || Genus: Lactuca || Species: sativa</t>
  </si>
  <si>
    <t>Kegg code: dcr || Common name: carrot || Scientific name: Daucus carota || Kingdom: Plantae  || Subkingdom: Tracheobionata || Superdivision: Spermatophyta (Seeds) || Phylum: Magnoliophyta || Class: Magnoliopsida || Order: Apiales || Family: Apiaceae || Subfamily: Apioideae || Tribe: Scandiceae || Subtribe: Daucinae || Genus: Daucus || Species: carota</t>
  </si>
  <si>
    <t>Kegg code: bvg || Common name: sugar beet || Scientific name: Beta vulgaris || Kingdom: Plantae  || Subkingdom: Tracheobionata || Superdivision: Spermatophyta (Seeds) || Phylum: Magnoliophyta || Class: Magnoliopsida || Order: Caryophyllales || Family: Chenopodiaceae || Subfamily: Betoideae || Genus: Beta || Species: vulgaris</t>
  </si>
  <si>
    <t>Kegg code: cqi || Common name: quinoa || Scientific name: Chenopodium quinoa || Kingdom: Plantae  || Subkingdom: Tracheobionata || Superdivision: Spermatophyta (Seeds) || Phylum: Magnoliophyta || Class: Magnoliopsida || Order: Caryophyllales || Family: Chenopodiaceae || Subfamily: Chenopodioideae || Tribe: Atripliceae || Genus: Chenopodium || Species: quinoa</t>
  </si>
  <si>
    <t>Kegg code: soe || Common name: spinach || Scientific name: Spinacia oleracea || Kingdom: Plantae  || Subkingdom: Tracheobionata || Superdivision: Spermatophyta (Seeds) || Phylum: Magnoliophyta || Class: Magnoliopsida || Order: Caryophyllales || Family: Chenopodiaceae || Subfamily: Chenopodioideae || Tribe: Anserineae || Genus: Spinacia || Species: oleracea</t>
  </si>
  <si>
    <t>Kegg code: nnu || Common name: sacred lotus || Scientific name: Nelumbo nucifera || Kingdom: Plantae  || Subkingdom: Tracheobionata || Superdivision: Spermatophyta (Seeds) || Phylum: Magnoliophyta || Class: Magnoliopsida || Order: Proteales || Family: Nelumbonaceae || Genus: Nelumbo || Species: nucifera</t>
  </si>
  <si>
    <t>Kegg code: psom || Common name: opium poppy || Scientific name: Papaver somniferum || Kingdom: Plantae  || Subkingdom: Tracheobionata || Superdivision: Spermatophyta (Seeds) || Phylum: Magnoliophyta || Class: Magnoliopsida || Order: Ranunculales || Family: Papaveraceae || Subfamily: Papaveroideae || Genus: Papaver || Species: somniferum</t>
  </si>
  <si>
    <t>Kegg code: ats || Common name: wheat D || Scientific name: Aegilops tauschii || Kingdom: Plantae  || Subkingdom: Tracheobionata || Superdivision: Spermatophyta (Seeds) || Phylum: Magnoliophyta || Class: Magnoliopsida || Order: Poales || Family: Poaceae || Subfamily: Pooideae || Tribe: Triticeae || Subtribe: Triticinae || Genus: Aegilops || Species: tauschii</t>
  </si>
  <si>
    <t>Kegg code: bdi || Common name: purple false brome || Scientific name: Brachypodium distachyon || Kingdom: Plantae  || Subkingdom: Tracheobionata || Superdivision: Spermatophyta (Seeds) || Phylum: Magnoliophyta || Class: Magnoliopsida || Order: Poales || Family: Poaceae || Subfamily: Pooideae || Tribe: Brachypodieae || Genus: Brachypodium || Species: distachyon</t>
  </si>
  <si>
    <t>Kegg code: obr || Common name: malo sina || Scientific name: Oryza brachyantha || Kingdom: Plantae  || Subkingdom: Tracheobionata || Superdivision: Spermatophyta (Seeds) || Phylum: Magnoliophyta || Class: Magnoliopsida || Order: Poales || Family: Poaceae || Subfamily: Oryzoideae || Tribe: Oryzeae || Subtribe: Oryzinae || Genus: Oryza || Species: brachyantha</t>
  </si>
  <si>
    <t>Kegg code: osa || Common name: japanese rice, Refseq || Scientific name: Oryza sativa || Kingdom: Plantae  || Subkingdom: Tracheobionata || Superdivision: Spermatophyta (Seeds) || Phylum: Magnoliophyta || Class: Magnoliopsida || Order: Poales || Family: Poaceae || Subfamily: Oryzoideae || Tribe: Oryzeae || Subtribe: Oryzinae || Genus: Oryza || Species: sativa || Var/Subsp: japonica</t>
  </si>
  <si>
    <t>Kegg code: dosa || Common name: japanese rice, RAPDB || Scientific name: Oryza sativa || Kingdom: Plantae  || Subkingdom: Tracheobionata || Superdivision: Spermatophyta (Seeds) || Phylum: Magnoliophyta || Class: Magnoliopsida || Order: Poales || Family: Poaceae || Subfamily: Oryzoideae || Tribe: Oryzeae || Subtribe: Oryzinae || Genus: Oryza || Species: sativa || Var/Subsp: japonica</t>
  </si>
  <si>
    <t>Kegg code: sita || Common name: foxtail millet || Scientific name: Setaria italica || Kingdom: Plantae  || Subkingdom: Tracheobionata || Superdivision: Spermatophyta (Seeds) || Phylum: Magnoliophyta || Class: Magnoliopsida || Order: Poales || Family: Poaceae || Subfamily: Panicoideae || Tribe: Paniceae || Subtribe: Cenchrinae || Genus: Setaria || Species: italica</t>
  </si>
  <si>
    <t>Kegg code: sbi || Common name: sorghum || Scientific name: Sorghum bicolor || Kingdom: Plantae  || Subkingdom: Tracheobionata || Superdivision: Spermatophyta (Seeds) || Phylum: Magnoliophyta || Class: Magnoliopsida || Order: Poales || Family: Poaceae || Subfamily: Panicoideae || Tribe: Andropogoneae || Subtribe: Sorghinae || Genus: Sorghum || Species: bicolor</t>
  </si>
  <si>
    <t>Kegg code: zma || Common name: maize || Scientific name: Zea mays || Kingdom: Plantae  || Subkingdom: Tracheobionata || Superdivision: Spermatophyta (Seeds) || Phylum: Magnoliophyta || Class: Magnoliopsida || Order: Poales || Family: Poaceae || Subfamily: Panicoideae || Tribe: Andropogoneae || Subtribe: Tripsacinae || Genus: Zea || Species: mays</t>
  </si>
  <si>
    <t>Kegg code: egu || Common name: african oil palm || Scientific name: Elaeis guineensis || Kingdom: Plantae  || Subkingdom: Tracheobionata || Superdivision: Spermatophyta (Seeds) || Phylum: Magnoliophyta || Class: Magnoliopsida || Order: Arecales || Family: Arecaceae || Subfamily: Arecoideae || Tribe: Cocoseae || Subtribe: Elaeidinae || Genus: Elaeis || Species: guineensis</t>
  </si>
  <si>
    <t>Kegg code: pda || Common name: date palm || Scientific name: Phoenix dactylifera || Kingdom: Plantae  || Subkingdom: Tracheobionata || Superdivision: Spermatophyta (Seeds) || Phylum: Magnoliophyta || Class: Magnoliopsida || Order: Arecales || Family: Arecaceae || Subfamily: Coryphoideae || Tribe: Phoeniceae || Genus: Phoenix || Species: dactylifera</t>
  </si>
  <si>
    <t>Kegg code: mus || Common name: wild malaysian banana || Scientific name: Musa acuminata || Kingdom: Plantae  || Subkingdom: Tracheobionata || Superdivision: Spermatophyta (Seeds) || Phylum: Magnoliophyta || Class: Magnoliopsida || Order: Zingiberales || Family: Musaceae || Genus: Musa || Species: acuminata</t>
  </si>
  <si>
    <t>Kegg code: dct || Common name: chained dendrobium || Scientific name: Dendrobium catenatum || Kingdom: Plantae  || Subkingdom: Tracheobionata || Superdivision: Spermatophyta (Seeds) || Phylum: Magnoliophyta || Class: Magnoliopsida || Order: Asparagales || Family: Orchidaceae || Subfamily: Epidendroideae || Tribe: Malaxideae || Subtribe: Dendrobiinae || Genus: Dendrobium || Species: catenatum</t>
  </si>
  <si>
    <t>Kegg code: peq || Common name: horse Phalaenopsis || Scientific name: Phalaenopsis equestris || Kingdom: Plantae  || Subkingdom: Tracheobionata || Superdivision: Spermatophyta (Seeds) || Phylum: Magnoliophyta || Class: Magnoliopsida || Order: Asparagales || Family: Orchidaceae || Subfamily: Epidendroideae || Tribe: Vandeae || Subtribe: Aeridinae || Genus: Phalaenopsis || Species: equestris</t>
  </si>
  <si>
    <t>Kegg code: aof || Common name: garden asparagus || Scientific name: Asparagus officinalis || Kingdom: Plantae  || Subkingdom: Tracheobionata || Superdivision: Spermatophyta (Seeds) || Phylum: Magnoliophyta || Class: Magnoliopsida || Order: Asparagales || Family: Asparagaceae || Subfamily: Asparagoideae || Genus: Asparagus || Species: officinalis</t>
  </si>
  <si>
    <t>Kegg code: atr || Common name: Basal Magnoliophyta || Scientific name: Amborella trichopoda || Kingdom: Plantae  || Subkingdom: Tracheobionata || Superdivision: Spermatophyta (Seeds) || Phylum: Magnoliophyta || Class: Magnoliopsida || Order: Amborellales || Family: Amborellaceae || Genus: Amborella || Species: trichopoda</t>
  </si>
  <si>
    <t>Kegg code: smo || Common name: spikemoss || Scientific name: Selaginella moellendorffii || Kingdom: Plantae  || Subkingdom: Tracheobionata || Superdivision: Spermatophyta (Seeds) || Phylum: Magnoliophyta || Class: Magnoliopsida || Order: Selaginellales || Family: Selaginellaceae || Genus: Selaginella || Species: moellendorffii</t>
  </si>
  <si>
    <t>Kegg code: ppp || Common name: moss || Scientific name: Physcomitrium patens || Kingdom: Plantae  || Subkingdom: Tracheobionata || Superdivision: Spermatophyta (Seeds) || Phylum: Streptophyta || Class: Bryopsida || Subclass: Funariidae || Order: Funariales || Family: Funariaceae || Genus: Physcomitrium || Species: patens</t>
  </si>
  <si>
    <t>Kegg code: apro || Common name: green microalga || Scientific name: Auxenochlorella protothecoides || Kingdom: Plantae  || Subkingdom: Viridiplantae || Phylum: Chlorophyta || Subphylum: Chlorophytina || Class: Trebouxiophyceae || Order: Chlorellales || Family: Chlorellaceae || Genus: Auxenochlorella || Species: protothecoides</t>
  </si>
  <si>
    <t>Kegg code: bpg || Scientific name: Bathycoccus prasinos || Kingdom: Plantae  || Subkingdom: Viridiplantae || Phylum: Chlorophyta || Subphylum: Prasinophytina || Class: Mamiellophyceae || Order: Mamiellales || Family: Bathycoccaceae || Genus: Bathycoccus || Species: prasinos</t>
  </si>
  <si>
    <t>Kegg code: cre || Scientific name: Chlamydomonas reinhardtii || Kingdom: Plantae  || Subkingdom: Viridiplantae || Phylum: Chlorophyta || Subphylum: Chlorophytina || Class: Chlorophyceae || Order: Chlamydomonadales || Family: Chlamydomonadaceae || Genus: Chlamydomonas || Species: reinhardtii</t>
  </si>
  <si>
    <t>Kegg code: cvr || Common name: green alga || Scientific name: Chlorella variabilis || Kingdom: Plantae  || Subkingdom: Viridiplantae || Phylum: Chlorophyta || Subphylum: Chlorophytina || Class: Trebouxiophyceae || Order: Chlorellales || Family: Chlorellaceae || Genus: Chlorella || Species: variabilis</t>
  </si>
  <si>
    <t>Kegg code: csl || Scientific name: Coccomyxa subellipsoidea || Kingdom: Plantae  || Subkingdom: Viridiplantae || Phylum: Chlorophyta || Subphylum: Chlorophytina || Class: Trebouxiophyceae || Order: Trebouxiophyceae || Family: Coccomyxaceae || Genus: Coccomyxa || Species: subellipsoidea</t>
  </si>
  <si>
    <t>Kegg code: mis || Common name: picoplanktonic green alga || Scientific name: Micromonas commoda || Kingdom: Plantae  || Subkingdom: Viridiplantae || Phylum: Chlorophyta || Subphylum: Prasinophytina || Class: Mamiellophyceae || Order: Mamiellales || Family: Mamiellaceae || Genus: Micromonas || Species: commoda</t>
  </si>
  <si>
    <t>Kegg code: mpp || Common name: butcher || Scientific name: Micromonas pusilla || Kingdom: Plantae  || Subkingdom: Viridiplantae || Phylum: Chlorophyta || Subphylum: Prasinophytina || Class: Mamiellophyceae || Order: Mamiellales || Family: Mamiellaceae || Genus: Micromonas || Species: pusilla</t>
  </si>
  <si>
    <t>Kegg code: mng || Scientific name: Monoraphidium neglectum || Kingdom: Plantae  || Subkingdom: Viridiplantae || Phylum: Chlorophyta || Subphylum: Chlorophytina || Class: Chlorophyceae || Order: Sphaeropleales || Family: Selenastraceae || Genus: Monoraphidium || Species: neglectum</t>
  </si>
  <si>
    <t>Kegg code: olu || Scientific name: Ostreococcus lucimarinus || Kingdom: Plantae  || Subkingdom: Viridiplantae || Phylum: Chlorophyta || Subphylum: Prasinophytina || Class: Mamiellophyceae || Order: Mamiellales || Family: Bathycoccaceae || Genus: Ostreococcus || Species: lucimarinus</t>
  </si>
  <si>
    <t>Kegg code: ota || Scientific name: Ostreococcus tauri || Kingdom: Plantae  || Subkingdom: Viridiplantae || Phylum: Chlorophyta || Subphylum: Prasinophytina || Class: Mamiellophyceae || Order: Mamiellales || Family: Bathycoccaceae || Genus: Ostreococcus || Species: tauri</t>
  </si>
  <si>
    <t>Kegg code: vcn || Common name: green alga || Scientific name: Volvox carteri || Kingdom: Plantae  || Subkingdom: Viridiplantae || Phylum: Chlorophyta || Subphylum: Chlorophytina || Class: Chlorophyceae || Order: Chlamydomonadales || Family: Volvocaceae || Genus: Volvox || Species: carteri || Var/Subsp: nagariensis</t>
  </si>
  <si>
    <t>Kegg code: ccp || Common name: carragheen || Scientific name: Chondrus crispus || Kingdom: Plantae  || Subkingdom: Biliphyta || Phylum: Rhodophyta || Subphylum: Eurhodophytina || Class: Florideophyceae || Subclass: Rhodymeniophycidae || Order: Gigartinales || Family: Gigartinaceae || Genus: Chondrus || Species: crispus</t>
  </si>
  <si>
    <t>Kegg code: cme || Common name: red alga || Scientific name: Cyanidioschyzon merolae || Kingdom: Plantae  || Subkingdom: Biliphyta || Phylum: Rhodophyta || Subphylum: Cyanidiophytina || Class: Cyanidiophyceae || Order: Cyanidiales || Family: Cyanidiaceae || Genus: Cyanidioschyzon || Species: merolae</t>
  </si>
  <si>
    <t>Kegg code: gsl || Common name: galdieri || Scientific name: Galdieria sulphuraria || Kingdom: Plantae  || Subkingdom: Biliphyta || Phylum: Rhodophyta || Subphylum: Cyanidiophytina || Class: Cyanidiophyceae || Order: Cyanidiales || Family: Galdieriaceae || Genus: Galdieria || Species: sulphuraria</t>
  </si>
  <si>
    <t>Map</t>
  </si>
  <si>
    <t>From</t>
  </si>
  <si>
    <t>To</t>
  </si>
  <si>
    <t>m00941</t>
  </si>
  <si>
    <t>Eriodictyol chalcone</t>
  </si>
  <si>
    <t>8-C-Glucosylnaringenin</t>
  </si>
  <si>
    <t>Homoeriodictyol chalcone</t>
  </si>
  <si>
    <t>Homoeriodictyol</t>
  </si>
  <si>
    <t>Values from B</t>
  </si>
  <si>
    <t>{"KeggCode":"aly","CommonName":"lyrate rockcress","ScientificName":"Arabidopsis lyrata","Kingdom":"Plantae ","Subkingdom":"Tracheobionata","Superdivision":"Spermatophyta (Seeds)","Phylum":"Magnoliophyta","Subphylum":"","Class":"Magnoliopsida","Subclass":"Dilleniidae","Order":"Brassicales","Family":"Brassicaceae","Subfamily":"","Tribe":"","Subtribe":"","Genus":"Arabidopsis","Subgenus":"","Species":"lyrata","VarSubsp":""},</t>
  </si>
  <si>
    <t>{"KeggCode":"ath","CommonName":"thale cress","ScientificName":"Arabidopsis thaliana","Kingdom":"Plantae ","Subkingdom":"Tracheobionata","Superdivision":"Spermatophyta (Seeds)","Phylum":"Magnoliophyta","Subphylum":"","Class":"Magnoliopsida","Subclass":"Dilleniidae","Order":"Brassicales","Family":"Brassicaceae","Subfamily":"","Tribe":"","Subtribe":"","Genus":"Arabidopsis","Subgenus":"","Species":"thaliana","VarSubsp":""},</t>
  </si>
  <si>
    <t>{"KeggCode":"bna  ","CommonName":"rape","ScientificName":"Brassica napus","Kingdom":"Plantae ","Subkingdom":"Tracheobionata","Superdivision":"Spermatophyta (Seeds)","Phylum":"Magnoliophyta","Subphylum":"","Class":"Magnoliopsida","Subclass":"Dilleniidae","Order":"Brassicales","Family":"Brassicaceae","Subfamily":"","Tribe":"","Subtribe":"","Genus":"Brassica","Subgenus":"","Species":"napus","VarSubsp":""},</t>
  </si>
  <si>
    <t>{"KeggCode":"boe  ","CommonName":"wild cabbage","ScientificName":"Brassica oleracea","Kingdom":"Plantae ","Subkingdom":"Tracheobionata","Superdivision":"Spermatophyta (Seeds)","Phylum":"Magnoliophyta","Subphylum":"","Class":"Magnoliopsida","Subclass":"Dilleniidae","Order":"Brassicales","Family":"Brassicaceae","Subfamily":"","Tribe":"","Subtribe":"","Genus":"Brassica","Subgenus":"","Species":"oleracea","VarSubsp":""},</t>
  </si>
  <si>
    <t>{"KeggCode":"brp ","CommonName":"field mustard","ScientificName":"Brassica rapa","Kingdom":"Plantae ","Subkingdom":"Tracheobionata","Superdivision":"Spermatophyta (Seeds)","Phylum":"Magnoliophyta","Subphylum":"","Class":"Magnoliopsida","Subclass":"Dilleniidae","Order":"Brassicales","Family":"Brassicaceae","Subfamily":"","Tribe":"","Subtribe":"","Genus":"Brassica","Subgenus":"","Species":"rapa","VarSubsp":""},</t>
  </si>
  <si>
    <t>{"KeggCode":"csat ","CommonName":"false flax","ScientificName":"Camelina sativa","Kingdom":"Plantae ","Subkingdom":"Tracheobionata","Superdivision":"Spermatophyta (Seeds)","Phylum":"Magnoliophyta","Subphylum":"","Class":"Magnoliopsida","Subclass":"Dilleniidae","Order":"Brassicales","Family":"Brassicaceae","Subfamily":"","Tribe":"","Subtribe":"","Genus":"Camelina","Subgenus":"","Species":"sativa","VarSubsp":""},</t>
  </si>
  <si>
    <t>{"KeggCode":"crb ","CommonName":"sheperd's purse","ScientificName":"Capsella rubella (bursa-pastoris)","Kingdom":"Plantae ","Subkingdom":"Tracheobionata","Superdivision":"Spermatophyta (Seeds)","Phylum":"Magnoliophyta","Subphylum":"","Class":"Magnoliopsida","Subclass":"Dilleniidae","Order":"Brassicales","Family":"Brassicaceae","Subfamily":"","Tribe":"","Subtribe":"","Genus":"Capsella","Subgenus":"","Species":"rubella","VarSubsp":""},</t>
  </si>
  <si>
    <t>{"KeggCode":"eus  ","CommonName":"saltwater cress","ScientificName":"Eutrema salsugineum","Kingdom":"Plantae ","Subkingdom":"Tracheobionata","Superdivision":"Spermatophyta (Seeds)","Phylum":"Magnoliophyta","Subphylum":"","Class":"Magnoliopsida","Subclass":"Dilleniidae","Order":"Brassicales","Family":"Brassicaceae","Subfamily":"","Tribe":"","Subtribe":"","Genus":"Eutrema","Subgenus":"","Species":"salsugineum","VarSubsp":""},</t>
  </si>
  <si>
    <t>{"KeggCode":"rsz ","CommonName":"radish","ScientificName":"Raphanus sativus","Kingdom":"Plantae ","Subkingdom":"Tracheobionata","Superdivision":"Spermatophyta (Seeds)","Phylum":"Magnoliophyta","Subphylum":"","Class":"Magnoliopsida","Subclass":"Dilleniidae","Order":"Brassicales","Family":"Brassicaceae","Subfamily":"","Tribe":"","Subtribe":"","Genus":"Raphanus","Subgenus":"","Species":"sativus","VarSubsp":""},</t>
  </si>
  <si>
    <t>{"KeggCode":"thj","CommonName":"spider flower","ScientificName":"Tarenaya hassleriana","Kingdom":"Plantae ","Subkingdom":"Tracheobionata","Superdivision":"Spermatophyta (Seeds)","Phylum":"Magnoliophyta","Subphylum":"","Class":"Magnoliopsida","Subclass":"Dilleniidae","Order":"Brassicales","Family":"Cleomaceae","Subfamily":"","Tribe":"","Subtribe":"","Genus":"Tarenaya","Subgenus":"","Species":"hassleriana","VarSubsp":""},</t>
  </si>
  <si>
    <t>{"KeggCode":"cpap","CommonName":"papaya","ScientificName":"Carica papaya","Kingdom":"Plantae ","Subkingdom":"Tracheobionata","Superdivision":"Spermatophyta (Seeds)","Phylum":"Magnoliophyta","Subphylum":"","Class":"Magnoliopsida","Subclass":"Dilleniidae","Order":"Brassicales","Family":"Caricaceae","Subfamily":"","Tribe":"","Subtribe":"","Genus":"Carica","Subgenus":"","Species":"papaya","VarSubsp":""},</t>
  </si>
  <si>
    <t>{"KeggCode":"cit","CommonName":"valencia orange","ScientificName":"Citrus sinensis","Kingdom":"Plantae ","Subkingdom":"Tracheobionata","Superdivision":"Spermatophyta (Seeds)","Phylum":"Magnoliophyta","Subphylum":"","Class":"Magnoliopsida","Subclass":"Rosidae ","Order":"Sapindales ","Family":"Rutaceae","Subfamily":"Aurantioideae","Tribe":"","Subtribe":"","Genus":"Citrus","Subgenus":"","Species":"sinensis","VarSubsp":""},</t>
  </si>
  <si>
    <t>{"KeggCode":"cic","CommonName":"mandarin orange","ScientificName":"Citrus clementina","Kingdom":"Plantae ","Subkingdom":"Tracheobionata","Superdivision":"Spermatophyta (Seeds)","Phylum":"Magnoliophyta","Subphylum":"","Class":"Magnoliopsida","Subclass":"Rosidae ","Order":"Sapindales ","Family":"Rutaceae","Subfamily":"Aurantioideae","Tribe":"","Subtribe":"","Genus":"Citrus","Subgenus":"","Species":"clementina","VarSubsp":""},</t>
  </si>
  <si>
    <t>{"KeggCode":"dzi","CommonName":"durian","ScientificName":"Durio zibethinus","Kingdom":"Plantae ","Subkingdom":"Tracheobionata","Superdivision":"Spermatophyta (Seeds)","Phylum":"Magnoliophyta","Subphylum":"","Class":"Magnoliopsida","Subclass":"Dilleniidae","Order":"Malvales","Family":"Bombacaceae ","Subfamily":"Helicteroideae","Tribe":"","Subtribe":"","Genus":"Durio","Subgenus":"","Species":"zibethinus","VarSubsp":""},</t>
  </si>
  <si>
    <t>{"KeggCode":"gab","CommonName":"tree cotton","ScientificName":"Gossypium arboreum","Kingdom":"Plantae ","Subkingdom":"Tracheobionata","Superdivision":"Spermatophyta (Seeds)","Phylum":"Magnoliophyta","Subphylum":"","Class":"Magnoliopsida","Subclass":"Dilleniidae","Order":"Malvales","Family":"Malvaceae","Subfamily":"Malvoideae","Tribe":"","Subtribe":"","Genus":"Gossypium","Subgenus":"","Species":"arboreum","VarSubsp":""},</t>
  </si>
  <si>
    <t>{"KeggCode":"ghi","CommonName":"upland cotton","ScientificName":"Gossypium hirsutum","Kingdom":"Plantae ","Subkingdom":"Tracheobionata","Superdivision":"Spermatophyta (Seeds)","Phylum":"Magnoliophyta","Subphylum":"","Class":"Magnoliopsida","Subclass":"Dilleniidae","Order":"Malvales","Family":"Malvaceae","Subfamily":"Malvoideae","Tribe":"","Subtribe":"","Genus":"Gossypium","Subgenus":"","Species":"hirsutum","VarSubsp":""},</t>
  </si>
  <si>
    <t>{"KeggCode":"gra","CommonName":"peruvian cotton","ScientificName":"Gossypium raimondii","Kingdom":"Plantae ","Subkingdom":"Tracheobionata","Superdivision":"Spermatophyta (Seeds)","Phylum":"Magnoliophyta","Subphylum":"","Class":"Magnoliopsida","Subclass":"Dilleniidae","Order":"Malvales","Family":"Malvaceae","Subfamily":"Malvoideae","Tribe":"","Subtribe":"","Genus":"Gossypium","Subgenus":"","Species":"raimondii","VarSubsp":""},</t>
  </si>
  <si>
    <t>{"KeggCode":"tcc","CommonName":"cacao","ScientificName":"Theobroma cacao","Kingdom":"Plantae ","Subkingdom":"Tracheobionata","Superdivision":"Spermatophyta (Seeds)","Phylum":"Magnoliophyta","Subphylum":"","Class":"Magnoliopsida","Subclass":"Dilleniidae","Order":"Malvales","Family":"Malvaceae","Subfamily":"Byttnerioideae","Tribe":"","Subtribe":"","Genus":"Theobroma","Subgenus":"","Species":"cacao","VarSubsp":""},</t>
  </si>
  <si>
    <t>{"KeggCode":"egr","CommonName":"rose gum","ScientificName":"Eucalyptus grandis","Kingdom":"Plantae ","Subkingdom":"Tracheobionata","Superdivision":"Spermatophyta (Seeds)","Phylum":"Magnoliophyta","Subphylum":"","Class":"Magnoliopsida","Subclass":"Rosidae ","Order":"Myrtales","Family":"Myrtaceae","Subfamily":"Myrtoideae","Tribe":"Eucalypteae","Subtribe":"","Genus":"Eucalyptus","Subgenus":"","Species":"grandi","VarSubsp":""},</t>
  </si>
  <si>
    <t>{"KeggCode":"adu","CommonName":"wild peanut","ScientificName":"Arachis duranensis","Kingdom":"Plantae ","Subkingdom":"Tracheobionata","Superdivision":"Spermatophyta (Seeds)","Phylum":"Magnoliophyta","Subphylum":"","Class":"Magnoliopsida","Subclass":"Rosidae ","Order":"Fabales","Family":"Fabaceae","Subfamily":"Papilionoideae","Tribe":"Dalbergieae","Subtribe":"","Genus":"Arachis","Subgenus":"","Species":"duranensis","VarSubsp":""},</t>
  </si>
  <si>
    <t>{"KeggCode":"aip","CommonName":"wild peanut","ScientificName":"Arachis ipaensis","Kingdom":"Plantae ","Subkingdom":"Tracheobionata","Superdivision":"Spermatophyta (Seeds)","Phylum":"Magnoliophyta","Subphylum":"","Class":"Magnoliopsida","Subclass":"Rosidae ","Order":"Fabales","Family":"Fabaceae","Subfamily":"Papilionoideae","Tribe":"Dalbergieae","Subtribe":"","Genus":"Arachis","Subgenus":"","Species":"ipaensis","VarSubsp":""},</t>
  </si>
  <si>
    <t>{"KeggCode":"ccaj","CommonName":"pigeon pea","ScientificName":"Cajanus cajan","Kingdom":"Plantae ","Subkingdom":"Tracheobionata","Superdivision":"Spermatophyta (Seeds)","Phylum":"Magnoliophyta","Subphylum":"","Class":"Magnoliopsida","Subclass":"Rosidae ","Order":"Fabales","Family":"Fabaceae","Subfamily":"Papilionoideae","Tribe":"Phaseoleae","Subtribe":"","Genus":"Cajanus","Subgenus":"","Species":"cajan","VarSubsp":""},</t>
  </si>
  <si>
    <t>{"KeggCode":"cam","CommonName":"chickpea","ScientificName":"Cicer arietinum","Kingdom":"Plantae ","Subkingdom":"Tracheobionata","Superdivision":"Spermatophyta (Seeds)","Phylum":"Magnoliophyta","Subphylum":"","Class":"Magnoliopsida","Subclass":"Rosidae ","Order":"Fabales","Family":"Fabaceae","Subfamily":"Papilionoideae","Tribe":"Cicereae","Subtribe":"","Genus":"Cicer","Subgenus":"","Species":"arietinum","VarSubsp":""},</t>
  </si>
  <si>
    <t>{"KeggCode":"gmx","CommonName":"soybean","ScientificName":"Glycine max","Kingdom":"Plantae ","Subkingdom":"Tracheobionata","Superdivision":"Spermatophyta (Seeds)","Phylum":"Magnoliophyta","Subphylum":"","Class":"Magnoliopsida","Subclass":"Rosidae ","Order":"Fabales","Family":"Fabaceae","Subfamily":"Papilionoideae","Tribe":"Phaseoleae","Subtribe":"","Genus":"Glycine","Subgenus":"","Species":"max","VarSubsp":""},</t>
  </si>
  <si>
    <t>{"KeggCode":"gsj","CommonName":"wild soybean","ScientificName":"Glycine soja","Kingdom":"Plantae ","Subkingdom":"Tracheobionata","Superdivision":"Spermatophyta (Seeds)","Phylum":"Magnoliophyta","Subphylum":"","Class":"Magnoliopsida","Subclass":"Rosidae","Order":"Fabales","Family":"Fabaceae","Subfamily":"Papilionoideae","Tribe":"Phaseoleae","Subtribe":"","Genus":"Glycine","Subgenus":"","Species":"soja","VarSubsp":""},</t>
  </si>
  <si>
    <t>{"KeggCode":"lja","CommonName":"birdsfoot trefoil","ScientificName":"Lotus japonicus","Kingdom":"Plantae ","Subkingdom":"Tracheobionata","Superdivision":"Spermatophyta (Seeds)","Phylum":"Magnoliophyta","Subphylum":"","Class":"Magnoliopsida","Subclass":"Rosidae","Order":"Fabales","Family":"Fabaceae","Subfamily":"Papilionoideae","Tribe":"Loteae","Subtribe":"","Genus":"Lotus","Subgenus":"","Species":"japonicus","VarSubsp":""},</t>
  </si>
  <si>
    <t>{"KeggCode":"lang","CommonName":"narrow-leaved blue lupine","ScientificName":"Lupinus angustifolius","Kingdom":"Plantae ","Subkingdom":"Tracheobionata","Superdivision":"Spermatophyta (Seeds)","Phylum":"Magnoliophyta","Subphylum":"","Class":"Magnoliopsida","Subclass":"Rosidae","Order":"Fabales","Family":"Fabaceae","Subfamily":"Papilionoideae","Tribe":"Genisteae","Subtribe":"","Genus":"Lupinus","Subgenus":"","Species":"angustifoliu","VarSubsp":""},</t>
  </si>
  <si>
    <t>{"KeggCode":"mtr","CommonName":"barell medic","ScientificName":"Medicago truncatula","Kingdom":"Plantae ","Subkingdom":"Tracheobionata","Superdivision":"Spermatophyta (Seeds)","Phylum":"Magnoliophyta","Subphylum":"","Class":"Magnoliopsida","Subclass":"Rosidae","Order":"Fabales","Family":"Fabaceae","Subfamily":"Papilionoideae","Tribe":"Trifolieae","Subtribe":"","Genus":"Medicago","Subgenus":"","Species":"truncatula","VarSubsp":""},</t>
  </si>
  <si>
    <t>{"KeggCode":"pvu","CommonName":"common bean","ScientificName":"Phaseolus vulgaris","Kingdom":"Plantae ","Subkingdom":"Tracheobionata","Superdivision":"Spermatophyta (Seeds)","Phylum":"Magnoliophyta","Subphylum":"","Class":"Magnoliopsida","Subclass":"Rosidae","Order":"Fabales","Family":"Fabaceae","Subfamily":"Papilionoideae","Tribe":"Phaseoleae","Subtribe":"","Genus":"Phaseolus","Subgenus":"","Species":"vulgaris","VarSubsp":""},</t>
  </si>
  <si>
    <t>{"KeggCode":"var","CommonName":"adzuki bean","ScientificName":"Vigna angularis","Kingdom":"Plantae ","Subkingdom":"Tracheobionata","Superdivision":"Spermatophyta (Seeds)","Phylum":"Magnoliophyta","Subphylum":"","Class":"Magnoliopsida","Subclass":"Rosidae","Order":"Fabales","Family":"Fabaceae","Subfamily":"Papilionoideae","Tribe":"Phaseoleae","Subtribe":"","Genus":"Vigna","Subgenus":"","Species":"angularis","VarSubsp":""},</t>
  </si>
  <si>
    <t>{"KeggCode":"vra","CommonName":"mung bean","ScientificName":"Vigna radiata","Kingdom":"Plantae ","Subkingdom":"Tracheobionata","Superdivision":"Spermatophyta (Seeds)","Phylum":"Magnoliophyta","Subphylum":"","Class":"Magnoliopsida","Subclass":"Rosidae","Order":"Fabales","Family":"Fabaceae","Subfamily":"Papilionoideae","Tribe":"Phaseoleae","Subtribe":"","Genus":"Vigna","Subgenus":"","Species":"radiata","VarSubsp":""},</t>
  </si>
  <si>
    <t>{"KeggCode":"vun","CommonName":"cowpea","ScientificName":"Vigna unguiculata","Kingdom":"Plantae ","Subkingdom":"Tracheobionata","Superdivision":"Spermatophyta (Seeds)","Phylum":"Magnoliophyta","Subphylum":"","Class":"Magnoliopsida","Subclass":"Rosidae","Order":"Fabales","Family":"Fabaceae","Subfamily":"Papilionoideae","Tribe":"Phaseoleae","Subtribe":"","Genus":"Vigna","Subgenus":"","Species":"unguiculata","VarSubsp":""},</t>
  </si>
  <si>
    <t>{"KeggCode":"fve","CommonName":"woodland strawberry","ScientificName":"Fragaria vesca","Kingdom":"Plantae ","Subkingdom":"Tracheobionata","Superdivision":"Spermatophyta (Seeds)","Phylum":"Magnoliophyta","Subphylum":"","Class":"Magnoliopsida","Subclass":"Rosidae","Order":"Rosales","Family":"Rosaceae","Subfamily":"Rosoideae","Tribe":"Potentilleae","Subtribe":"Fragariinae","Genus":"Fragaria","Subgenus":"","Species":"vesca","VarSubsp":""},</t>
  </si>
  <si>
    <t>{"KeggCode":"mdm","CommonName":"apple","ScientificName":"Malus domestica","Kingdom":"Plantae ","Subkingdom":"Tracheobionata","Superdivision":"Spermatophyta (Seeds)","Phylum":"Magnoliophyta","Subphylum":"","Class":"Magnoliopsida","Subclass":"Rosidae","Order":"Rosales","Family":"Rosaceae","Subfamily":"Amygdaloideae","Tribe":"Maleae","Subtribe":"","Genus":"Malus","Subgenus":"","Species":"domestica","VarSubsp":""},</t>
  </si>
  <si>
    <t>{"KeggCode":"pavi","CommonName":"sweet cherry","ScientificName":"Prunus avium","Kingdom":"Plantae ","Subkingdom":"Tracheobionata","Superdivision":"Spermatophyta (Seeds)","Phylum":"Magnoliophyta","Subphylum":"","Class":"Magnoliopsida","Subclass":"Rosidae","Order":"Rosales","Family":"Rosaceae","Subfamily":"Amygdaloideae","Tribe":"Amygdaleae","Subtribe":"","Genus":"Prunus","Subgenus":"","Species":"avium","VarSubsp":""},</t>
  </si>
  <si>
    <t>{"KeggCode":"pmum","CommonName":"japanese apricot","ScientificName":"Prunus mume","Kingdom":"Plantae ","Subkingdom":"Tracheobionata","Superdivision":"Spermatophyta (Seeds)","Phylum":"Magnoliophyta","Subphylum":"","Class":"Magnoliopsida","Subclass":"Rosidae","Order":"Rosales","Family":"Rosaceae","Subfamily":"Amygdaloideae","Tribe":"Amygdaleae","Subtribe":"","Genus":"Prunus","Subgenus":"","Species":"mume","VarSubsp":""},</t>
  </si>
  <si>
    <t>{"KeggCode":"pper","CommonName":"peach","ScientificName":"Prunus persica","Kingdom":"Plantae ","Subkingdom":"Tracheobionata","Superdivision":"Spermatophyta (Seeds)","Phylum":"Magnoliophyta","Subphylum":"","Class":"Magnoliopsida","Subclass":"Rosidae","Order":"Rosales","Family":"Rosaceae","Subfamily":"Amygdaloideae","Tribe":"Amygdaleae","Subtribe":"","Genus":"Prunus","Subgenus":"","Species":"persica","VarSubsp":""},</t>
  </si>
  <si>
    <t>{"KeggCode":"pxb","CommonName":"chinese white pear","ScientificName":"Pyrus x bretschneideri","Kingdom":"Plantae ","Subkingdom":"Tracheobionata","Superdivision":"Spermatophyta (Seeds)","Phylum":"Magnoliophyta","Subphylum":"","Class":"Magnoliopsida","Subclass":"Rosidae","Order":"Rosales","Family":"Rosaceae","Subfamily":"Amygdaloideae","Tribe":"Maleae","Subtribe":"","Genus":"Pyrus","Subgenus":"","Species":"x bretschneideri","VarSubsp":""},</t>
  </si>
  <si>
    <t>{"KeggCode":"rcn","CommonName":"china rose","ScientificName":"Rosa chinensis","Kingdom":"Plantae ","Subkingdom":"Tracheobionata","Superdivision":"Spermatophyta (Seeds)","Phylum":"Magnoliophyta","Subphylum":"","Class":"Magnoliopsida","Subclass":"Rosidae","Order":"Rosales","Family":"Rosaceae","Subfamily":"Rosoideae","Tribe":"","Subtribe":"","Genus":"Rosa","Subgenus":"","Species":"chinensis","VarSubsp":""},</t>
  </si>
  <si>
    <t>{"KeggCode":"zju","CommonName":"chinese jujube","ScientificName":"Ziziphus jujuba","Kingdom":"Plantae ","Subkingdom":"Tracheobionata","Superdivision":"Spermatophyta (Seeds)","Phylum":"Magnoliophyta","Subphylum":"","Class":"Magnoliopsida","Subclass":"Rosidae","Order":"Rosales","Family":"Rhamnaceae","Subfamily":"","Tribe":"Paliureae","Subtribe":"","Genus":"Ziziphus","Subgenus":"","Species":"jujuba","VarSubsp":""},</t>
  </si>
  <si>
    <t>{"KeggCode":"cmo","CommonName":"muskmelon","ScientificName":"Cucumis melo","Kingdom":"Plantae ","Subkingdom":"Tracheobionata","Superdivision":"Spermatophyta (Seeds)","Phylum":"Magnoliophyta","Subphylum":"","Class":"Magnoliopsida","Subclass":"","Order":"Cucurbitales","Family":"Cucurbitaceae","Subfamily":"","Tribe":"Benincaseae","Subtribe":"","Genus":"Cucumis","Subgenus":"","Species":"melo","VarSubsp":""},</t>
  </si>
  <si>
    <t>{"KeggCode":"csv","CommonName":"cucumber","ScientificName":"Cucumis sativus","Kingdom":"Plantae ","Subkingdom":"Tracheobionata","Superdivision":"Spermatophyta (Seeds)","Phylum":"Magnoliophyta","Subphylum":"","Class":"Magnoliopsida","Subclass":"","Order":"Cucurbitales","Family":"Cucurbitaceae","Subfamily":"","Tribe":"Benincaseae","Subtribe":"","Genus":"Cucumis","Subgenus":"","Species":"sativus","VarSubsp":""},</t>
  </si>
  <si>
    <t>{"KeggCode":"cmax","CommonName":"winter squash","ScientificName":"Cucurbita maxima","Kingdom":"Plantae ","Subkingdom":"Tracheobionata","Superdivision":"Spermatophyta (Seeds)","Phylum":"Magnoliophyta","Subphylum":"","Class":"Magnoliopsida","Subclass":"","Order":"Cucurbitales","Family":"Cucurbitaceae","Subfamily":"","Tribe":"Cucurbiteae","Subtribe":"","Genus":"Cucurbita","Subgenus":"","Species":"maxima","VarSubsp":""},</t>
  </si>
  <si>
    <t>{"KeggCode":"cmos","CommonName":"crookneck pumpkin","ScientificName":"Cucurbita moschata","Kingdom":"Plantae ","Subkingdom":"Tracheobionata","Superdivision":"Spermatophyta (Seeds)","Phylum":"Magnoliophyta","Subphylum":"","Class":"Magnoliopsida","Subclass":"","Order":"Cucurbitales","Family":"Cucurbitaceae","Subfamily":"","Tribe":"Cucurbiteae","Subtribe":"","Genus":"Cucurbita","Subgenus":"","Species":"moschata","VarSubsp":""},</t>
  </si>
  <si>
    <t>{"KeggCode":"cpep","CommonName":"vegetable marrow","ScientificName":"Cucurbita pepo","Kingdom":"Plantae ","Subkingdom":"Tracheobionata","Superdivision":"Spermatophyta (Seeds)","Phylum":"Magnoliophyta","Subphylum":"","Class":"Magnoliopsida","Subclass":"","Order":"Cucurbitales","Family":"Cucurbitaceae","Subfamily":"","Tribe":"Cucurbiteae","Subtribe":"","Genus":"Cucurbita","Subgenus":"","Species":"pepo","VarSubsp":"Pepo"},</t>
  </si>
  <si>
    <t>{"KeggCode":"mcha","CommonName":"bitter melon","ScientificName":"Momordica charantia","Kingdom":"Plantae ","Subkingdom":"Tracheobionata","Superdivision":"Spermatophyta (Seeds)","Phylum":"Magnoliophyta","Subphylum":"","Class":"Magnoliopsida","Subclass":"","Order":"Cucurbitales","Family":"Cucurbitaceae","Subfamily":"","Tribe":"Momordiceae","Subtribe":"","Genus":"Momordica","Subgenus":"","Species":"charantia","VarSubsp":""},</t>
  </si>
  <si>
    <t>{"KeggCode":"hbr","CommonName":"rubber tree","ScientificName":"Hevea brasiliensis","Kingdom":"Plantae ","Subkingdom":"Tracheobionata","Superdivision":"Spermatophyta (Seeds)","Phylum":"Magnoliophyta","Subphylum":"","Class":"Magnoliopsida","Subclass":"Rosidae","Order":"Malpighiales","Family":"Euphorbiaceae","Subfamily":"Crotonoideae","Tribe":"Micrandreae","Subtribe":"","Genus":"Hevea","Subgenus":"","Species":"brasiliensis","VarSubsp":""},</t>
  </si>
  <si>
    <t>{"KeggCode":"jcu","CommonName":"barbados nut","ScientificName":"Jatropha curcas","Kingdom":"Plantae ","Subkingdom":"Tracheobionata","Superdivision":"Spermatophyta (Seeds)","Phylum":"Magnoliophyta","Subphylum":"","Class":"Magnoliopsida","Subclass":"Rosidae","Order":"Malpighiales","Family":"Euphorbiaceae","Subfamily":"Crotonoideae","Tribe":"Jatropheae","Subtribe":"","Genus":"Jatropha","Subgenus":"","Species":"curcas","VarSubsp":""},</t>
  </si>
  <si>
    <t>{"KeggCode":"mesc","CommonName":"cassava","ScientificName":"Manihot esculenta","Kingdom":"Plantae ","Subkingdom":"Tracheobionata","Superdivision":"Spermatophyta (Seeds)","Phylum":"Magnoliophyta","Subphylum":"","Class":"Magnoliopsida","Subclass":"Rosidae","Order":"Malpighiales","Family":"Euphorbiaceae","Subfamily":"Crotonoideae","Tribe":"Manihoteae","Subtribe":"","Genus":"Manihot","Subgenus":"","Species":"esculenta","VarSubsp":""},</t>
  </si>
  <si>
    <t>{"KeggCode":"rcu","CommonName":"castor bean","ScientificName":"Ricinus communis","Kingdom":"Plantae ","Subkingdom":"Tracheobionata","Superdivision":"Spermatophyta (Seeds)","Phylum":"Magnoliophyta","Subphylum":"","Class":"Magnoliopsida","Subclass":"Rosidae","Order":"Malpighiales","Family":"Euphorbiaceae","Subfamily":"Acalyphoideae","Tribe":"Acalypheae","Subtribe":"","Genus":"Ricinus","Subgenus":"","Species":"communis","VarSubsp":""},</t>
  </si>
  <si>
    <t>{"KeggCode":"peu","CommonName":"euphrates poplar","ScientificName":"Populus euphratica","Kingdom":"Plantae ","Subkingdom":"Tracheobionata","Superdivision":"Spermatophyta (Seeds)","Phylum":"Magnoliophyta","Subphylum":"","Class":"Magnoliopsida","Subclass":"Rosidae","Order":"Malpighiales","Family":"Salicaceae","Subfamily":"","Tribe":"Saliceae","Subtribe":"","Genus":"Populus","Subgenus":"","Species":"euphratica","VarSubsp":""},</t>
  </si>
  <si>
    <t>{"KeggCode":"pop","CommonName":"black cottonwood","ScientificName":"Populus trichocarpa","Kingdom":"Plantae ","Subkingdom":"Tracheobionata","Superdivision":"Spermatophyta (Seeds)","Phylum":"Magnoliophyta","Subphylum":"","Class":"Magnoliopsida","Subclass":"Rosidae","Order":"Malpighiales","Family":"Salicaceae","Subfamily":"","Tribe":"Saliceae","Subtribe":"","Genus":"Populus","Subgenus":"","Species":"trichocarpa","VarSubsp":""},</t>
  </si>
  <si>
    <t>{"KeggCode":"jre","CommonName":"english walnut","ScientificName":"Juglans regia","Kingdom":"Plantae ","Subkingdom":"Tracheobionata","Superdivision":"Spermatophyta (Seeds)","Phylum":"Magnoliophyta","Subphylum":"","Class":"Magnoliopsida","Subclass":"Rosidae","Order":"Fagales","Family":"Juglandaceae","Subfamily":"","Tribe":"","Subtribe":"","Genus":"Juglans","Subgenus":"","Species":"regia","VarSubsp":""},</t>
  </si>
  <si>
    <t>{"KeggCode":"qsu","CommonName":"cork oak","ScientificName":"Quercus suber","Kingdom":"Plantae ","Subkingdom":"Tracheobionata","Superdivision":"Spermatophyta (Seeds)","Phylum":"Magnoliophyta","Subphylum":"","Class":"Magnoliopsida","Subclass":"Rosidae","Order":"Fagales","Family":"Fagaceae ","Subfamily":"","Tribe":"","Subtribe":"","Genus":"Quercus","Subgenus":"","Species":"suber","VarSubsp":""},</t>
  </si>
  <si>
    <t>{"KeggCode":"vvi","CommonName":"wine grape","ScientificName":"Vitis vinifera","Kingdom":"Plantae ","Subkingdom":"Tracheobionata","Superdivision":"Spermatophyta (Seeds)","Phylum":"Magnoliophyta","Subphylum":"","Class":"Magnoliopsida","Subclass":"","Order":"Vitales","Family":"Vitaceae ","Subfamily":"","Tribe":"Viteae ","Subtribe":"","Genus":"Vitis","Subgenus":"","Species":"vinifera","VarSubsp":""},</t>
  </si>
  <si>
    <t>{"KeggCode":"cann","CommonName":"cayenne pepper","ScientificName":"Capsicum annuum","Kingdom":"Plantae ","Subkingdom":"Tracheobionata","Superdivision":"Spermatophyta (Seeds)","Phylum":"Magnoliophyta","Subphylum":"","Class":"Magnoliopsida","Subclass":"","Order":"Solanales","Family":"Solanaceae","Subfamily":"Solanoideae","Tribe":"Capsiceae","Subtribe":"","Genus":"Capsicum","Subgenus":"","Species":"annuum","VarSubsp":""},</t>
  </si>
  <si>
    <t>{"KeggCode":"nau","CommonName":"coyote tobacco","ScientificName":"Nicotiana attenuata","Kingdom":"Plantae ","Subkingdom":"Tracheobionata","Superdivision":"Spermatophyta (Seeds)","Phylum":"Magnoliophyta","Subphylum":"","Class":"Magnoliopsida","Subclass":"","Order":"Solanales","Family":"Solanaceae","Subfamily":"Nicotianoideae","Tribe":"Nicotianeae","Subtribe":"","Genus":"Nicotiana","Subgenus":"","Species":"attenuata","VarSubsp":""},</t>
  </si>
  <si>
    <t>{"KeggCode":"nsy","CommonName":"south american tobacco","ScientificName":"Nicotiana sylvestris","Kingdom":"Plantae ","Subkingdom":"Tracheobionata","Superdivision":"Spermatophyta (Seeds)","Phylum":"Magnoliophyta","Subphylum":"","Class":"Magnoliopsida","Subclass":"","Order":"Solanales","Family":"Solanaceae","Subfamily":"Nicotianoideae","Tribe":"Nicotianeae","Subtribe":"","Genus":"Nicotiana","Subgenus":"","Species":"sylvestris","VarSubsp":""},</t>
  </si>
  <si>
    <t>{"KeggCode":"nta","CommonName":"common tabacco","ScientificName":"Nicotiana tabacum","Kingdom":"Plantae ","Subkingdom":"Tracheobionata","Superdivision":"Spermatophyta (Seeds)","Phylum":"Magnoliophyta","Subphylum":"","Class":"Magnoliopsida","Subclass":"","Order":"Solanales","Family":"Solanaceae","Subfamily":"Nicotianoideae","Tribe":"Nicotianeae","Subtribe":"","Genus":"Nicotiana","Subgenus":"","Species":"tabacum","VarSubsp":""},</t>
  </si>
  <si>
    <t>{"KeggCode":"nto","CommonName":"tobacco","ScientificName":"Nicotiana tomentosiformis","Kingdom":"Plantae ","Subkingdom":"Tracheobionata","Superdivision":"Spermatophyta (Seeds)","Phylum":"Magnoliophyta","Subphylum":"","Class":"Magnoliopsida","Subclass":"","Order":"Solanales","Family":"Solanaceae","Subfamily":"Nicotianoideae","Tribe":"Nicotianeae","Subtribe":"","Genus":"Nicotiana","Subgenus":"","Species":"tomentosiformis","VarSubsp":""},</t>
  </si>
  <si>
    <t>{"KeggCode":"sly","CommonName":"garden tomato","ScientificName":"Solanum lycopersicum","Kingdom":"Plantae ","Subkingdom":"Tracheobionata","Superdivision":"Spermatophyta (Seeds)","Phylum":"Magnoliophyta","Subphylum":"","Class":"Magnoliopsida","Subclass":"","Order":"Solanales","Family":"Solanaceae","Subfamily":"Solanoideae","Tribe":"Solaneae ","Subtribe":"","Genus":"Solanum","Subgenus":"Lycopersicon","Species":"lycopersicum","VarSubsp":""},</t>
  </si>
  <si>
    <t>{"KeggCode":"spen","CommonName":"tomato","ScientificName":"Solanum pennellii","Kingdom":"Plantae ","Subkingdom":"Tracheobionata","Superdivision":"Spermatophyta (Seeds)","Phylum":"Magnoliophyta","Subphylum":"","Class":"Magnoliopsida","Subclass":"","Order":"Solanales","Family":"Solanaceae","Subfamily":"Solanoideae","Tribe":"Solaneae ","Subtribe":"","Genus":"Solanum","Subgenus":"Lycopersicon","Species":"pennellii","VarSubsp":""},</t>
  </si>
  <si>
    <t>{"KeggCode":"sot","CommonName":"potato","ScientificName":"Solanum tuberosum","Kingdom":"Plantae ","Subkingdom":"Tracheobionata","Superdivision":"Spermatophyta (Seeds)","Phylum":"Magnoliophyta","Subphylum":"","Class":"Magnoliopsida","Subclass":"","Order":"Solanales","Family":"Solanaceae","Subfamily":"Solanoideae","Tribe":"Solaneae ","Subtribe":"","Genus":"Solanum","Subgenus":"","Species":"tuberosum","VarSubsp":""},</t>
  </si>
  <si>
    <t>{"KeggCode":"ini","CommonName":"japanase morning glory","ScientificName":"Ipomoea nil","Kingdom":"Plantae ","Subkingdom":"Tracheobionata","Superdivision":"Spermatophyta (Seeds)","Phylum":"Magnoliophyta","Subphylum":"","Class":"Magnoliopsida","Subclass":"","Order":"Solanales","Family":"Convolvulaceae ","Subfamily":"","Tribe":"Ipomoeeae ","Subtribe":"","Genus":"Ipomoea","Subgenus":"","Species":"nil","VarSubsp":""},</t>
  </si>
  <si>
    <t>{"KeggCode":"sind","CommonName":"sesame","ScientificName":"Sesamum indicum","Kingdom":"Plantae ","Subkingdom":"Tracheobionata","Superdivision":"Spermatophyta (Seeds)","Phylum":"Magnoliophyta","Subphylum":"","Class":"Magnoliopsida","Subclass":"","Order":"Lamiales","Family":"Pedaliaceae ","Subfamily":"","Tribe":"","Subtribe":"","Genus":"Sesamum","Subgenus":"","Species":"indicum","VarSubsp":""},</t>
  </si>
  <si>
    <t>{"KeggCode":"oeu","CommonName":"wild olive","ScientificName":"Olea europaea","Kingdom":"Plantae ","Subkingdom":"Tracheobionata","Superdivision":"Spermatophyta (Seeds)","Phylum":"Magnoliophyta","Subphylum":"","Class":"Magnoliopsida","Subclass":"","Order":"Lamiales","Family":"Oleaceae","Subfamily":"","Tribe":"Oleeae ","Subtribe":"","Genus":"Olea","Subgenus":"","Species":"europaea","VarSubsp":"sylvestris"},</t>
  </si>
  <si>
    <t>{"KeggCode":"ccav","CommonName":"artichoke","ScientificName":"Cynara cardunculus","Kingdom":"Plantae ","Subkingdom":"Tracheobionata","Superdivision":"Spermatophyta (Seeds)","Phylum":"Magnoliophyta","Subphylum":"","Class":"Magnoliopsida","Subclass":"","Order":"Asterales","Family":"Asteraceae","Subfamily":"Carduoideae","Tribe":"Cardueae","Subtribe":"Carduinae","Genus":"Cynara","Subgenus":"","Species":"cardunculus","VarSubsp":"scolymus"},</t>
  </si>
  <si>
    <t>{"KeggCode":"han","CommonName":"common sunflower","ScientificName":"Helianthus annuus","Kingdom":"Plantae ","Subkingdom":"Tracheobionata","Superdivision":"Spermatophyta (Seeds)","Phylum":"Magnoliophyta","Subphylum":"","Class":"Magnoliopsida","Subclass":"","Order":"Asterales","Family":"Asteraceae","Subfamily":"Asteroideae","Tribe":"Heliantheae","Subtribe":"","Genus":"Helianthus","Subgenus":"","Species":"annuus","VarSubsp":""},</t>
  </si>
  <si>
    <t>{"KeggCode":"lsv","CommonName":"garden lettuce","ScientificName":"Lactuca sativa","Kingdom":"Plantae ","Subkingdom":"Tracheobionata","Superdivision":"Spermatophyta (Seeds)","Phylum":"Magnoliophyta","Subphylum":"","Class":"Magnoliopsida","Subclass":"","Order":"Asterales","Family":"Asteraceae","Subfamily":"Cichorioideae","Tribe":"Cichorieae","Subtribe":"Lactucinae","Genus":"Lactuca","Subgenus":"","Species":"sativa","VarSubsp":""},</t>
  </si>
  <si>
    <t>{"KeggCode":"dcr","CommonName":"carrot","ScientificName":"Daucus carota","Kingdom":"Plantae ","Subkingdom":"Tracheobionata","Superdivision":"Spermatophyta (Seeds)","Phylum":"Magnoliophyta","Subphylum":"","Class":"Magnoliopsida","Subclass":"","Order":"Apiales","Family":"Apiaceae","Subfamily":"Apioideae","Tribe":"Scandiceae","Subtribe":"Daucinae","Genus":"Daucus","Subgenus":"","Species":"carota","VarSubsp":""},</t>
  </si>
  <si>
    <t>{"KeggCode":"bvg","CommonName":"sugar beet","ScientificName":"Beta vulgaris","Kingdom":"Plantae ","Subkingdom":"Tracheobionata","Superdivision":"Spermatophyta (Seeds)","Phylum":"Magnoliophyta","Subphylum":"","Class":"Magnoliopsida","Subclass":"","Order":"Caryophyllales","Family":"Chenopodiaceae","Subfamily":"Betoideae","Tribe":"","Subtribe":"","Genus":"Beta","Subgenus":"","Species":"vulgaris","VarSubsp":""},</t>
  </si>
  <si>
    <t>{"KeggCode":"cqi","CommonName":"quinoa","ScientificName":"Chenopodium quinoa","Kingdom":"Plantae ","Subkingdom":"Tracheobionata","Superdivision":"Spermatophyta (Seeds)","Phylum":"Magnoliophyta","Subphylum":"","Class":"Magnoliopsida","Subclass":"","Order":"Caryophyllales","Family":"Chenopodiaceae","Subfamily":"Chenopodioideae","Tribe":"Atripliceae","Subtribe":"","Genus":"Chenopodium","Subgenus":"","Species":"quinoa","VarSubsp":""},</t>
  </si>
  <si>
    <t>{"KeggCode":"soe","CommonName":"spinach","ScientificName":"Spinacia oleracea","Kingdom":"Plantae ","Subkingdom":"Tracheobionata","Superdivision":"Spermatophyta (Seeds)","Phylum":"Magnoliophyta","Subphylum":"","Class":"Magnoliopsida","Subclass":"","Order":"Caryophyllales","Family":"Chenopodiaceae","Subfamily":"Chenopodioideae","Tribe":"Anserineae","Subtribe":"","Genus":"Spinacia","Subgenus":"","Species":"oleracea","VarSubsp":""},</t>
  </si>
  <si>
    <t>{"KeggCode":"nnu","CommonName":"sacred lotus","ScientificName":"Nelumbo nucifera","Kingdom":"Plantae ","Subkingdom":"Tracheobionata","Superdivision":"Spermatophyta (Seeds)","Phylum":"Magnoliophyta","Subphylum":"","Class":"Magnoliopsida","Subclass":"","Order":"Proteales","Family":"Nelumbonaceae","Subfamily":"","Tribe":"","Subtribe":"","Genus":"Nelumbo","Subgenus":"","Species":"nucifera","VarSubsp":""},</t>
  </si>
  <si>
    <t>{"KeggCode":"psom","CommonName":"opium poppy","ScientificName":"Papaver somniferum","Kingdom":"Plantae ","Subkingdom":"Tracheobionata","Superdivision":"Spermatophyta (Seeds)","Phylum":"Magnoliophyta","Subphylum":"","Class":"Magnoliopsida","Subclass":"","Order":"Ranunculales","Family":"Papaveraceae","Subfamily":"Papaveroideae","Tribe":"","Subtribe":"","Genus":"Papaver","Subgenus":"","Species":"somniferum","VarSubsp":""},</t>
  </si>
  <si>
    <t>{"KeggCode":"ats","CommonName":"wheat D","ScientificName":"Aegilops tauschii","Kingdom":"Plantae ","Subkingdom":"Tracheobionata","Superdivision":"Spermatophyta (Seeds)","Phylum":"Magnoliophyta","Subphylum":"","Class":"Magnoliopsida","Subclass":"","Order":"Poales","Family":"Poaceae","Subfamily":"Pooideae","Tribe":"Triticeae","Subtribe":"Triticinae","Genus":"Aegilops","Subgenus":"","Species":"tauschii","VarSubsp":""},</t>
  </si>
  <si>
    <t>{"KeggCode":"bdi","CommonName":"purple false brome","ScientificName":"Brachypodium distachyon","Kingdom":"Plantae ","Subkingdom":"Tracheobionata","Superdivision":"Spermatophyta (Seeds)","Phylum":"Magnoliophyta","Subphylum":"","Class":"Magnoliopsida","Subclass":"","Order":"Poales","Family":"Poaceae","Subfamily":"Pooideae","Tribe":"Brachypodieae","Subtribe":"","Genus":"Brachypodium","Subgenus":"","Species":"distachyon","VarSubsp":""},</t>
  </si>
  <si>
    <t>{"KeggCode":"obr","CommonName":"malo sina","ScientificName":"Oryza brachyantha","Kingdom":"Plantae ","Subkingdom":"Tracheobionata","Superdivision":"Spermatophyta (Seeds)","Phylum":"Magnoliophyta","Subphylum":"","Class":"Magnoliopsida","Subclass":"","Order":"Poales","Family":"Poaceae","Subfamily":"Oryzoideae","Tribe":"Oryzeae","Subtribe":"Oryzinae","Genus":"Oryza","Subgenus":"","Species":"brachyantha","VarSubsp":""},</t>
  </si>
  <si>
    <t>{"KeggCode":"osa","CommonName":"japanese rice, Refseq","ScientificName":"Oryza sativa","Kingdom":"Plantae ","Subkingdom":"Tracheobionata","Superdivision":"Spermatophyta (Seeds)","Phylum":"Magnoliophyta","Subphylum":"","Class":"Magnoliopsida","Subclass":"","Order":"Poales","Family":"Poaceae","Subfamily":"Oryzoideae","Tribe":"Oryzeae","Subtribe":"Oryzinae","Genus":"Oryza","Subgenus":"","Species":"sativa","VarSubsp":"japonica"},</t>
  </si>
  <si>
    <t>{"KeggCode":"dosa","CommonName":"japanese rice, RAPDB","ScientificName":"Oryza sativa","Kingdom":"Plantae ","Subkingdom":"Tracheobionata","Superdivision":"Spermatophyta (Seeds)","Phylum":"Magnoliophyta","Subphylum":"","Class":"Magnoliopsida","Subclass":"","Order":"Poales","Family":"Poaceae","Subfamily":"Oryzoideae","Tribe":"Oryzeae","Subtribe":"Oryzinae","Genus":"Oryza","Subgenus":"","Species":"sativa","VarSubsp":"japonica"},</t>
  </si>
  <si>
    <t>{"KeggCode":"sita","CommonName":"foxtail millet","ScientificName":"Setaria italica","Kingdom":"Plantae ","Subkingdom":"Tracheobionata","Superdivision":"Spermatophyta (Seeds)","Phylum":"Magnoliophyta","Subphylum":"","Class":"Magnoliopsida","Subclass":"","Order":"Poales","Family":"Poaceae","Subfamily":"Panicoideae","Tribe":"Paniceae","Subtribe":"Cenchrinae","Genus":"Setaria","Subgenus":"","Species":"italica","VarSubsp":""},</t>
  </si>
  <si>
    <t>{"KeggCode":"sbi","CommonName":"sorghum","ScientificName":"Sorghum bicolor","Kingdom":"Plantae ","Subkingdom":"Tracheobionata","Superdivision":"Spermatophyta (Seeds)","Phylum":"Magnoliophyta","Subphylum":"","Class":"Magnoliopsida","Subclass":"","Order":"Poales","Family":"Poaceae","Subfamily":"Panicoideae","Tribe":"Andropogoneae","Subtribe":"Sorghinae","Genus":"Sorghum","Subgenus":"","Species":"bicolor","VarSubsp":""},</t>
  </si>
  <si>
    <t>{"KeggCode":"zma","CommonName":"maize","ScientificName":"Zea mays","Kingdom":"Plantae ","Subkingdom":"Tracheobionata","Superdivision":"Spermatophyta (Seeds)","Phylum":"Magnoliophyta","Subphylum":"","Class":"Magnoliopsida","Subclass":"","Order":"Poales","Family":"Poaceae","Subfamily":"Panicoideae","Tribe":"Andropogoneae","Subtribe":"Tripsacinae","Genus":"Zea","Subgenus":"","Species":"mays","VarSubsp":""},</t>
  </si>
  <si>
    <t>{"KeggCode":"egu","CommonName":"african oil palm","ScientificName":"Elaeis guineensis","Kingdom":"Plantae ","Subkingdom":"Tracheobionata","Superdivision":"Spermatophyta (Seeds)","Phylum":"Magnoliophyta","Subphylum":"","Class":"Magnoliopsida","Subclass":"","Order":"Arecales","Family":"Arecaceae","Subfamily":"Arecoideae","Tribe":"Cocoseae","Subtribe":"Elaeidinae","Genus":"Elaeis","Subgenus":"","Species":"guineensis","VarSubsp":""},</t>
  </si>
  <si>
    <t>{"KeggCode":"pda","CommonName":"date palm","ScientificName":"Phoenix dactylifera","Kingdom":"Plantae ","Subkingdom":"Tracheobionata","Superdivision":"Spermatophyta (Seeds)","Phylum":"Magnoliophyta","Subphylum":"","Class":"Magnoliopsida","Subclass":"","Order":"Arecales","Family":"Arecaceae","Subfamily":"Coryphoideae","Tribe":"Phoeniceae","Subtribe":"","Genus":"Phoenix","Subgenus":"","Species":"dactylifera","VarSubsp":""},</t>
  </si>
  <si>
    <t>{"KeggCode":"mus","CommonName":"wild malaysian banana","ScientificName":"Musa acuminata","Kingdom":"Plantae ","Subkingdom":"Tracheobionata","Superdivision":"Spermatophyta (Seeds)","Phylum":"Magnoliophyta","Subphylum":"","Class":"Magnoliopsida","Subclass":"","Order":"Zingiberales","Family":"Musaceae","Subfamily":"","Tribe":"","Subtribe":"","Genus":"Musa","Subgenus":"","Species":"acuminata","VarSubsp":""},</t>
  </si>
  <si>
    <t>{"KeggCode":"dct","CommonName":"chained dendrobium","ScientificName":"Dendrobium catenatum","Kingdom":"Plantae ","Subkingdom":"Tracheobionata","Superdivision":"Spermatophyta (Seeds)","Phylum":"Magnoliophyta","Subphylum":"","Class":"Magnoliopsida","Subclass":"","Order":"Asparagales","Family":"Orchidaceae","Subfamily":"Epidendroideae","Tribe":"Malaxideae","Subtribe":"Dendrobiinae","Genus":"Dendrobium","Subgenus":"","Species":"catenatum","VarSubsp":""},</t>
  </si>
  <si>
    <t>{"KeggCode":"peq","CommonName":"horse Phalaenopsis","ScientificName":"Phalaenopsis equestris","Kingdom":"Plantae ","Subkingdom":"Tracheobionata","Superdivision":"Spermatophyta (Seeds)","Phylum":"Magnoliophyta","Subphylum":"","Class":"Magnoliopsida","Subclass":"","Order":"Asparagales","Family":"Orchidaceae","Subfamily":"Epidendroideae","Tribe":"Vandeae","Subtribe":"Aeridinae","Genus":"Phalaenopsis","Subgenus":"","Species":"equestris","VarSubsp":""},</t>
  </si>
  <si>
    <t>{"KeggCode":"aof","CommonName":"garden asparagus","ScientificName":"Asparagus officinalis","Kingdom":"Plantae ","Subkingdom":"Tracheobionata","Superdivision":"Spermatophyta (Seeds)","Phylum":"Magnoliophyta","Subphylum":"","Class":"Magnoliopsida","Subclass":"","Order":"Asparagales","Family":"Asparagaceae","Subfamily":"Asparagoideae","Tribe":"","Subtribe":"","Genus":"Asparagus","Subgenus":"","Species":"officinalis","VarSubsp":""},</t>
  </si>
  <si>
    <t>{"KeggCode":"atr","CommonName":"Basal Magnoliophyta","ScientificName":"Amborella trichopoda","Kingdom":"Plantae ","Subkingdom":"Tracheobionata","Superdivision":"Spermatophyta (Seeds)","Phylum":"Magnoliophyta","Subphylum":"","Class":"Magnoliopsida","Subclass":"","Order":"Amborellales","Family":"Amborellaceae","Subfamily":"","Tribe":"","Subtribe":"","Genus":"Amborella","Subgenus":"","Species":"trichopoda","VarSubsp":""},</t>
  </si>
  <si>
    <t>{"KeggCode":"smo","CommonName":"spikemoss","ScientificName":"Selaginella moellendorffii","Kingdom":"Plantae ","Subkingdom":"Tracheobionata","Superdivision":"Spermatophyta (Seeds)","Phylum":"Magnoliophyta","Subphylum":"","Class":"Magnoliopsida","Subclass":"","Order":"Selaginellales","Family":"Selaginellaceae","Subfamily":"","Tribe":"","Subtribe":"","Genus":"Selaginella","Subgenus":"","Species":"moellendorffii","VarSubsp":""},</t>
  </si>
  <si>
    <t>{"KeggCode":"ppp","CommonName":"moss","ScientificName":"Physcomitrium patens","Kingdom":"Plantae ","Subkingdom":"Tracheobionata","Superdivision":"Spermatophyta (Seeds)","Phylum":"Streptophyta","Subphylum":"","Class":"Bryopsida","Subclass":"Funariidae","Order":"Funariales","Family":"Funariaceae","Subfamily":"","Tribe":"","Subtribe":"","Genus":"Physcomitrium","Subgenus":"","Species":"patens","VarSubsp":""},</t>
  </si>
  <si>
    <t>{"KeggCode":"apro","CommonName":"green microalga","ScientificName":"Auxenochlorella protothecoides","Kingdom":"Plantae ","Subkingdom":"Viridiplantae","Superdivision":"","Phylum":"Chlorophyta","Subphylum":"Chlorophytina","Class":"Trebouxiophyceae","Subclass":"","Order":"Chlorellales","Family":"Chlorellaceae","Subfamily":"","Tribe":"","Subtribe":"","Genus":"Auxenochlorella","Subgenus":"","Species":"protothecoides","VarSubsp":""},</t>
  </si>
  <si>
    <t>{"KeggCode":"bpg","CommonName":"","ScientificName":"Bathycoccus prasinos","Kingdom":"Plantae ","Subkingdom":"Viridiplantae","Superdivision":"","Phylum":"Chlorophyta","Subphylum":"Prasinophytina","Class":"Mamiellophyceae","Subclass":"","Order":"Mamiellales","Family":"Bathycoccaceae","Subfamily":"","Tribe":"","Subtribe":"","Genus":"Bathycoccus","Subgenus":"","Species":"prasinos","VarSubsp":""},</t>
  </si>
  <si>
    <t>{"KeggCode":"cre","CommonName":"","ScientificName":"Chlamydomonas reinhardtii","Kingdom":"Plantae ","Subkingdom":"Viridiplantae","Superdivision":"","Phylum":"Chlorophyta","Subphylum":"Chlorophytina","Class":"Chlorophyceae","Subclass":"","Order":"Chlamydomonadales","Family":"Chlamydomonadaceae","Subfamily":"","Tribe":"","Subtribe":"","Genus":"Chlamydomonas","Subgenus":"","Species":"reinhardtii","VarSubsp":""},</t>
  </si>
  <si>
    <t>{"KeggCode":"cvr","CommonName":"green alga","ScientificName":"Chlorella variabilis","Kingdom":"Plantae ","Subkingdom":"Viridiplantae","Superdivision":"","Phylum":"Chlorophyta","Subphylum":"Chlorophytina","Class":"Trebouxiophyceae","Subclass":"","Order":"Chlorellales","Family":"Chlorellaceae","Subfamily":"","Tribe":"","Subtribe":"","Genus":"Chlorella","Subgenus":"","Species":"variabilis","VarSubsp":""},</t>
  </si>
  <si>
    <t>{"KeggCode":"csl","CommonName":"","ScientificName":"Coccomyxa subellipsoidea","Kingdom":"Plantae ","Subkingdom":"Viridiplantae","Superdivision":"","Phylum":"Chlorophyta","Subphylum":"Chlorophytina","Class":"Trebouxiophyceae","Subclass":"","Order":"Trebouxiophyceae","Family":"Coccomyxaceae","Subfamily":"","Tribe":"","Subtribe":"","Genus":"Coccomyxa","Subgenus":"","Species":"subellipsoidea","VarSubsp":""},</t>
  </si>
  <si>
    <t>{"KeggCode":"mis","CommonName":"picoplanktonic green alga","ScientificName":"Micromonas commoda","Kingdom":"Plantae ","Subkingdom":"Viridiplantae","Superdivision":"","Phylum":"Chlorophyta","Subphylum":"Prasinophytina","Class":"Mamiellophyceae","Subclass":"","Order":"Mamiellales","Family":"Mamiellaceae","Subfamily":"","Tribe":"","Subtribe":"","Genus":"Micromonas","Subgenus":"","Species":"commoda","VarSubsp":""},</t>
  </si>
  <si>
    <t>{"KeggCode":"mpp","CommonName":"butcher","ScientificName":"Micromonas pusilla","Kingdom":"Plantae ","Subkingdom":"Viridiplantae","Superdivision":"","Phylum":"Chlorophyta","Subphylum":"Prasinophytina","Class":"Mamiellophyceae","Subclass":"","Order":"Mamiellales","Family":"Mamiellaceae","Subfamily":"","Tribe":"","Subtribe":"","Genus":"Micromonas","Subgenus":"","Species":"pusilla","VarSubsp":""},</t>
  </si>
  <si>
    <t>{"KeggCode":"mng","CommonName":"","ScientificName":"Monoraphidium neglectum","Kingdom":"Plantae ","Subkingdom":"Viridiplantae","Superdivision":"","Phylum":"Chlorophyta","Subphylum":"Chlorophytina","Class":"Chlorophyceae","Subclass":"","Order":"Sphaeropleales","Family":"Selenastraceae","Subfamily":"","Tribe":"","Subtribe":"","Genus":"Monoraphidium","Subgenus":"","Species":"neglectum","VarSubsp":""},</t>
  </si>
  <si>
    <t>{"KeggCode":"olu","CommonName":"","ScientificName":"Ostreococcus lucimarinus","Kingdom":"Plantae ","Subkingdom":"Viridiplantae","Superdivision":"","Phylum":"Chlorophyta","Subphylum":"Prasinophytina","Class":"Mamiellophyceae","Subclass":"","Order":"Mamiellales","Family":"Bathycoccaceae","Subfamily":"","Tribe":"","Subtribe":"","Genus":"Ostreococcus","Subgenus":"","Species":"lucimarinus","VarSubsp":""},</t>
  </si>
  <si>
    <t>{"KeggCode":"ota","CommonName":"","ScientificName":"Ostreococcus tauri","Kingdom":"Plantae ","Subkingdom":"Viridiplantae","Superdivision":"","Phylum":"Chlorophyta","Subphylum":"Prasinophytina","Class":"Mamiellophyceae","Subclass":"","Order":"Mamiellales","Family":"Bathycoccaceae","Subfamily":"","Tribe":"","Subtribe":"","Genus":"Ostreococcus","Subgenus":"","Species":"tauri","VarSubsp":""},</t>
  </si>
  <si>
    <t>{"KeggCode":"vcn","CommonName":"green alga","ScientificName":"Volvox carteri","Kingdom":"Plantae ","Subkingdom":"Viridiplantae","Superdivision":"","Phylum":"Chlorophyta","Subphylum":"Chlorophytina","Class":"Chlorophyceae","Subclass":"","Order":"Chlamydomonadales","Family":"Volvocaceae","Subfamily":"","Tribe":"","Subtribe":"","Genus":"Volvox","Subgenus":"","Species":"carteri","VarSubsp":"nagariensis"},</t>
  </si>
  <si>
    <t>{"KeggCode":"ccp","CommonName":"carragheen","ScientificName":"Chondrus crispus","Kingdom":"Plantae ","Subkingdom":"Biliphyta","Superdivision":"","Phylum":"Rhodophyta","Subphylum":"Eurhodophytina","Class":"Florideophyceae","Subclass":"Rhodymeniophycidae","Order":"Gigartinales","Family":"Gigartinaceae","Subfamily":"","Tribe":"","Subtribe":"","Genus":"Chondrus","Subgenus":"","Species":"crispus","VarSubsp":""},</t>
  </si>
  <si>
    <t>{"KeggCode":"cme","CommonName":"red alga","ScientificName":"Cyanidioschyzon merolae","Kingdom":"Plantae ","Subkingdom":"Biliphyta","Superdivision":"","Phylum":"Rhodophyta","Subphylum":"Cyanidiophytina","Class":"Cyanidiophyceae","Subclass":"","Order":"Cyanidiales","Family":"Cyanidiaceae","Subfamily":"","Tribe":"","Subtribe":"","Genus":"Cyanidioschyzon","Subgenus":"","Species":"merolae","VarSubsp":""},</t>
  </si>
  <si>
    <t>{"KeggCode":"gsl","CommonName":"galdieri","ScientificName":"Galdieria sulphuraria","Kingdom":"Plantae ","Subkingdom":"Biliphyta","Superdivision":"","Phylum":"Rhodophyta","Subphylum":"Cyanidiophytina","Class":"Cyanidiophyceae","Subclass":"","Order":"Cyanidiales","Family":"Galdieriaceae","Subfamily":"","Tribe":"","Subtribe":"","Genus":"Galdieria","Subgenus":"","Species":"sulphuraria","VarSubsp":""}</t>
  </si>
  <si>
    <t>Comments</t>
  </si>
  <si>
    <t>Catechin\</t>
  </si>
  <si>
    <t>Arachis ipaensis should have not predicted catechin - has EC1.17.1.3 &amp; EC1.3.1.77 but does not have EC1.1.1.219 which is needed for KXN &amp; EC</t>
  </si>
  <si>
    <t>MH, old code</t>
  </si>
  <si>
    <t>MH, changed</t>
  </si>
  <si>
    <t>Arachis ipaensis, shouldn't have been in list</t>
  </si>
  <si>
    <t>Arachis ipaensis, not predicted, confirmed ok</t>
  </si>
  <si>
    <t>Cajanus cajan, shouldn't have been in list</t>
  </si>
  <si>
    <t>Cajanus cajan, not predicted, confirmed ok</t>
  </si>
  <si>
    <t>Brachypodium distachyon, shouldn't have been in list</t>
  </si>
  <si>
    <t>Brachypodium distachyon, not predicted, confirmed ok</t>
  </si>
  <si>
    <t>Capsella rubella, shouldn't have been in list</t>
  </si>
  <si>
    <t>Capsella rubella, not predicted, confirmed ok</t>
  </si>
  <si>
    <t>Fragaria vesca, shouldn't have been in list</t>
  </si>
  <si>
    <t>Fragaria vesca, not predicted, confirmed ok</t>
  </si>
  <si>
    <t>Glycine soja (new addition, JW did not find this)</t>
  </si>
  <si>
    <t>Medicago truncatula (new addition, JW did not find this)</t>
  </si>
  <si>
    <t>Momordica charantia, shouldn't have been in list</t>
  </si>
  <si>
    <t>Momordica charantia, not predicted, confirmed ok</t>
  </si>
  <si>
    <t>Rosa chinensis (new addition, JW did not find this)</t>
  </si>
  <si>
    <t>Vigna unguiculata (new addition, JW did not find this)</t>
  </si>
  <si>
    <t>Sorghum bicolor, shouldn't have been in list</t>
  </si>
  <si>
    <t>Sorghum bicolor, not predicted, confirmed ok</t>
  </si>
  <si>
    <t>Physcomitrella patens subsp. patens</t>
  </si>
  <si>
    <t>All EC</t>
  </si>
  <si>
    <t>1.14.20.5</t>
  </si>
  <si>
    <t>flavs, syn &amp; rel  (no base flav name)</t>
  </si>
  <si>
    <t>flavs &amp; rel</t>
  </si>
  <si>
    <t>flavs &amp; syn</t>
  </si>
  <si>
    <t>flavs &amp; rel (no base flav name)</t>
  </si>
  <si>
    <t>flavs &amp; syn (no base flav name)</t>
  </si>
  <si>
    <t>plants</t>
  </si>
  <si>
    <t>(-)-3,3',4',5,5',7-Flavanhexol;</t>
  </si>
  <si>
    <t>Apigenin;</t>
  </si>
  <si>
    <t>(2R,3S)-2-(3,4-Dihydroxyphenyl)chroman-3,5,7-triol hydrate;</t>
  </si>
  <si>
    <t>Aegilops tauschii;</t>
  </si>
  <si>
    <t>(2R-trans)-2-(3,4-Dihydroxyphenyl)-3,4-dihydro-2H-1-benzopyran-3,5,7-triol;</t>
  </si>
  <si>
    <t>Apiin;</t>
  </si>
  <si>
    <t>4',5,7-Trihydroxyflavone;</t>
  </si>
  <si>
    <t>2',3,4,4'-Tetramethoxychalcone;</t>
  </si>
  <si>
    <t>Epicatechol;</t>
  </si>
  <si>
    <t>Amborella trichopoda;</t>
  </si>
  <si>
    <t>Apigetrin;</t>
  </si>
  <si>
    <t>5,7,4'-Trihydroxyflavone;</t>
  </si>
  <si>
    <t>3′,4′,5′,4″-tetramethoxychalcone;</t>
  </si>
  <si>
    <t>Arabidopsis lyrata;</t>
  </si>
  <si>
    <t>(S)-2-(3,4-Dihydroxyphenyl)-2,3-dihydro-5,7-dihydroxy-4-benzopyrone;</t>
  </si>
  <si>
    <t>Vitexin;</t>
  </si>
  <si>
    <t>5,7-Dihydroxy-2-(4-hydroxyphenyl)-4H-chromen-4-one;</t>
  </si>
  <si>
    <t>6,5’-Di-C-prenylquercetin ;</t>
  </si>
  <si>
    <t>Arabidopsis thaliana;</t>
  </si>
  <si>
    <t>2-(3,4-Dihydroxyphenyl)-3,5,7-trihydroxy-1-benzopyrylium chloride;</t>
  </si>
  <si>
    <t>Isovitexin;</t>
  </si>
  <si>
    <t>Apigenol;</t>
  </si>
  <si>
    <t>Acacetin;</t>
  </si>
  <si>
    <t>Arachis duranensis;</t>
  </si>
  <si>
    <t>2',3,4,4'-Tetrahydroxychalcone;</t>
  </si>
  <si>
    <t>Rhoifolin;</t>
  </si>
  <si>
    <t>Apigenine   ;</t>
  </si>
  <si>
    <t>Arachis ipaensis;</t>
  </si>
  <si>
    <t>Schaftoside;</t>
  </si>
  <si>
    <t>Butein;</t>
  </si>
  <si>
    <t>2',4,4'-Trihydroxychalcone;</t>
  </si>
  <si>
    <t>Asparagus officinalis;</t>
  </si>
  <si>
    <t>2',4',3,4-Tetrahydroxychalcone;</t>
  </si>
  <si>
    <t>Auxenochlorella protothecoides;</t>
  </si>
  <si>
    <t>Genkwanin;</t>
  </si>
  <si>
    <t>azaleatin;</t>
  </si>
  <si>
    <t>3,3',4,5,7-Pentahydroxyflavone;</t>
  </si>
  <si>
    <t>Bathycoccus prasinos;</t>
  </si>
  <si>
    <t>3,4,2',4'-Tetrahydroxychalcone;</t>
  </si>
  <si>
    <t>Azaleatin;</t>
  </si>
  <si>
    <t>3,3',4',5,5',7-Flavanhexol;</t>
  </si>
  <si>
    <t>Beta vulgaris;</t>
  </si>
  <si>
    <t>Butein 4′-glucoside ;</t>
  </si>
  <si>
    <t>Catechin;</t>
  </si>
  <si>
    <t>3,3',4',5,5',7-Hexahydroxyflavone  ;</t>
  </si>
  <si>
    <t>Brachypodium distachyon;</t>
  </si>
  <si>
    <t>Butein 3,2'-diglucoside;</t>
  </si>
  <si>
    <t>(+)-Catechin;</t>
  </si>
  <si>
    <t>3,3',4',5,7-Pentahydroxy-2-phenylbenzopyrylium chloride;</t>
  </si>
  <si>
    <t>Brassica napus;</t>
  </si>
  <si>
    <t>Butein 4'-arabinosyl-(1-&gt;4)-galactoside;</t>
  </si>
  <si>
    <t>(2R,3S)-(+)-Catechin;</t>
  </si>
  <si>
    <t>Coreopsin;</t>
  </si>
  <si>
    <t>3,3',4',5,7-Pentahydroxyflavylium chloride;</t>
  </si>
  <si>
    <t>Brassica oleracea;</t>
  </si>
  <si>
    <t>(2R,3S)-Catechin;</t>
  </si>
  <si>
    <t>Cyanidin;</t>
  </si>
  <si>
    <t>3,3',4',5,7-Pentahydroxyflavyliumchlorid;</t>
  </si>
  <si>
    <t>Brassica rapa;</t>
  </si>
  <si>
    <t>butein 4'-beta-D-glucoside;</t>
  </si>
  <si>
    <t>Epicatechin;</t>
  </si>
  <si>
    <t>Cajanus cajan;</t>
  </si>
  <si>
    <t>Butein Tetramethyl Ether;</t>
  </si>
  <si>
    <t>Cianidanol;</t>
  </si>
  <si>
    <t>Epigallocatechin;</t>
  </si>
  <si>
    <t>3,4',5,7-Tetrahydroxyflavone;</t>
  </si>
  <si>
    <t>Camelina sativa;</t>
  </si>
  <si>
    <t>Cyanidanol;</t>
  </si>
  <si>
    <t>Eriocitrin  ;</t>
  </si>
  <si>
    <t>3,5,7-Trihydroxy-2-(3,4,5-trihydroxyphenyl)-4H-chromen-4-one;</t>
  </si>
  <si>
    <t>Capsella rubella;</t>
  </si>
  <si>
    <t>D-Catechin  ;</t>
  </si>
  <si>
    <t>Eriodictyol;</t>
  </si>
  <si>
    <t>3,5,7-Trihydroxy-2-(4-hydroxyphenyl)-4H-1-benzopyran-4-one;</t>
  </si>
  <si>
    <t>Capsicum annuum;</t>
  </si>
  <si>
    <t>Catechin 7-xyloside;</t>
  </si>
  <si>
    <t>Gallocatechin;</t>
  </si>
  <si>
    <t>3,5,7,3',4'-Pentahydroxyflavone</t>
  </si>
  <si>
    <t>Carica papaya;</t>
  </si>
  <si>
    <t>(+)-Catechin 7-O-beta-D-xyloside;</t>
  </si>
  <si>
    <t>Genistein;</t>
  </si>
  <si>
    <t>3,5,7,3',4',5'-Hexahydroxyflavone;</t>
  </si>
  <si>
    <t>Chenopodium quinoa;</t>
  </si>
  <si>
    <t>Catechin-(4alpha-&gt;8)-gallocatechin-(4alpha-&gt;8)-catechin;</t>
  </si>
  <si>
    <t>Chlorure de 3,3',4',5,7-pentahydroxyflavylium;</t>
  </si>
  <si>
    <t>3',4',5,7-Tetrahydroxyflavone;</t>
  </si>
  <si>
    <t>Chlamydomonas reinhardtii;</t>
  </si>
  <si>
    <t>(-)-Catechin gallate;</t>
  </si>
  <si>
    <t>Isohramnetin;</t>
  </si>
  <si>
    <t>4,2',4'-Trihydroxychalcone;</t>
  </si>
  <si>
    <t>Chlorella variabilis;</t>
  </si>
  <si>
    <t>Catechin hydrate;</t>
  </si>
  <si>
    <t>Isoliquiritigenin;</t>
  </si>
  <si>
    <t>4',5,7-Trihydroxyflavanone;</t>
  </si>
  <si>
    <t>Chondrus crispus;</t>
  </si>
  <si>
    <t>(+)-Catechin Hydrate;</t>
  </si>
  <si>
    <t>Cicer arietinum;</t>
  </si>
  <si>
    <t>(+)-Catechin monohydrate;</t>
  </si>
  <si>
    <t>Cyanidin chloride;</t>
  </si>
  <si>
    <t>Kaempferol;</t>
  </si>
  <si>
    <t>42'4'-trihydroxychalcone;</t>
  </si>
  <si>
    <t>Citrus clementina;</t>
  </si>
  <si>
    <t>Cyanidine;</t>
  </si>
  <si>
    <t>Leucocyanidol;</t>
  </si>
  <si>
    <t>Citrus sinensis;</t>
  </si>
  <si>
    <t>Cyanidol;</t>
  </si>
  <si>
    <t>Luteolin;</t>
  </si>
  <si>
    <t>5,7,3',4'-Tetrahydroxyflavone;</t>
  </si>
  <si>
    <t>Coccomyxa subellipsoidea;</t>
  </si>
  <si>
    <t>Malonylshisonin;</t>
  </si>
  <si>
    <t>Cyanidol chloride;</t>
  </si>
  <si>
    <t>Cucumis melo;</t>
  </si>
  <si>
    <t>Cyanidin-3-sophoroside;</t>
  </si>
  <si>
    <t>IdB 1027;</t>
  </si>
  <si>
    <t>Myricetin;</t>
  </si>
  <si>
    <t>5,7,4'-Trihydroxyflavonol;</t>
  </si>
  <si>
    <t>Cucumis sativus;</t>
  </si>
  <si>
    <t>Cyanidin-3-glucoside;</t>
  </si>
  <si>
    <t>Naringenin;</t>
  </si>
  <si>
    <t>5,7,4'-Trihydroxyisoflavone;</t>
  </si>
  <si>
    <t>Cucurbita maxima;</t>
  </si>
  <si>
    <t>Cyanidin-3-rutinoside;</t>
  </si>
  <si>
    <t>(-)-Epicatechin;</t>
  </si>
  <si>
    <t>Narirutin;</t>
  </si>
  <si>
    <t>6'-deoxychalcone;</t>
  </si>
  <si>
    <t>Cucurbita moschata;</t>
  </si>
  <si>
    <t>Leucocyanidin;</t>
  </si>
  <si>
    <t>L-Epicatechin;</t>
  </si>
  <si>
    <t>Quercetin;</t>
  </si>
  <si>
    <t>Cucurbita pepo subsp. Pepo;</t>
  </si>
  <si>
    <t>(-)-Epicatechol;</t>
  </si>
  <si>
    <t>Quercitrin;</t>
  </si>
  <si>
    <t>Cyanidioschyzon merolae;</t>
  </si>
  <si>
    <t>Epi-Catechin;</t>
  </si>
  <si>
    <t>Ram-3;</t>
  </si>
  <si>
    <t>Cynara cardunculus var. scolymus;</t>
  </si>
  <si>
    <t>3, 3′,4′,5,7-O-penta-acetyl (−)-epicatechin;</t>
  </si>
  <si>
    <t>Ram′-3;</t>
  </si>
  <si>
    <t>Bonistein;</t>
  </si>
  <si>
    <t>Daucus carota;</t>
  </si>
  <si>
    <t>(–)– Epigallocatechin‐3‐gallate;</t>
  </si>
  <si>
    <t>(-)-Epigallocatechin;</t>
  </si>
  <si>
    <t>Rhamnetin;</t>
  </si>
  <si>
    <t>Dendrobium catenatum;</t>
  </si>
  <si>
    <t>Epigallocatechin gallate ;</t>
  </si>
  <si>
    <t>Epigallocatechol;</t>
  </si>
  <si>
    <t>C.I. 75640;</t>
  </si>
  <si>
    <t>Durio zibethinus;</t>
  </si>
  <si>
    <t>epi-Gallocatechin;</t>
  </si>
  <si>
    <t>rutin;</t>
  </si>
  <si>
    <t>Cannabiscetin;</t>
  </si>
  <si>
    <t>Elaeis guineensis;</t>
  </si>
  <si>
    <t>Epigallocatechin-3-gallate;</t>
  </si>
  <si>
    <t>L-Epigallocatechin;</t>
  </si>
  <si>
    <t>Casuarin;</t>
  </si>
  <si>
    <t>Eucalyptus grandis;</t>
  </si>
  <si>
    <t>(-)-Epigallocatechol;</t>
  </si>
  <si>
    <t>Tamarixetin;</t>
  </si>
  <si>
    <t>Eutrema salsugineum;</t>
  </si>
  <si>
    <t>Eriocitrin ;</t>
  </si>
  <si>
    <t>l-Epigallocatechol;</t>
  </si>
  <si>
    <t>Fragaria vesca;</t>
  </si>
  <si>
    <t>Galdieria sulphuraria;</t>
  </si>
  <si>
    <t>Glycine max;</t>
  </si>
  <si>
    <t>Epigallo-Catechin;</t>
  </si>
  <si>
    <t>Glycine soja ;</t>
  </si>
  <si>
    <t>Gallocatechin gallate;</t>
  </si>
  <si>
    <t>Eriocitrin;</t>
  </si>
  <si>
    <t>Gossypium arboreum;</t>
  </si>
  <si>
    <t>Eriodictioside;</t>
  </si>
  <si>
    <t>Gossypium hirsutum;</t>
  </si>
  <si>
    <t>Eriodictyol-7-O-rutinoside;</t>
  </si>
  <si>
    <t>Gossypium raimondii;</t>
  </si>
  <si>
    <t>Eriodictyol 7-O-rutinoside   ;</t>
  </si>
  <si>
    <t>Helianthus annuus;</t>
  </si>
  <si>
    <t>Digitoflavone;</t>
  </si>
  <si>
    <t>Hevea brasiliensis;</t>
  </si>
  <si>
    <t>(S)-Eriodictyol;</t>
  </si>
  <si>
    <t>Ipomoea nil;</t>
  </si>
  <si>
    <t>Jatropha curcas;</t>
  </si>
  <si>
    <t>kaempferol-4’-O-glucoside ;</t>
  </si>
  <si>
    <t>(+)-Eriodictyol;</t>
  </si>
  <si>
    <t>Juglans regia;</t>
  </si>
  <si>
    <t>Luteolin  ;</t>
  </si>
  <si>
    <t>eryodictiol ;</t>
  </si>
  <si>
    <t>Lactuca sativa;</t>
  </si>
  <si>
    <t>Lotus japonicus;</t>
  </si>
  <si>
    <t>(+)-Gallocatechin;</t>
  </si>
  <si>
    <t>Lupinus angustifolius;</t>
  </si>
  <si>
    <t>Gallocatechol;</t>
  </si>
  <si>
    <t>Malus domestica;</t>
  </si>
  <si>
    <t>d-Gallocatechin;</t>
  </si>
  <si>
    <t>Manihot esculenta;</t>
  </si>
  <si>
    <t>Eriodictyol 7-O-rutinoside;</t>
  </si>
  <si>
    <t>Medicago truncatula;</t>
  </si>
  <si>
    <t>Quercetin 3-O-glucoside;</t>
  </si>
  <si>
    <t>(+-)-Gallocatechol;</t>
  </si>
  <si>
    <t>Micromonas commoda;</t>
  </si>
  <si>
    <t>Quercetin 3-O-galactosid    ;</t>
  </si>
  <si>
    <t>Micromonas pusilla;</t>
  </si>
  <si>
    <t>Quercetin 3-O-xyloside;</t>
  </si>
  <si>
    <t>Momordica charantia;</t>
  </si>
  <si>
    <t>Quercetin 3-O-rhamnoside;</t>
  </si>
  <si>
    <t>Genisteol;</t>
  </si>
  <si>
    <t>Monoraphidium neglectum;</t>
  </si>
  <si>
    <t>Quercetin 7-O-glucoside;</t>
  </si>
  <si>
    <t>Genisterin;</t>
  </si>
  <si>
    <t>Musa acuminata;</t>
  </si>
  <si>
    <t>Quercetin 3-O-diglucoside;</t>
  </si>
  <si>
    <t>Sophoricol;</t>
  </si>
  <si>
    <t>Genestein;</t>
  </si>
  <si>
    <t>Nelumbo nucifera;</t>
  </si>
  <si>
    <t>Quercetin 3,4’-diglucoside;</t>
  </si>
  <si>
    <t>Nicotiana attenuata;</t>
  </si>
  <si>
    <t>Quercetin 3-O-rhamnoside-7-O-glucoside;</t>
  </si>
  <si>
    <t>Nicotiana sylvestris;</t>
  </si>
  <si>
    <t>Quercetin 3-O-rutinoside;</t>
  </si>
  <si>
    <t>Nicotiana tabacum;</t>
  </si>
  <si>
    <t>Quercetin 3-O-6’’-acetylglucoside;</t>
  </si>
  <si>
    <t>Nicotiana tomentosiformis;</t>
  </si>
  <si>
    <t>Quercetin 3-methyl ether;</t>
  </si>
  <si>
    <t>Indigo yellow;</t>
  </si>
  <si>
    <t>Olea europaea var. sylvestris;</t>
  </si>
  <si>
    <t>izoquercetin;</t>
  </si>
  <si>
    <t>iso-Liquiritigenin;</t>
  </si>
  <si>
    <t>Oryza brachyantha;</t>
  </si>
  <si>
    <t>Quercetin 3,3’-dimethyl ether;</t>
  </si>
  <si>
    <t>Oryza sativa japonica;</t>
  </si>
  <si>
    <t>Quercetin 3-sulfate-7-O-arabinoside;</t>
  </si>
  <si>
    <t>Kaempherol;</t>
  </si>
  <si>
    <t>Ostreococcus lucimarinus;</t>
  </si>
  <si>
    <t>Kempferol;</t>
  </si>
  <si>
    <t>Ostreococcus tauri;</t>
  </si>
  <si>
    <t>Quercetin 5-methyl ether;</t>
  </si>
  <si>
    <t>Papaver somniferum;</t>
  </si>
  <si>
    <t>Luteolol  ;</t>
  </si>
  <si>
    <t>Phalaenopsis equestris;</t>
  </si>
  <si>
    <t>Phaseolus vulgaris;</t>
  </si>
  <si>
    <t>Quercetin 7- methyl ether;</t>
  </si>
  <si>
    <t>Myricetol;</t>
  </si>
  <si>
    <t>Phoenix dactylifera ;</t>
  </si>
  <si>
    <t>Myricitin;</t>
  </si>
  <si>
    <t>Physcomitrium patens;</t>
  </si>
  <si>
    <t>Quercetin 3’- methyl ether;</t>
  </si>
  <si>
    <t>Populus euphratica;</t>
  </si>
  <si>
    <t>Quercetin 4’- methyl ether;</t>
  </si>
  <si>
    <t>Nimbecetin;</t>
  </si>
  <si>
    <t>Populus trichocarpa;</t>
  </si>
  <si>
    <t>Pelargidenolon;</t>
  </si>
  <si>
    <t>Prunus avium;</t>
  </si>
  <si>
    <t>Quercetin 7-methoxy-3-O-glucoside;</t>
  </si>
  <si>
    <t>Populnetin;</t>
  </si>
  <si>
    <t>Prunus mume;</t>
  </si>
  <si>
    <t>Quercetin 3’- methoxy -3-O-galactoside ;</t>
  </si>
  <si>
    <t>Rhamnolutein;</t>
  </si>
  <si>
    <t>Prunus persica;</t>
  </si>
  <si>
    <t>Rhamnolutin;</t>
  </si>
  <si>
    <t>Pyrus x bretschneideri;</t>
  </si>
  <si>
    <t>Robigenin;</t>
  </si>
  <si>
    <t>Quercus suber;</t>
  </si>
  <si>
    <t>Swartziol;</t>
  </si>
  <si>
    <t>Raphanus sativus;</t>
  </si>
  <si>
    <t>Trifolitin;</t>
  </si>
  <si>
    <t>Ricinus communis;</t>
  </si>
  <si>
    <t>Rosa chinensis;</t>
  </si>
  <si>
    <t>Selaginella moellendorffii;</t>
  </si>
  <si>
    <t>Sesamum indicum;</t>
  </si>
  <si>
    <t>Setaria italica;</t>
  </si>
  <si>
    <t>Solanum lycopersicum;</t>
  </si>
  <si>
    <t>Solanum pennellii;</t>
  </si>
  <si>
    <t>Solanum tuberosum;</t>
  </si>
  <si>
    <t>Sorghum bicolor;</t>
  </si>
  <si>
    <t>Spinacia oleracea;</t>
  </si>
  <si>
    <t>Tarenaya hassleriana;</t>
  </si>
  <si>
    <t>Theobroma cacao;</t>
  </si>
  <si>
    <t>Vigna angularis;</t>
  </si>
  <si>
    <t>Vigna radiata;</t>
  </si>
  <si>
    <t>(-)-(2S)-Naringenin;</t>
  </si>
  <si>
    <t>Vigna unguiculata ;</t>
  </si>
  <si>
    <t>Vitis vinifera;</t>
  </si>
  <si>
    <t>(2S)-Naringenin;</t>
  </si>
  <si>
    <t>Volvox carteri f. nagariensis;</t>
  </si>
  <si>
    <t>Zea mays;</t>
  </si>
  <si>
    <t>Cell notes</t>
  </si>
  <si>
    <t>Key</t>
  </si>
  <si>
    <t>User</t>
  </si>
  <si>
    <t>Date</t>
  </si>
  <si>
    <t>Content</t>
  </si>
  <si>
    <t>Cell Notes master</t>
  </si>
  <si>
    <t>&lt;p&gt;&lt;/p&gt;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</si>
</sst>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yyyy"/>
  </numFmts>
  <fonts count="80">
    <font>
      <sz val="11.0"/>
      <color theme="1"/>
      <name val="Arial"/>
    </font>
    <font>
      <b/>
      <i/>
      <sz val="11.0"/>
      <color theme="1"/>
      <name val="Source Sans Pro"/>
    </font>
    <font/>
    <font>
      <b/>
      <sz val="12.0"/>
      <color theme="1"/>
      <name val="Source Sans Pro"/>
    </font>
    <font>
      <sz val="10.0"/>
      <color theme="1"/>
      <name val="Source Sans Pro"/>
    </font>
    <font>
      <b/>
      <sz val="10.0"/>
      <color theme="1"/>
      <name val="Source Sans Pro"/>
    </font>
    <font>
      <b/>
      <sz val="8.0"/>
      <color theme="1"/>
      <name val="Source Sans Pro"/>
    </font>
    <font>
      <b/>
      <sz val="10.0"/>
      <color rgb="FF000000"/>
      <name val="Source Sans Pro"/>
    </font>
    <font>
      <b/>
      <sz val="10.0"/>
      <color rgb="FF099414"/>
      <name val="Source Sans Pro"/>
    </font>
    <font>
      <b/>
      <sz val="10.0"/>
      <color rgb="FF1F9DCB"/>
      <name val="Source Sans Pro"/>
    </font>
    <font>
      <b/>
      <sz val="10.0"/>
      <color rgb="FFCC0000"/>
      <name val="Source Sans Pro"/>
    </font>
    <font>
      <sz val="9.0"/>
      <color theme="1"/>
      <name val="Source Sans Pro"/>
    </font>
    <font>
      <sz val="8.0"/>
      <color theme="1"/>
      <name val="Source Sans Pro"/>
    </font>
    <font>
      <b/>
      <sz val="8.0"/>
      <color rgb="FFCC0000"/>
      <name val="Source Sans Pro"/>
    </font>
    <font>
      <sz val="9.0"/>
      <color rgb="FF7D01CF"/>
      <name val="Source Sans Pro"/>
    </font>
    <font>
      <sz val="9.0"/>
      <color theme="7"/>
      <name val="Source Sans Pro"/>
    </font>
    <font>
      <sz val="9.0"/>
      <color theme="0"/>
      <name val="Source Sans Pro"/>
    </font>
    <font>
      <sz val="9.0"/>
      <color rgb="FFFF0000"/>
      <name val="Source Sans Pro"/>
    </font>
    <font>
      <sz val="8.0"/>
      <color rgb="FF000000"/>
      <name val="Source Sans Pro"/>
    </font>
    <font>
      <b/>
      <sz val="8.0"/>
      <color rgb="FF000000"/>
      <name val="Source Sans Pro"/>
    </font>
    <font>
      <sz val="9.0"/>
      <color rgb="FF000000"/>
      <name val="Source Sans Pro"/>
    </font>
    <font>
      <color theme="1"/>
      <name val="Calibri"/>
    </font>
    <font>
      <u/>
      <sz val="8.0"/>
      <color rgb="FF1155CC"/>
      <name val="Source Sans Pro"/>
    </font>
    <font>
      <u/>
      <sz val="8.0"/>
      <color rgb="FF1155CC"/>
      <name val="Source Sans Pro"/>
    </font>
    <font>
      <sz val="8.0"/>
      <color rgb="FF1155CC"/>
      <name val="Source Sans Pro"/>
    </font>
    <font>
      <i/>
      <sz val="8.0"/>
      <color theme="1"/>
      <name val="Source Sans Pro"/>
    </font>
    <font>
      <u/>
      <sz val="8.0"/>
      <color rgb="FF1155CC"/>
      <name val="Source Sans Pro"/>
    </font>
    <font>
      <u/>
      <sz val="8.0"/>
      <color theme="1"/>
      <name val="Source Sans Pro"/>
    </font>
    <font>
      <sz val="8.0"/>
      <color theme="1"/>
      <name val="&quot;Liberation Sans&quot;"/>
    </font>
    <font>
      <sz val="9.0"/>
      <color theme="1"/>
      <name val="&quot;Source Sans Pro&quot;"/>
    </font>
    <font>
      <sz val="9.0"/>
      <color theme="1"/>
      <name val="Calibri"/>
    </font>
    <font>
      <sz val="9.0"/>
      <color rgb="FF000000"/>
      <name val="&quot;docs-Source Sans Pro&quot;"/>
    </font>
    <font>
      <sz val="9.0"/>
      <color theme="1"/>
      <name val="Nunito Sans"/>
    </font>
    <font>
      <sz val="8.0"/>
      <color theme="1"/>
      <name val="Arial"/>
    </font>
    <font>
      <i/>
      <sz val="8.0"/>
      <color rgb="FF000000"/>
      <name val="Source Sans Pro"/>
    </font>
    <font>
      <sz val="8.0"/>
      <color rgb="FF222222"/>
      <name val="Source Sans Pro"/>
    </font>
    <font>
      <i/>
      <sz val="11.0"/>
      <color theme="1"/>
      <name val="Source Sans Pro"/>
    </font>
    <font>
      <sz val="24.0"/>
      <color theme="1"/>
      <name val="Source Sans Pro"/>
    </font>
    <font>
      <b/>
      <sz val="9.0"/>
      <color theme="1"/>
      <name val="Source Sans Pro"/>
    </font>
    <font>
      <i/>
      <sz val="9.0"/>
      <color theme="1"/>
      <name val="Source Sans Pro"/>
    </font>
    <font>
      <sz val="12.0"/>
      <color theme="1"/>
      <name val="Source Sans Pro"/>
    </font>
    <font>
      <b/>
      <sz val="9.0"/>
      <color theme="1"/>
      <name val="Calibri"/>
    </font>
    <font>
      <b/>
      <color theme="1"/>
      <name val="Calibri"/>
    </font>
    <font>
      <sz val="8.0"/>
      <color theme="1"/>
      <name val="Nunito Sans"/>
    </font>
    <font>
      <u/>
      <sz val="8.0"/>
      <color rgb="FF0000FF"/>
      <name val="Nunito Sans"/>
    </font>
    <font>
      <b/>
      <u/>
      <sz val="9.0"/>
      <color rgb="FF1155CC"/>
      <name val="Source Sans Pro"/>
    </font>
    <font>
      <b/>
      <sz val="9.0"/>
      <color rgb="FF0A6C90"/>
      <name val="Source Sans Pro"/>
    </font>
    <font>
      <sz val="9.0"/>
      <color rgb="FF0A6C90"/>
      <name val="Source Sans Pro"/>
    </font>
    <font>
      <b/>
      <sz val="14.0"/>
      <color rgb="FF000000"/>
      <name val="Source Sans Pro"/>
    </font>
    <font>
      <sz val="8.0"/>
      <color theme="1"/>
      <name val="Calibri"/>
    </font>
    <font>
      <b/>
      <u/>
      <sz val="14.0"/>
      <color theme="1"/>
      <name val="Source Sans Pro"/>
    </font>
    <font>
      <sz val="12.0"/>
      <color theme="1"/>
      <name val="Calibri"/>
    </font>
    <font>
      <sz val="11.0"/>
      <color theme="1"/>
      <name val="Calibri"/>
    </font>
    <font>
      <b/>
      <u/>
      <sz val="14.0"/>
      <color rgb="FF1155CC"/>
      <name val="Source Sans Pro"/>
    </font>
    <font>
      <b/>
      <u/>
      <sz val="8.0"/>
      <color theme="1"/>
      <name val="Source Sans Pro"/>
    </font>
    <font>
      <b/>
      <sz val="8.0"/>
      <color rgb="FF9B00AD"/>
      <name val="Source Sans Pro"/>
    </font>
    <font>
      <sz val="8.0"/>
      <color rgb="FF9B00AD"/>
      <name val="Source Sans Pro"/>
    </font>
    <font>
      <b/>
      <sz val="9.0"/>
      <color rgb="FF9B00AD"/>
      <name val="Source Sans Pro"/>
    </font>
    <font>
      <color rgb="FF9B00AD"/>
      <name val="Calibri"/>
    </font>
    <font>
      <u/>
      <sz val="10.0"/>
      <color rgb="FF0000FF"/>
      <name val="Source Sans Pro"/>
    </font>
    <font>
      <u/>
      <sz val="10.0"/>
      <color rgb="FF0000FF"/>
      <name val="Source Sans Pro"/>
    </font>
    <font>
      <b/>
      <sz val="9.0"/>
      <color rgb="FF000000"/>
      <name val="Source Sans Pro"/>
    </font>
    <font>
      <sz val="8.0"/>
      <color rgb="FFCD0000"/>
      <name val="Source Sans Pro"/>
    </font>
    <font>
      <sz val="8.0"/>
      <color theme="1"/>
      <name val="Chivo"/>
    </font>
    <font>
      <sz val="8.0"/>
      <color theme="1"/>
      <name val="&quot;liberation sans&quot;"/>
    </font>
    <font>
      <sz val="8.0"/>
      <color rgb="FF000000"/>
      <name val="Chivo"/>
    </font>
    <font>
      <sz val="8.0"/>
      <color rgb="FFEFEFEF"/>
      <name val="Source Sans Pro"/>
    </font>
    <font>
      <sz val="8.0"/>
      <color rgb="FFF3F3F3"/>
      <name val="Source Sans Pro"/>
    </font>
    <font>
      <b/>
      <sz val="12.0"/>
      <color theme="1"/>
      <name val="Chivo"/>
    </font>
    <font>
      <sz val="10.0"/>
      <color theme="1"/>
      <name val="Chivo"/>
    </font>
    <font>
      <b/>
      <sz val="10.0"/>
      <color theme="1"/>
      <name val="Chivo"/>
    </font>
    <font>
      <b/>
      <sz val="10.0"/>
      <color rgb="FF131313"/>
      <name val="Chivo"/>
    </font>
    <font>
      <sz val="10.0"/>
      <color rgb="FF131313"/>
      <name val="Chivo"/>
    </font>
    <font>
      <sz val="10.0"/>
      <color rgb="FF000000"/>
      <name val="Chivo"/>
    </font>
    <font>
      <sz val="9.0"/>
      <color theme="1"/>
      <name val="Constantia"/>
    </font>
    <font>
      <sz val="8.0"/>
      <color theme="1"/>
      <name val="Constantia"/>
    </font>
    <font>
      <b/>
      <sz val="12.0"/>
      <color rgb="FF000000"/>
      <name val="Chivo"/>
    </font>
    <font>
      <b/>
      <sz val="10.0"/>
      <color rgb="FF000000"/>
      <name val="Chivo"/>
    </font>
    <font>
      <sz val="9.0"/>
      <color rgb="FF000000"/>
      <name val="Chivo"/>
    </font>
    <font>
      <sz val="9.0"/>
      <color theme="1"/>
      <name val="Chivo"/>
    </font>
  </fonts>
  <fills count="90">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theme="9"/>
        <bgColor theme="9"/>
      </patternFill>
    </fill>
    <fill>
      <patternFill patternType="solid">
        <fgColor rgb="FFCC0000"/>
        <bgColor rgb="FFCC0000"/>
      </patternFill>
    </fill>
    <fill>
      <patternFill patternType="solid">
        <fgColor rgb="FFFF6600"/>
        <bgColor rgb="FFFF6600"/>
      </patternFill>
    </fill>
    <fill>
      <patternFill patternType="solid">
        <fgColor rgb="FFF1C232"/>
        <bgColor rgb="FFF1C232"/>
      </patternFill>
    </fill>
    <fill>
      <patternFill patternType="solid">
        <fgColor rgb="FFA8E605"/>
        <bgColor rgb="FFA8E605"/>
      </patternFill>
    </fill>
    <fill>
      <patternFill patternType="solid">
        <fgColor rgb="FF179933"/>
        <bgColor rgb="FF179933"/>
      </patternFill>
    </fill>
    <fill>
      <patternFill patternType="solid">
        <fgColor rgb="FF1155CC"/>
        <bgColor rgb="FF1155CC"/>
      </patternFill>
    </fill>
    <fill>
      <patternFill patternType="solid">
        <fgColor rgb="FF9749FF"/>
        <bgColor rgb="FF9749FF"/>
      </patternFill>
    </fill>
    <fill>
      <patternFill patternType="solid">
        <fgColor rgb="FF999999"/>
        <bgColor rgb="FF999999"/>
      </patternFill>
    </fill>
    <fill>
      <patternFill patternType="solid">
        <fgColor rgb="FFD9D9D9"/>
        <bgColor rgb="FFD9D9D9"/>
      </patternFill>
    </fill>
    <fill>
      <patternFill patternType="solid">
        <fgColor rgb="FFFFFF00"/>
        <bgColor rgb="FFFFFF00"/>
      </patternFill>
    </fill>
    <fill>
      <patternFill patternType="solid">
        <fgColor rgb="FFFFFFFF"/>
        <bgColor rgb="FFFFFFFF"/>
      </patternFill>
    </fill>
    <fill>
      <patternFill patternType="solid">
        <fgColor rgb="FFFF6363"/>
        <bgColor rgb="FFFF6363"/>
      </patternFill>
    </fill>
    <fill>
      <patternFill patternType="solid">
        <fgColor rgb="FF86BA70"/>
        <bgColor rgb="FF86BA70"/>
      </patternFill>
    </fill>
    <fill>
      <patternFill patternType="solid">
        <fgColor rgb="FFFFDE77"/>
        <bgColor rgb="FFFFDE77"/>
      </patternFill>
    </fill>
    <fill>
      <patternFill patternType="solid">
        <fgColor rgb="FFCB8868"/>
        <bgColor rgb="FFCB8868"/>
      </patternFill>
    </fill>
    <fill>
      <patternFill patternType="solid">
        <fgColor rgb="FF68B1CB"/>
        <bgColor rgb="FF68B1CB"/>
      </patternFill>
    </fill>
    <fill>
      <patternFill patternType="solid">
        <fgColor rgb="FFA3795D"/>
        <bgColor rgb="FFA3795D"/>
      </patternFill>
    </fill>
    <fill>
      <patternFill patternType="solid">
        <fgColor rgb="FF5D79A3"/>
        <bgColor rgb="FF5D79A3"/>
      </patternFill>
    </fill>
    <fill>
      <patternFill patternType="solid">
        <fgColor rgb="FFFFBFEA"/>
        <bgColor rgb="FFFFBFEA"/>
      </patternFill>
    </fill>
    <fill>
      <patternFill patternType="solid">
        <fgColor rgb="FFC976BD"/>
        <bgColor rgb="FFC976BD"/>
      </patternFill>
    </fill>
    <fill>
      <patternFill patternType="solid">
        <fgColor rgb="FFAC7CCB"/>
        <bgColor rgb="FFAC7CCB"/>
      </patternFill>
    </fill>
    <fill>
      <patternFill patternType="solid">
        <fgColor rgb="FFE69138"/>
        <bgColor rgb="FFE69138"/>
      </patternFill>
    </fill>
    <fill>
      <patternFill patternType="solid">
        <fgColor rgb="FFFF4E33"/>
        <bgColor rgb="FFFF4E33"/>
      </patternFill>
    </fill>
    <fill>
      <patternFill patternType="solid">
        <fgColor rgb="FF00A8A0"/>
        <bgColor rgb="FF00A8A0"/>
      </patternFill>
    </fill>
    <fill>
      <patternFill patternType="solid">
        <fgColor rgb="FF099414"/>
        <bgColor rgb="FF099414"/>
      </patternFill>
    </fill>
    <fill>
      <patternFill patternType="solid">
        <fgColor rgb="FFFFAF5B"/>
        <bgColor rgb="FFFFAF5B"/>
      </patternFill>
    </fill>
    <fill>
      <patternFill patternType="solid">
        <fgColor rgb="FF9BE3FF"/>
        <bgColor rgb="FF9BE3FF"/>
      </patternFill>
    </fill>
    <fill>
      <patternFill patternType="solid">
        <fgColor rgb="FFB7B7B7"/>
        <bgColor rgb="FFB7B7B7"/>
      </patternFill>
    </fill>
    <fill>
      <patternFill patternType="solid">
        <fgColor rgb="FF03B511"/>
        <bgColor rgb="FF03B511"/>
      </patternFill>
    </fill>
    <fill>
      <patternFill patternType="solid">
        <fgColor rgb="FF4DD0E1"/>
        <bgColor rgb="FF4DD0E1"/>
      </patternFill>
    </fill>
    <fill>
      <patternFill patternType="solid">
        <fgColor rgb="FF864CFF"/>
        <bgColor rgb="FF864CFF"/>
      </patternFill>
    </fill>
    <fill>
      <patternFill patternType="solid">
        <fgColor rgb="FF3D85C6"/>
        <bgColor rgb="FF3D85C6"/>
      </patternFill>
    </fill>
    <fill>
      <patternFill patternType="solid">
        <fgColor rgb="FF990000"/>
        <bgColor rgb="FF990000"/>
      </patternFill>
    </fill>
    <fill>
      <patternFill patternType="solid">
        <fgColor rgb="FFB80000"/>
        <bgColor rgb="FFB80000"/>
      </patternFill>
    </fill>
    <fill>
      <patternFill patternType="solid">
        <fgColor rgb="FFCD0000"/>
        <bgColor rgb="FFCD0000"/>
      </patternFill>
    </fill>
    <fill>
      <patternFill patternType="solid">
        <fgColor rgb="FFE55C00"/>
        <bgColor rgb="FFE55C00"/>
      </patternFill>
    </fill>
    <fill>
      <patternFill patternType="solid">
        <fgColor rgb="FFE80000"/>
        <bgColor rgb="FFE80000"/>
      </patternFill>
    </fill>
    <fill>
      <patternFill patternType="solid">
        <fgColor rgb="FFBF9000"/>
        <bgColor rgb="FFBF9000"/>
      </patternFill>
    </fill>
    <fill>
      <patternFill patternType="solid">
        <fgColor rgb="FFD4A000"/>
        <bgColor rgb="FFD4A000"/>
      </patternFill>
    </fill>
    <fill>
      <patternFill patternType="solid">
        <fgColor rgb="FFE8AF00"/>
        <bgColor rgb="FFE8AF00"/>
      </patternFill>
    </fill>
    <fill>
      <patternFill patternType="solid">
        <fgColor rgb="FFF6B900"/>
        <bgColor rgb="FFF6B900"/>
      </patternFill>
    </fill>
    <fill>
      <patternFill patternType="solid">
        <fgColor rgb="FFFF0000"/>
        <bgColor rgb="FFFF0000"/>
      </patternFill>
    </fill>
    <fill>
      <patternFill patternType="solid">
        <fgColor rgb="FF037FAD"/>
        <bgColor rgb="FF037FAD"/>
      </patternFill>
    </fill>
    <fill>
      <patternFill patternType="solid">
        <fgColor rgb="FF1F9DCB"/>
        <bgColor rgb="FF1F9DCB"/>
      </patternFill>
    </fill>
    <fill>
      <patternFill patternType="solid">
        <fgColor rgb="FFFF2929"/>
        <bgColor rgb="FFFF2929"/>
      </patternFill>
    </fill>
    <fill>
      <patternFill patternType="solid">
        <fgColor rgb="FF7915FF"/>
        <bgColor rgb="FF7915FF"/>
      </patternFill>
    </fill>
    <fill>
      <patternFill patternType="solid">
        <fgColor rgb="FF862AFF"/>
        <bgColor rgb="FF862AFF"/>
      </patternFill>
    </fill>
    <fill>
      <patternFill patternType="solid">
        <fgColor rgb="FFF87218"/>
        <bgColor rgb="FFF87218"/>
      </patternFill>
    </fill>
    <fill>
      <patternFill patternType="solid">
        <fgColor rgb="FFFF771C"/>
        <bgColor rgb="FFFF771C"/>
      </patternFill>
    </fill>
    <fill>
      <patternFill patternType="solid">
        <fgColor rgb="FFFF8533"/>
        <bgColor rgb="FFFF8533"/>
      </patternFill>
    </fill>
    <fill>
      <patternFill patternType="solid">
        <fgColor rgb="FF3BADD7"/>
        <bgColor rgb="FF3BADD7"/>
      </patternFill>
    </fill>
    <fill>
      <patternFill patternType="solid">
        <fgColor rgb="FFFFC512"/>
        <bgColor rgb="FFFFC512"/>
      </patternFill>
    </fill>
    <fill>
      <patternFill patternType="solid">
        <fgColor rgb="FFFC4141"/>
        <bgColor rgb="FFFC4141"/>
      </patternFill>
    </fill>
    <fill>
      <patternFill patternType="solid">
        <fgColor rgb="FFFB5757"/>
        <bgColor rgb="FFFB5757"/>
      </patternFill>
    </fill>
    <fill>
      <patternFill patternType="solid">
        <fgColor rgb="FFFFD862"/>
        <bgColor rgb="FFFFD862"/>
      </patternFill>
    </fill>
    <fill>
      <patternFill patternType="solid">
        <fgColor rgb="FF0092C8"/>
        <bgColor rgb="FF0092C8"/>
      </patternFill>
    </fill>
    <fill>
      <patternFill patternType="solid">
        <fgColor rgb="FF4FBDE6"/>
        <bgColor rgb="FF4FBDE6"/>
      </patternFill>
    </fill>
    <fill>
      <patternFill patternType="solid">
        <fgColor rgb="FF5CD3FF"/>
        <bgColor rgb="FF5CD3FF"/>
      </patternFill>
    </fill>
    <fill>
      <patternFill patternType="solid">
        <fgColor rgb="FF72D9FF"/>
        <bgColor rgb="FF72D9FF"/>
      </patternFill>
    </fill>
    <fill>
      <patternFill patternType="solid">
        <fgColor rgb="FF8D37FF"/>
        <bgColor rgb="FF8D37FF"/>
      </patternFill>
    </fill>
    <fill>
      <patternFill patternType="solid">
        <fgColor rgb="FFFFC821"/>
        <bgColor rgb="FFFFC821"/>
      </patternFill>
    </fill>
    <fill>
      <patternFill patternType="solid">
        <fgColor rgb="FFFFDE7A"/>
        <bgColor rgb="FFFFDE7A"/>
      </patternFill>
    </fill>
    <fill>
      <patternFill patternType="solid">
        <fgColor rgb="FFFFE492"/>
        <bgColor rgb="FFFFE492"/>
      </patternFill>
    </fill>
    <fill>
      <patternFill patternType="solid">
        <fgColor rgb="FFFFEDB8"/>
        <bgColor rgb="FFFFEDB8"/>
      </patternFill>
    </fill>
    <fill>
      <patternFill patternType="solid">
        <fgColor rgb="FFA15BFF"/>
        <bgColor rgb="FFA15BFF"/>
      </patternFill>
    </fill>
    <fill>
      <patternFill patternType="solid">
        <fgColor rgb="FFAE71FF"/>
        <bgColor rgb="FFAE71FF"/>
      </patternFill>
    </fill>
    <fill>
      <patternFill patternType="solid">
        <fgColor rgb="FFBA86FE"/>
        <bgColor rgb="FFBA86FE"/>
      </patternFill>
    </fill>
    <fill>
      <patternFill patternType="solid">
        <fgColor rgb="FFC89EFF"/>
        <bgColor rgb="FFC89EFF"/>
      </patternFill>
    </fill>
    <fill>
      <patternFill patternType="solid">
        <fgColor rgb="FFD4B4FF"/>
        <bgColor rgb="FFD4B4FF"/>
      </patternFill>
    </fill>
    <fill>
      <patternFill patternType="solid">
        <fgColor rgb="FFE6D3FF"/>
        <bgColor rgb="FFE6D3FF"/>
      </patternFill>
    </fill>
    <fill>
      <patternFill patternType="solid">
        <fgColor rgb="FFA072FF"/>
        <bgColor rgb="FFA072FF"/>
      </patternFill>
    </fill>
    <fill>
      <patternFill patternType="solid">
        <fgColor rgb="FF6BE8F9"/>
        <bgColor rgb="FF6BE8F9"/>
      </patternFill>
    </fill>
    <fill>
      <patternFill patternType="solid">
        <fgColor rgb="FFAC84FF"/>
        <bgColor rgb="FFAC84FF"/>
      </patternFill>
    </fill>
    <fill>
      <patternFill patternType="solid">
        <fgColor rgb="FFFFDC70"/>
        <bgColor rgb="FFFFDC70"/>
      </patternFill>
    </fill>
    <fill>
      <patternFill patternType="solid">
        <fgColor rgb="FF95F3FF"/>
        <bgColor rgb="FF95F3FF"/>
      </patternFill>
    </fill>
    <fill>
      <patternFill patternType="solid">
        <fgColor rgb="FF00CD10"/>
        <bgColor rgb="FF00CD10"/>
      </patternFill>
    </fill>
    <fill>
      <patternFill patternType="solid">
        <fgColor rgb="FFFFE594"/>
        <bgColor rgb="FFFFE594"/>
      </patternFill>
    </fill>
    <fill>
      <patternFill patternType="solid">
        <fgColor rgb="FFB4F6FF"/>
        <bgColor rgb="FFB4F6FF"/>
      </patternFill>
    </fill>
    <fill>
      <patternFill patternType="solid">
        <fgColor rgb="FF90E1FF"/>
        <bgColor rgb="FF90E1FF"/>
      </patternFill>
    </fill>
    <fill>
      <patternFill patternType="solid">
        <fgColor rgb="FF1C3A0D"/>
        <bgColor rgb="FF1C3A0D"/>
      </patternFill>
    </fill>
    <fill>
      <patternFill patternType="solid">
        <fgColor rgb="FF0091C5"/>
        <bgColor rgb="FF0091C5"/>
      </patternFill>
    </fill>
    <fill>
      <patternFill patternType="solid">
        <fgColor rgb="FF7D01CF"/>
        <bgColor rgb="FF7D01CF"/>
      </patternFill>
    </fill>
    <fill>
      <patternFill patternType="solid">
        <fgColor rgb="FF032849"/>
        <bgColor rgb="FF032849"/>
      </patternFill>
    </fill>
    <fill>
      <patternFill patternType="solid">
        <fgColor rgb="FF810101"/>
        <bgColor rgb="FF810101"/>
      </patternFill>
    </fill>
    <fill>
      <patternFill patternType="solid">
        <fgColor rgb="FF2E6317"/>
        <bgColor rgb="FF2E6317"/>
      </patternFill>
    </fill>
  </fills>
  <borders count="20">
    <border/>
    <border>
      <left style="thin">
        <color rgb="FFD9D9D9"/>
      </left>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left style="thin">
        <color rgb="FFF3F3F3"/>
      </left>
      <right style="thin">
        <color rgb="FFF3F3F3"/>
      </right>
      <top style="thin">
        <color rgb="FFF3F3F3"/>
      </top>
      <bottom style="thin">
        <color rgb="FFF3F3F3"/>
      </bottom>
    </border>
    <border>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EFEFEF"/>
      </right>
      <top style="thin">
        <color rgb="FFEFEFEF"/>
      </top>
      <bottom style="thin">
        <color rgb="FFEFEFEF"/>
      </bottom>
    </border>
    <border>
      <top style="thin">
        <color rgb="FFEFEFEF"/>
      </top>
      <bottom style="thin">
        <color rgb="FFEFEFEF"/>
      </bottom>
    </border>
    <border>
      <left style="medium">
        <color rgb="FF000000"/>
      </left>
    </border>
    <border>
      <left style="thin">
        <color rgb="FFCCCCCC"/>
      </left>
      <right style="thin">
        <color rgb="FFCCCCCC"/>
      </right>
      <top style="thin">
        <color rgb="FFCCCCCC"/>
      </top>
      <bottom style="thin">
        <color rgb="FFCCCCCC"/>
      </bottom>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
      <top style="thick">
        <color rgb="FF000000"/>
      </top>
    </border>
  </borders>
  <cellStyleXfs count="1">
    <xf borderId="0" fillId="0" fontId="0" numFmtId="0" applyAlignment="1" applyFont="1"/>
  </cellStyleXfs>
  <cellXfs count="440">
    <xf borderId="0" fillId="0" fontId="0" numFmtId="0" xfId="0" applyAlignment="1" applyFont="1">
      <alignment readingOrder="0" shrinkToFit="0" vertical="bottom" wrapText="0"/>
    </xf>
    <xf borderId="1" fillId="0" fontId="1" numFmtId="0" xfId="0" applyAlignment="1" applyBorder="1" applyFont="1">
      <alignment shrinkToFit="0" vertical="center" wrapText="0"/>
    </xf>
    <xf borderId="2" fillId="0" fontId="2" numFmtId="0" xfId="0" applyBorder="1" applyFont="1"/>
    <xf borderId="3" fillId="0" fontId="3" numFmtId="0" xfId="0" applyAlignment="1" applyBorder="1" applyFont="1">
      <alignment shrinkToFit="0" vertical="center" wrapText="0"/>
    </xf>
    <xf borderId="3" fillId="0" fontId="4" numFmtId="0" xfId="0" applyAlignment="1" applyBorder="1" applyFont="1">
      <alignment shrinkToFit="0" vertical="center" wrapText="1"/>
    </xf>
    <xf borderId="3" fillId="0" fontId="4" numFmtId="0" xfId="0" applyAlignment="1" applyBorder="1" applyFont="1">
      <alignment shrinkToFit="0" vertical="top" wrapText="1"/>
    </xf>
    <xf borderId="0" fillId="0" fontId="3" numFmtId="0" xfId="0" applyAlignment="1" applyFont="1">
      <alignment shrinkToFit="0" vertical="center" wrapText="0"/>
    </xf>
    <xf borderId="0" fillId="0" fontId="4" numFmtId="0" xfId="0" applyAlignment="1" applyFont="1">
      <alignment shrinkToFit="0" vertical="top" wrapText="1"/>
    </xf>
    <xf borderId="4" fillId="0" fontId="5" numFmtId="0" xfId="0" applyAlignment="1" applyBorder="1" applyFont="1">
      <alignment horizontal="left" shrinkToFit="0" vertical="center" wrapText="1"/>
    </xf>
    <xf borderId="0" fillId="0" fontId="6" numFmtId="0" xfId="0" applyAlignment="1" applyFont="1">
      <alignment shrinkToFit="0" vertical="center" wrapText="0"/>
    </xf>
    <xf borderId="4" fillId="0" fontId="6" numFmtId="0" xfId="0" applyAlignment="1" applyBorder="1" applyFont="1">
      <alignment horizontal="left" shrinkToFit="0" vertical="center" wrapText="1"/>
    </xf>
    <xf borderId="4" fillId="0" fontId="6" numFmtId="0" xfId="0" applyAlignment="1" applyBorder="1" applyFont="1">
      <alignment horizontal="left" readingOrder="0" shrinkToFit="0" vertical="center" wrapText="1"/>
    </xf>
    <xf borderId="5" fillId="0" fontId="7" numFmtId="0" xfId="0" applyAlignment="1" applyBorder="1" applyFont="1">
      <alignment horizontal="left" shrinkToFit="0" vertical="center" wrapText="1"/>
    </xf>
    <xf borderId="0" fillId="2" fontId="8" numFmtId="0" xfId="0" applyAlignment="1" applyFill="1" applyFont="1">
      <alignment horizontal="left" shrinkToFit="0" vertical="top" wrapText="1"/>
    </xf>
    <xf borderId="6" fillId="0" fontId="8" numFmtId="0" xfId="0" applyAlignment="1" applyBorder="1" applyFont="1">
      <alignment horizontal="left" shrinkToFit="0" vertical="center" wrapText="1"/>
    </xf>
    <xf borderId="6" fillId="0" fontId="8" numFmtId="0" xfId="0" applyAlignment="1" applyBorder="1" applyFont="1">
      <alignment horizontal="left" readingOrder="0" shrinkToFit="0" vertical="center" wrapText="1"/>
    </xf>
    <xf borderId="7" fillId="0" fontId="8" numFmtId="0" xfId="0" applyAlignment="1" applyBorder="1" applyFont="1">
      <alignment horizontal="left" shrinkToFit="0" vertical="center" wrapText="1"/>
    </xf>
    <xf borderId="6" fillId="0" fontId="9" numFmtId="0" xfId="0" applyAlignment="1" applyBorder="1" applyFont="1">
      <alignment horizontal="left" shrinkToFit="0" vertical="center" wrapText="1"/>
    </xf>
    <xf borderId="6" fillId="0" fontId="9" numFmtId="0" xfId="0" applyAlignment="1" applyBorder="1" applyFont="1">
      <alignment horizontal="left" readingOrder="0" shrinkToFit="0" vertical="center" wrapText="1"/>
    </xf>
    <xf borderId="8" fillId="0" fontId="9" numFmtId="0" xfId="0" applyAlignment="1" applyBorder="1" applyFont="1">
      <alignment horizontal="left" shrinkToFit="0" vertical="center" wrapText="1"/>
    </xf>
    <xf borderId="6" fillId="0" fontId="10" numFmtId="0" xfId="0" applyAlignment="1" applyBorder="1" applyFont="1">
      <alignment horizontal="left" shrinkToFit="0" vertical="center" wrapText="1"/>
    </xf>
    <xf borderId="6" fillId="0" fontId="10" numFmtId="0" xfId="0" applyAlignment="1" applyBorder="1" applyFont="1">
      <alignment horizontal="left" readingOrder="0" shrinkToFit="0" vertical="center" wrapText="1"/>
    </xf>
    <xf borderId="0" fillId="0" fontId="5" numFmtId="0" xfId="0" applyAlignment="1" applyFont="1">
      <alignment horizontal="left" shrinkToFit="0" vertical="center" wrapText="1"/>
    </xf>
    <xf borderId="9" fillId="0" fontId="5" numFmtId="0" xfId="0" applyAlignment="1" applyBorder="1" applyFont="1">
      <alignment horizontal="left" shrinkToFit="0" vertical="center" wrapText="1"/>
    </xf>
    <xf borderId="4" fillId="0" fontId="5" numFmtId="0" xfId="0" applyAlignment="1" applyBorder="1" applyFont="1">
      <alignment horizontal="left" readingOrder="0" shrinkToFit="0" vertical="center" wrapText="1"/>
    </xf>
    <xf borderId="4" fillId="0" fontId="11" numFmtId="0" xfId="0" applyAlignment="1" applyBorder="1" applyFont="1">
      <alignment horizontal="left" shrinkToFit="0" vertical="top" wrapText="0"/>
    </xf>
    <xf borderId="0" fillId="0" fontId="12" numFmtId="0" xfId="0" applyAlignment="1" applyFont="1">
      <alignment shrinkToFit="0" vertical="center" wrapText="0"/>
    </xf>
    <xf borderId="4" fillId="0" fontId="12" numFmtId="0" xfId="0" applyAlignment="1" applyBorder="1" applyFont="1">
      <alignment shrinkToFit="0" vertical="top" wrapText="0"/>
    </xf>
    <xf borderId="4" fillId="0" fontId="12" numFmtId="0" xfId="0" applyAlignment="1" applyBorder="1" applyFont="1">
      <alignment shrinkToFit="0" vertical="center" wrapText="0"/>
    </xf>
    <xf borderId="0" fillId="0" fontId="12" numFmtId="0" xfId="0" applyAlignment="1" applyFont="1">
      <alignment horizontal="left" shrinkToFit="0" wrapText="0"/>
    </xf>
    <xf borderId="5" fillId="3" fontId="13" numFmtId="0" xfId="0" applyAlignment="1" applyBorder="1" applyFill="1" applyFont="1">
      <alignment horizontal="left" shrinkToFit="0" vertical="center" wrapText="0"/>
    </xf>
    <xf borderId="0" fillId="2" fontId="8" numFmtId="0" xfId="0" applyAlignment="1" applyFont="1">
      <alignment horizontal="left" shrinkToFit="0" vertical="top" wrapText="0"/>
    </xf>
    <xf borderId="6" fillId="0" fontId="14" numFmtId="0" xfId="0" applyAlignment="1" applyBorder="1" applyFont="1">
      <alignment horizontal="center" shrinkToFit="0" vertical="center" wrapText="0"/>
    </xf>
    <xf borderId="7" fillId="0" fontId="14" numFmtId="0" xfId="0" applyAlignment="1" applyBorder="1" applyFont="1">
      <alignment horizontal="center" shrinkToFit="0" vertical="center" wrapText="0"/>
    </xf>
    <xf borderId="6" fillId="0" fontId="15" numFmtId="0" xfId="0" applyAlignment="1" applyBorder="1" applyFont="1">
      <alignment horizontal="center" shrinkToFit="0" vertical="center" wrapText="0"/>
    </xf>
    <xf borderId="6" fillId="0" fontId="16" numFmtId="0" xfId="0" applyAlignment="1" applyBorder="1" applyFont="1">
      <alignment horizontal="center" readingOrder="0" shrinkToFit="0" vertical="center" wrapText="0"/>
    </xf>
    <xf borderId="8" fillId="0" fontId="15" numFmtId="0" xfId="0" applyAlignment="1" applyBorder="1" applyFont="1">
      <alignment horizontal="center" shrinkToFit="0" vertical="center" wrapText="0"/>
    </xf>
    <xf borderId="7" fillId="0" fontId="14" numFmtId="0" xfId="0" applyAlignment="1" applyBorder="1" applyFont="1">
      <alignment horizontal="center" shrinkToFit="0" vertical="top" wrapText="0"/>
    </xf>
    <xf borderId="6" fillId="0" fontId="17" numFmtId="0" xfId="0" applyAlignment="1" applyBorder="1" applyFont="1">
      <alignment horizontal="center" shrinkToFit="0" vertical="center" wrapText="0"/>
    </xf>
    <xf borderId="0" fillId="0" fontId="12" numFmtId="0" xfId="0" applyAlignment="1" applyFont="1">
      <alignment shrinkToFit="0" vertical="top" wrapText="0"/>
    </xf>
    <xf borderId="9" fillId="0" fontId="12" numFmtId="0" xfId="0" applyAlignment="1" applyBorder="1" applyFont="1">
      <alignment shrinkToFit="0" vertical="top" wrapText="0"/>
    </xf>
    <xf borderId="4" fillId="0" fontId="18" numFmtId="0" xfId="0" applyAlignment="1" applyBorder="1" applyFont="1">
      <alignment shrinkToFit="0" vertical="top" wrapText="0"/>
    </xf>
    <xf borderId="4" fillId="4" fontId="12" numFmtId="0" xfId="0" applyAlignment="1" applyBorder="1" applyFill="1" applyFont="1">
      <alignment shrinkToFit="0" vertical="center" wrapText="0"/>
    </xf>
    <xf borderId="5" fillId="5" fontId="19" numFmtId="0" xfId="0" applyAlignment="1" applyBorder="1" applyFill="1" applyFont="1">
      <alignment horizontal="left" shrinkToFit="0" vertical="center" wrapText="0"/>
    </xf>
    <xf borderId="0" fillId="0" fontId="12" numFmtId="0" xfId="0" applyAlignment="1" applyFont="1">
      <alignment horizontal="left" shrinkToFit="0" vertical="center" wrapText="0"/>
    </xf>
    <xf borderId="5" fillId="6" fontId="19" numFmtId="0" xfId="0" applyAlignment="1" applyBorder="1" applyFill="1" applyFont="1">
      <alignment horizontal="left" shrinkToFit="0" vertical="center" wrapText="0"/>
    </xf>
    <xf borderId="0" fillId="7" fontId="6" numFmtId="0" xfId="0" applyAlignment="1" applyFill="1" applyFont="1">
      <alignment readingOrder="0" shrinkToFit="0" wrapText="0"/>
    </xf>
    <xf borderId="0" fillId="8" fontId="6" numFmtId="0" xfId="0" applyAlignment="1" applyFill="1" applyFont="1">
      <alignment shrinkToFit="0" wrapText="0"/>
    </xf>
    <xf borderId="0" fillId="9" fontId="19" numFmtId="0" xfId="0" applyAlignment="1" applyFill="1" applyFont="1">
      <alignment readingOrder="0" shrinkToFit="0" wrapText="0"/>
    </xf>
    <xf borderId="0" fillId="10" fontId="19" numFmtId="0" xfId="0" applyAlignment="1" applyFill="1" applyFont="1">
      <alignment shrinkToFit="0" wrapText="0"/>
    </xf>
    <xf borderId="0" fillId="11" fontId="19" numFmtId="0" xfId="0" applyAlignment="1" applyFill="1" applyFont="1">
      <alignment readingOrder="0" shrinkToFit="0" wrapText="0"/>
    </xf>
    <xf borderId="0" fillId="12" fontId="6" numFmtId="0" xfId="0" applyAlignment="1" applyFill="1" applyFont="1">
      <alignment shrinkToFit="0" wrapText="0"/>
    </xf>
    <xf borderId="5" fillId="13" fontId="19" numFmtId="0" xfId="0" applyAlignment="1" applyBorder="1" applyFill="1" applyFont="1">
      <alignment horizontal="left" shrinkToFit="0" vertical="center" wrapText="0"/>
    </xf>
    <xf borderId="0" fillId="0" fontId="20" numFmtId="0" xfId="0" applyAlignment="1" applyFont="1">
      <alignment horizontal="left" shrinkToFit="0" vertical="center" wrapText="0"/>
    </xf>
    <xf borderId="4" fillId="0" fontId="12" numFmtId="0" xfId="0" applyAlignment="1" applyBorder="1" applyFont="1">
      <alignment horizontal="left" shrinkToFit="0" vertical="top" wrapText="0"/>
    </xf>
    <xf borderId="4" fillId="0" fontId="18" numFmtId="0" xfId="0" applyAlignment="1" applyBorder="1" applyFont="1">
      <alignment horizontal="left" shrinkToFit="0" vertical="top" wrapText="0"/>
    </xf>
    <xf borderId="4" fillId="14" fontId="12" numFmtId="0" xfId="0" applyAlignment="1" applyBorder="1" applyFill="1" applyFont="1">
      <alignment shrinkToFit="0" vertical="center" wrapText="0"/>
    </xf>
    <xf borderId="0" fillId="0" fontId="12" numFmtId="0" xfId="0" applyAlignment="1" applyFont="1">
      <alignment horizontal="left" shrinkToFit="0" vertical="top" wrapText="0"/>
    </xf>
    <xf borderId="0" fillId="0" fontId="18" numFmtId="0" xfId="0" applyAlignment="1" applyFont="1">
      <alignment horizontal="left" shrinkToFit="0" vertical="top" wrapText="0"/>
    </xf>
    <xf borderId="0" fillId="14" fontId="12" numFmtId="0" xfId="0" applyAlignment="1" applyFont="1">
      <alignment shrinkToFit="0" vertical="center" wrapText="0"/>
    </xf>
    <xf borderId="6" fillId="0" fontId="14" numFmtId="0" xfId="0" applyAlignment="1" applyBorder="1" applyFont="1">
      <alignment horizontal="center" readingOrder="0" shrinkToFit="0" vertical="center" wrapText="0"/>
    </xf>
    <xf borderId="6" fillId="0" fontId="20" numFmtId="0" xfId="0" applyAlignment="1" applyBorder="1" applyFont="1">
      <alignment horizontal="center" readingOrder="0" shrinkToFit="0" vertical="center" wrapText="0"/>
    </xf>
    <xf borderId="0" fillId="0" fontId="20" numFmtId="0" xfId="0" applyAlignment="1" applyFont="1">
      <alignment horizontal="center" readingOrder="0" shrinkToFit="0" vertical="center" wrapText="0"/>
    </xf>
    <xf borderId="4" fillId="0" fontId="12" numFmtId="0" xfId="0" applyAlignment="1" applyBorder="1" applyFont="1">
      <alignment readingOrder="0" shrinkToFit="0" vertical="top" wrapText="0"/>
    </xf>
    <xf borderId="5" fillId="0" fontId="20" numFmtId="0" xfId="0" applyAlignment="1" applyBorder="1" applyFont="1">
      <alignment horizontal="left" shrinkToFit="0" vertical="center" wrapText="0"/>
    </xf>
    <xf borderId="0" fillId="0" fontId="21" numFmtId="0" xfId="0" applyAlignment="1" applyFont="1">
      <alignment shrinkToFit="0" wrapText="0"/>
    </xf>
    <xf borderId="0" fillId="0" fontId="6" numFmtId="0" xfId="0" applyAlignment="1" applyFont="1">
      <alignment horizontal="center" shrinkToFit="0" vertical="center" wrapText="1"/>
    </xf>
    <xf borderId="0" fillId="0" fontId="6" numFmtId="0" xfId="0" applyAlignment="1" applyFont="1">
      <alignment shrinkToFit="0" wrapText="0"/>
    </xf>
    <xf borderId="0" fillId="0" fontId="6" numFmtId="0" xfId="0" applyAlignment="1" applyFont="1">
      <alignment readingOrder="0" shrinkToFit="0" wrapText="0"/>
    </xf>
    <xf borderId="0" fillId="0" fontId="12" numFmtId="0" xfId="0" applyAlignment="1" applyFont="1">
      <alignment shrinkToFit="0" wrapText="0"/>
    </xf>
    <xf borderId="0" fillId="0" fontId="12" numFmtId="0" xfId="0" applyAlignment="1" applyFont="1">
      <alignment readingOrder="0" shrinkToFit="0" wrapText="0"/>
    </xf>
    <xf borderId="0" fillId="0" fontId="22" numFmtId="0" xfId="0" applyAlignment="1" applyFont="1">
      <alignment shrinkToFit="0" vertical="center" wrapText="0"/>
    </xf>
    <xf borderId="0" fillId="2" fontId="23" numFmtId="0" xfId="0" applyAlignment="1" applyFont="1">
      <alignment shrinkToFit="0" vertical="center" wrapText="0"/>
    </xf>
    <xf borderId="0" fillId="0" fontId="12" numFmtId="0" xfId="0" applyAlignment="1" applyFont="1">
      <alignment shrinkToFit="0" wrapText="0"/>
    </xf>
    <xf borderId="0" fillId="0" fontId="24" numFmtId="0" xfId="0" applyAlignment="1" applyFont="1">
      <alignment shrinkToFit="0" vertical="center" wrapText="0"/>
    </xf>
    <xf borderId="0" fillId="0" fontId="25" numFmtId="0" xfId="0" applyAlignment="1" applyFont="1">
      <alignment shrinkToFit="0" wrapText="0"/>
    </xf>
    <xf borderId="0" fillId="0" fontId="6" numFmtId="0" xfId="0" applyAlignment="1" applyFont="1">
      <alignment readingOrder="0"/>
    </xf>
    <xf borderId="0" fillId="0" fontId="12" numFmtId="0" xfId="0" applyFont="1"/>
    <xf borderId="0" fillId="0" fontId="26" numFmtId="0" xfId="0" applyAlignment="1" applyFont="1">
      <alignment readingOrder="0" shrinkToFit="0" wrapText="0"/>
    </xf>
    <xf borderId="0" fillId="0" fontId="27" numFmtId="0" xfId="0" applyAlignment="1" applyFont="1">
      <alignment readingOrder="0" shrinkToFit="0" wrapText="0"/>
    </xf>
    <xf borderId="0" fillId="0" fontId="12" numFmtId="0" xfId="0" applyAlignment="1" applyFont="1">
      <alignment readingOrder="0" shrinkToFit="0" wrapText="0"/>
    </xf>
    <xf borderId="5" fillId="0" fontId="5" numFmtId="0" xfId="0" applyAlignment="1" applyBorder="1" applyFont="1">
      <alignment horizontal="center" shrinkToFit="0" vertical="center" wrapText="0"/>
    </xf>
    <xf borderId="10" fillId="0" fontId="5" numFmtId="0" xfId="0" applyAlignment="1" applyBorder="1" applyFont="1">
      <alignment horizontal="center" shrinkToFit="0" vertical="center" wrapText="0"/>
    </xf>
    <xf borderId="0" fillId="0" fontId="4" numFmtId="0" xfId="0" applyFont="1"/>
    <xf borderId="0" fillId="0" fontId="4" numFmtId="0" xfId="0" applyAlignment="1" applyFont="1">
      <alignment readingOrder="0"/>
    </xf>
    <xf borderId="0" fillId="0" fontId="21" numFmtId="0" xfId="0" applyAlignment="1" applyFont="1">
      <alignment readingOrder="0"/>
    </xf>
    <xf borderId="4" fillId="0" fontId="4" numFmtId="0" xfId="0" applyBorder="1" applyFont="1"/>
    <xf borderId="4" fillId="0" fontId="4" numFmtId="0" xfId="0" applyAlignment="1" applyBorder="1" applyFont="1">
      <alignment shrinkToFit="0" vertical="top" wrapText="0"/>
    </xf>
    <xf borderId="0" fillId="0" fontId="21" numFmtId="0" xfId="0" applyFont="1"/>
    <xf borderId="4" fillId="0" fontId="4" numFmtId="0" xfId="0" applyAlignment="1" applyBorder="1" applyFont="1">
      <alignment readingOrder="0"/>
    </xf>
    <xf borderId="9" fillId="0" fontId="5" numFmtId="0" xfId="0" applyAlignment="1" applyBorder="1" applyFont="1">
      <alignment horizontal="center" shrinkToFit="0" vertical="center" wrapText="0"/>
    </xf>
    <xf borderId="0" fillId="0" fontId="11" numFmtId="0" xfId="0" applyAlignment="1" applyFont="1">
      <alignment readingOrder="0" shrinkToFit="0" wrapText="0"/>
    </xf>
    <xf borderId="0" fillId="0" fontId="11" numFmtId="0" xfId="0" applyAlignment="1" applyFont="1">
      <alignment shrinkToFit="0" wrapText="0"/>
    </xf>
    <xf borderId="0" fillId="0" fontId="28" numFmtId="0" xfId="0" applyAlignment="1" applyFont="1">
      <alignment horizontal="left" readingOrder="0"/>
    </xf>
    <xf borderId="0" fillId="0" fontId="11" numFmtId="0" xfId="0" applyAlignment="1" applyFont="1">
      <alignment vertical="bottom"/>
    </xf>
    <xf borderId="0" fillId="0" fontId="11" numFmtId="0" xfId="0" applyAlignment="1" applyFont="1">
      <alignment readingOrder="0" shrinkToFit="0" vertical="center" wrapText="0"/>
    </xf>
    <xf borderId="0" fillId="0" fontId="11" numFmtId="0" xfId="0" applyAlignment="1" applyFont="1">
      <alignment horizontal="left" readingOrder="0" shrinkToFit="0" wrapText="0"/>
    </xf>
    <xf borderId="0" fillId="0" fontId="20" numFmtId="0" xfId="0" applyAlignment="1" applyFont="1">
      <alignment readingOrder="0" shrinkToFit="0" wrapText="0"/>
    </xf>
    <xf borderId="0" fillId="0" fontId="28" numFmtId="0" xfId="0" applyAlignment="1" applyFont="1">
      <alignment horizontal="left" readingOrder="0" shrinkToFit="0" wrapText="0"/>
    </xf>
    <xf borderId="0" fillId="0" fontId="29" numFmtId="0" xfId="0" applyAlignment="1" applyFont="1">
      <alignment readingOrder="0" shrinkToFit="0" vertical="bottom" wrapText="0"/>
    </xf>
    <xf borderId="0" fillId="0" fontId="30" numFmtId="0" xfId="0" applyAlignment="1" applyFont="1">
      <alignment readingOrder="0" shrinkToFit="0" wrapText="0"/>
    </xf>
    <xf borderId="0" fillId="0" fontId="30" numFmtId="0" xfId="0" applyAlignment="1" applyFont="1">
      <alignment shrinkToFit="0" wrapText="0"/>
    </xf>
    <xf borderId="0" fillId="0" fontId="30" numFmtId="0" xfId="0" applyFont="1"/>
    <xf borderId="0" fillId="0" fontId="29" numFmtId="0" xfId="0" applyAlignment="1" applyFont="1">
      <alignment vertical="bottom"/>
    </xf>
    <xf borderId="0" fillId="15" fontId="31" numFmtId="0" xfId="0" applyAlignment="1" applyFill="1" applyFont="1">
      <alignment horizontal="left" readingOrder="0" shrinkToFit="0" wrapText="0"/>
    </xf>
    <xf borderId="0" fillId="0" fontId="32" numFmtId="0" xfId="0" applyAlignment="1" applyFont="1">
      <alignment shrinkToFit="0" wrapText="0"/>
    </xf>
    <xf borderId="0" fillId="0" fontId="32" numFmtId="0" xfId="0" applyAlignment="1" applyFont="1">
      <alignment shrinkToFit="0" vertical="bottom" wrapText="0"/>
    </xf>
    <xf borderId="0" fillId="0" fontId="29" numFmtId="0" xfId="0" applyAlignment="1" applyFont="1">
      <alignment shrinkToFit="0" vertical="bottom" wrapText="0"/>
    </xf>
    <xf borderId="0" fillId="0" fontId="32" numFmtId="0" xfId="0" applyAlignment="1" applyFont="1">
      <alignment readingOrder="0" shrinkToFit="0" wrapText="0"/>
    </xf>
    <xf borderId="0" fillId="0" fontId="21" numFmtId="0" xfId="0" applyAlignment="1" applyFont="1">
      <alignment readingOrder="0" shrinkToFit="0" wrapText="0"/>
    </xf>
    <xf borderId="0" fillId="0" fontId="33" numFmtId="0" xfId="0" applyAlignment="1" applyFont="1">
      <alignment horizontal="left" readingOrder="0" shrinkToFit="0" wrapText="0"/>
    </xf>
    <xf borderId="0" fillId="0" fontId="32" numFmtId="0" xfId="0" applyAlignment="1" applyFont="1">
      <alignment shrinkToFit="0" wrapText="0"/>
    </xf>
    <xf borderId="0" fillId="0" fontId="32" numFmtId="0" xfId="0" applyFont="1"/>
    <xf borderId="0" fillId="0" fontId="6" numFmtId="0" xfId="0" applyAlignment="1" applyFont="1">
      <alignment shrinkToFit="0" vertical="center" wrapText="0"/>
    </xf>
    <xf borderId="0" fillId="0" fontId="6" numFmtId="0" xfId="0" applyAlignment="1" applyFont="1">
      <alignment shrinkToFit="0" vertical="center" wrapText="1"/>
    </xf>
    <xf borderId="9" fillId="0" fontId="5" numFmtId="0" xfId="0" applyAlignment="1" applyBorder="1" applyFont="1">
      <alignment horizontal="left" shrinkToFit="0" vertical="center" wrapText="0"/>
    </xf>
    <xf borderId="4" fillId="0" fontId="5" numFmtId="0" xfId="0" applyAlignment="1" applyBorder="1" applyFont="1">
      <alignment horizontal="left"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12" numFmtId="0" xfId="0" applyAlignment="1" applyFont="1">
      <alignment shrinkToFit="0" vertical="center" wrapText="0"/>
    </xf>
    <xf borderId="0" fillId="0" fontId="25" numFmtId="0" xfId="0" applyAlignment="1" applyFont="1">
      <alignment shrinkToFit="0" vertical="center" wrapText="1"/>
    </xf>
    <xf borderId="0" fillId="0" fontId="25" numFmtId="0" xfId="0" applyAlignment="1" applyFont="1">
      <alignment shrinkToFit="0" vertical="center" wrapText="0"/>
    </xf>
    <xf borderId="9" fillId="0" fontId="12" numFmtId="0" xfId="0" applyAlignment="1" applyBorder="1" applyFont="1">
      <alignment shrinkToFit="0" vertical="top" wrapText="0"/>
    </xf>
    <xf borderId="0" fillId="0" fontId="12" numFmtId="0" xfId="0" applyAlignment="1" applyFont="1">
      <alignment shrinkToFit="0" vertical="top" wrapText="0"/>
    </xf>
    <xf borderId="0" fillId="0" fontId="12" numFmtId="10" xfId="0" applyAlignment="1" applyFont="1" applyNumberFormat="1">
      <alignment horizontal="left" shrinkToFit="0" vertical="center" wrapText="0"/>
    </xf>
    <xf borderId="0" fillId="0" fontId="34" numFmtId="0" xfId="0" applyAlignment="1" applyFont="1">
      <alignment shrinkToFit="0" vertical="center" wrapText="0"/>
    </xf>
    <xf borderId="0" fillId="0" fontId="12" numFmtId="0" xfId="0" applyAlignment="1" applyFont="1">
      <alignment vertical="center"/>
    </xf>
    <xf borderId="0" fillId="0" fontId="11" numFmtId="0" xfId="0" applyAlignment="1" applyFont="1">
      <alignment shrinkToFit="0" vertical="center" wrapText="0"/>
    </xf>
    <xf borderId="0" fillId="0" fontId="21" numFmtId="0" xfId="0" applyAlignment="1" applyFont="1">
      <alignment vertical="center"/>
    </xf>
    <xf borderId="0" fillId="0" fontId="12" numFmtId="0" xfId="0" applyAlignment="1" applyFont="1">
      <alignment horizontal="left" shrinkToFit="0" vertical="center" wrapText="0"/>
    </xf>
    <xf borderId="0" fillId="0" fontId="18" numFmtId="0" xfId="0" applyAlignment="1" applyFont="1">
      <alignment shrinkToFit="0" vertical="center" wrapText="0"/>
    </xf>
    <xf borderId="0" fillId="0" fontId="12" numFmtId="0" xfId="0" applyAlignment="1" applyFont="1">
      <alignment readingOrder="0" shrinkToFit="0" vertical="center" wrapText="0"/>
    </xf>
    <xf borderId="0" fillId="0" fontId="35" numFmtId="0" xfId="0" applyAlignment="1" applyFont="1">
      <alignment shrinkToFit="0" vertical="center" wrapText="0"/>
    </xf>
    <xf borderId="0" fillId="0" fontId="25" numFmtId="0" xfId="0" applyAlignment="1" applyFont="1">
      <alignment readingOrder="0" shrinkToFit="0" vertical="center" wrapText="1"/>
    </xf>
    <xf borderId="0" fillId="2" fontId="3" numFmtId="0" xfId="0" applyAlignment="1" applyFont="1">
      <alignment horizontal="right" readingOrder="0" shrinkToFit="0" vertical="top" wrapText="0"/>
    </xf>
    <xf borderId="11" fillId="2" fontId="36" numFmtId="0" xfId="0" applyAlignment="1" applyBorder="1" applyFont="1">
      <alignment horizontal="left" readingOrder="0" shrinkToFit="0" vertical="top" wrapText="0"/>
    </xf>
    <xf borderId="0" fillId="16" fontId="37" numFmtId="0" xfId="0" applyAlignment="1" applyFill="1" applyFont="1">
      <alignment horizontal="center" readingOrder="0" shrinkToFit="0" vertical="top" wrapText="0"/>
    </xf>
    <xf borderId="0" fillId="16" fontId="38" numFmtId="0" xfId="0" applyAlignment="1" applyFont="1">
      <alignment horizontal="right" shrinkToFit="0" vertical="top" wrapText="0"/>
    </xf>
    <xf borderId="11" fillId="16" fontId="39" numFmtId="0" xfId="0" applyAlignment="1" applyBorder="1" applyFont="1">
      <alignment horizontal="left" shrinkToFit="0" vertical="top" wrapText="0"/>
    </xf>
    <xf borderId="0" fillId="17" fontId="37" numFmtId="0" xfId="0" applyAlignment="1" applyFill="1" applyFont="1">
      <alignment horizontal="center" readingOrder="0" shrinkToFit="0" vertical="top" wrapText="0"/>
    </xf>
    <xf borderId="0" fillId="17" fontId="38" numFmtId="0" xfId="0" applyAlignment="1" applyFont="1">
      <alignment horizontal="right" shrinkToFit="0" vertical="top" wrapText="0"/>
    </xf>
    <xf borderId="11" fillId="17" fontId="39" numFmtId="0" xfId="0" applyAlignment="1" applyBorder="1" applyFont="1">
      <alignment horizontal="left" shrinkToFit="0" vertical="top" wrapText="0"/>
    </xf>
    <xf borderId="0" fillId="18" fontId="37" numFmtId="0" xfId="0" applyAlignment="1" applyFill="1" applyFont="1">
      <alignment horizontal="center" readingOrder="0" shrinkToFit="0" vertical="top" wrapText="1"/>
    </xf>
    <xf borderId="0" fillId="19" fontId="40" numFmtId="0" xfId="0" applyAlignment="1" applyFill="1" applyFont="1">
      <alignment horizontal="center" readingOrder="0" shrinkToFit="0" vertical="top" wrapText="0"/>
    </xf>
    <xf borderId="0" fillId="19" fontId="38" numFmtId="0" xfId="0" applyAlignment="1" applyFont="1">
      <alignment horizontal="right" shrinkToFit="0" vertical="top" wrapText="0"/>
    </xf>
    <xf borderId="11" fillId="19" fontId="39" numFmtId="0" xfId="0" applyAlignment="1" applyBorder="1" applyFont="1">
      <alignment horizontal="left" readingOrder="0" shrinkToFit="0" vertical="top" wrapText="0"/>
    </xf>
    <xf borderId="0" fillId="20" fontId="37" numFmtId="0" xfId="0" applyAlignment="1" applyFill="1" applyFont="1">
      <alignment horizontal="center" readingOrder="0" shrinkToFit="0" vertical="top" wrapText="1"/>
    </xf>
    <xf borderId="0" fillId="21" fontId="40" numFmtId="0" xfId="0" applyAlignment="1" applyFill="1" applyFont="1">
      <alignment horizontal="center" readingOrder="0" shrinkToFit="0" vertical="top" wrapText="0"/>
    </xf>
    <xf borderId="0" fillId="21" fontId="38" numFmtId="0" xfId="0" applyAlignment="1" applyFont="1">
      <alignment horizontal="right" shrinkToFit="0" vertical="top" wrapText="0"/>
    </xf>
    <xf borderId="11" fillId="21" fontId="39" numFmtId="0" xfId="0" applyAlignment="1" applyBorder="1" applyFont="1">
      <alignment horizontal="left" shrinkToFit="0" vertical="top" wrapText="0"/>
    </xf>
    <xf borderId="0" fillId="22" fontId="37" numFmtId="0" xfId="0" applyAlignment="1" applyFill="1" applyFont="1">
      <alignment horizontal="center" readingOrder="0" shrinkToFit="0" vertical="top" wrapText="1"/>
    </xf>
    <xf borderId="0" fillId="23" fontId="40" numFmtId="0" xfId="0" applyAlignment="1" applyFill="1" applyFont="1">
      <alignment horizontal="center" readingOrder="0" shrinkToFit="0" vertical="top" wrapText="0"/>
    </xf>
    <xf borderId="0" fillId="23" fontId="38" numFmtId="0" xfId="0" applyAlignment="1" applyFont="1">
      <alignment horizontal="right" shrinkToFit="0" vertical="top" wrapText="0"/>
    </xf>
    <xf borderId="11" fillId="23" fontId="39" numFmtId="0" xfId="0" applyAlignment="1" applyBorder="1" applyFont="1">
      <alignment horizontal="left" shrinkToFit="0" vertical="top" wrapText="0"/>
    </xf>
    <xf borderId="0" fillId="24" fontId="37" numFmtId="0" xfId="0" applyAlignment="1" applyFill="1" applyFont="1">
      <alignment horizontal="right" readingOrder="0" shrinkToFit="0" vertical="top" wrapText="0"/>
    </xf>
    <xf borderId="0" fillId="24" fontId="38" numFmtId="0" xfId="0" applyAlignment="1" applyFont="1">
      <alignment horizontal="right" shrinkToFit="0" vertical="top" wrapText="0"/>
    </xf>
    <xf borderId="11" fillId="24" fontId="39" numFmtId="0" xfId="0" applyAlignment="1" applyBorder="1" applyFont="1">
      <alignment horizontal="left" shrinkToFit="0" vertical="top" wrapText="0"/>
    </xf>
    <xf borderId="11" fillId="24" fontId="39" numFmtId="0" xfId="0" applyAlignment="1" applyBorder="1" applyFont="1">
      <alignment horizontal="left" readingOrder="0" shrinkToFit="0" vertical="top" wrapText="0"/>
    </xf>
    <xf borderId="0" fillId="25" fontId="37" numFmtId="0" xfId="0" applyAlignment="1" applyFill="1" applyFont="1">
      <alignment horizontal="right" readingOrder="0" shrinkToFit="0" vertical="top" wrapText="0"/>
    </xf>
    <xf borderId="0" fillId="25" fontId="38" numFmtId="0" xfId="0" applyAlignment="1" applyFont="1">
      <alignment horizontal="right" shrinkToFit="0" vertical="top" wrapText="0"/>
    </xf>
    <xf borderId="11" fillId="25" fontId="39" numFmtId="0" xfId="0" applyAlignment="1" applyBorder="1" applyFont="1">
      <alignment horizontal="left" shrinkToFit="0" vertical="top" wrapText="0"/>
    </xf>
    <xf borderId="11" fillId="25" fontId="39" numFmtId="0" xfId="0" applyAlignment="1" applyBorder="1" applyFont="1">
      <alignment horizontal="left" readingOrder="0" shrinkToFit="0" vertical="top" wrapText="0"/>
    </xf>
    <xf borderId="0" fillId="0" fontId="21" numFmtId="0" xfId="0" applyAlignment="1" applyFont="1">
      <alignment horizontal="right" vertical="top"/>
    </xf>
    <xf borderId="0" fillId="0" fontId="21" numFmtId="0" xfId="0" applyAlignment="1" applyFont="1">
      <alignment horizontal="right" shrinkToFit="0" vertical="top" wrapText="0"/>
    </xf>
    <xf borderId="0" fillId="0" fontId="41" numFmtId="0" xfId="0" applyAlignment="1" applyFont="1">
      <alignment horizontal="right" vertical="top"/>
    </xf>
    <xf borderId="11" fillId="0" fontId="30" numFmtId="0" xfId="0" applyAlignment="1" applyBorder="1" applyFont="1">
      <alignment horizontal="left" shrinkToFit="0" vertical="top" wrapText="0"/>
    </xf>
    <xf borderId="0" fillId="0" fontId="42" numFmtId="0" xfId="0" applyAlignment="1" applyFont="1">
      <alignment horizontal="right" vertical="top"/>
    </xf>
    <xf borderId="11" fillId="0" fontId="21" numFmtId="0" xfId="0" applyAlignment="1" applyBorder="1" applyFont="1">
      <alignment horizontal="left" vertical="top"/>
    </xf>
    <xf borderId="0" fillId="2" fontId="43" numFmtId="0" xfId="0" applyAlignment="1" applyFont="1">
      <alignment readingOrder="0" shrinkToFit="0" wrapText="0"/>
    </xf>
    <xf borderId="0" fillId="0" fontId="43" numFmtId="0" xfId="0" applyAlignment="1" applyFont="1">
      <alignment readingOrder="0"/>
    </xf>
    <xf borderId="0" fillId="15" fontId="43" numFmtId="0" xfId="0" applyAlignment="1" applyFont="1">
      <alignment readingOrder="0"/>
    </xf>
    <xf borderId="0" fillId="0" fontId="44" numFmtId="0" xfId="0" applyAlignment="1" applyFont="1">
      <alignment readingOrder="0"/>
    </xf>
    <xf borderId="0" fillId="0" fontId="43" numFmtId="0" xfId="0" applyAlignment="1" applyFont="1">
      <alignment readingOrder="0" shrinkToFit="0" vertical="center" wrapText="0"/>
    </xf>
    <xf borderId="0" fillId="0" fontId="43" numFmtId="0" xfId="0" applyAlignment="1" applyFont="1">
      <alignment shrinkToFit="0" vertical="center" wrapText="0"/>
    </xf>
    <xf borderId="0" fillId="15" fontId="43" numFmtId="0" xfId="0" applyAlignment="1" applyFont="1">
      <alignment shrinkToFit="0" vertical="center" wrapText="0"/>
    </xf>
    <xf borderId="0" fillId="4" fontId="43" numFmtId="0" xfId="0" applyAlignment="1" applyFont="1">
      <alignment readingOrder="0"/>
    </xf>
    <xf borderId="0" fillId="15" fontId="43" numFmtId="0" xfId="0" applyAlignment="1" applyFont="1">
      <alignment readingOrder="0" shrinkToFit="0" wrapText="0"/>
    </xf>
    <xf borderId="0" fillId="0" fontId="45" numFmtId="0" xfId="0" applyAlignment="1" applyFont="1">
      <alignment horizontal="center" shrinkToFit="0" vertical="center" wrapText="0"/>
    </xf>
    <xf borderId="0" fillId="0" fontId="11" numFmtId="0" xfId="0" applyAlignment="1" applyFont="1">
      <alignment horizontal="center" shrinkToFit="0" wrapText="1"/>
    </xf>
    <xf borderId="0" fillId="0" fontId="38" numFmtId="0" xfId="0" applyAlignment="1" applyFont="1">
      <alignment shrinkToFit="0" wrapText="0"/>
    </xf>
    <xf borderId="0" fillId="0" fontId="46" numFmtId="0" xfId="0" applyAlignment="1" applyFont="1">
      <alignment shrinkToFit="0" wrapText="0"/>
    </xf>
    <xf borderId="0" fillId="0" fontId="38" numFmtId="0" xfId="0" applyAlignment="1" applyFont="1">
      <alignment readingOrder="0" shrinkToFit="0" wrapText="0"/>
    </xf>
    <xf borderId="0" fillId="0" fontId="46" numFmtId="0" xfId="0" applyAlignment="1" applyFont="1">
      <alignment readingOrder="0" shrinkToFit="0" wrapText="0"/>
    </xf>
    <xf borderId="0" fillId="0" fontId="11" numFmtId="0" xfId="0" applyAlignment="1" applyFont="1">
      <alignment shrinkToFit="0" vertical="center" wrapText="0"/>
    </xf>
    <xf borderId="0" fillId="0" fontId="47" numFmtId="0" xfId="0" applyAlignment="1" applyFont="1">
      <alignment shrinkToFit="0" vertical="center" wrapText="0"/>
    </xf>
    <xf borderId="0" fillId="0" fontId="20" numFmtId="0" xfId="0" applyAlignment="1" applyFont="1">
      <alignment shrinkToFit="0" vertical="center" wrapText="0"/>
    </xf>
    <xf borderId="0" fillId="0" fontId="47" numFmtId="0" xfId="0" applyAlignment="1" applyFont="1">
      <alignment readingOrder="0" shrinkToFit="0" vertical="center" wrapText="0"/>
    </xf>
    <xf borderId="0" fillId="0" fontId="47" numFmtId="0" xfId="0" applyAlignment="1" applyFont="1">
      <alignment shrinkToFit="0" wrapText="0"/>
    </xf>
    <xf borderId="0" fillId="0" fontId="11" numFmtId="0" xfId="0" applyAlignment="1" applyFont="1">
      <alignment shrinkToFit="0" wrapText="1"/>
    </xf>
    <xf borderId="0" fillId="0" fontId="11" numFmtId="0" xfId="0" applyAlignment="1" applyFont="1">
      <alignment shrinkToFit="0" vertical="center" wrapText="1"/>
    </xf>
    <xf borderId="0" fillId="0" fontId="11" numFmtId="0" xfId="0" applyAlignment="1" applyFont="1">
      <alignment shrinkToFit="0" wrapText="1"/>
    </xf>
    <xf borderId="0" fillId="0" fontId="12" numFmtId="0" xfId="0" applyAlignment="1" applyFont="1">
      <alignment horizontal="center" shrinkToFit="0" vertical="center" wrapText="0"/>
    </xf>
    <xf borderId="0" fillId="0" fontId="12" numFmtId="0" xfId="0" applyAlignment="1" applyFont="1">
      <alignment readingOrder="0" shrinkToFit="0" vertical="center" wrapText="0"/>
    </xf>
    <xf borderId="0" fillId="0" fontId="48" numFmtId="0" xfId="0" applyAlignment="1" applyFont="1">
      <alignment shrinkToFit="0" wrapText="0"/>
    </xf>
    <xf borderId="0" fillId="0" fontId="6" numFmtId="0" xfId="0" applyAlignment="1" applyFont="1">
      <alignment shrinkToFit="0" wrapText="0"/>
    </xf>
    <xf borderId="0" fillId="0" fontId="6" numFmtId="0" xfId="0" applyAlignment="1" applyFont="1">
      <alignment readingOrder="0" shrinkToFit="0" wrapText="0"/>
    </xf>
    <xf borderId="0" fillId="0" fontId="49" numFmtId="0" xfId="0" applyAlignment="1" applyFont="1">
      <alignment vertical="center"/>
    </xf>
    <xf borderId="0" fillId="0" fontId="12" numFmtId="0" xfId="0" applyFont="1"/>
    <xf borderId="0" fillId="0" fontId="11" numFmtId="0" xfId="0" applyAlignment="1" applyFont="1">
      <alignment shrinkToFit="0" wrapText="0"/>
    </xf>
    <xf borderId="0" fillId="0" fontId="50" numFmtId="0" xfId="0" applyAlignment="1" applyFont="1">
      <alignment horizontal="center" shrinkToFit="0" vertical="center" wrapText="1"/>
    </xf>
    <xf borderId="0" fillId="0" fontId="51" numFmtId="0" xfId="0" applyAlignment="1" applyFont="1">
      <alignment horizontal="center" shrinkToFit="0" vertical="center" wrapText="1"/>
    </xf>
    <xf borderId="0" fillId="0" fontId="38" numFmtId="0" xfId="0" applyAlignment="1" applyFont="1">
      <alignment shrinkToFit="0" wrapText="0"/>
    </xf>
    <xf borderId="0" fillId="0" fontId="38" numFmtId="0" xfId="0" applyAlignment="1" applyFont="1">
      <alignment readingOrder="0" shrinkToFit="0" wrapText="0"/>
    </xf>
    <xf borderId="0" fillId="0" fontId="12" numFmtId="0" xfId="0" applyAlignment="1" applyFont="1">
      <alignment readingOrder="0" vertical="center"/>
    </xf>
    <xf borderId="0" fillId="0" fontId="12" numFmtId="0" xfId="0" applyAlignment="1" applyFont="1">
      <alignment horizontal="left" readingOrder="0" shrinkToFit="0" vertical="center" wrapText="0"/>
    </xf>
    <xf borderId="0" fillId="0" fontId="40" numFmtId="0" xfId="0" applyAlignment="1" applyFont="1">
      <alignment horizontal="center"/>
    </xf>
    <xf borderId="0" fillId="0" fontId="52" numFmtId="0" xfId="0" applyFont="1"/>
    <xf borderId="0" fillId="0" fontId="18" numFmtId="0" xfId="0" applyAlignment="1" applyFont="1">
      <alignment vertical="center"/>
    </xf>
    <xf borderId="0" fillId="0" fontId="18" numFmtId="0" xfId="0" applyAlignment="1" applyFont="1">
      <alignment readingOrder="0" vertical="center"/>
    </xf>
    <xf borderId="0" fillId="0" fontId="53" numFmtId="0" xfId="0" applyAlignment="1" applyFont="1">
      <alignment shrinkToFit="0" wrapText="0"/>
    </xf>
    <xf borderId="0" fillId="0" fontId="54" numFmtId="0" xfId="0" applyAlignment="1" applyFont="1">
      <alignment horizontal="center" shrinkToFit="0" vertical="center" wrapText="0"/>
    </xf>
    <xf borderId="0" fillId="0" fontId="12" numFmtId="0" xfId="0" applyAlignment="1" applyFont="1">
      <alignment horizontal="center" shrinkToFit="0" vertical="center" wrapText="1"/>
    </xf>
    <xf borderId="0" fillId="0" fontId="55" numFmtId="0" xfId="0" applyAlignment="1" applyFont="1">
      <alignment shrinkToFit="0" wrapText="0"/>
    </xf>
    <xf borderId="0" fillId="0" fontId="55" numFmtId="0" xfId="0" applyAlignment="1" applyFont="1">
      <alignment readingOrder="0" shrinkToFit="0" wrapText="0"/>
    </xf>
    <xf borderId="0" fillId="0" fontId="56" numFmtId="0" xfId="0" applyAlignment="1" applyFont="1">
      <alignment readingOrder="0" shrinkToFit="0" vertical="center" wrapText="0"/>
    </xf>
    <xf borderId="0" fillId="0" fontId="56" numFmtId="0" xfId="0" applyAlignment="1" applyFont="1">
      <alignment shrinkToFit="0" wrapText="0"/>
    </xf>
    <xf borderId="0" fillId="0" fontId="12" numFmtId="0" xfId="0" applyAlignment="1" applyFont="1">
      <alignment horizontal="center" shrinkToFit="0" wrapText="1"/>
    </xf>
    <xf borderId="0" fillId="0" fontId="12" numFmtId="0" xfId="0" applyAlignment="1" applyFont="1">
      <alignment shrinkToFit="0" wrapText="1"/>
    </xf>
    <xf borderId="0" fillId="0" fontId="12" numFmtId="0" xfId="0" applyAlignment="1" applyFont="1">
      <alignment shrinkToFit="0" wrapText="1"/>
    </xf>
    <xf borderId="0" fillId="0" fontId="57" numFmtId="0" xfId="0" applyAlignment="1" applyFont="1">
      <alignment readingOrder="0" shrinkToFit="0" wrapText="0"/>
    </xf>
    <xf borderId="0" fillId="0" fontId="57" numFmtId="0" xfId="0" applyAlignment="1" applyFont="1">
      <alignment shrinkToFit="0" wrapText="0"/>
    </xf>
    <xf borderId="0" fillId="0" fontId="56" numFmtId="0" xfId="0" applyAlignment="1" applyFont="1">
      <alignment readingOrder="0" vertical="center"/>
    </xf>
    <xf borderId="0" fillId="0" fontId="56" numFmtId="0" xfId="0" applyAlignment="1" applyFont="1">
      <alignment vertical="center"/>
    </xf>
    <xf borderId="0" fillId="0" fontId="56" numFmtId="0" xfId="0" applyAlignment="1" applyFont="1">
      <alignment shrinkToFit="0" vertical="center" wrapText="0"/>
    </xf>
    <xf borderId="0" fillId="0" fontId="56" numFmtId="0" xfId="0" applyAlignment="1" applyFont="1">
      <alignment readingOrder="0" shrinkToFit="0" vertical="center" wrapText="0"/>
    </xf>
    <xf borderId="0" fillId="0" fontId="58" numFmtId="0" xfId="0" applyFont="1"/>
    <xf borderId="0" fillId="0" fontId="18" numFmtId="0" xfId="0" applyAlignment="1" applyFont="1">
      <alignment readingOrder="0" shrinkToFit="0" vertical="center" wrapText="0"/>
    </xf>
    <xf borderId="0" fillId="0" fontId="19" numFmtId="0" xfId="0" applyAlignment="1" applyFont="1">
      <alignment horizontal="left" shrinkToFit="0" vertical="center"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2" numFmtId="0" xfId="0" applyAlignment="1" applyFont="1">
      <alignment shrinkToFit="0" wrapText="0"/>
    </xf>
    <xf borderId="0" fillId="0" fontId="12" numFmtId="0" xfId="0" applyAlignment="1" applyFont="1">
      <alignment shrinkToFit="0" vertical="bottom" wrapText="0"/>
    </xf>
    <xf borderId="0" fillId="0" fontId="12" numFmtId="0" xfId="0" applyAlignment="1" applyFont="1">
      <alignment shrinkToFit="0" wrapText="0"/>
    </xf>
    <xf borderId="0" fillId="0" fontId="12" numFmtId="0" xfId="0" applyAlignment="1" applyFont="1">
      <alignment readingOrder="0" shrinkToFit="0" vertical="bottom" wrapText="0"/>
    </xf>
    <xf borderId="0" fillId="0" fontId="11" numFmtId="0" xfId="0" applyAlignment="1" applyFont="1">
      <alignment horizontal="left" shrinkToFit="0" wrapText="0"/>
    </xf>
    <xf borderId="12" fillId="0" fontId="6" numFmtId="0" xfId="0" applyAlignment="1" applyBorder="1" applyFont="1">
      <alignment shrinkToFit="0" vertical="center" wrapText="0"/>
    </xf>
    <xf borderId="0" fillId="0" fontId="11" numFmtId="0" xfId="0" applyFont="1"/>
    <xf borderId="0" fillId="0" fontId="11" numFmtId="0" xfId="0" applyAlignment="1" applyFont="1">
      <alignment readingOrder="0" shrinkToFit="0" wrapText="1"/>
    </xf>
    <xf borderId="0" fillId="0" fontId="11" numFmtId="0" xfId="0" applyAlignment="1" applyFont="1">
      <alignment readingOrder="0" shrinkToFit="0" wrapText="0"/>
    </xf>
    <xf borderId="12" fillId="0" fontId="12" numFmtId="0" xfId="0" applyAlignment="1" applyBorder="1" applyFont="1">
      <alignment shrinkToFit="0" vertical="center" wrapText="0"/>
    </xf>
    <xf borderId="0" fillId="0" fontId="5"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0" fontId="4" numFmtId="0" xfId="0" applyAlignment="1" applyFont="1">
      <alignment shrinkToFit="0" vertical="center" wrapText="1"/>
    </xf>
    <xf borderId="0" fillId="0" fontId="4" numFmtId="0" xfId="0" applyAlignment="1" applyFont="1">
      <alignment horizontal="center" shrinkToFit="0" vertical="center" wrapText="1"/>
    </xf>
    <xf borderId="0" fillId="0" fontId="59" numFmtId="0" xfId="0" applyAlignment="1" applyFont="1">
      <alignment horizontal="center" shrinkToFit="0" vertical="center" wrapText="0"/>
    </xf>
    <xf borderId="0" fillId="0" fontId="4" numFmtId="164" xfId="0" applyAlignment="1" applyFont="1" applyNumberFormat="1">
      <alignment horizontal="center" shrinkToFit="0" vertical="center" wrapText="1"/>
    </xf>
    <xf borderId="0" fillId="26" fontId="5" numFmtId="0" xfId="0" applyAlignment="1" applyFill="1" applyFont="1">
      <alignment horizontal="center" shrinkToFit="0" vertical="center" wrapText="1"/>
    </xf>
    <xf borderId="0" fillId="0" fontId="4" numFmtId="0" xfId="0" applyAlignment="1" applyFont="1">
      <alignment horizontal="center"/>
    </xf>
    <xf borderId="0" fillId="0" fontId="4" numFmtId="0" xfId="0" applyAlignment="1" applyFont="1">
      <alignment horizontal="center" readingOrder="0" shrinkToFit="0" vertical="center" wrapText="1"/>
    </xf>
    <xf borderId="0" fillId="0" fontId="4" numFmtId="10" xfId="0" applyAlignment="1" applyFont="1" applyNumberFormat="1">
      <alignment horizontal="center" shrinkToFit="0" vertical="center" wrapText="1"/>
    </xf>
    <xf borderId="0" fillId="0" fontId="4" numFmtId="0" xfId="0" applyAlignment="1" applyFont="1">
      <alignment shrinkToFit="0" wrapText="0"/>
    </xf>
    <xf borderId="0" fillId="0" fontId="4" numFmtId="0" xfId="0" applyAlignment="1" applyFont="1">
      <alignment horizontal="left" shrinkToFit="0" wrapText="0"/>
    </xf>
    <xf borderId="0" fillId="0" fontId="4" numFmtId="0" xfId="0" applyAlignment="1" applyFont="1">
      <alignment horizontal="center" shrinkToFit="0" vertical="center" wrapText="0"/>
    </xf>
    <xf borderId="0" fillId="0" fontId="4" numFmtId="164" xfId="0" applyAlignment="1" applyFont="1" applyNumberFormat="1">
      <alignment horizontal="center" shrinkToFit="0" wrapText="0"/>
    </xf>
    <xf borderId="0" fillId="27" fontId="5" numFmtId="0" xfId="0" applyAlignment="1" applyFill="1" applyFont="1">
      <alignment horizontal="center" shrinkToFit="0" vertical="center" wrapText="1"/>
    </xf>
    <xf borderId="0" fillId="0" fontId="60" numFmtId="0" xfId="0" applyAlignment="1" applyFont="1">
      <alignment horizontal="center" shrinkToFit="0" wrapText="0"/>
    </xf>
    <xf borderId="0" fillId="0" fontId="4" numFmtId="0" xfId="0" applyAlignment="1" applyFont="1">
      <alignment horizontal="center" shrinkToFit="0" wrapText="0"/>
    </xf>
    <xf borderId="0" fillId="28" fontId="7" numFmtId="0" xfId="0" applyAlignment="1" applyFill="1" applyFont="1">
      <alignment horizontal="center"/>
    </xf>
    <xf borderId="0" fillId="0" fontId="4" numFmtId="0" xfId="0" applyAlignment="1" applyFont="1">
      <alignment horizontal="center" shrinkToFit="0" wrapText="1"/>
    </xf>
    <xf borderId="0" fillId="0" fontId="4" numFmtId="0" xfId="0" applyAlignment="1" applyFont="1">
      <alignment horizontal="center" readingOrder="0" shrinkToFit="0" wrapText="1"/>
    </xf>
    <xf borderId="0" fillId="29" fontId="5" numFmtId="0" xfId="0" applyAlignment="1" applyFill="1" applyFont="1">
      <alignment horizontal="center" shrinkToFit="0" vertical="center" wrapText="0"/>
    </xf>
    <xf borderId="0" fillId="0" fontId="4" numFmtId="0" xfId="0" applyAlignment="1" applyFont="1">
      <alignment horizontal="center" vertical="center"/>
    </xf>
    <xf borderId="0" fillId="8" fontId="5" numFmtId="0" xfId="0" applyAlignment="1" applyFont="1">
      <alignment horizontal="center" shrinkToFit="0" vertical="center" wrapText="1"/>
    </xf>
    <xf borderId="0" fillId="0" fontId="4" numFmtId="0" xfId="0" applyAlignment="1" applyFont="1">
      <alignment shrinkToFit="0" wrapText="1"/>
    </xf>
    <xf borderId="0" fillId="5" fontId="5" numFmtId="0" xfId="0" applyAlignment="1" applyFont="1">
      <alignment horizontal="center" shrinkToFit="0" vertical="center" wrapText="1"/>
    </xf>
    <xf borderId="0" fillId="7" fontId="5" numFmtId="0" xfId="0" applyAlignment="1" applyFont="1">
      <alignment horizontal="center" shrinkToFit="0" vertical="center" wrapText="1"/>
    </xf>
    <xf borderId="0" fillId="0" fontId="38" numFmtId="0" xfId="0" applyAlignment="1" applyFont="1">
      <alignment readingOrder="0" shrinkToFit="0" vertical="center" wrapText="0"/>
    </xf>
    <xf borderId="0" fillId="0" fontId="38" numFmtId="0" xfId="0" applyAlignment="1" applyFont="1">
      <alignment readingOrder="0" shrinkToFit="0" vertical="center" wrapText="1"/>
    </xf>
    <xf borderId="0" fillId="0" fontId="61" numFmtId="0" xfId="0" applyAlignment="1" applyFont="1">
      <alignment readingOrder="0" shrinkToFit="0" vertical="center" wrapText="1"/>
    </xf>
    <xf borderId="0" fillId="0" fontId="11" numFmtId="0" xfId="0" applyAlignment="1" applyFont="1">
      <alignment shrinkToFit="0" vertical="center" wrapText="0"/>
    </xf>
    <xf borderId="0" fillId="2" fontId="11" numFmtId="0" xfId="0" applyAlignment="1" applyFont="1">
      <alignment readingOrder="0" shrinkToFit="0" vertical="center" wrapText="0"/>
    </xf>
    <xf borderId="0" fillId="0" fontId="11" numFmtId="0" xfId="0" applyAlignment="1" applyFont="1">
      <alignment shrinkToFit="0" wrapText="0"/>
    </xf>
    <xf borderId="0" fillId="2" fontId="11" numFmtId="0" xfId="0" applyAlignment="1" applyFont="1">
      <alignment shrinkToFit="0" vertical="center" wrapText="0"/>
    </xf>
    <xf borderId="0" fillId="0" fontId="11" numFmtId="0" xfId="0" applyAlignment="1" applyFont="1">
      <alignment readingOrder="0" shrinkToFit="0" vertical="top" wrapText="0"/>
    </xf>
    <xf borderId="0" fillId="0" fontId="11" numFmtId="0" xfId="0" applyAlignment="1" applyFont="1">
      <alignment shrinkToFit="0" vertical="top" wrapText="0"/>
    </xf>
    <xf borderId="0" fillId="2" fontId="11" numFmtId="0" xfId="0" applyAlignment="1" applyFont="1">
      <alignment shrinkToFit="0" vertical="center" wrapText="1"/>
    </xf>
    <xf borderId="0" fillId="2" fontId="11" numFmtId="0" xfId="0" applyAlignment="1" applyFont="1">
      <alignment readingOrder="0" shrinkToFit="0" vertical="center" wrapText="1"/>
    </xf>
    <xf borderId="11" fillId="2" fontId="11" numFmtId="0" xfId="0" applyAlignment="1" applyBorder="1" applyFont="1">
      <alignment readingOrder="0" shrinkToFit="0" vertical="center" wrapText="1"/>
    </xf>
    <xf borderId="11" fillId="0" fontId="38" numFmtId="0" xfId="0" applyAlignment="1" applyBorder="1" applyFont="1">
      <alignment readingOrder="0" shrinkToFit="0" vertical="center" wrapText="1"/>
    </xf>
    <xf borderId="0" fillId="0" fontId="11" numFmtId="0" xfId="0" applyAlignment="1" applyFont="1">
      <alignment shrinkToFit="0" vertical="top" wrapText="0"/>
    </xf>
    <xf borderId="0" fillId="0" fontId="11" numFmtId="0" xfId="0" applyAlignment="1" applyFont="1">
      <alignment shrinkToFit="0" vertical="center" wrapText="1"/>
    </xf>
    <xf borderId="0" fillId="0" fontId="3" numFmtId="0" xfId="0" applyAlignment="1" applyFont="1">
      <alignment shrinkToFit="0" vertical="center" wrapText="0"/>
    </xf>
    <xf borderId="0" fillId="2" fontId="3" numFmtId="0" xfId="0" applyAlignment="1" applyFont="1">
      <alignment shrinkToFit="0" vertical="center" wrapText="0"/>
    </xf>
    <xf borderId="0" fillId="0" fontId="5" numFmtId="0" xfId="0" applyAlignment="1" applyFont="1">
      <alignment shrinkToFit="0" wrapText="0"/>
    </xf>
    <xf borderId="0" fillId="0" fontId="5" numFmtId="0" xfId="0" applyAlignment="1" applyFont="1">
      <alignment readingOrder="0" shrinkToFit="0" wrapText="0"/>
    </xf>
    <xf borderId="0" fillId="2" fontId="5" numFmtId="0" xfId="0" applyAlignment="1" applyFont="1">
      <alignment shrinkToFit="0" wrapText="0"/>
    </xf>
    <xf borderId="0" fillId="0" fontId="38" numFmtId="0" xfId="0" applyAlignment="1" applyFont="1">
      <alignment shrinkToFit="0" vertical="center" wrapText="0"/>
    </xf>
    <xf borderId="0" fillId="0" fontId="38" numFmtId="0" xfId="0" applyAlignment="1" applyFont="1">
      <alignment horizontal="left" shrinkToFit="0" vertical="center" wrapText="0"/>
    </xf>
    <xf borderId="0" fillId="0" fontId="62" numFmtId="0" xfId="0" applyAlignment="1" applyFont="1">
      <alignment shrinkToFit="0" wrapText="0"/>
    </xf>
    <xf borderId="0" fillId="0" fontId="62" numFmtId="0" xfId="0" applyAlignment="1" applyFont="1">
      <alignment shrinkToFit="0" vertical="center" wrapText="0"/>
    </xf>
    <xf borderId="4" fillId="2" fontId="11" numFmtId="0" xfId="0" applyAlignment="1" applyBorder="1" applyFont="1">
      <alignment shrinkToFit="0" vertical="top" wrapText="0"/>
    </xf>
    <xf borderId="0" fillId="0" fontId="11" numFmtId="0" xfId="0" applyAlignment="1" applyFont="1">
      <alignment shrinkToFit="0" vertical="bottom" wrapText="0"/>
    </xf>
    <xf borderId="0" fillId="0" fontId="20" numFmtId="0" xfId="0" applyAlignment="1" applyFont="1">
      <alignment shrinkToFit="0" vertical="bottom" wrapText="0"/>
    </xf>
    <xf borderId="0" fillId="0" fontId="20" numFmtId="0" xfId="0" applyAlignment="1" applyFont="1">
      <alignment shrinkToFit="0" vertical="center" wrapText="0"/>
    </xf>
    <xf borderId="0" fillId="0" fontId="11" numFmtId="0" xfId="0" applyAlignment="1" applyFont="1">
      <alignment shrinkToFit="0" vertical="center" wrapText="0"/>
    </xf>
    <xf borderId="0" fillId="0" fontId="11" numFmtId="0" xfId="0" applyAlignment="1" applyFont="1">
      <alignment horizontal="center" shrinkToFit="0" vertical="center" wrapText="0"/>
    </xf>
    <xf borderId="0" fillId="30" fontId="11" numFmtId="0" xfId="0" applyAlignment="1" applyFill="1" applyFont="1">
      <alignment shrinkToFit="0" vertical="bottom" wrapText="0"/>
    </xf>
    <xf borderId="0" fillId="31" fontId="11" numFmtId="0" xfId="0" applyAlignment="1" applyFill="1" applyFont="1">
      <alignment shrinkToFit="0" vertical="bottom" wrapText="0"/>
    </xf>
    <xf borderId="0" fillId="31" fontId="11" numFmtId="0" xfId="0" applyAlignment="1" applyFont="1">
      <alignment shrinkToFit="0" wrapText="0"/>
    </xf>
    <xf borderId="0" fillId="30" fontId="11" numFmtId="0" xfId="0" applyAlignment="1" applyFont="1">
      <alignment shrinkToFit="0" wrapText="0"/>
    </xf>
    <xf borderId="0" fillId="0" fontId="62" numFmtId="0" xfId="0" applyAlignment="1" applyFont="1">
      <alignment readingOrder="0" shrinkToFit="0" vertical="center" wrapText="0"/>
    </xf>
    <xf borderId="4" fillId="2" fontId="11" numFmtId="0" xfId="0" applyAlignment="1" applyBorder="1" applyFont="1">
      <alignment readingOrder="0" shrinkToFit="0" vertical="top" wrapText="0"/>
    </xf>
    <xf borderId="0" fillId="0" fontId="20" numFmtId="0" xfId="0" applyAlignment="1" applyFont="1">
      <alignment shrinkToFit="0" vertical="top" wrapText="0"/>
    </xf>
    <xf borderId="0" fillId="0" fontId="62" numFmtId="0" xfId="0" applyAlignment="1" applyFont="1">
      <alignment readingOrder="0" shrinkToFit="0" wrapText="0"/>
    </xf>
    <xf borderId="0" fillId="0" fontId="12" numFmtId="0" xfId="0" applyAlignment="1" applyFont="1">
      <alignment vertical="top"/>
    </xf>
    <xf borderId="0" fillId="0" fontId="12" numFmtId="0" xfId="0" applyAlignment="1" applyFont="1">
      <alignment vertical="top"/>
    </xf>
    <xf borderId="0" fillId="2" fontId="11" numFmtId="0" xfId="0" applyAlignment="1" applyFont="1">
      <alignment shrinkToFit="0" vertical="top" wrapText="0"/>
    </xf>
    <xf borderId="0" fillId="0" fontId="38" numFmtId="0" xfId="0" applyAlignment="1" applyFont="1">
      <alignment shrinkToFit="0" vertical="top" wrapText="0"/>
    </xf>
    <xf borderId="0" fillId="0" fontId="38" numFmtId="0" xfId="0" applyAlignment="1" applyFont="1">
      <alignment shrinkToFit="0" vertical="top" wrapText="1"/>
    </xf>
    <xf borderId="13" fillId="32" fontId="38" numFmtId="0" xfId="0" applyAlignment="1" applyBorder="1" applyFill="1" applyFont="1">
      <alignment shrinkToFit="0" vertical="bottom" wrapText="1"/>
    </xf>
    <xf borderId="14" fillId="32" fontId="38" numFmtId="0" xfId="0" applyAlignment="1" applyBorder="1" applyFont="1">
      <alignment shrinkToFit="0" wrapText="0"/>
    </xf>
    <xf borderId="15" fillId="32" fontId="11" numFmtId="0" xfId="0" applyAlignment="1" applyBorder="1" applyFont="1">
      <alignment vertical="bottom"/>
    </xf>
    <xf borderId="16" fillId="32" fontId="11" numFmtId="0" xfId="0" applyAlignment="1" applyBorder="1" applyFont="1">
      <alignment shrinkToFit="0" wrapText="1"/>
    </xf>
    <xf borderId="0" fillId="33" fontId="11" numFmtId="0" xfId="0" applyAlignment="1" applyFill="1" applyFont="1">
      <alignment shrinkToFit="0" vertical="top" wrapText="0"/>
    </xf>
    <xf borderId="0" fillId="7" fontId="11" numFmtId="0" xfId="0" applyAlignment="1" applyFont="1">
      <alignment shrinkToFit="0" vertical="top" wrapText="1"/>
    </xf>
    <xf borderId="0" fillId="34" fontId="11" numFmtId="0" xfId="0" applyAlignment="1" applyFill="1" applyFont="1">
      <alignment shrinkToFit="0" vertical="top" wrapText="1"/>
    </xf>
    <xf borderId="0" fillId="35" fontId="11" numFmtId="0" xfId="0" applyAlignment="1" applyFill="1" applyFont="1">
      <alignment shrinkToFit="0" vertical="top" wrapText="1"/>
    </xf>
    <xf borderId="0" fillId="36" fontId="11" numFmtId="0" xfId="0" applyAlignment="1" applyFill="1" applyFont="1">
      <alignment shrinkToFit="0" vertical="top" wrapText="1"/>
    </xf>
    <xf borderId="0" fillId="37" fontId="11" numFmtId="0" xfId="0" applyAlignment="1" applyFill="1" applyFont="1">
      <alignment shrinkToFit="0" vertical="top" wrapText="1"/>
    </xf>
    <xf borderId="0" fillId="38" fontId="11" numFmtId="0" xfId="0" applyAlignment="1" applyFill="1" applyFont="1">
      <alignment shrinkToFit="0" vertical="top" wrapText="1"/>
    </xf>
    <xf borderId="0" fillId="33" fontId="11" numFmtId="0" xfId="0" applyAlignment="1" applyFont="1">
      <alignment shrinkToFit="0" vertical="top" wrapText="1"/>
    </xf>
    <xf borderId="0" fillId="39" fontId="11" numFmtId="0" xfId="0" applyAlignment="1" applyFill="1" applyFont="1">
      <alignment shrinkToFit="0" vertical="top" wrapText="1"/>
    </xf>
    <xf borderId="0" fillId="40" fontId="11" numFmtId="0" xfId="0" applyAlignment="1" applyFill="1" applyFont="1">
      <alignment shrinkToFit="0" vertical="top" wrapText="1"/>
    </xf>
    <xf borderId="0" fillId="6" fontId="11" numFmtId="0" xfId="0" applyAlignment="1" applyFont="1">
      <alignment shrinkToFit="0" vertical="top" wrapText="1"/>
    </xf>
    <xf borderId="0" fillId="41" fontId="11" numFmtId="0" xfId="0" applyAlignment="1" applyFill="1" applyFont="1">
      <alignment shrinkToFit="0" vertical="top" wrapText="1"/>
    </xf>
    <xf borderId="0" fillId="42" fontId="11" numFmtId="0" xfId="0" applyAlignment="1" applyFill="1" applyFont="1">
      <alignment shrinkToFit="0" vertical="top" wrapText="1"/>
    </xf>
    <xf borderId="0" fillId="43" fontId="11" numFmtId="0" xfId="0" applyAlignment="1" applyFill="1" applyFont="1">
      <alignment shrinkToFit="0" vertical="top" wrapText="1"/>
    </xf>
    <xf borderId="0" fillId="44" fontId="11" numFmtId="0" xfId="0" applyAlignment="1" applyFill="1" applyFont="1">
      <alignment shrinkToFit="0" vertical="top" wrapText="1"/>
    </xf>
    <xf borderId="0" fillId="45" fontId="11" numFmtId="0" xfId="0" applyAlignment="1" applyFill="1" applyFont="1">
      <alignment shrinkToFit="0" vertical="top" wrapText="1"/>
    </xf>
    <xf borderId="0" fillId="46" fontId="11" numFmtId="0" xfId="0" applyAlignment="1" applyFill="1" applyFont="1">
      <alignment shrinkToFit="0" vertical="top" wrapText="1"/>
    </xf>
    <xf borderId="0" fillId="29" fontId="11" numFmtId="0" xfId="0" applyAlignment="1" applyFont="1">
      <alignment shrinkToFit="0" vertical="top" wrapText="1"/>
    </xf>
    <xf borderId="0" fillId="47" fontId="11" numFmtId="0" xfId="0" applyAlignment="1" applyFill="1" applyFont="1">
      <alignment shrinkToFit="0" vertical="top" wrapText="1"/>
    </xf>
    <xf borderId="0" fillId="48" fontId="11" numFmtId="0" xfId="0" applyAlignment="1" applyFill="1" applyFont="1">
      <alignment shrinkToFit="0" vertical="top" wrapText="1"/>
    </xf>
    <xf borderId="0" fillId="49" fontId="11" numFmtId="0" xfId="0" applyAlignment="1" applyFill="1" applyFont="1">
      <alignment shrinkToFit="0" vertical="top" wrapText="1"/>
    </xf>
    <xf borderId="0" fillId="50" fontId="11" numFmtId="0" xfId="0" applyAlignment="1" applyFill="1" applyFont="1">
      <alignment shrinkToFit="0" vertical="top" wrapText="1"/>
    </xf>
    <xf borderId="0" fillId="51" fontId="11" numFmtId="0" xfId="0" applyAlignment="1" applyFill="1" applyFont="1">
      <alignment shrinkToFit="0" vertical="top" wrapText="1"/>
    </xf>
    <xf borderId="0" fillId="52" fontId="11" numFmtId="0" xfId="0" applyAlignment="1" applyFill="1" applyFont="1">
      <alignment shrinkToFit="0" vertical="top" wrapText="1"/>
    </xf>
    <xf borderId="0" fillId="53" fontId="11" numFmtId="0" xfId="0" applyAlignment="1" applyFill="1" applyFont="1">
      <alignment shrinkToFit="0" vertical="top" wrapText="1"/>
    </xf>
    <xf borderId="0" fillId="54" fontId="11" numFmtId="0" xfId="0" applyAlignment="1" applyFill="1" applyFont="1">
      <alignment shrinkToFit="0" vertical="top" wrapText="1"/>
    </xf>
    <xf borderId="0" fillId="55" fontId="11" numFmtId="0" xfId="0" applyAlignment="1" applyFill="1" applyFont="1">
      <alignment shrinkToFit="0" vertical="top" wrapText="1"/>
    </xf>
    <xf borderId="0" fillId="56" fontId="11" numFmtId="0" xfId="0" applyAlignment="1" applyFill="1" applyFont="1">
      <alignment shrinkToFit="0" vertical="top" wrapText="1"/>
    </xf>
    <xf borderId="0" fillId="57" fontId="11" numFmtId="0" xfId="0" applyAlignment="1" applyFill="1" applyFont="1">
      <alignment shrinkToFit="0" vertical="top" wrapText="1"/>
    </xf>
    <xf borderId="0" fillId="58" fontId="11" numFmtId="0" xfId="0" applyAlignment="1" applyFill="1" applyFont="1">
      <alignment shrinkToFit="0" vertical="top" wrapText="1"/>
    </xf>
    <xf borderId="0" fillId="59" fontId="11" numFmtId="0" xfId="0" applyAlignment="1" applyFill="1" applyFont="1">
      <alignment shrinkToFit="0" vertical="top" wrapText="1"/>
    </xf>
    <xf borderId="0" fillId="60" fontId="11" numFmtId="0" xfId="0" applyAlignment="1" applyFill="1" applyFont="1">
      <alignment shrinkToFit="0" vertical="top" wrapText="1"/>
    </xf>
    <xf borderId="0" fillId="61" fontId="11" numFmtId="0" xfId="0" applyAlignment="1" applyFill="1" applyFont="1">
      <alignment shrinkToFit="0" vertical="top" wrapText="1"/>
    </xf>
    <xf borderId="0" fillId="62" fontId="11" numFmtId="0" xfId="0" applyAlignment="1" applyFill="1" applyFont="1">
      <alignment shrinkToFit="0" vertical="top" wrapText="1"/>
    </xf>
    <xf borderId="0" fillId="63" fontId="11" numFmtId="0" xfId="0" applyAlignment="1" applyFill="1" applyFont="1">
      <alignment shrinkToFit="0" vertical="top" wrapText="1"/>
    </xf>
    <xf borderId="0" fillId="64" fontId="11" numFmtId="0" xfId="0" applyAlignment="1" applyFill="1" applyFont="1">
      <alignment shrinkToFit="0" vertical="top" wrapText="1"/>
    </xf>
    <xf borderId="0" fillId="11" fontId="11" numFmtId="0" xfId="0" applyAlignment="1" applyFont="1">
      <alignment shrinkToFit="0" vertical="top" wrapText="1"/>
    </xf>
    <xf borderId="0" fillId="65" fontId="11" numFmtId="0" xfId="0" applyAlignment="1" applyFill="1" applyFont="1">
      <alignment shrinkToFit="0" vertical="top" wrapText="1"/>
    </xf>
    <xf borderId="0" fillId="66" fontId="11" numFmtId="0" xfId="0" applyAlignment="1" applyFill="1" applyFont="1">
      <alignment shrinkToFit="0" vertical="top" wrapText="1"/>
    </xf>
    <xf borderId="0" fillId="67" fontId="11" numFmtId="0" xfId="0" applyAlignment="1" applyFill="1" applyFont="1">
      <alignment shrinkToFit="0" vertical="top" wrapText="1"/>
    </xf>
    <xf borderId="0" fillId="68" fontId="11" numFmtId="0" xfId="0" applyAlignment="1" applyFill="1" applyFont="1">
      <alignment shrinkToFit="0" vertical="top" wrapText="1"/>
    </xf>
    <xf borderId="0" fillId="69" fontId="11" numFmtId="0" xfId="0" applyAlignment="1" applyFill="1" applyFont="1">
      <alignment shrinkToFit="0" vertical="top" wrapText="1"/>
    </xf>
    <xf borderId="0" fillId="70" fontId="11" numFmtId="0" xfId="0" applyAlignment="1" applyFill="1" applyFont="1">
      <alignment shrinkToFit="0" vertical="top" wrapText="1"/>
    </xf>
    <xf borderId="0" fillId="71" fontId="11" numFmtId="0" xfId="0" applyAlignment="1" applyFill="1" applyFont="1">
      <alignment shrinkToFit="0" vertical="top" wrapText="1"/>
    </xf>
    <xf borderId="17" fillId="32" fontId="11" numFmtId="0" xfId="0" applyAlignment="1" applyBorder="1" applyFont="1">
      <alignment vertical="bottom"/>
    </xf>
    <xf borderId="18" fillId="32" fontId="11" numFmtId="0" xfId="0" applyAlignment="1" applyBorder="1" applyFont="1">
      <alignment shrinkToFit="0" wrapText="1"/>
    </xf>
    <xf borderId="0" fillId="72" fontId="11" numFmtId="0" xfId="0" applyAlignment="1" applyFill="1" applyFont="1">
      <alignment shrinkToFit="0" vertical="top" wrapText="1"/>
    </xf>
    <xf borderId="0" fillId="73" fontId="11" numFmtId="0" xfId="0" applyAlignment="1" applyFill="1" applyFont="1">
      <alignment shrinkToFit="0" vertical="top" wrapText="1"/>
    </xf>
    <xf borderId="0" fillId="74" fontId="11" numFmtId="0" xfId="0" applyAlignment="1" applyFill="1" applyFont="1">
      <alignment shrinkToFit="0" vertical="top" wrapText="1"/>
    </xf>
    <xf borderId="0" fillId="75" fontId="11" numFmtId="0" xfId="0" applyAlignment="1" applyFill="1" applyFont="1">
      <alignment shrinkToFit="0" vertical="top" wrapText="1"/>
    </xf>
    <xf borderId="0" fillId="76" fontId="11" numFmtId="0" xfId="0" applyAlignment="1" applyFill="1" applyFont="1">
      <alignment shrinkToFit="0" vertical="top" wrapText="1"/>
    </xf>
    <xf borderId="0" fillId="77" fontId="11" numFmtId="0" xfId="0" applyAlignment="1" applyFill="1" applyFont="1">
      <alignment shrinkToFit="0" vertical="top" wrapText="1"/>
    </xf>
    <xf borderId="0" fillId="78" fontId="11" numFmtId="0" xfId="0" applyAlignment="1" applyFill="1" applyFont="1">
      <alignment shrinkToFit="0" vertical="top" wrapText="1"/>
    </xf>
    <xf borderId="0" fillId="79" fontId="11" numFmtId="0" xfId="0" applyAlignment="1" applyFill="1" applyFont="1">
      <alignment shrinkToFit="0" vertical="top" wrapText="1"/>
    </xf>
    <xf borderId="0" fillId="80" fontId="11" numFmtId="0" xfId="0" applyAlignment="1" applyFill="1" applyFont="1">
      <alignment shrinkToFit="0" vertical="top" wrapText="1"/>
    </xf>
    <xf borderId="0" fillId="81" fontId="11" numFmtId="0" xfId="0" applyAlignment="1" applyFill="1" applyFont="1">
      <alignment shrinkToFit="0" vertical="top" wrapText="1"/>
    </xf>
    <xf borderId="0" fillId="82" fontId="11" numFmtId="0" xfId="0" applyAlignment="1" applyFill="1" applyFont="1">
      <alignment shrinkToFit="0" vertical="top" wrapText="1"/>
    </xf>
    <xf borderId="0" fillId="83" fontId="11" numFmtId="0" xfId="0" applyAlignment="1" applyFill="1" applyFont="1">
      <alignment shrinkToFit="0" vertical="top" wrapText="1"/>
    </xf>
    <xf borderId="0" fillId="0" fontId="5" numFmtId="0" xfId="0" applyAlignment="1" applyFont="1">
      <alignment horizontal="center" shrinkToFit="0" wrapText="0"/>
    </xf>
    <xf borderId="0" fillId="0" fontId="12" numFmtId="0" xfId="0" applyAlignment="1" applyFont="1">
      <alignment horizontal="left" shrinkToFit="0" wrapText="0"/>
    </xf>
    <xf borderId="0" fillId="0" fontId="33" numFmtId="0" xfId="0" applyAlignment="1" applyFont="1">
      <alignment horizontal="left" shrinkToFit="0" wrapText="0"/>
    </xf>
    <xf borderId="0" fillId="0" fontId="63" numFmtId="0" xfId="0" applyAlignment="1" applyFont="1">
      <alignment shrinkToFit="0" wrapText="0"/>
    </xf>
    <xf borderId="0" fillId="0" fontId="63" numFmtId="0" xfId="0" applyAlignment="1" applyFont="1">
      <alignment readingOrder="0" shrinkToFit="0" wrapText="0"/>
    </xf>
    <xf borderId="0" fillId="0" fontId="64" numFmtId="0" xfId="0" applyAlignment="1" applyFont="1">
      <alignment horizontal="left" shrinkToFit="0" wrapText="0"/>
    </xf>
    <xf borderId="0" fillId="0" fontId="65" numFmtId="0" xfId="0" applyAlignment="1" applyFont="1">
      <alignment shrinkToFit="0" wrapText="0"/>
    </xf>
    <xf borderId="3" fillId="0" fontId="6" numFmtId="0" xfId="0" applyAlignment="1" applyBorder="1" applyFont="1">
      <alignment shrinkToFit="0" wrapText="0"/>
    </xf>
    <xf borderId="3" fillId="0" fontId="6" numFmtId="0" xfId="0" applyAlignment="1" applyBorder="1" applyFont="1">
      <alignment shrinkToFit="0" vertical="center" wrapText="0"/>
    </xf>
    <xf borderId="3" fillId="0" fontId="12" numFmtId="0" xfId="0" applyAlignment="1" applyBorder="1" applyFont="1">
      <alignment shrinkToFit="0" wrapText="0"/>
    </xf>
    <xf borderId="3" fillId="0" fontId="12" numFmtId="0" xfId="0" applyAlignment="1" applyBorder="1" applyFont="1">
      <alignment shrinkToFit="0" vertical="center" wrapText="0"/>
    </xf>
    <xf borderId="3" fillId="84" fontId="66" numFmtId="0" xfId="0" applyAlignment="1" applyBorder="1" applyFill="1" applyFont="1">
      <alignment shrinkToFit="0" wrapText="0"/>
    </xf>
    <xf borderId="3" fillId="52" fontId="67" numFmtId="0" xfId="0" applyAlignment="1" applyBorder="1" applyFont="1">
      <alignment shrinkToFit="0" wrapText="0"/>
    </xf>
    <xf borderId="3" fillId="85" fontId="67" numFmtId="0" xfId="0" applyAlignment="1" applyBorder="1" applyFill="1" applyFont="1">
      <alignment shrinkToFit="0" wrapText="0"/>
    </xf>
    <xf borderId="3" fillId="86" fontId="67" numFmtId="0" xfId="0" applyAlignment="1" applyBorder="1" applyFill="1" applyFont="1">
      <alignment shrinkToFit="0" wrapText="0"/>
    </xf>
    <xf borderId="3" fillId="87" fontId="67" numFmtId="0" xfId="0" applyAlignment="1" applyBorder="1" applyFill="1" applyFont="1">
      <alignment shrinkToFit="0" wrapText="0"/>
    </xf>
    <xf borderId="3" fillId="88" fontId="67" numFmtId="0" xfId="0" applyAlignment="1" applyBorder="1" applyFill="1" applyFont="1">
      <alignment shrinkToFit="0" wrapText="0"/>
    </xf>
    <xf borderId="0" fillId="0" fontId="49" numFmtId="0" xfId="0" applyFont="1"/>
    <xf borderId="0" fillId="84" fontId="66" numFmtId="0" xfId="0" applyAlignment="1" applyFont="1">
      <alignment shrinkToFit="0" wrapText="0"/>
    </xf>
    <xf borderId="0" fillId="52" fontId="67" numFmtId="0" xfId="0" applyAlignment="1" applyFont="1">
      <alignment shrinkToFit="0" wrapText="0"/>
    </xf>
    <xf borderId="0" fillId="85" fontId="67" numFmtId="0" xfId="0" applyAlignment="1" applyFont="1">
      <alignment shrinkToFit="0" wrapText="0"/>
    </xf>
    <xf borderId="0" fillId="86" fontId="67" numFmtId="0" xfId="0" applyAlignment="1" applyFont="1">
      <alignment shrinkToFit="0" wrapText="0"/>
    </xf>
    <xf borderId="0" fillId="87" fontId="67" numFmtId="0" xfId="0" applyAlignment="1" applyFont="1">
      <alignment shrinkToFit="0" wrapText="0"/>
    </xf>
    <xf borderId="0" fillId="88" fontId="67" numFmtId="0" xfId="0" applyAlignment="1" applyFont="1">
      <alignment shrinkToFit="0" wrapText="0"/>
    </xf>
    <xf borderId="0" fillId="0" fontId="34" numFmtId="0" xfId="0" applyAlignment="1" applyFont="1">
      <alignment shrinkToFit="0" wrapText="0"/>
    </xf>
    <xf borderId="0" fillId="0" fontId="25" numFmtId="0" xfId="0" applyAlignment="1" applyFont="1">
      <alignment shrinkToFit="0" wrapText="0"/>
    </xf>
    <xf borderId="0" fillId="89" fontId="67" numFmtId="0" xfId="0" applyAlignment="1" applyFill="1" applyFont="1">
      <alignment shrinkToFit="0" wrapText="0"/>
    </xf>
    <xf borderId="0" fillId="0" fontId="68" numFmtId="0" xfId="0" applyAlignment="1" applyFont="1">
      <alignment shrinkToFit="0" vertical="center" wrapText="1"/>
    </xf>
    <xf borderId="0" fillId="0" fontId="69" numFmtId="0" xfId="0" applyAlignment="1" applyFont="1">
      <alignment shrinkToFit="0" vertical="top" wrapText="0"/>
    </xf>
    <xf borderId="0" fillId="0" fontId="69" numFmtId="0" xfId="0" applyAlignment="1" applyFont="1">
      <alignment vertical="top"/>
    </xf>
    <xf borderId="0" fillId="0" fontId="69" numFmtId="0" xfId="0" applyAlignment="1" applyFont="1">
      <alignment shrinkToFit="0" vertical="center" wrapText="1"/>
    </xf>
    <xf borderId="0" fillId="0" fontId="21" numFmtId="0" xfId="0" applyFont="1"/>
    <xf borderId="0" fillId="0" fontId="69" numFmtId="0" xfId="0" applyAlignment="1" applyFont="1">
      <alignment readingOrder="0" shrinkToFit="0" vertical="center" wrapText="1"/>
    </xf>
    <xf borderId="0" fillId="0" fontId="70" numFmtId="0" xfId="0" applyAlignment="1" applyFont="1">
      <alignment shrinkToFit="0" wrapText="1"/>
    </xf>
    <xf borderId="0" fillId="0" fontId="71" numFmtId="0" xfId="0" applyAlignment="1" applyFont="1">
      <alignment shrinkToFit="0" wrapText="1"/>
    </xf>
    <xf borderId="0" fillId="0" fontId="69" numFmtId="0" xfId="0" applyAlignment="1" applyFont="1">
      <alignment shrinkToFit="0" wrapText="1"/>
    </xf>
    <xf borderId="0" fillId="0" fontId="72" numFmtId="0" xfId="0" applyAlignment="1" applyFont="1">
      <alignment shrinkToFit="0" wrapText="1"/>
    </xf>
    <xf borderId="0" fillId="0" fontId="73" numFmtId="0" xfId="0" applyAlignment="1" applyFont="1">
      <alignment shrinkToFit="0" wrapText="1"/>
    </xf>
    <xf borderId="0" fillId="0" fontId="74" numFmtId="0" xfId="0" applyAlignment="1" applyFont="1">
      <alignment shrinkToFit="0" vertical="top" wrapText="1"/>
    </xf>
    <xf borderId="0" fillId="0" fontId="74" numFmtId="0" xfId="0" applyAlignment="1" applyFont="1">
      <alignment shrinkToFit="0" vertical="center" wrapText="1"/>
    </xf>
    <xf borderId="0" fillId="0" fontId="75" numFmtId="0" xfId="0" applyAlignment="1" applyFont="1">
      <alignment shrinkToFit="0" vertical="top" wrapText="1"/>
    </xf>
    <xf borderId="0" fillId="0" fontId="0" numFmtId="0" xfId="0" applyAlignment="1" applyFont="1">
      <alignment shrinkToFit="0" vertical="top" wrapText="1"/>
    </xf>
    <xf borderId="0" fillId="0" fontId="74" numFmtId="0" xfId="0" applyAlignment="1" applyFont="1">
      <alignment readingOrder="0" shrinkToFit="0" vertical="top" wrapText="1"/>
    </xf>
    <xf borderId="0" fillId="0" fontId="21" numFmtId="0" xfId="0" applyFont="1"/>
    <xf borderId="13" fillId="0" fontId="76" numFmtId="0" xfId="0" applyAlignment="1" applyBorder="1" applyFont="1">
      <alignment horizontal="center" shrinkToFit="0" vertical="center" wrapText="1"/>
    </xf>
    <xf borderId="19" fillId="0" fontId="2" numFmtId="0" xfId="0" applyBorder="1" applyFont="1"/>
    <xf borderId="13" fillId="0" fontId="68" numFmtId="0" xfId="0" applyAlignment="1" applyBorder="1" applyFont="1">
      <alignment horizontal="center" shrinkToFit="0" vertical="center" wrapText="1"/>
    </xf>
    <xf borderId="14" fillId="0" fontId="2" numFmtId="0" xfId="0" applyBorder="1" applyFont="1"/>
    <xf borderId="0" fillId="0" fontId="76" numFmtId="0" xfId="0" applyAlignment="1" applyFont="1">
      <alignment horizontal="center" shrinkToFit="0" vertical="center" wrapText="1"/>
    </xf>
    <xf borderId="0" fillId="0" fontId="73" numFmtId="0" xfId="0" applyAlignment="1" applyFont="1">
      <alignment horizontal="left" shrinkToFit="0" vertical="center" wrapText="0"/>
    </xf>
    <xf borderId="15" fillId="0" fontId="77" numFmtId="0" xfId="0" applyAlignment="1" applyBorder="1" applyFont="1">
      <alignment shrinkToFit="0" vertical="center" wrapText="1"/>
    </xf>
    <xf borderId="0" fillId="0" fontId="70" numFmtId="0" xfId="0" applyAlignment="1" applyFont="1">
      <alignment shrinkToFit="0" vertical="center" wrapText="1"/>
    </xf>
    <xf borderId="15" fillId="0" fontId="70" numFmtId="0" xfId="0" applyAlignment="1" applyBorder="1" applyFont="1">
      <alignment shrinkToFit="0" vertical="center" wrapText="1"/>
    </xf>
    <xf borderId="0" fillId="0" fontId="77" numFmtId="0" xfId="0" applyAlignment="1" applyFont="1">
      <alignment shrinkToFit="0" vertical="center" wrapText="1"/>
    </xf>
    <xf borderId="16" fillId="0" fontId="77" numFmtId="0" xfId="0" applyAlignment="1" applyBorder="1" applyFont="1">
      <alignment shrinkToFit="0" vertical="center" wrapText="1"/>
    </xf>
    <xf borderId="0" fillId="0" fontId="78" numFmtId="0" xfId="0" applyAlignment="1" applyFont="1">
      <alignment shrinkToFit="0" wrapText="0"/>
    </xf>
    <xf borderId="15" fillId="0" fontId="78" numFmtId="0" xfId="0" applyAlignment="1" applyBorder="1" applyFont="1">
      <alignment shrinkToFit="0" wrapText="1"/>
    </xf>
    <xf borderId="0" fillId="0" fontId="79" numFmtId="0" xfId="0" applyAlignment="1" applyFont="1">
      <alignment shrinkToFit="0" wrapText="1"/>
    </xf>
    <xf borderId="15" fillId="0" fontId="79" numFmtId="0" xfId="0" applyAlignment="1" applyBorder="1" applyFont="1">
      <alignment shrinkToFit="0" wrapText="1"/>
    </xf>
    <xf borderId="0" fillId="0" fontId="78" numFmtId="0" xfId="0" applyAlignment="1" applyFont="1">
      <alignment shrinkToFit="0" wrapText="1"/>
    </xf>
    <xf borderId="16" fillId="0" fontId="78" numFmtId="0" xfId="0" applyAlignment="1" applyBorder="1" applyFont="1">
      <alignment shrinkToFit="0" wrapText="1"/>
    </xf>
    <xf borderId="0" fillId="0" fontId="30" numFmtId="0" xfId="0" applyFont="1"/>
    <xf borderId="0" fillId="0" fontId="78" numFmtId="0" xfId="0" applyAlignment="1" applyFont="1">
      <alignment readingOrder="0" shrinkToFit="0" wrapText="1"/>
    </xf>
    <xf borderId="16" fillId="0" fontId="78" numFmtId="0" xfId="0" applyAlignment="1" applyBorder="1" applyFont="1">
      <alignment readingOrder="0" shrinkToFit="0" wrapText="1"/>
    </xf>
    <xf borderId="0" fillId="0" fontId="3" numFmtId="0" xfId="0" applyAlignment="1" applyFont="1">
      <alignment shrinkToFit="0" wrapText="0"/>
    </xf>
    <xf borderId="0" fillId="0" fontId="4" numFmtId="0" xfId="0" applyAlignment="1" applyFont="1">
      <alignment readingOrder="0" shrinkToFit="0" wrapText="0"/>
    </xf>
    <xf borderId="0" fillId="0" fontId="21" numFmtId="0" xfId="0" applyAlignment="1" applyFont="1">
      <alignment readingOrder="0"/>
    </xf>
    <xf borderId="0" fillId="0" fontId="21" numFmtId="0" xfId="0" applyAlignment="1" applyFont="1">
      <alignment readingOrder="0"/>
    </xf>
    <xf borderId="0" fillId="0" fontId="21" numFmtId="14" xfId="0" applyAlignment="1" applyFont="1" applyNumberFormat="1">
      <alignment readingOrder="0"/>
    </xf>
  </cellXfs>
  <cellStyles count="1">
    <cellStyle xfId="0" name="Normal" builtinId="0"/>
  </cellStyles>
  <dxfs count="33">
    <dxf>
      <font/>
      <fill>
        <patternFill patternType="none"/>
      </fill>
      <border/>
    </dxf>
    <dxf>
      <font/>
      <fill>
        <patternFill patternType="solid">
          <fgColor rgb="FFFFFFFF"/>
          <bgColor rgb="FFFFFFFF"/>
        </patternFill>
      </fill>
      <border/>
    </dxf>
    <dxf>
      <font/>
      <fill>
        <patternFill patternType="solid">
          <fgColor rgb="FF4DD0E1"/>
          <bgColor rgb="FF4DD0E1"/>
        </patternFill>
      </fill>
      <border/>
    </dxf>
    <dxf>
      <font>
        <b/>
        <i/>
        <color rgb="FFEFEFEF"/>
      </font>
      <fill>
        <patternFill patternType="solid">
          <fgColor rgb="FF643B64"/>
          <bgColor rgb="FF643B64"/>
        </patternFill>
      </fill>
      <border/>
    </dxf>
    <dxf>
      <font>
        <b/>
        <color rgb="FF000000"/>
      </font>
      <fill>
        <patternFill patternType="solid">
          <fgColor rgb="FFCC0000"/>
          <bgColor rgb="FFCC0000"/>
        </patternFill>
      </fill>
      <border/>
    </dxf>
    <dxf>
      <font>
        <b/>
        <color rgb="FF000000"/>
      </font>
      <fill>
        <patternFill patternType="solid">
          <fgColor rgb="FFFF6600"/>
          <bgColor rgb="FFFF6600"/>
        </patternFill>
      </fill>
      <border/>
    </dxf>
    <dxf>
      <font>
        <b/>
        <u/>
        <color rgb="FFCD0000"/>
      </font>
      <fill>
        <patternFill patternType="solid">
          <fgColor rgb="FFD9D9D9"/>
          <bgColor rgb="FFD9D9D9"/>
        </patternFill>
      </fill>
      <border/>
    </dxf>
    <dxf>
      <font>
        <b/>
        <color rgb="FF000000"/>
      </font>
      <fill>
        <patternFill patternType="solid">
          <fgColor rgb="FFF1C232"/>
          <bgColor rgb="FFF1C232"/>
        </patternFill>
      </fill>
      <border/>
    </dxf>
    <dxf>
      <font>
        <b/>
        <color rgb="FF000000"/>
      </font>
      <fill>
        <patternFill patternType="solid">
          <fgColor rgb="FF999999"/>
          <bgColor rgb="FF999999"/>
        </patternFill>
      </fill>
      <border/>
    </dxf>
    <dxf>
      <font>
        <b/>
        <color rgb="FF000000"/>
      </font>
      <fill>
        <patternFill patternType="solid">
          <fgColor rgb="FFA8E605"/>
          <bgColor rgb="FFA8E605"/>
        </patternFill>
      </fill>
      <border/>
    </dxf>
    <dxf>
      <font>
        <b/>
        <color rgb="FF000000"/>
      </font>
      <fill>
        <patternFill patternType="solid">
          <fgColor rgb="FF179933"/>
          <bgColor rgb="FF179933"/>
        </patternFill>
      </fill>
      <border/>
    </dxf>
    <dxf>
      <font>
        <b/>
        <color rgb="FF000000"/>
      </font>
      <fill>
        <patternFill patternType="solid">
          <fgColor rgb="FF1155CC"/>
          <bgColor rgb="FF1155CC"/>
        </patternFill>
      </fill>
      <border/>
    </dxf>
    <dxf>
      <font>
        <b/>
        <color rgb="FF000000"/>
      </font>
      <fill>
        <patternFill patternType="solid">
          <fgColor rgb="FF9749FF"/>
          <bgColor rgb="FF9749FF"/>
        </patternFill>
      </fill>
      <border/>
    </dxf>
    <dxf>
      <font>
        <b/>
        <color rgb="FFCC0000"/>
      </font>
      <fill>
        <patternFill patternType="none"/>
      </fill>
      <border/>
    </dxf>
    <dxf>
      <font>
        <b/>
        <color rgb="FFE8B002"/>
      </font>
      <fill>
        <patternFill patternType="none"/>
      </fill>
      <border/>
    </dxf>
    <dxf>
      <font>
        <color rgb="FFF3F3F3"/>
      </font>
      <fill>
        <patternFill patternType="solid">
          <fgColor rgb="FFF87218"/>
          <bgColor rgb="FFF87218"/>
        </patternFill>
      </fill>
      <border/>
    </dxf>
    <dxf>
      <font>
        <color rgb="FFF3F3F3"/>
      </font>
      <fill>
        <patternFill patternType="solid">
          <fgColor rgb="FF0091C5"/>
          <bgColor rgb="FF0091C5"/>
        </patternFill>
      </fill>
      <border/>
    </dxf>
    <dxf>
      <font>
        <color rgb="FFF3F3F3"/>
      </font>
      <fill>
        <patternFill patternType="solid">
          <fgColor rgb="FF7D01CF"/>
          <bgColor rgb="FF7D01CF"/>
        </patternFill>
      </fill>
      <border/>
    </dxf>
    <dxf>
      <font>
        <color rgb="FFF3F3F3"/>
      </font>
      <fill>
        <patternFill patternType="solid">
          <fgColor rgb="FF032849"/>
          <bgColor rgb="FF032849"/>
        </patternFill>
      </fill>
      <border/>
    </dxf>
    <dxf>
      <font/>
      <fill>
        <patternFill patternType="solid">
          <fgColor rgb="FF999999"/>
          <bgColor rgb="FF999999"/>
        </patternFill>
      </fill>
      <border/>
    </dxf>
    <dxf>
      <font>
        <color rgb="FFEFEFEF"/>
      </font>
      <fill>
        <patternFill patternType="solid">
          <fgColor rgb="FF1C3A0D"/>
          <bgColor rgb="FF1C3A0D"/>
        </patternFill>
      </fill>
      <border/>
    </dxf>
    <dxf>
      <font>
        <color rgb="FFF3F3F3"/>
      </font>
      <fill>
        <patternFill patternType="solid">
          <fgColor rgb="FF2E6317"/>
          <bgColor rgb="FF2E6317"/>
        </patternFill>
      </fill>
      <border/>
    </dxf>
    <dxf>
      <font/>
      <fill>
        <patternFill patternType="solid">
          <fgColor rgb="FFD9D2E9"/>
          <bgColor rgb="FFD9D2E9"/>
        </patternFill>
      </fill>
      <border/>
    </dxf>
    <dxf>
      <font>
        <color rgb="FFF3F3F3"/>
      </font>
      <fill>
        <patternFill patternType="solid">
          <fgColor rgb="FF810101"/>
          <bgColor rgb="FF810101"/>
        </patternFill>
      </fill>
      <border/>
    </dxf>
    <dxf>
      <font/>
      <fill>
        <patternFill patternType="solid">
          <fgColor rgb="FF4FBDE6"/>
          <bgColor rgb="FF4FBDE6"/>
        </patternFill>
      </fill>
      <border/>
    </dxf>
    <dxf>
      <font>
        <b/>
        <color rgb="FF990000"/>
      </font>
      <fill>
        <patternFill patternType="none"/>
      </fill>
      <border/>
    </dxf>
    <dxf>
      <font/>
      <fill>
        <patternFill patternType="solid">
          <fgColor rgb="FFE0F7FA"/>
          <bgColor rgb="FFE0F7FA"/>
        </patternFill>
      </fill>
      <border/>
    </dxf>
    <dxf>
      <font/>
      <fill>
        <patternFill patternType="solid">
          <fgColor rgb="FFB6D7A8"/>
          <bgColor rgb="FFB6D7A8"/>
        </patternFill>
      </fill>
      <border/>
    </dxf>
    <dxf>
      <font>
        <b/>
        <color rgb="FFFF0000"/>
      </font>
      <fill>
        <patternFill patternType="none"/>
      </fill>
      <border/>
    </dxf>
    <dxf>
      <font/>
      <fill>
        <patternFill patternType="solid">
          <fgColor rgb="FFB7E1CD"/>
          <bgColor rgb="FFB7E1CD"/>
        </patternFill>
      </fill>
      <border/>
    </dxf>
    <dxf>
      <font/>
      <fill>
        <patternFill patternType="solid">
          <fgColor rgb="FF93C47D"/>
          <bgColor rgb="FF93C47D"/>
        </patternFill>
      </fill>
      <border/>
    </dxf>
    <dxf>
      <font>
        <color rgb="FFEFEFEF"/>
      </font>
      <fill>
        <patternFill patternType="solid">
          <fgColor rgb="FFCC0000"/>
          <bgColor rgb="FFCC0000"/>
        </patternFill>
      </fill>
      <border/>
    </dxf>
    <dxf>
      <font/>
      <fill>
        <patternFill patternType="solid">
          <fgColor rgb="FF00B0F0"/>
          <bgColor rgb="FF00B0F0"/>
        </patternFill>
      </fill>
      <border/>
    </dxf>
  </dxfs>
  <tableStyles count="4">
    <tableStyle count="2" pivot="0" name="README-style">
      <tableStyleElement dxfId="1" type="firstRowStripe"/>
      <tableStyleElement dxfId="2" type="secondRowStripe"/>
    </tableStyle>
    <tableStyle count="2" pivot="0" name="Data Missing from DBs-style">
      <tableStyleElement dxfId="26" type="firstRowStripe"/>
      <tableStyleElement dxfId="1" type="secondRowStripe"/>
    </tableStyle>
    <tableStyle count="3" pivot="0" name="Data Missing from DBs-style 2">
      <tableStyleElement dxfId="2" type="headerRow"/>
      <tableStyleElement dxfId="1" type="firstRowStripe"/>
      <tableStyleElement dxfId="26" type="secondRowStripe"/>
    </tableStyle>
    <tableStyle count="3" pivot="0" name="TaxReadable-style">
      <tableStyleElement dxfId="2" type="headerRow"/>
      <tableStyleElement dxfId="1" type="firstRowStripe"/>
      <tableStyleElement dxfId="26" type="secondRowStripe"/>
    </tableStyle>
  </tableStyle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B26" displayName="Table_1" id="1">
  <tableColumns count="2">
    <tableColumn name="Column1" id="1"/>
    <tableColumn name="Column2" id="2"/>
  </tableColumns>
  <tableStyleInfo name="README-style" showColumnStripes="0" showFirstColumn="1" showLastColumn="1" showRowStripes="1"/>
</table>
</file>

<file path=xl/tables/table2.xml><?xml version="1.0" encoding="utf-8"?>
<table xmlns="http://schemas.openxmlformats.org/spreadsheetml/2006/main" headerRowCount="0" ref="AH85:AJ111" displayName="Table_2" id="2">
  <tableColumns count="3">
    <tableColumn name="Column1" id="1"/>
    <tableColumn name="Column2" id="2"/>
    <tableColumn name="Column3" id="3"/>
  </tableColumns>
  <tableStyleInfo name="Data Missing from DBs-style" showColumnStripes="0" showFirstColumn="1" showLastColumn="1" showRowStripes="1"/>
</table>
</file>

<file path=xl/tables/table3.xml><?xml version="1.0" encoding="utf-8"?>
<table xmlns="http://schemas.openxmlformats.org/spreadsheetml/2006/main" ref="AO2:AQ114" displayName="Table_3" id="3">
  <tableColumns count="3">
    <tableColumn name="Genus" id="1"/>
    <tableColumn name="Species" id="2"/>
    <tableColumn name="in NAPRALERT" id="3"/>
  </tableColumns>
  <tableStyleInfo name="Data Missing from DBs-style 2" showColumnStripes="0" showFirstColumn="1" showLastColumn="1" showRowStripes="1"/>
</table>
</file>

<file path=xl/tables/table4.xml><?xml version="1.0" encoding="utf-8"?>
<table xmlns="http://schemas.openxmlformats.org/spreadsheetml/2006/main" ref="A1:A307" displayName="Table_4" id="4">
  <tableColumns count="1">
    <tableColumn name="Pasted values from column B to allow text wrapping &amp; better readability" id="1"/>
  </tableColumns>
  <tableStyleInfo name="TaxReadabl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sci-hub.se/10.1021/jf000513p" TargetMode="External"/><Relationship Id="rId3" Type="http://schemas.openxmlformats.org/officeDocument/2006/relationships/hyperlink" Target="https://sci-hub.se/10.1021/jf903619v" TargetMode="External"/><Relationship Id="rId4" Type="http://schemas.openxmlformats.org/officeDocument/2006/relationships/hyperlink" Target="https://sci-hub.se/https://ifst.onlinelibrary.wiley.com/doi/abs/10.1111/ijfs.13185" TargetMode="External"/><Relationship Id="rId5" Type="http://schemas.openxmlformats.org/officeDocument/2006/relationships/hyperlink" Target="https://journals.sagepub.com/doi/10.1177/1934578X1701200111" TargetMode="External"/><Relationship Id="rId6" Type="http://schemas.openxmlformats.org/officeDocument/2006/relationships/drawing" Target="../drawings/drawing3.xml"/><Relationship Id="rId7"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www.genome.jp/kegg-bin/show_organism?org=crb" TargetMode="External"/><Relationship Id="rId42" Type="http://schemas.openxmlformats.org/officeDocument/2006/relationships/hyperlink" Target="https://www.genome.jp/kegg-bin/show_organism?org=cann" TargetMode="External"/><Relationship Id="rId41" Type="http://schemas.openxmlformats.org/officeDocument/2006/relationships/hyperlink" Target="https://www.genome.jp/kegg-bin/show_organism?org=tdc" TargetMode="External"/><Relationship Id="rId44" Type="http://schemas.openxmlformats.org/officeDocument/2006/relationships/hyperlink" Target="https://www.genome.jp/kegg-bin/show_organism?org=cqi" TargetMode="External"/><Relationship Id="rId43" Type="http://schemas.openxmlformats.org/officeDocument/2006/relationships/hyperlink" Target="https://www.genome.jp/kegg-bin/show_organism?org=cpap" TargetMode="External"/><Relationship Id="rId46" Type="http://schemas.openxmlformats.org/officeDocument/2006/relationships/hyperlink" Target="https://www.genome.jp/kegg-bin/show_organism?org=cvr" TargetMode="External"/><Relationship Id="rId45" Type="http://schemas.openxmlformats.org/officeDocument/2006/relationships/hyperlink" Target="https://www.genome.jp/kegg-bin/show_organism?org=cre" TargetMode="External"/><Relationship Id="rId107" Type="http://schemas.openxmlformats.org/officeDocument/2006/relationships/hyperlink" Target="https://www.genome.jp/kegg-bin/show_organism?org=obr" TargetMode="External"/><Relationship Id="rId106" Type="http://schemas.openxmlformats.org/officeDocument/2006/relationships/hyperlink" Target="https://www.genome.jp/kegg-bin/show_organism?org=oeu" TargetMode="External"/><Relationship Id="rId105" Type="http://schemas.openxmlformats.org/officeDocument/2006/relationships/hyperlink" Target="https://www.genome.jp/kegg-bin/show_organism?org=nto" TargetMode="External"/><Relationship Id="rId104" Type="http://schemas.openxmlformats.org/officeDocument/2006/relationships/hyperlink" Target="https://www.genome.jp/kegg-bin/show_organism?org=nta" TargetMode="External"/><Relationship Id="rId109" Type="http://schemas.openxmlformats.org/officeDocument/2006/relationships/hyperlink" Target="https://www.genome.jp/kegg-bin/show_organism?org=osa" TargetMode="External"/><Relationship Id="rId108" Type="http://schemas.openxmlformats.org/officeDocument/2006/relationships/hyperlink" Target="https://www.genome.jp/kegg-bin/show_organism?org=dosa" TargetMode="External"/><Relationship Id="rId48" Type="http://schemas.openxmlformats.org/officeDocument/2006/relationships/hyperlink" Target="https://www.genome.jp/kegg-bin/show_organism?org=cam" TargetMode="External"/><Relationship Id="rId47" Type="http://schemas.openxmlformats.org/officeDocument/2006/relationships/hyperlink" Target="https://www.genome.jp/kegg-bin/show_organism?org=ccp" TargetMode="External"/><Relationship Id="rId49" Type="http://schemas.openxmlformats.org/officeDocument/2006/relationships/hyperlink" Target="https://www.genome.jp/kegg-bin/show_organism?org=cic" TargetMode="External"/><Relationship Id="rId103" Type="http://schemas.openxmlformats.org/officeDocument/2006/relationships/hyperlink" Target="https://www.genome.jp/kegg-bin/show_organism?org=pdul" TargetMode="External"/><Relationship Id="rId102" Type="http://schemas.openxmlformats.org/officeDocument/2006/relationships/hyperlink" Target="https://www.genome.jp/kegg-bin/show_organism?org=nsy" TargetMode="External"/><Relationship Id="rId101" Type="http://schemas.openxmlformats.org/officeDocument/2006/relationships/hyperlink" Target="https://www.genome.jp/kegg-bin/show_organism?org=palz" TargetMode="External"/><Relationship Id="rId100" Type="http://schemas.openxmlformats.org/officeDocument/2006/relationships/hyperlink" Target="https://www.genome.jp/kegg-bin/show_organism?org=pvy" TargetMode="External"/><Relationship Id="rId31" Type="http://schemas.openxmlformats.org/officeDocument/2006/relationships/hyperlink" Target="https://www.genome.jp/kegg-bin/show_organism?org=palz" TargetMode="External"/><Relationship Id="rId30" Type="http://schemas.openxmlformats.org/officeDocument/2006/relationships/hyperlink" Target="https://www.genome.jp/kegg-bin/show_organism?org=ahf" TargetMode="External"/><Relationship Id="rId33" Type="http://schemas.openxmlformats.org/officeDocument/2006/relationships/hyperlink" Target="https://www.genome.jp/kegg-bin/show_organism?org=vri" TargetMode="External"/><Relationship Id="rId32" Type="http://schemas.openxmlformats.org/officeDocument/2006/relationships/hyperlink" Target="https://www.genome.jp/kegg-bin/show_organism?org=brp" TargetMode="External"/><Relationship Id="rId35" Type="http://schemas.openxmlformats.org/officeDocument/2006/relationships/hyperlink" Target="https://www.genome.jp/kegg-bin/show_organism?org=phai" TargetMode="External"/><Relationship Id="rId34" Type="http://schemas.openxmlformats.org/officeDocument/2006/relationships/hyperlink" Target="https://www.genome.jp/kegg-bin/show_organism?org=ccaj" TargetMode="External"/><Relationship Id="rId37" Type="http://schemas.openxmlformats.org/officeDocument/2006/relationships/hyperlink" Target="https://www.genome.jp/kegg-bin/show_organism?org=pvir" TargetMode="External"/><Relationship Id="rId36" Type="http://schemas.openxmlformats.org/officeDocument/2006/relationships/hyperlink" Target="https://www.genome.jp/kegg-bin/show_organism?org=csat" TargetMode="External"/><Relationship Id="rId39" Type="http://schemas.openxmlformats.org/officeDocument/2006/relationships/hyperlink" Target="https://www.genome.jp/kegg-bin/show_organism?org=taes" TargetMode="External"/><Relationship Id="rId38" Type="http://schemas.openxmlformats.org/officeDocument/2006/relationships/hyperlink" Target="https://www.genome.jp/kegg-bin/show_organism?org=csin" TargetMode="External"/><Relationship Id="rId20" Type="http://schemas.openxmlformats.org/officeDocument/2006/relationships/hyperlink" Target="https://www.genome.jp/kegg-bin/show_organism?org=bvg" TargetMode="External"/><Relationship Id="rId22" Type="http://schemas.openxmlformats.org/officeDocument/2006/relationships/hyperlink" Target="https://www.genome.jp/kegg-bin/show_organism?org=bdi" TargetMode="External"/><Relationship Id="rId21" Type="http://schemas.openxmlformats.org/officeDocument/2006/relationships/hyperlink" Target="https://www.genome.jp/kegg-bin/show_organism?org=sspl" TargetMode="External"/><Relationship Id="rId24" Type="http://schemas.openxmlformats.org/officeDocument/2006/relationships/hyperlink" Target="https://www.genome.jp/kegg-bin/show_organism?org=bna" TargetMode="External"/><Relationship Id="rId23" Type="http://schemas.openxmlformats.org/officeDocument/2006/relationships/hyperlink" Target="https://www.genome.jp/kegg-bin/show_organism?org=mnt" TargetMode="External"/><Relationship Id="rId129" Type="http://schemas.openxmlformats.org/officeDocument/2006/relationships/hyperlink" Target="https://www.genome.jp/kegg-bin/show_organism?org=qsu" TargetMode="External"/><Relationship Id="rId128" Type="http://schemas.openxmlformats.org/officeDocument/2006/relationships/hyperlink" Target="https://www.genome.jp/kegg-bin/show_organism?org=pxb" TargetMode="External"/><Relationship Id="rId127" Type="http://schemas.openxmlformats.org/officeDocument/2006/relationships/hyperlink" Target="https://www.genome.jp/kegg-bin/show_organism?org=pper" TargetMode="External"/><Relationship Id="rId126" Type="http://schemas.openxmlformats.org/officeDocument/2006/relationships/hyperlink" Target="https://www.genome.jp/kegg-bin/show_organism?org=vri" TargetMode="External"/><Relationship Id="rId26" Type="http://schemas.openxmlformats.org/officeDocument/2006/relationships/hyperlink" Target="https://www.genome.jp/kegg-bin/show_organism?org=boe" TargetMode="External"/><Relationship Id="rId121" Type="http://schemas.openxmlformats.org/officeDocument/2006/relationships/hyperlink" Target="https://www.genome.jp/kegg-bin/show_organism?org=taes" TargetMode="External"/><Relationship Id="rId25" Type="http://schemas.openxmlformats.org/officeDocument/2006/relationships/hyperlink" Target="https://www.genome.jp/kegg-bin/show_organism?org=egt" TargetMode="External"/><Relationship Id="rId120" Type="http://schemas.openxmlformats.org/officeDocument/2006/relationships/hyperlink" Target="https://www.genome.jp/kegg-bin/show_organism?org=twl" TargetMode="External"/><Relationship Id="rId28" Type="http://schemas.openxmlformats.org/officeDocument/2006/relationships/hyperlink" Target="https://www.genome.jp/kegg-bin/show_organism?org=aprc" TargetMode="External"/><Relationship Id="rId27" Type="http://schemas.openxmlformats.org/officeDocument/2006/relationships/hyperlink" Target="https://www.genome.jp/kegg-bin/show_organism?org=ming" TargetMode="External"/><Relationship Id="rId125" Type="http://schemas.openxmlformats.org/officeDocument/2006/relationships/hyperlink" Target="https://www.genome.jp/kegg-bin/show_organism?org=tdc" TargetMode="External"/><Relationship Id="rId29" Type="http://schemas.openxmlformats.org/officeDocument/2006/relationships/hyperlink" Target="https://www.genome.jp/kegg-bin/show_organism?org=pdul" TargetMode="External"/><Relationship Id="rId124" Type="http://schemas.openxmlformats.org/officeDocument/2006/relationships/hyperlink" Target="https://www.genome.jp/kegg-bin/show_organism?org=pmum" TargetMode="External"/><Relationship Id="rId123" Type="http://schemas.openxmlformats.org/officeDocument/2006/relationships/hyperlink" Target="https://www.genome.jp/kegg-bin/show_organism?org=pavi" TargetMode="External"/><Relationship Id="rId122" Type="http://schemas.openxmlformats.org/officeDocument/2006/relationships/hyperlink" Target="https://www.genome.jp/kegg-bin/show_organism?org=pop" TargetMode="External"/><Relationship Id="rId95" Type="http://schemas.openxmlformats.org/officeDocument/2006/relationships/hyperlink" Target="https://www.genome.jp/kegg-bin/show_organism?org=mng" TargetMode="External"/><Relationship Id="rId94" Type="http://schemas.openxmlformats.org/officeDocument/2006/relationships/hyperlink" Target="https://www.genome.jp/kegg-bin/show_organism?org=mcha" TargetMode="External"/><Relationship Id="rId97" Type="http://schemas.openxmlformats.org/officeDocument/2006/relationships/hyperlink" Target="https://www.genome.jp/kegg-bin/show_organism?org=pvir" TargetMode="External"/><Relationship Id="rId96" Type="http://schemas.openxmlformats.org/officeDocument/2006/relationships/hyperlink" Target="https://www.genome.jp/kegg-bin/show_organism?org=mus" TargetMode="External"/><Relationship Id="rId11" Type="http://schemas.openxmlformats.org/officeDocument/2006/relationships/hyperlink" Target="https://www.genome.jp/kegg-bin/show_organism?org=itr" TargetMode="External"/><Relationship Id="rId99" Type="http://schemas.openxmlformats.org/officeDocument/2006/relationships/hyperlink" Target="https://www.genome.jp/kegg-bin/show_organism?org=nau" TargetMode="External"/><Relationship Id="rId10" Type="http://schemas.openxmlformats.org/officeDocument/2006/relationships/hyperlink" Target="https://www.genome.jp/kegg-bin/show_organism?org=adu" TargetMode="External"/><Relationship Id="rId98" Type="http://schemas.openxmlformats.org/officeDocument/2006/relationships/hyperlink" Target="https://www.genome.jp/kegg-bin/show_organism?org=nnu" TargetMode="External"/><Relationship Id="rId13" Type="http://schemas.openxmlformats.org/officeDocument/2006/relationships/hyperlink" Target="https://www.genome.jp/kegg-bin/show_organism?org=bhj" TargetMode="External"/><Relationship Id="rId12" Type="http://schemas.openxmlformats.org/officeDocument/2006/relationships/hyperlink" Target="https://www.genome.jp/kegg-bin/show_organism?org=aip" TargetMode="External"/><Relationship Id="rId91" Type="http://schemas.openxmlformats.org/officeDocument/2006/relationships/hyperlink" Target="https://www.genome.jp/kegg-bin/show_organism?org=mtr" TargetMode="External"/><Relationship Id="rId90" Type="http://schemas.openxmlformats.org/officeDocument/2006/relationships/hyperlink" Target="https://www.genome.jp/kegg-bin/show_organism?org=mesc" TargetMode="External"/><Relationship Id="rId93" Type="http://schemas.openxmlformats.org/officeDocument/2006/relationships/hyperlink" Target="https://www.genome.jp/kegg-bin/show_organism?org=mpp" TargetMode="External"/><Relationship Id="rId92" Type="http://schemas.openxmlformats.org/officeDocument/2006/relationships/hyperlink" Target="https://www.genome.jp/kegg-bin/show_organism?org=mis" TargetMode="External"/><Relationship Id="rId118" Type="http://schemas.openxmlformats.org/officeDocument/2006/relationships/hyperlink" Target="https://www.genome.jp/kegg-bin/show_organism?org=ppp" TargetMode="External"/><Relationship Id="rId117" Type="http://schemas.openxmlformats.org/officeDocument/2006/relationships/hyperlink" Target="https://www.genome.jp/kegg-bin/show_organism?org=pda" TargetMode="External"/><Relationship Id="rId116" Type="http://schemas.openxmlformats.org/officeDocument/2006/relationships/hyperlink" Target="https://www.genome.jp/kegg-bin/show_organism?org=pvu" TargetMode="External"/><Relationship Id="rId115" Type="http://schemas.openxmlformats.org/officeDocument/2006/relationships/hyperlink" Target="https://www.genome.jp/kegg-bin/show_organism?org=peq" TargetMode="External"/><Relationship Id="rId119" Type="http://schemas.openxmlformats.org/officeDocument/2006/relationships/hyperlink" Target="https://www.genome.jp/kegg-bin/show_organism?org=peu" TargetMode="External"/><Relationship Id="rId15" Type="http://schemas.openxmlformats.org/officeDocument/2006/relationships/hyperlink" Target="https://www.genome.jp/kegg-bin/show_organism?org=aprc" TargetMode="External"/><Relationship Id="rId110" Type="http://schemas.openxmlformats.org/officeDocument/2006/relationships/hyperlink" Target="https://www.genome.jp/kegg-bin/show_organism?org=olu" TargetMode="External"/><Relationship Id="rId14" Type="http://schemas.openxmlformats.org/officeDocument/2006/relationships/hyperlink" Target="https://www.genome.jp/kegg-bin/show_organism?org=aof" TargetMode="External"/><Relationship Id="rId17" Type="http://schemas.openxmlformats.org/officeDocument/2006/relationships/hyperlink" Target="https://www.genome.jp/kegg-bin/show_organism?org=ahf" TargetMode="External"/><Relationship Id="rId16" Type="http://schemas.openxmlformats.org/officeDocument/2006/relationships/hyperlink" Target="https://www.genome.jp/kegg-bin/show_organism?org=apro" TargetMode="External"/><Relationship Id="rId19" Type="http://schemas.openxmlformats.org/officeDocument/2006/relationships/hyperlink" Target="https://www.genome.jp/kegg-bin/show_organism?org=qlo" TargetMode="External"/><Relationship Id="rId114" Type="http://schemas.openxmlformats.org/officeDocument/2006/relationships/hyperlink" Target="https://www.genome.jp/kegg-bin/show_organism?org=sspl" TargetMode="External"/><Relationship Id="rId18" Type="http://schemas.openxmlformats.org/officeDocument/2006/relationships/hyperlink" Target="https://www.genome.jp/kegg-bin/show_organism?org=bpg" TargetMode="External"/><Relationship Id="rId113" Type="http://schemas.openxmlformats.org/officeDocument/2006/relationships/hyperlink" Target="https://www.genome.jp/kegg-bin/show_organism?org=psom" TargetMode="External"/><Relationship Id="rId112" Type="http://schemas.openxmlformats.org/officeDocument/2006/relationships/hyperlink" Target="https://www.genome.jp/kegg-bin/show_organism?org=qlo" TargetMode="External"/><Relationship Id="rId111" Type="http://schemas.openxmlformats.org/officeDocument/2006/relationships/hyperlink" Target="https://www.genome.jp/kegg-bin/show_organism?org=ota" TargetMode="External"/><Relationship Id="rId84" Type="http://schemas.openxmlformats.org/officeDocument/2006/relationships/hyperlink" Target="https://www.genome.jp/kegg-bin/show_organism?org=mnt" TargetMode="External"/><Relationship Id="rId83" Type="http://schemas.openxmlformats.org/officeDocument/2006/relationships/hyperlink" Target="https://www.genome.jp/kegg-bin/show_organism?org=lsv" TargetMode="External"/><Relationship Id="rId86" Type="http://schemas.openxmlformats.org/officeDocument/2006/relationships/hyperlink" Target="https://www.genome.jp/kegg-bin/show_organism?org=lja" TargetMode="External"/><Relationship Id="rId85" Type="http://schemas.openxmlformats.org/officeDocument/2006/relationships/hyperlink" Target="https://www.genome.jp/kegg-bin/show_organism?org=ncol" TargetMode="External"/><Relationship Id="rId88" Type="http://schemas.openxmlformats.org/officeDocument/2006/relationships/hyperlink" Target="https://www.genome.jp/kegg-bin/show_organism?org=lang" TargetMode="External"/><Relationship Id="rId150" Type="http://schemas.openxmlformats.org/officeDocument/2006/relationships/drawing" Target="../drawings/drawing8.xml"/><Relationship Id="rId87" Type="http://schemas.openxmlformats.org/officeDocument/2006/relationships/hyperlink" Target="https://www.genome.jp/kegg-bin/show_organism?org=phai" TargetMode="External"/><Relationship Id="rId89" Type="http://schemas.openxmlformats.org/officeDocument/2006/relationships/hyperlink" Target="https://www.genome.jp/kegg-bin/show_organism?org=mdm" TargetMode="External"/><Relationship Id="rId80" Type="http://schemas.openxmlformats.org/officeDocument/2006/relationships/hyperlink" Target="https://www.genome.jp/kegg-bin/show_organism?org=jcu" TargetMode="External"/><Relationship Id="rId82" Type="http://schemas.openxmlformats.org/officeDocument/2006/relationships/hyperlink" Target="https://www.genome.jp/kegg-bin/show_organism?org=jre" TargetMode="External"/><Relationship Id="rId81" Type="http://schemas.openxmlformats.org/officeDocument/2006/relationships/hyperlink" Target="https://www.genome.jp/kegg-bin/show_organism?org=minc" TargetMode="External"/><Relationship Id="rId1" Type="http://schemas.openxmlformats.org/officeDocument/2006/relationships/hyperlink" Target="https://www.genome.jp/kegg-bin/show_organism?org=ncol" TargetMode="External"/><Relationship Id="rId2" Type="http://schemas.openxmlformats.org/officeDocument/2006/relationships/hyperlink" Target="https://www.genome.jp/kegg-bin/show_organism?org=ats" TargetMode="External"/><Relationship Id="rId3" Type="http://schemas.openxmlformats.org/officeDocument/2006/relationships/hyperlink" Target="https://www.genome.jp/kegg-bin/show_organism?org=minc" TargetMode="External"/><Relationship Id="rId149" Type="http://schemas.openxmlformats.org/officeDocument/2006/relationships/hyperlink" Target="https://www.genome.jp/kegg-bin/show_organism?org=zju" TargetMode="External"/><Relationship Id="rId4" Type="http://schemas.openxmlformats.org/officeDocument/2006/relationships/hyperlink" Target="https://www.genome.jp/kegg-bin/show_organism?org=atr" TargetMode="External"/><Relationship Id="rId148" Type="http://schemas.openxmlformats.org/officeDocument/2006/relationships/hyperlink" Target="https://www.genome.jp/kegg-bin/show_organism?org=zma" TargetMode="External"/><Relationship Id="rId9" Type="http://schemas.openxmlformats.org/officeDocument/2006/relationships/hyperlink" Target="https://www.genome.jp/kegg-bin/show_organism?org=twl" TargetMode="External"/><Relationship Id="rId143" Type="http://schemas.openxmlformats.org/officeDocument/2006/relationships/hyperlink" Target="https://www.genome.jp/kegg-bin/show_organism?org=var" TargetMode="External"/><Relationship Id="rId142" Type="http://schemas.openxmlformats.org/officeDocument/2006/relationships/hyperlink" Target="https://www.genome.jp/kegg-bin/show_organism?org=tcc" TargetMode="External"/><Relationship Id="rId141" Type="http://schemas.openxmlformats.org/officeDocument/2006/relationships/hyperlink" Target="https://www.genome.jp/kegg-bin/show_organism?org=thj" TargetMode="External"/><Relationship Id="rId140" Type="http://schemas.openxmlformats.org/officeDocument/2006/relationships/hyperlink" Target="https://www.genome.jp/kegg-bin/show_organism?org=soe" TargetMode="External"/><Relationship Id="rId5" Type="http://schemas.openxmlformats.org/officeDocument/2006/relationships/hyperlink" Target="https://www.genome.jp/kegg-bin/show_organism?org=pvy" TargetMode="External"/><Relationship Id="rId147" Type="http://schemas.openxmlformats.org/officeDocument/2006/relationships/hyperlink" Target="https://www.genome.jp/kegg-bin/show_organism?org=vcn" TargetMode="External"/><Relationship Id="rId6" Type="http://schemas.openxmlformats.org/officeDocument/2006/relationships/hyperlink" Target="https://www.genome.jp/kegg-bin/show_organism?org=aly" TargetMode="External"/><Relationship Id="rId146" Type="http://schemas.openxmlformats.org/officeDocument/2006/relationships/hyperlink" Target="https://www.genome.jp/kegg-bin/show_organism?org=vvi" TargetMode="External"/><Relationship Id="rId7" Type="http://schemas.openxmlformats.org/officeDocument/2006/relationships/hyperlink" Target="https://www.genome.jp/kegg-bin/show_organism?org=ecad" TargetMode="External"/><Relationship Id="rId145" Type="http://schemas.openxmlformats.org/officeDocument/2006/relationships/hyperlink" Target="https://www.genome.jp/kegg-bin/show_organism?org=vun" TargetMode="External"/><Relationship Id="rId8" Type="http://schemas.openxmlformats.org/officeDocument/2006/relationships/hyperlink" Target="https://www.genome.jp/kegg-bin/show_organism?org=ath" TargetMode="External"/><Relationship Id="rId144" Type="http://schemas.openxmlformats.org/officeDocument/2006/relationships/hyperlink" Target="https://www.genome.jp/kegg-bin/show_organism?org=vra" TargetMode="External"/><Relationship Id="rId73" Type="http://schemas.openxmlformats.org/officeDocument/2006/relationships/hyperlink" Target="https://www.genome.jp/kegg-bin/show_organism?org=gsj" TargetMode="External"/><Relationship Id="rId72" Type="http://schemas.openxmlformats.org/officeDocument/2006/relationships/hyperlink" Target="https://www.genome.jp/kegg-bin/show_organism?org=gmx" TargetMode="External"/><Relationship Id="rId75" Type="http://schemas.openxmlformats.org/officeDocument/2006/relationships/hyperlink" Target="https://www.genome.jp/kegg-bin/show_organism?org=ghi" TargetMode="External"/><Relationship Id="rId74" Type="http://schemas.openxmlformats.org/officeDocument/2006/relationships/hyperlink" Target="https://www.genome.jp/kegg-bin/show_organism?org=gab" TargetMode="External"/><Relationship Id="rId77" Type="http://schemas.openxmlformats.org/officeDocument/2006/relationships/hyperlink" Target="https://www.genome.jp/kegg-bin/show_organism?org=han" TargetMode="External"/><Relationship Id="rId76" Type="http://schemas.openxmlformats.org/officeDocument/2006/relationships/hyperlink" Target="https://www.genome.jp/kegg-bin/show_organism?org=gra" TargetMode="External"/><Relationship Id="rId79" Type="http://schemas.openxmlformats.org/officeDocument/2006/relationships/hyperlink" Target="https://www.genome.jp/kegg-bin/show_organism?org=ini" TargetMode="External"/><Relationship Id="rId78" Type="http://schemas.openxmlformats.org/officeDocument/2006/relationships/hyperlink" Target="https://www.genome.jp/kegg-bin/show_organism?org=hbr" TargetMode="External"/><Relationship Id="rId71" Type="http://schemas.openxmlformats.org/officeDocument/2006/relationships/hyperlink" Target="https://www.genome.jp/kegg-bin/show_organism?org=gsl" TargetMode="External"/><Relationship Id="rId70" Type="http://schemas.openxmlformats.org/officeDocument/2006/relationships/hyperlink" Target="https://www.genome.jp/kegg-bin/show_organism?org=ming" TargetMode="External"/><Relationship Id="rId139" Type="http://schemas.openxmlformats.org/officeDocument/2006/relationships/hyperlink" Target="https://www.genome.jp/kegg-bin/show_organism?org=sbi" TargetMode="External"/><Relationship Id="rId138" Type="http://schemas.openxmlformats.org/officeDocument/2006/relationships/hyperlink" Target="https://www.genome.jp/kegg-bin/show_organism?org=sot" TargetMode="External"/><Relationship Id="rId137" Type="http://schemas.openxmlformats.org/officeDocument/2006/relationships/hyperlink" Target="https://www.genome.jp/kegg-bin/show_organism?org=spen" TargetMode="External"/><Relationship Id="rId132" Type="http://schemas.openxmlformats.org/officeDocument/2006/relationships/hyperlink" Target="https://www.genome.jp/kegg-bin/show_organism?org=rcn" TargetMode="External"/><Relationship Id="rId131" Type="http://schemas.openxmlformats.org/officeDocument/2006/relationships/hyperlink" Target="https://www.genome.jp/kegg-bin/show_organism?org=rcu" TargetMode="External"/><Relationship Id="rId130" Type="http://schemas.openxmlformats.org/officeDocument/2006/relationships/hyperlink" Target="https://www.genome.jp/kegg-bin/show_organism?org=rsz" TargetMode="External"/><Relationship Id="rId136" Type="http://schemas.openxmlformats.org/officeDocument/2006/relationships/hyperlink" Target="https://www.genome.jp/kegg-bin/show_organism?org=sly" TargetMode="External"/><Relationship Id="rId135" Type="http://schemas.openxmlformats.org/officeDocument/2006/relationships/hyperlink" Target="https://www.genome.jp/kegg-bin/show_organism?org=sita" TargetMode="External"/><Relationship Id="rId134" Type="http://schemas.openxmlformats.org/officeDocument/2006/relationships/hyperlink" Target="https://www.genome.jp/kegg-bin/show_organism?org=sind" TargetMode="External"/><Relationship Id="rId133" Type="http://schemas.openxmlformats.org/officeDocument/2006/relationships/hyperlink" Target="https://www.genome.jp/kegg-bin/show_organism?org=smo" TargetMode="External"/><Relationship Id="rId62" Type="http://schemas.openxmlformats.org/officeDocument/2006/relationships/hyperlink" Target="https://www.genome.jp/kegg-bin/show_organism?org=dct" TargetMode="External"/><Relationship Id="rId61" Type="http://schemas.openxmlformats.org/officeDocument/2006/relationships/hyperlink" Target="https://www.genome.jp/kegg-bin/show_organism?org=dcr" TargetMode="External"/><Relationship Id="rId64" Type="http://schemas.openxmlformats.org/officeDocument/2006/relationships/hyperlink" Target="https://www.genome.jp/kegg-bin/show_organism?org=dzi" TargetMode="External"/><Relationship Id="rId63" Type="http://schemas.openxmlformats.org/officeDocument/2006/relationships/hyperlink" Target="https://www.genome.jp/kegg-bin/show_organism?org=egt" TargetMode="External"/><Relationship Id="rId66" Type="http://schemas.openxmlformats.org/officeDocument/2006/relationships/hyperlink" Target="https://www.genome.jp/kegg-bin/show_organism?org=egr" TargetMode="External"/><Relationship Id="rId65" Type="http://schemas.openxmlformats.org/officeDocument/2006/relationships/hyperlink" Target="https://www.genome.jp/kegg-bin/show_organism?org=egu" TargetMode="External"/><Relationship Id="rId68" Type="http://schemas.openxmlformats.org/officeDocument/2006/relationships/hyperlink" Target="https://www.genome.jp/kegg-bin/show_organism?org=eus" TargetMode="External"/><Relationship Id="rId67" Type="http://schemas.openxmlformats.org/officeDocument/2006/relationships/hyperlink" Target="https://www.genome.jp/kegg-bin/show_organism?org=itr" TargetMode="External"/><Relationship Id="rId60" Type="http://schemas.openxmlformats.org/officeDocument/2006/relationships/hyperlink" Target="https://www.genome.jp/kegg-bin/show_organism?org=ccav" TargetMode="External"/><Relationship Id="rId69" Type="http://schemas.openxmlformats.org/officeDocument/2006/relationships/hyperlink" Target="https://www.genome.jp/kegg-bin/show_organism?org=fve" TargetMode="External"/><Relationship Id="rId51" Type="http://schemas.openxmlformats.org/officeDocument/2006/relationships/hyperlink" Target="https://www.genome.jp/kegg-bin/show_organism?org=cit" TargetMode="External"/><Relationship Id="rId50" Type="http://schemas.openxmlformats.org/officeDocument/2006/relationships/hyperlink" Target="https://www.genome.jp/kegg-bin/show_organism?org=bhj" TargetMode="External"/><Relationship Id="rId53" Type="http://schemas.openxmlformats.org/officeDocument/2006/relationships/hyperlink" Target="https://www.genome.jp/kegg-bin/show_organism?org=cmo" TargetMode="External"/><Relationship Id="rId52" Type="http://schemas.openxmlformats.org/officeDocument/2006/relationships/hyperlink" Target="https://www.genome.jp/kegg-bin/show_organism?org=csl" TargetMode="External"/><Relationship Id="rId55" Type="http://schemas.openxmlformats.org/officeDocument/2006/relationships/hyperlink" Target="https://www.genome.jp/kegg-bin/show_organism?org=cmax" TargetMode="External"/><Relationship Id="rId54" Type="http://schemas.openxmlformats.org/officeDocument/2006/relationships/hyperlink" Target="https://www.genome.jp/kegg-bin/show_organism?org=csv" TargetMode="External"/><Relationship Id="rId57" Type="http://schemas.openxmlformats.org/officeDocument/2006/relationships/hyperlink" Target="https://www.genome.jp/kegg-bin/show_organism?org=cmos" TargetMode="External"/><Relationship Id="rId56" Type="http://schemas.openxmlformats.org/officeDocument/2006/relationships/hyperlink" Target="https://www.genome.jp/kegg-bin/show_organism?org=ecad" TargetMode="External"/><Relationship Id="rId59" Type="http://schemas.openxmlformats.org/officeDocument/2006/relationships/hyperlink" Target="https://www.genome.jp/kegg-bin/show_organism?org=cme" TargetMode="External"/><Relationship Id="rId58" Type="http://schemas.openxmlformats.org/officeDocument/2006/relationships/hyperlink" Target="https://www.genome.jp/kegg-bin/show_organism?org=cpep"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4.xml"/><Relationship Id="rId3"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bidd.group/NPASS/index.php" TargetMode="External"/><Relationship Id="rId3" Type="http://schemas.openxmlformats.org/officeDocument/2006/relationships/drawing" Target="../drawings/drawing15.xml"/><Relationship Id="rId4"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hyperlink" Target="https://www.ars.usda.gov/ARSUserFiles/80400535/Data/Flav/Flav3.3.pdf" TargetMode="External"/><Relationship Id="rId3" Type="http://schemas.openxmlformats.org/officeDocument/2006/relationships/drawing" Target="../drawings/drawing16.xml"/><Relationship Id="rId4"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bidd.group/NPASS/index.php" TargetMode="External"/><Relationship Id="rId3" Type="http://schemas.openxmlformats.org/officeDocument/2006/relationships/hyperlink" Target="https://www.napralert.org/" TargetMode="External"/><Relationship Id="rId4" Type="http://schemas.openxmlformats.org/officeDocument/2006/relationships/hyperlink" Target="https://phytochem.nal.usda.gov/phytochem/search/list" TargetMode="External"/><Relationship Id="rId5" Type="http://schemas.openxmlformats.org/officeDocument/2006/relationships/hyperlink" Target="https://cb.imsc.res.in/imppat/home" TargetMode="External"/><Relationship Id="rId6" Type="http://schemas.openxmlformats.org/officeDocument/2006/relationships/hyperlink" Target="https://www.microbiomeprescription.com/Library/Flavonoids" TargetMode="External"/><Relationship Id="rId7" Type="http://schemas.openxmlformats.org/officeDocument/2006/relationships/drawing" Target="../drawings/drawing19.xml"/><Relationship Id="rId8"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1.xml"/><Relationship Id="rId3" Type="http://schemas.openxmlformats.org/officeDocument/2006/relationships/vmlDrawing" Target="../drawings/vmlDrawing12.vml"/><Relationship Id="rId6" Type="http://schemas.openxmlformats.org/officeDocument/2006/relationships/table" Target="../tables/table2.xml"/><Relationship Id="rId7" Type="http://schemas.openxmlformats.org/officeDocument/2006/relationships/table" Target="../tables/table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9.xml"/><Relationship Id="rId3"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38"/>
    <col customWidth="1" min="2" max="2" width="199.63"/>
    <col customWidth="1" min="3" max="6" width="12.63"/>
  </cols>
  <sheetData>
    <row r="1" ht="33.75" customHeight="1">
      <c r="A1" s="1" t="s">
        <v>0</v>
      </c>
      <c r="B1" s="2"/>
    </row>
    <row r="2">
      <c r="A2" s="3" t="s">
        <v>1</v>
      </c>
      <c r="B2" s="4" t="s">
        <v>2</v>
      </c>
    </row>
    <row r="3">
      <c r="A3" s="3" t="s">
        <v>3</v>
      </c>
      <c r="B3" s="4" t="s">
        <v>4</v>
      </c>
    </row>
    <row r="4">
      <c r="A4" s="3" t="s">
        <v>5</v>
      </c>
      <c r="B4" s="5" t="s">
        <v>6</v>
      </c>
    </row>
    <row r="5">
      <c r="A5" s="3" t="s">
        <v>7</v>
      </c>
      <c r="B5" s="5" t="s">
        <v>8</v>
      </c>
    </row>
    <row r="6">
      <c r="A6" s="3" t="s">
        <v>9</v>
      </c>
      <c r="B6" s="5" t="s">
        <v>10</v>
      </c>
    </row>
    <row r="7">
      <c r="A7" s="3" t="s">
        <v>11</v>
      </c>
      <c r="B7" s="5" t="s">
        <v>12</v>
      </c>
    </row>
    <row r="8">
      <c r="A8" s="3" t="s">
        <v>13</v>
      </c>
      <c r="B8" s="5" t="s">
        <v>14</v>
      </c>
    </row>
    <row r="9">
      <c r="A9" s="3" t="s">
        <v>15</v>
      </c>
      <c r="B9" s="5" t="s">
        <v>16</v>
      </c>
    </row>
    <row r="10">
      <c r="A10" s="3" t="s">
        <v>17</v>
      </c>
      <c r="B10" s="5" t="s">
        <v>18</v>
      </c>
    </row>
    <row r="11">
      <c r="A11" s="3" t="s">
        <v>19</v>
      </c>
      <c r="B11" s="5" t="s">
        <v>20</v>
      </c>
    </row>
    <row r="12">
      <c r="A12" s="3" t="s">
        <v>21</v>
      </c>
      <c r="B12" s="5" t="s">
        <v>22</v>
      </c>
    </row>
    <row r="13">
      <c r="A13" s="3" t="s">
        <v>23</v>
      </c>
      <c r="B13" s="5" t="s">
        <v>24</v>
      </c>
    </row>
    <row r="14">
      <c r="A14" s="3" t="s">
        <v>25</v>
      </c>
      <c r="B14" s="5" t="s">
        <v>26</v>
      </c>
    </row>
    <row r="15">
      <c r="A15" s="3" t="s">
        <v>27</v>
      </c>
      <c r="B15" s="5" t="s">
        <v>28</v>
      </c>
    </row>
    <row r="16">
      <c r="A16" s="3" t="s">
        <v>29</v>
      </c>
      <c r="B16" s="5" t="s">
        <v>30</v>
      </c>
    </row>
    <row r="17">
      <c r="A17" s="3" t="s">
        <v>31</v>
      </c>
      <c r="B17" s="5" t="s">
        <v>32</v>
      </c>
    </row>
    <row r="18">
      <c r="A18" s="3" t="s">
        <v>33</v>
      </c>
      <c r="B18" s="5" t="s">
        <v>34</v>
      </c>
    </row>
    <row r="19">
      <c r="A19" s="3" t="s">
        <v>35</v>
      </c>
      <c r="B19" s="5" t="s">
        <v>36</v>
      </c>
    </row>
    <row r="20">
      <c r="A20" s="3" t="s">
        <v>37</v>
      </c>
      <c r="B20" s="5" t="s">
        <v>38</v>
      </c>
    </row>
    <row r="21" ht="15.75" customHeight="1">
      <c r="A21" s="3" t="s">
        <v>39</v>
      </c>
      <c r="B21" s="5" t="s">
        <v>40</v>
      </c>
    </row>
    <row r="22" ht="15.75" customHeight="1">
      <c r="A22" s="6"/>
      <c r="B22" s="7"/>
    </row>
    <row r="23" ht="15.75" customHeight="1">
      <c r="A23" s="6"/>
      <c r="B23" s="7"/>
    </row>
    <row r="24" ht="15.75" customHeight="1">
      <c r="A24" s="6"/>
      <c r="B24" s="7"/>
    </row>
    <row r="25" ht="15.75" customHeight="1">
      <c r="A25" s="6"/>
      <c r="B25" s="7"/>
    </row>
    <row r="26" ht="15.75" customHeight="1">
      <c r="A26" s="6"/>
      <c r="B26" s="7"/>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3.0"/>
    <col customWidth="1" min="2" max="2" width="5.0"/>
    <col customWidth="1" min="3" max="3" width="16.25"/>
    <col customWidth="1" hidden="1" min="4" max="4" width="10.63"/>
    <col customWidth="1" min="5" max="5" width="21.0"/>
    <col customWidth="1" min="6" max="6" width="7.38"/>
    <col customWidth="1" min="7" max="7" width="11.38"/>
    <col customWidth="1" min="8" max="8" width="14.75"/>
    <col customWidth="1" min="9" max="9" width="6.0"/>
    <col customWidth="1" min="10" max="11" width="6.75"/>
    <col customWidth="1" min="12" max="12" width="7.0"/>
    <col customWidth="1" min="13" max="13" width="7.5"/>
    <col customWidth="1" min="14" max="15" width="6.38"/>
    <col customWidth="1" min="16" max="16" width="7.5"/>
    <col customWidth="1" min="17" max="17" width="6.38"/>
    <col customWidth="1" min="18" max="18" width="6.5"/>
    <col customWidth="1" min="19" max="19" width="7.63"/>
    <col customWidth="1" min="20" max="20" width="6.63"/>
    <col customWidth="1" min="21" max="21" width="6.5"/>
    <col customWidth="1" min="22" max="22" width="6.75"/>
    <col customWidth="1" min="23" max="23" width="7.25"/>
    <col customWidth="1" min="24" max="26" width="6.63"/>
    <col customWidth="1" min="27" max="27" width="17.63"/>
    <col customWidth="1" min="28" max="28" width="6.0"/>
    <col customWidth="1" min="29" max="29" width="6.75"/>
    <col customWidth="1" min="30" max="30" width="6.63"/>
    <col customWidth="1" min="31" max="31" width="7.0"/>
    <col customWidth="1" min="32" max="32" width="7.5"/>
    <col customWidth="1" min="33" max="34" width="6.38"/>
    <col customWidth="1" min="35" max="35" width="7.5"/>
    <col customWidth="1" min="36" max="36" width="6.38"/>
    <col customWidth="1" min="37" max="37" width="6.5"/>
    <col customWidth="1" min="38" max="38" width="7.63"/>
    <col customWidth="1" min="39" max="39" width="6.63"/>
    <col customWidth="1" min="40" max="40" width="6.5"/>
    <col customWidth="1" min="41" max="41" width="6.75"/>
    <col customWidth="1" min="42" max="42" width="6.25"/>
    <col customWidth="1" min="43" max="45" width="6.63"/>
    <col customWidth="1" min="46" max="46" width="11.5"/>
    <col customWidth="1" min="47" max="47" width="6.0"/>
    <col customWidth="1" min="48" max="48" width="6.75"/>
    <col customWidth="1" min="49" max="49" width="6.63"/>
    <col customWidth="1" min="50" max="50" width="7.0"/>
    <col customWidth="1" min="51" max="51" width="1.88"/>
    <col customWidth="1" min="52" max="53" width="6.38"/>
    <col customWidth="1" min="54" max="54" width="6.5"/>
    <col customWidth="1" min="55" max="55" width="1.88"/>
    <col customWidth="1" min="56" max="56" width="6.63"/>
    <col customWidth="1" min="57" max="57" width="6.5"/>
    <col customWidth="1" min="58" max="58" width="6.75"/>
    <col customWidth="1" min="59" max="59" width="6.25"/>
    <col customWidth="1" min="60" max="62" width="6.63"/>
    <col customWidth="1" min="63" max="63" width="18.25"/>
    <col customWidth="1" min="64" max="64" width="6.0"/>
    <col customWidth="1" min="65" max="65" width="6.75"/>
    <col customWidth="1" min="66" max="66" width="6.63"/>
    <col customWidth="1" min="67" max="67" width="7.0"/>
    <col customWidth="1" min="68" max="68" width="7.5"/>
    <col customWidth="1" min="69" max="69" width="6.38"/>
    <col customWidth="1" min="70" max="70" width="7.25"/>
    <col customWidth="1" min="71" max="71" width="6.5"/>
    <col customWidth="1" min="72" max="72" width="7.63"/>
    <col customWidth="1" min="73" max="73" width="6.63"/>
    <col customWidth="1" min="74" max="74" width="6.5"/>
    <col customWidth="1" min="75" max="75" width="6.75"/>
    <col customWidth="1" min="76" max="76" width="6.25"/>
    <col customWidth="1" min="77" max="96" width="6.63"/>
  </cols>
  <sheetData>
    <row r="1" ht="45.75" customHeight="1">
      <c r="A1" s="8" t="s">
        <v>41</v>
      </c>
      <c r="B1" s="9" t="s">
        <v>42</v>
      </c>
      <c r="C1" s="10" t="s">
        <v>43</v>
      </c>
      <c r="D1" s="11" t="s">
        <v>44</v>
      </c>
      <c r="E1" s="8" t="s">
        <v>45</v>
      </c>
      <c r="F1" s="10" t="s">
        <v>46</v>
      </c>
      <c r="G1" s="12" t="s">
        <v>47</v>
      </c>
      <c r="H1" s="13" t="s">
        <v>48</v>
      </c>
      <c r="I1" s="14" t="s">
        <v>49</v>
      </c>
      <c r="J1" s="14" t="s">
        <v>50</v>
      </c>
      <c r="K1" s="14" t="s">
        <v>51</v>
      </c>
      <c r="L1" s="14" t="s">
        <v>52</v>
      </c>
      <c r="M1" s="15" t="s">
        <v>53</v>
      </c>
      <c r="N1" s="14" t="s">
        <v>54</v>
      </c>
      <c r="O1" s="14" t="s">
        <v>55</v>
      </c>
      <c r="P1" s="14" t="s">
        <v>56</v>
      </c>
      <c r="Q1" s="14" t="s">
        <v>57</v>
      </c>
      <c r="R1" s="14" t="s">
        <v>58</v>
      </c>
      <c r="S1" s="15" t="s">
        <v>59</v>
      </c>
      <c r="T1" s="14" t="s">
        <v>60</v>
      </c>
      <c r="U1" s="14" t="s">
        <v>61</v>
      </c>
      <c r="V1" s="14" t="s">
        <v>62</v>
      </c>
      <c r="W1" s="14" t="s">
        <v>63</v>
      </c>
      <c r="X1" s="14" t="s">
        <v>64</v>
      </c>
      <c r="Y1" s="14" t="s">
        <v>65</v>
      </c>
      <c r="Z1" s="16" t="s">
        <v>66</v>
      </c>
      <c r="AA1" s="17" t="s">
        <v>67</v>
      </c>
      <c r="AB1" s="17" t="s">
        <v>49</v>
      </c>
      <c r="AC1" s="17" t="s">
        <v>50</v>
      </c>
      <c r="AD1" s="17" t="s">
        <v>51</v>
      </c>
      <c r="AE1" s="17" t="s">
        <v>52</v>
      </c>
      <c r="AF1" s="18" t="s">
        <v>53</v>
      </c>
      <c r="AG1" s="17" t="s">
        <v>54</v>
      </c>
      <c r="AH1" s="17" t="s">
        <v>55</v>
      </c>
      <c r="AI1" s="17" t="s">
        <v>56</v>
      </c>
      <c r="AJ1" s="17" t="s">
        <v>57</v>
      </c>
      <c r="AK1" s="17" t="s">
        <v>58</v>
      </c>
      <c r="AL1" s="18" t="s">
        <v>59</v>
      </c>
      <c r="AM1" s="17" t="s">
        <v>60</v>
      </c>
      <c r="AN1" s="17" t="s">
        <v>61</v>
      </c>
      <c r="AO1" s="17" t="s">
        <v>62</v>
      </c>
      <c r="AP1" s="17" t="s">
        <v>63</v>
      </c>
      <c r="AQ1" s="17" t="s">
        <v>64</v>
      </c>
      <c r="AR1" s="19" t="s">
        <v>65</v>
      </c>
      <c r="AS1" s="17" t="s">
        <v>66</v>
      </c>
      <c r="AT1" s="13" t="s">
        <v>68</v>
      </c>
      <c r="AU1" s="20" t="s">
        <v>49</v>
      </c>
      <c r="AV1" s="20" t="s">
        <v>50</v>
      </c>
      <c r="AW1" s="20" t="s">
        <v>51</v>
      </c>
      <c r="AX1" s="20" t="s">
        <v>52</v>
      </c>
      <c r="AY1" s="21" t="s">
        <v>53</v>
      </c>
      <c r="AZ1" s="20" t="s">
        <v>55</v>
      </c>
      <c r="BA1" s="20" t="s">
        <v>57</v>
      </c>
      <c r="BB1" s="20" t="s">
        <v>58</v>
      </c>
      <c r="BC1" s="21" t="s">
        <v>59</v>
      </c>
      <c r="BD1" s="20" t="s">
        <v>60</v>
      </c>
      <c r="BE1" s="20" t="s">
        <v>61</v>
      </c>
      <c r="BF1" s="20" t="s">
        <v>62</v>
      </c>
      <c r="BG1" s="20" t="s">
        <v>63</v>
      </c>
      <c r="BH1" s="20" t="s">
        <v>64</v>
      </c>
      <c r="BI1" s="20" t="s">
        <v>65</v>
      </c>
      <c r="BJ1" s="20" t="s">
        <v>66</v>
      </c>
      <c r="BK1" s="22" t="s">
        <v>69</v>
      </c>
      <c r="BL1" s="23" t="s">
        <v>49</v>
      </c>
      <c r="BM1" s="8" t="s">
        <v>50</v>
      </c>
      <c r="BN1" s="8" t="s">
        <v>51</v>
      </c>
      <c r="BO1" s="8" t="s">
        <v>52</v>
      </c>
      <c r="BP1" s="24" t="s">
        <v>53</v>
      </c>
      <c r="BQ1" s="8" t="s">
        <v>55</v>
      </c>
      <c r="BR1" s="8" t="s">
        <v>70</v>
      </c>
      <c r="BS1" s="8" t="s">
        <v>58</v>
      </c>
      <c r="BT1" s="24" t="s">
        <v>59</v>
      </c>
      <c r="BU1" s="8" t="s">
        <v>60</v>
      </c>
      <c r="BV1" s="8" t="s">
        <v>61</v>
      </c>
      <c r="BW1" s="8" t="s">
        <v>62</v>
      </c>
      <c r="BX1" s="8" t="s">
        <v>63</v>
      </c>
      <c r="BY1" s="8" t="s">
        <v>64</v>
      </c>
      <c r="BZ1" s="8" t="s">
        <v>65</v>
      </c>
      <c r="CA1" s="8" t="s">
        <v>66</v>
      </c>
      <c r="CB1" s="22"/>
      <c r="CC1" s="22"/>
      <c r="CD1" s="22"/>
      <c r="CE1" s="22"/>
      <c r="CF1" s="22"/>
      <c r="CG1" s="22"/>
      <c r="CH1" s="22"/>
      <c r="CI1" s="22"/>
      <c r="CJ1" s="22"/>
      <c r="CK1" s="22"/>
      <c r="CL1" s="22"/>
      <c r="CM1" s="22"/>
      <c r="CN1" s="22"/>
      <c r="CO1" s="22"/>
      <c r="CP1" s="22"/>
      <c r="CQ1" s="22"/>
      <c r="CR1" s="22"/>
    </row>
    <row r="2">
      <c r="A2" s="25">
        <v>100.0</v>
      </c>
      <c r="B2" s="26" t="s">
        <v>71</v>
      </c>
      <c r="C2" s="27" t="s">
        <v>72</v>
      </c>
      <c r="D2" s="27" t="str">
        <f>IFERROR(__xludf.DUMMYFUNCTION("CONCATENATE(regexextract($C2,""[\w]* [\w]*""), ""*"")"),"Aegilops tauschii*")</f>
        <v>Aegilops tauschii*</v>
      </c>
      <c r="E2" s="28" t="s">
        <v>73</v>
      </c>
      <c r="F2" s="29">
        <v>37682.0</v>
      </c>
      <c r="G2" s="30" t="s">
        <v>74</v>
      </c>
      <c r="H2" s="31"/>
      <c r="I2" s="32" t="str">
        <f>CONCATENATE(
if(countif(dd.agi,$D2),"D",""),
if(countif(knap.agi,$D2),"K",""),
if(countif(mic.agi,$D2),"M",""),
if(countif(nap.agi,$D2),"N",""),
if(countif(np.agi,$D2),"P",""),
if(countif(imp.agi,$D2),"T",""),
if(countif(us.agi,$D2),"U",""),
if(countif(var.agi,$D2),"V","")
)</f>
        <v/>
      </c>
      <c r="J2" s="32" t="str">
        <f>
CONCATENATE(
if(countif(nap.bun,$D2),"N",""),
if(countif(np.bun,$D2),"P","")
)
</f>
        <v/>
      </c>
      <c r="K2" s="32" t="str">
        <f>CONCATENATE(
if(countif(dd.kxn,$D2),"D",""),
if(countif(knap.kxn,$D2),"K",""),
if(countif(mic.kxn,$D2),"M",""),
if(countif(nap.kxn,$D2),"N",""),
if(countif(np.kxn,$D2),"P",""),
if(countif(us.kxn,$D2),"U",""),
if(countif(var.kxn,$D2),"V","")
)</f>
        <v>V</v>
      </c>
      <c r="L2" s="32" t="str">
        <f>
CONCATENATE(
if(countif(dd.hwb,$D2),"D",""),
if(countif(knap.hwb,$D2),"K",""),
if(countif(mic.hwb,$D2),"M",""),
if(countif(nap.hwb,$D2),"N",""),
if(countif(np.hwb,$D2),"P",""),
if(countif(us.hwb,$D2),"U",""),
if(countif(imp.hwb,$D2),"T",""),
if(countif(var.hwb,$D2),"V","")
)</f>
        <v/>
      </c>
      <c r="M2" s="32" t="str">
        <f>CONCATENATE(
if(countif(dd.epc,$D2),"D",""),
if(countif(knap.ekxn,$D2),"K",""),
if(countif(mic.ekxn,$D2),"M",""),
if(countif(nap.ekxn,$D2),"N",""),
if(countif(np.ekxn,$D2),"P",""),
if(countif(imp.epc,$D2),"T",""),
if(countif(us.ekxn,$D2),"U",""),
if(countif(var.ekxn,$D2),"V","")
)</f>
        <v/>
      </c>
      <c r="N2" s="32" t="str">
        <f>
CONCATENATE(
if(countif(dd.ecg,$D2),"D",""),
if(countif(mic.ecg,$D2),"M",""),
if(countif(np.ecg,$D2),"P",""),
if(countif(imp.ecg,$D2),"T",""),
if(countif(us.ecg,$D2),"U","")
)</f>
        <v/>
      </c>
      <c r="O2" s="32" t="str">
        <f>
CONCATENATE(
if(countif(dd.egt,$D2),"D",""),
if(countif(mic.egt,$D2),"M",""),
if(countif(nap.egt,$D2),"N",""),
if(countif(us.egt,$D2),"U",""),
if(countif(var.egt,$D2),"V",""))
</f>
        <v/>
      </c>
      <c r="P2" s="32" t="str">
        <f>CONCATENATE(
if(countif(knap.egcg,$D2),"K",""),
if(countif(mic.egcg,$D2),"M",""),
if(countif(np.egcg,$D2),"P",""),
if(countif(us.egcg,$D2),"U","")
)</f>
        <v/>
      </c>
      <c r="Q2" s="32" t="str">
        <f>CONCATENATE(if(countif(np.ecit,$D2),"P",""),
if(countif(nap.ecit,$D2),"A",""))</f>
        <v/>
      </c>
      <c r="R2" s="32" t="str">
        <f>
CONCATENATE(
if(countif(nap.erd,$D2),"N",""),
if(countif(np.erd,$D2),"P",""),
if(countif(var.erd,$D2),"V",""))</f>
        <v/>
      </c>
      <c r="S2" s="32" t="str">
        <f>
CONCATENATE(
if(countif(dd.gkxn,$D2),"D",""),
if(countif(knap.gkxn,$D2),"K",""),
if(countif(nap.gkxn,$D2),"N",""),
if(countif(np.gkxn,$D2),"P",""),
if(countif(imp.gkxn,$D2),"T",""),
if(countif(var.gkxn,$D2),"V",""))</f>
        <v/>
      </c>
      <c r="T2" s="32" t="str">
        <f>
CONCATENATE(
if(countif(dd.gen,$C2),"D",""),
if(countif(knap.gen,$C2),"K",""),
if(countif(nap.gen,$C2),"N",""),
if(countif(np.gen,$C2),"P",""),
if(countif(imp.gen,$C2),"T",""),
if(countif(var.gen,$C2),"V",""))</f>
        <v/>
      </c>
      <c r="U2" s="32" t="str">
        <f>
CONCATENATE(
if(countif(dd.hcc,$D2),"D",""),
if(countif(knap.hcc,$D2),"K",""),
if(countif(np.hcc,$D2),"P","")
)
</f>
        <v/>
      </c>
      <c r="V2" s="32" t="str">
        <f>
CONCATENATE(
if(countif(dd.kmp,$D2),"D",""),
if(countif(knap.kmp,$D2),"K",""),
if(countif(mic.kmp,$D2),"M",""),
if(countif(nap.kmp,$D2),"N",""),
if(countif(np.kmp,$D2),"P",""),
if(countif(imp.kmp,$D2),"T",""),
if(countif(us.kmp,$D2),"U",""),
if(countif(var.kmp,$D2),"V",""))</f>
        <v/>
      </c>
      <c r="W2" s="32" t="str">
        <f>
CONCATENATE(
if(countif(dd.lu2,$D2),"D",""),
if(countif(knap.lu2,$D2),"K",""),
if(countif(mic.lu2,$D2),"M",""),
if(countif(nap.lu2,$D2),"N",""),
if(countif(np.lu2,$D2),"P",""),
if(countif(imp.lu2,$D2),"T",""),
if(countif(us.lu2,$D2),"U",""),
if(countif(var.lu2,$D2),"V",""))</f>
        <v/>
      </c>
      <c r="X2" s="32" t="str">
        <f>
CONCATENATE(
if(countif(dd.myc,$D2),"D",""),
if(countif(knap.myc,$D2),"K",""), 
if(countif(mic.myc,$D2),"M",""),
if(countif(nap.myc,$D2),"N",""),
if(countif(np.myc,$D2),"P",""),
if(countif(imp.myc,$D2),"T",""),
if(countif(us.myc,$D2),"U",""),
if(countif(var.myc,$D2),"V",""))</f>
        <v/>
      </c>
      <c r="Y2" s="32" t="str">
        <f>CONCATENATE(
if(countif(dd.nar,$D2),"D",""),
if(countif(knap.nar,$D2),"K",""),
if(countif(nap.nar,$D2),"N",""),
if(countif(np.nar,$D2),"P",""),
if(countif(imp.nar,$D2),"T",""),
if(countif(us.nar,$D2),"U",""),
if(countif(var.nar,$D2),"V",""))</f>
        <v/>
      </c>
      <c r="Z2" s="33" t="str">
        <f>
CONCATENATE(
if(countif(dd.que,$D2),"D",""),
if(countif(knap.que,$D2),"K",""),
if(countif(mic.que,$D2),"M",""),
if(countif(nap.que,$D2),"N",""),
if(countif(np.que,$D2),"P",""),
if(countif(imp.que,$D2),"T",""),
if(countif(us.que,$D2),"U",""),
if(countif(var.que,$D2),"V",""))</f>
        <v/>
      </c>
      <c r="AA2" s="32"/>
      <c r="AB2" s="34" t="str">
        <f>
CONCATENATE(if(countif(knap.agi.sim,$D2),"K",""),
if(countif(dd.agi.sim,$D2),"D",""),
if(countif(nap.agi.sim,$D2),"A",""),
if(countif(var.agi.sim,$D2),"V",""))</f>
        <v/>
      </c>
      <c r="AC2" s="34" t="str">
        <f>
if(countif(nap.bun.sim,$D2),"A","")</f>
        <v/>
      </c>
      <c r="AD2" s="34" t="str">
        <f>
CONCATENATE(if(countif(knap.kxn.sim,$D2),"K",""),
if(countif(np.kxn.sim,$D2),"P",""),
if(countif(dd.kxn.sim,$D2),"D",""),
if(countif(nap.kxn.sim,$D2),"A",""),
if(countif(var.kxn.sim,$D2),"V",""))</f>
        <v/>
      </c>
      <c r="AE2" s="34" t="str">
        <f>
CONCATENATE(if(countif(knap.hwb.sim,$D2),"K",""),
if(countif(np.hwb.sim,$D2),"P",""),
if(countif(mic.hwb.sim,$D2),"M",""),
if(countif(imp.hwb.sim,$D2),"T",""),
if(countif(dd.cyan.sim,$D2),"D",""),
if(countif(nap.hwb.sim,$D2),"A",""),
if(countif(var.hwb.sim,$D2),"V",""))</f>
        <v/>
      </c>
      <c r="AF2" s="34" t="str">
        <f>
CONCATENATE(if(countif(us.ekxn.sim,$D2),"U",""),
if(countif(knap.ekxn.sim,$D2),"K",""),
if(countif(np.ekxn.sim,$D2),"P",""),
if(countif(mic.ekxn.sim,$D2),"M",""),
if(countif(imp.epc.sim,$D2),"T",""),
if(countif(nap.ekxn.sim,$D2),"A",""))</f>
        <v/>
      </c>
      <c r="AG2" s="34"/>
      <c r="AH2" s="34" t="str">
        <f>
CONCATENATE(if(countif(us.egt.sim,$D2),"U",""),
if(countif(knap.egt.sim,$D2),"K",""),
if(countif(np.egt.sim,$D2),"P",""),
if(countif(mic.egt.sim,$D2),"M",""))</f>
        <v/>
      </c>
      <c r="AI2" s="34"/>
      <c r="AJ2" s="34" t="str">
        <f>if(countif(nap.ecit.sim,$D2),"A","")</f>
        <v/>
      </c>
      <c r="AK2" s="34" t="str">
        <f>
CONCATENATE(if(countif(nap.erd,$D2),"M",""),
if(countif(nap.erd.sim,$D2),"A",""),
if(countif(var.erd.sim,$D2),"V",""))</f>
        <v/>
      </c>
      <c r="AL2" s="34" t="str">
        <f>
CONCATENATE(if(countif(knap.gkxn.sim,$D2),"K",""),
if(countif(nap.gkxn.sim,$D2),"A",""))</f>
        <v/>
      </c>
      <c r="AM2" s="34" t="str">
        <f>
CONCATENATE(if(countif(knap.gen.sim,$C2),"K",""),
if(countif(imp.gen.sim,$C2),"T",""),
if(countif(dd.gen.sim,$C2),"D",""),
if(countif(nap.gen.sim,$C2),"A",""),
if(countif(var.gen.sim,$C2),"V",""))
</f>
        <v/>
      </c>
      <c r="AN2" s="35"/>
      <c r="AO2" s="34" t="str">
        <f>
CONCATENATE(if(countif(knap.kmp.sim,$D2),"K",""),
if(countif(np.kmp.sim,$D2),"P",""),
if(countif(imp.kmp.sim,$D2),"T",""),
if(countif(dd.kmp,$D2),"D",""),
if(countif(nap.kmp.sim,$D2),"A",""),
if(countif(var.kmp.sim,$D2),"V",""))</f>
        <v/>
      </c>
      <c r="AP2" s="34" t="str">
        <f>
CONCATENATE(if(countif(knap.lu2.sim,$D2),"K",""),
if(countif(np.lu2.sim,$D2),"P",""),
if(countif(imp.lu2.sim,$D2),"T",""),
if(countif(dd.lu2.sim,$D2),"D",""),
if(countif(nap.lu2.sim,$D2),"A",""),
if(countif(var.lu2.sim,$D2),"V",""))</f>
        <v/>
      </c>
      <c r="AQ2" s="34" t="str">
        <f>
CONCATENATE(if(countif(np.myc.sim,$D2),"P",""),
if(countif(imp.myc.sim,$D2),"T",""),
if(countif(nap.myc.sim,$D2),"A",""))
</f>
        <v/>
      </c>
      <c r="AR2" s="36" t="str">
        <f>
CONCATENATE(if(countif(knap.nar.sim,$D2),"K",""),
if(countif(np.nar.sim,$D2),"P",""),
if(countif(imp.nar.sim,$D2),"T",""),
if(countif(dd.nar.sim,$D2),"D",""),
if(countif(nap.nar.sim,$D2),"A",""),
if(countif(var.nar.sim,$D2),"V",""))</f>
        <v/>
      </c>
      <c r="AS2" s="34" t="str">
        <f>
CONCATENATE(if(countif(knap.que.sim,$D2),"K",""),
if(countif(np.que.sim,$D2),"P",""),
if(countif(imp.que.sim,$D2),"T",""),
if(countif(dd.que.sim,$D2),"D",""),
if(countif(nap.que.sim,$D2),"A",""),
if(countif(var.que.sim,$D2),"V",""))</f>
        <v/>
      </c>
      <c r="AT2" s="37"/>
      <c r="AU2" s="32" t="str">
        <f>if(countif(kr.agi, $D2),"X","")</f>
        <v>X</v>
      </c>
      <c r="AV2" s="38" t="str">
        <f>if(countif(kr.bun,$D2),"X","")</f>
        <v>X</v>
      </c>
      <c r="AW2" s="38" t="str">
        <f>if(countif(kr.kxn,$D2),"X","")</f>
        <v>X</v>
      </c>
      <c r="AX2" s="38" t="str">
        <f>if(countif(kr.hwb,$D2),"X","")</f>
        <v>X</v>
      </c>
      <c r="AY2" s="38" t="str">
        <f>if(countif(kr.ec,$D2),"X","")</f>
        <v>X</v>
      </c>
      <c r="AZ2" s="38" t="str">
        <f>if(countif(kr.egt,$D2),"X","")</f>
        <v>X</v>
      </c>
      <c r="BA2" s="38"/>
      <c r="BB2" s="38" t="str">
        <f>if(countif(kr.erd,$D2),"X","")</f>
        <v>X</v>
      </c>
      <c r="BC2" s="38" t="str">
        <f>if(countif(kr.gkxn,$D2),"X","")</f>
        <v>X</v>
      </c>
      <c r="BD2" s="38" t="str">
        <f>IFERROR(__xludf.DUMMYFUNCTION("if(countif(kr.gen,CONCATENATE(regexextract(C2,""[\w]* [\w]*""), ""*"")),""X"","""")"),"")</f>
        <v/>
      </c>
      <c r="BE2" s="38" t="str">
        <f>if(countif(kr.hcc,$D2),"X","")</f>
        <v>X</v>
      </c>
      <c r="BF2" s="38" t="str">
        <f>if(countif(kr.kmp,$D2),"X","")</f>
        <v>X</v>
      </c>
      <c r="BG2" s="38" t="str">
        <f>if(countif(kr.lu2,$D2),"X","")</f>
        <v>X</v>
      </c>
      <c r="BH2" s="38" t="str">
        <f>if(countif(kr.myc,$D2),"X","")</f>
        <v>X</v>
      </c>
      <c r="BI2" s="38" t="str">
        <f>if(countif(kr.nar,$D2),"X","")</f>
        <v>X</v>
      </c>
      <c r="BJ2" s="38" t="str">
        <f>if(countif(kr.que,$D2),"X","")</f>
        <v>X</v>
      </c>
      <c r="BK2" s="39"/>
      <c r="BL2" s="40" t="str">
        <f>IFERROR(__xludf.DUMMYFUNCTION(" CONCATENATE( 
if (regexmatch(I2, ""^[A-Za-z\.\_]+""), ""L"", 
if(regexmatch(AB2, ""^[A-Za-z\.\_]+""),""S"","""")),
if(AU2=""X"",""K"",""""))"),"K")</f>
        <v>K</v>
      </c>
      <c r="BM2" s="40" t="str">
        <f>IFERROR(__xludf.DUMMYFUNCTION(" CONCATENATE( 
if (regexmatch(J2, ""^[A-Za-z\.\_]+""), ""L"", 
if(regexmatch(AC2, ""^[A-Za-z\.\_]+""),""S"","""")),
if(AV2=""X"",""K"",""""))"),"K")</f>
        <v>K</v>
      </c>
      <c r="BN2" s="40" t="str">
        <f>IFERROR(__xludf.DUMMYFUNCTION(" CONCATENATE( 
if (regexmatch(K2, ""^[A-Za-z\.\_]+""), ""L"", 
if(regexmatch(AD2, ""^[A-Za-z\.\_]+""),""S"","""")),
if(AW2=""X"",""K"",""""))"),"LK")</f>
        <v>LK</v>
      </c>
      <c r="BO2" s="40" t="str">
        <f>IFERROR(__xludf.DUMMYFUNCTION(" CONCATENATE( 
if (regexmatch(L2, ""^[A-Za-z\.\_]+""), ""L"", 
if(regexmatch(AE2, ""^[A-Za-z\.\_]+""),""S"","""")),
if(AX2=""X"",""K"",""""))"),"K")</f>
        <v>K</v>
      </c>
      <c r="BP2" s="40" t="str">
        <f>IFERROR(__xludf.DUMMYFUNCTION(" CONCATENATE( 
if (regexmatch(M2, ""^[A-Za-z\.\_]+""), ""L"", 
if(regexmatch(AF2, ""^[A-Za-z\.\_]+""),""S"","""")),
if(AY2=""X"",""K"",""""))"),"K")</f>
        <v>K</v>
      </c>
      <c r="BQ2" s="40" t="str">
        <f>IFERROR(__xludf.DUMMYFUNCTION("CONCATENATE( 
if (regexmatch(O2, ""^[A-Za-z\.\_]+""), ""L"", 
if(regexmatch(AH2, ""^[A-Za-z\.\_]+""),""S"","""")),
if(AZ2=""X"",""K"",""""))"),"K")</f>
        <v>K</v>
      </c>
      <c r="BR2" s="40" t="str">
        <f>IFERROR(__xludf.DUMMYFUNCTION("CONCATENATE( 
if (regexmatch(Q2, ""^[A-Za-z\.\_]+""), ""L"", 
if(regexmatch(AJ2, ""^[A-Za-z\.\_]+""),""S"","""")),
if(BA2=""X"",""K"",""""))"),"")</f>
        <v/>
      </c>
      <c r="BS2" s="40" t="str">
        <f>IFERROR(__xludf.DUMMYFUNCTION(" CONCATENATE( 
if (regexmatch(R2, ""^[A-Za-z\.\_]+""), ""L"", 
if(regexmatch(AK2, ""^[A-Za-z\.\_]+""),""S"","""")),
if(BB2=""X"",""K"",""""))"),"K")</f>
        <v>K</v>
      </c>
      <c r="BT2" s="40" t="str">
        <f>IFERROR(__xludf.DUMMYFUNCTION("CONCATENATE( 
if (regexmatch(S2, ""^[A-Za-z\.\_]+""), ""L"", 
if(regexmatch(AL2, ""^[A-Za-z\.\_]+""),""S"","""")),
if(BC2=""X"",""K"",""""))"),"K")</f>
        <v>K</v>
      </c>
      <c r="BU2" s="40" t="str">
        <f>IFERROR(__xludf.DUMMYFUNCTION("CONCATENATE( 
if (regexmatch(T2, ""^[A-Za-z\.\_]+""), ""L"", 
if(regexmatch(AM2, ""^[A-Za-z\.\_]+""),""S"","""")),
if(BD2=""X"",""K"",""""))"),"")</f>
        <v/>
      </c>
      <c r="BV2" s="40" t="str">
        <f>IFERROR(__xludf.DUMMYFUNCTION("CONCATENATE( 
if (regexmatch(U2, ""^[A-Za-z\.\_]+""), ""L"", 
if(regexmatch(AN2, ""^[A-Za-z\.\_]+""),""S"","""")),
if(BE2=""X"",""K"",""""))"),"K")</f>
        <v>K</v>
      </c>
      <c r="BW2" s="40" t="str">
        <f>IFERROR(__xludf.DUMMYFUNCTION(" CONCATENATE( 
if (regexmatch(V2, ""^[A-Za-z\.\_]+""), ""L"", 
if(regexmatch(AO2, ""^[A-Za-z\.\_]+""),""S"","""")),
if(BF2=""X"",""K"",""""))"),"K")</f>
        <v>K</v>
      </c>
      <c r="BX2" s="40" t="str">
        <f>IFERROR(__xludf.DUMMYFUNCTION("CONCATENATE( 
if (regexmatch(W2, ""^[A-Za-z\.\_]+""), ""L"", 
if(regexmatch(AP2, ""^[A-Za-z\.\_]+""),""S"","""")),
if(BG2=""X"",""K"",""""))"),"K")</f>
        <v>K</v>
      </c>
      <c r="BY2" s="40" t="str">
        <f>IFERROR(__xludf.DUMMYFUNCTION("CONCATENATE( 
if (regexmatch(X2, ""^[A-Za-z\.\_]+""), ""L"", 
if(regexmatch(AQ2, ""^[A-Za-z\.\_]+""),""S"","""")),
if(BH2=""X"",""K"",""""))"),"K")</f>
        <v>K</v>
      </c>
      <c r="BZ2" s="40" t="str">
        <f>IFERROR(__xludf.DUMMYFUNCTION("CONCATENATE( 
if (regexmatch(Y2, ""^[A-Za-z\.\_]+""), ""L"", 
if(regexmatch(AR2, ""^[A-Za-z\.\_]+""),""S"","""")),
if(BI2=""X"",""K"",""""))"),"K")</f>
        <v>K</v>
      </c>
      <c r="CA2" s="40" t="str">
        <f>IFERROR(__xludf.DUMMYFUNCTION("CONCATENATE( 
if (regexmatch(Z2, ""^[A-Za-z\.\_]+""), ""L"", 
if(regexmatch(AS2, ""^[A-Za-z\.\_]+""),""S"","""")),
if(BJ2=""X"",""K"",""""))"),"K")</f>
        <v>K</v>
      </c>
      <c r="CB2" s="39"/>
      <c r="CC2" s="39"/>
      <c r="CD2" s="39"/>
      <c r="CE2" s="39"/>
      <c r="CF2" s="39"/>
      <c r="CG2" s="39"/>
      <c r="CH2" s="39"/>
      <c r="CI2" s="39"/>
      <c r="CJ2" s="39"/>
      <c r="CK2" s="39"/>
      <c r="CL2" s="39"/>
      <c r="CM2" s="39"/>
      <c r="CN2" s="39"/>
      <c r="CO2" s="39"/>
      <c r="CP2" s="39"/>
      <c r="CQ2" s="39"/>
      <c r="CR2" s="39"/>
    </row>
    <row r="3">
      <c r="A3" s="25">
        <v>119.0</v>
      </c>
      <c r="B3" s="26" t="s">
        <v>75</v>
      </c>
      <c r="C3" s="41" t="s">
        <v>76</v>
      </c>
      <c r="D3" s="27" t="str">
        <f>IFERROR(__xludf.DUMMYFUNCTION("CONCATENATE(regexextract($C3,""[\w]* [\w]*""), ""*"")"),"Amborella trichopoda*")</f>
        <v>Amborella trichopoda*</v>
      </c>
      <c r="E3" s="42" t="s">
        <v>77</v>
      </c>
      <c r="F3" s="29">
        <v>13333.0</v>
      </c>
      <c r="G3" s="43" t="s">
        <v>78</v>
      </c>
      <c r="H3" s="31"/>
      <c r="I3" s="32" t="str">
        <f>CONCATENATE(
if(countif(dd.agi,$D3),"D",""),
if(countif(knap.agi,$D3),"K",""),
if(countif(mic.agi,$D3),"M",""),
if(countif(nap.agi,$D3),"N",""),
if(countif(np.agi,$D3),"P",""),
if(countif(imp.agi,$D3),"T",""),
if(countif(us.agi,$D3),"U",""),
if(countif(var.agi,$D3),"V","")
)</f>
        <v/>
      </c>
      <c r="J3" s="32" t="str">
        <f>
CONCATENATE(
if(countif(nap.bun,$D3),"N",""),
if(countif(np.bun,$D3),"P","")
)
</f>
        <v/>
      </c>
      <c r="K3" s="32" t="str">
        <f>CONCATENATE(
if(countif(dd.kxn,$D3),"D",""),
if(countif(knap.kxn,$D3),"K",""),
if(countif(mic.kxn,$D3),"M",""),
if(countif(nap.kxn,$D3),"N",""),
if(countif(np.kxn,$D3),"P",""),
if(countif(us.kxn,$D3),"U",""),
if(countif(var.kxn,$D3),"V","")
)</f>
        <v>V</v>
      </c>
      <c r="L3" s="32" t="str">
        <f>
CONCATENATE(
if(countif(dd.hwb,$D3),"D",""),
if(countif(knap.hwb,$D3),"K",""),
if(countif(mic.hwb,$D3),"M",""),
if(countif(nap.hwb,$D3),"N",""),
if(countif(np.hwb,$D3),"P",""),
if(countif(us.hwb,$D3),"U",""),
if(countif(imp.hwb,$D3),"T",""),
if(countif(var.hwb,$D3),"V","")
)</f>
        <v/>
      </c>
      <c r="M3" s="32" t="str">
        <f>CONCATENATE(
if(countif(dd.epc,$D3),"D",""),
if(countif(knap.ekxn,$D3),"K",""),
if(countif(mic.ekxn,$D3),"M",""),
if(countif(nap.ekxn,$D3),"N",""),
if(countif(np.ekxn,$D3),"P",""),
if(countif(imp.epc,$D3),"T",""),
if(countif(us.ekxn,$D3),"U",""),
if(countif(var.ekxn,$D3),"V","")
)</f>
        <v>V</v>
      </c>
      <c r="N3" s="32" t="str">
        <f>
CONCATENATE(
if(countif(dd.ecg,$D3),"D",""),
if(countif(mic.ecg,$D3),"M",""),
if(countif(np.ecg,$D3),"P",""),
if(countif(imp.ecg,$D3),"T",""),
if(countif(us.ecg,$D3),"U","")
)</f>
        <v/>
      </c>
      <c r="O3" s="32" t="str">
        <f>
CONCATENATE(
if(countif(dd.egt,$D3),"D",""),
if(countif(mic.egt,$D3),"M",""),
if(countif(nap.egt,$D3),"N",""),
if(countif(us.egt,$D3),"U",""),
if(countif(var.egt,$D3),"V",""))
</f>
        <v/>
      </c>
      <c r="P3" s="32" t="str">
        <f>CONCATENATE(
if(countif(knap.egcg,$D3),"K",""),
if(countif(mic.egcg,$D3),"M",""),
if(countif(np.egcg,$D3),"P",""),
if(countif(us.egcg,$D3),"U","")
)</f>
        <v/>
      </c>
      <c r="Q3" s="32" t="str">
        <f>CONCATENATE(if(countif(np.ecit,$D3),"P",""),
if(countif(nap.ecit,$D3),"A",""))</f>
        <v/>
      </c>
      <c r="R3" s="32" t="str">
        <f>
CONCATENATE(
if(countif(nap.erd,$D3),"N",""),
if(countif(np.erd,$D3),"P",""),
if(countif(var.erd,$D3),"V",""))</f>
        <v>V</v>
      </c>
      <c r="S3" s="32" t="str">
        <f>
CONCATENATE(
if(countif(dd.gkxn,$D3),"D",""),
if(countif(knap.gkxn,$D3),"K",""),
if(countif(nap.gkxn,$D3),"N",""),
if(countif(np.gkxn,$D3),"P",""),
if(countif(imp.gkxn,$D3),"T",""),
if(countif(var.gkxn,$D3),"V",""))</f>
        <v/>
      </c>
      <c r="T3" s="32" t="str">
        <f>
CONCATENATE(
if(countif(dd.gen,$C3),"D",""),
if(countif(knap.gen,$C3),"K",""),
if(countif(nap.gen,$C3),"N",""),
if(countif(np.gen,$C3),"P",""),
if(countif(imp.gen,$C3),"T",""),
if(countif(var.gen,$C3),"V",""))</f>
        <v>V</v>
      </c>
      <c r="U3" s="32" t="str">
        <f>
CONCATENATE(
if(countif(dd.hcc,$D3),"D",""),
if(countif(knap.hcc,$D3),"K",""),
if(countif(np.hcc,$D3),"P","")
)
</f>
        <v/>
      </c>
      <c r="V3" s="32" t="str">
        <f>
CONCATENATE(
if(countif(dd.kmp,$D3),"D",""),
if(countif(knap.kmp,$D3),"K",""),
if(countif(mic.kmp,$D3),"M",""),
if(countif(nap.kmp,$D3),"N",""),
if(countif(np.kmp,$D3),"P",""),
if(countif(imp.kmp,$D3),"T",""),
if(countif(us.kmp,$D3),"U",""),
if(countif(var.kmp,$D3),"V",""))</f>
        <v/>
      </c>
      <c r="W3" s="32" t="str">
        <f>
CONCATENATE(
if(countif(dd.lu2,$D3),"D",""),
if(countif(knap.lu2,$D3),"K",""),
if(countif(mic.lu2,$D3),"M",""),
if(countif(nap.lu2,$D3),"N",""),
if(countif(np.lu2,$D3),"P",""),
if(countif(imp.lu2,$D3),"T",""),
if(countif(us.lu2,$D3),"U",""),
if(countif(var.lu2,$D3),"V",""))</f>
        <v>V</v>
      </c>
      <c r="X3" s="32" t="str">
        <f>
CONCATENATE(
if(countif(dd.myc,$D3),"D",""),
if(countif(knap.myc,$D3),"K",""), 
if(countif(mic.myc,$D3),"M",""),
if(countif(nap.myc,$D3),"N",""),
if(countif(np.myc,$D3),"P",""),
if(countif(imp.myc,$D3),"T",""),
if(countif(us.myc,$D3),"U",""),
if(countif(var.myc,$D3),"V",""))</f>
        <v/>
      </c>
      <c r="Y3" s="32" t="str">
        <f>CONCATENATE(
if(countif(dd.nar,$D3),"D",""),
if(countif(knap.nar,$D3),"K",""),
if(countif(nap.nar,$D3),"N",""),
if(countif(np.nar,$D3),"P",""),
if(countif(imp.nar,$D3),"T",""),
if(countif(us.nar,$D3),"U",""),
if(countif(var.nar,$D3),"V",""))</f>
        <v>V</v>
      </c>
      <c r="Z3" s="33" t="str">
        <f>
CONCATENATE(
if(countif(dd.que,$D3),"D",""),
if(countif(knap.que,$D3),"K",""),
if(countif(mic.que,$D3),"M",""),
if(countif(nap.que,$D3),"N",""),
if(countif(np.que,$D3),"P",""),
if(countif(imp.que,$D3),"T",""),
if(countif(us.que,$D3),"U",""),
if(countif(var.que,$D3),"V",""))</f>
        <v>V</v>
      </c>
      <c r="AA3" s="32"/>
      <c r="AB3" s="34" t="str">
        <f>
CONCATENATE(if(countif(knap.agi.sim,$D3),"K",""),
if(countif(dd.agi.sim,$D3),"D",""),
if(countif(nap.agi.sim,$D3),"A",""),
if(countif(var.agi.sim,$D3),"V",""))</f>
        <v/>
      </c>
      <c r="AC3" s="34" t="str">
        <f>
if(countif(nap.bun.sim,$D3),"A","")</f>
        <v/>
      </c>
      <c r="AD3" s="34" t="str">
        <f>
CONCATENATE(if(countif(knap.kxn.sim,$D3),"K",""),
if(countif(np.kxn.sim,$D3),"P",""),
if(countif(dd.kxn.sim,$D3),"D",""),
if(countif(nap.kxn.sim,$D3),"A",""),
if(countif(var.kxn.sim,$D3),"V",""))</f>
        <v>V</v>
      </c>
      <c r="AE3" s="34" t="str">
        <f>
CONCATENATE(if(countif(knap.hwb.sim,$D3),"K",""),
if(countif(np.hwb.sim,$D3),"P",""),
if(countif(mic.hwb.sim,$D3),"M",""),
if(countif(imp.hwb.sim,$D3),"T",""),
if(countif(dd.cyan.sim,$D3),"D",""),
if(countif(nap.hwb.sim,$D3),"A",""),
if(countif(var.hwb.sim,$D3),"V",""))</f>
        <v>V</v>
      </c>
      <c r="AF3" s="34" t="str">
        <f>
CONCATENATE(if(countif(us.ekxn.sim,$D3),"U",""),
if(countif(knap.ekxn.sim,$D3),"K",""),
if(countif(np.ekxn.sim,$D3),"P",""),
if(countif(mic.ekxn.sim,$D3),"M",""),
if(countif(imp.epc.sim,$D3),"T",""),
if(countif(nap.ekxn.sim,$D3),"A",""))</f>
        <v/>
      </c>
      <c r="AG3" s="34"/>
      <c r="AH3" s="34" t="str">
        <f>
CONCATENATE(if(countif(us.egt.sim,$D3),"U",""),
if(countif(knap.egt.sim,$D3),"K",""),
if(countif(np.egt.sim,$D3),"P",""),
if(countif(mic.egt.sim,$D3),"M",""))</f>
        <v/>
      </c>
      <c r="AI3" s="34"/>
      <c r="AJ3" s="34" t="str">
        <f>if(countif(nap.ecit.sim,$D3),"A","")</f>
        <v/>
      </c>
      <c r="AK3" s="34" t="str">
        <f>
CONCATENATE(if(countif(nap.erd,$D3),"M",""),
if(countif(nap.erd.sim,$D3),"A",""),
if(countif(var.erd.sim,$D3),"V",""))</f>
        <v>V</v>
      </c>
      <c r="AL3" s="34" t="str">
        <f>
CONCATENATE(if(countif(knap.gkxn.sim,$D3),"K",""),
if(countif(nap.gkxn.sim,$D3),"A",""))</f>
        <v/>
      </c>
      <c r="AM3" s="34" t="str">
        <f>
CONCATENATE(if(countif(knap.gen.sim,$C3),"K",""),
if(countif(imp.gen.sim,$C3),"T",""),
if(countif(dd.gen.sim,$C3),"D",""),
if(countif(nap.gen.sim,$C3),"A",""),
if(countif(var.gen.sim,$C3),"V",""))
</f>
        <v/>
      </c>
      <c r="AN3" s="34" t="str">
        <f>IFERROR(__xludf.DUMMYFUNCTION("
if(countif(#REF!,CONCATENATE(regexextract($C3,""[\w]* [\w]*""), ""*"")),""V"","""")"),"")</f>
        <v/>
      </c>
      <c r="AO3" s="34" t="str">
        <f>
CONCATENATE(if(countif(knap.kmp.sim,$D3),"K",""),
if(countif(np.kmp.sim,$D3),"P",""),
if(countif(imp.kmp.sim,$D3),"T",""),
if(countif(dd.kmp,$D3),"D",""),
if(countif(nap.kmp.sim,$D3),"A",""),
if(countif(var.kmp.sim,$D3),"V",""))</f>
        <v>V</v>
      </c>
      <c r="AP3" s="34" t="str">
        <f>
CONCATENATE(if(countif(knap.lu2.sim,$D3),"K",""),
if(countif(np.lu2.sim,$D3),"P",""),
if(countif(imp.lu2.sim,$D3),"T",""),
if(countif(dd.lu2.sim,$D3),"D",""),
if(countif(nap.lu2.sim,$D3),"A",""),
if(countif(var.lu2.sim,$D3),"V",""))</f>
        <v>V</v>
      </c>
      <c r="AQ3" s="34" t="str">
        <f>
CONCATENATE(if(countif(np.myc.sim,$D3),"P",""),
if(countif(imp.myc.sim,$D3),"T",""),
if(countif(nap.myc.sim,$D3),"A",""))
</f>
        <v/>
      </c>
      <c r="AR3" s="36" t="str">
        <f>
CONCATENATE(if(countif(knap.nar.sim,$D3),"K",""),
if(countif(np.nar.sim,$D3),"P",""),
if(countif(imp.nar.sim,$D3),"T",""),
if(countif(dd.nar.sim,$D3),"D",""),
if(countif(nap.nar.sim,$D3),"A",""),
if(countif(var.nar.sim,$D3),"V",""))</f>
        <v>V</v>
      </c>
      <c r="AS3" s="34" t="str">
        <f>
CONCATENATE(if(countif(knap.que.sim,$D3),"K",""),
if(countif(np.que.sim,$D3),"P",""),
if(countif(imp.que.sim,$D3),"T",""),
if(countif(dd.que.sim,$D3),"D",""),
if(countif(nap.que.sim,$D3),"A",""),
if(countif(var.que.sim,$D3),"V",""))</f>
        <v>V</v>
      </c>
      <c r="AT3" s="37"/>
      <c r="AU3" s="32" t="str">
        <f>IFERROR(__xludf.DUMMYFUNCTION("if(countif(kr.agi, CONCATENATE(regexextract($C3,""[\w]* [\w]*""), ""*"")),""X"","""")"),"")</f>
        <v/>
      </c>
      <c r="AV3" s="38" t="str">
        <f>IFERROR(__xludf.DUMMYFUNCTION("if(countif(kr.bun,CONCATENATE(regexextract($C3,""[\w]* [\w]*""), ""*"")),""X"","""")"),"X")</f>
        <v>X</v>
      </c>
      <c r="AW3" s="38" t="str">
        <f>IFERROR(__xludf.DUMMYFUNCTION("if(countif(kr.kxn,CONCATENATE(regexextract($C3,""[\w]* [\w]*""), ""*"")),""X"","""")"),"X")</f>
        <v>X</v>
      </c>
      <c r="AX3" s="38" t="str">
        <f>IFERROR(__xludf.DUMMYFUNCTION("if(countif(kr.hwb,CONCATENATE(regexextract($C3,""[\w]* [\w]*""), ""*"")),""X"","""")"),"X")</f>
        <v>X</v>
      </c>
      <c r="AY3" s="38" t="str">
        <f>IFERROR(__xludf.DUMMYFUNCTION("if(countif(kr.ec,CONCATENATE(regexextract($C3,""[\w]* [\w]*""), ""*"")),""X"","""")"),"X")</f>
        <v>X</v>
      </c>
      <c r="AZ3" s="38" t="str">
        <f>IFERROR(__xludf.DUMMYFUNCTION("if(countif(kr.egt,CONCATENATE(regexextract($C3,""[\w]* [\w]*""), ""*"")),""X"","""")"),"")</f>
        <v/>
      </c>
      <c r="BA3" s="38"/>
      <c r="BB3" s="38" t="str">
        <f>IFERROR(__xludf.DUMMYFUNCTION("if(countif(kr.erd,CONCATENATE(regexextract($C3,""[\w]* [\w]*""), ""*"")),""X"","""")"),"X")</f>
        <v>X</v>
      </c>
      <c r="BC3" s="38" t="str">
        <f>IFERROR(__xludf.DUMMYFUNCTION("if(countif(kr.gkxn,CONCATENATE(regexextract($C3,""[\w]* [\w]*""), ""*"")),""X"","""")"),"")</f>
        <v/>
      </c>
      <c r="BD3" s="38" t="str">
        <f>IFERROR(__xludf.DUMMYFUNCTION("if(countif(kr.gen,CONCATENATE(regexextract(C3,""[\w]* [\w]*""), ""*"")),""X"","""")"),"")</f>
        <v/>
      </c>
      <c r="BE3" s="38" t="str">
        <f>IFERROR(__xludf.DUMMYFUNCTION("if(countif(kr.hcc,CONCATENATE(regexextract($C3,""[\w]* [\w]*""), ""*"")),""X"","""")"),"X")</f>
        <v>X</v>
      </c>
      <c r="BF3" s="38" t="str">
        <f>IFERROR(__xludf.DUMMYFUNCTION("if(countif(kr.kmp,CONCATENATE(regexextract($C3,""[\w]* [\w]*""), ""*"")),""X"","""")"),"X")</f>
        <v>X</v>
      </c>
      <c r="BG3" s="38" t="str">
        <f>IFERROR(__xludf.DUMMYFUNCTION("if(countif(kr.lu2,CONCATENATE(regexextract($C3,""[\w]* [\w]*""), ""*"")),""X"","""")"),"")</f>
        <v/>
      </c>
      <c r="BH3" s="38" t="str">
        <f>IFERROR(__xludf.DUMMYFUNCTION("if(countif(kr.myc,CONCATENATE(regexextract($C3,""[\w]* [\w]*""), ""*"")),""X"","""")"),"")</f>
        <v/>
      </c>
      <c r="BI3" s="38" t="str">
        <f>IFERROR(__xludf.DUMMYFUNCTION("if(countif(kr.nar,CONCATENATE(regexextract($C3,""[\w]* [\w]*""), ""*"")),""X"","""")"),"X")</f>
        <v>X</v>
      </c>
      <c r="BJ3" s="38" t="str">
        <f>IFERROR(__xludf.DUMMYFUNCTION("if(countif(kr.que,CONCATENATE(regexextract($C3,""[\w]* [\w]*""), ""*"")),""X"","""")"),"X")</f>
        <v>X</v>
      </c>
      <c r="BK3" s="39"/>
      <c r="BL3" s="40" t="str">
        <f>IFERROR(__xludf.DUMMYFUNCTION(" CONCATENATE( 
if (regexmatch(I3, ""^[A-Za-z\.\_]+""), ""L"", 
if(regexmatch(AB3, ""^[A-Za-z\.\_]+""),""S"","""")),
if(AU3=""X"",""K"",""""))"),"")</f>
        <v/>
      </c>
      <c r="BM3" s="40" t="str">
        <f>IFERROR(__xludf.DUMMYFUNCTION(" CONCATENATE( 
if (regexmatch(J3, ""^[A-Za-z\.\_]+""), ""L"", 
if(regexmatch(AC3, ""^[A-Za-z\.\_]+""),""S"","""")),
if(AV3=""X"",""K"",""""))"),"K")</f>
        <v>K</v>
      </c>
      <c r="BN3" s="40" t="str">
        <f>IFERROR(__xludf.DUMMYFUNCTION(" CONCATENATE( 
if (regexmatch(K3, ""^[A-Za-z\.\_]+""), ""L"", 
if(regexmatch(AD3, ""^[A-Za-z\.\_]+""),""S"","""")),
if(AW3=""X"",""K"",""""))"),"LK")</f>
        <v>LK</v>
      </c>
      <c r="BO3" s="40" t="str">
        <f>IFERROR(__xludf.DUMMYFUNCTION(" CONCATENATE( 
if (regexmatch(L3, ""^[A-Za-z\.\_]+""), ""L"", 
if(regexmatch(AE3, ""^[A-Za-z\.\_]+""),""S"","""")),
if(AX3=""X"",""K"",""""))"),"SK")</f>
        <v>SK</v>
      </c>
      <c r="BP3" s="40" t="str">
        <f>IFERROR(__xludf.DUMMYFUNCTION(" CONCATENATE( 
if (regexmatch(M3, ""^[A-Za-z\.\_]+""), ""L"", 
if(regexmatch(AF3, ""^[A-Za-z\.\_]+""),""S"","""")),
if(AY3=""X"",""K"",""""))"),"LK")</f>
        <v>LK</v>
      </c>
      <c r="BQ3" s="40" t="str">
        <f>IFERROR(__xludf.DUMMYFUNCTION("CONCATENATE( 
if (regexmatch(O3, ""^[A-Za-z\.\_]+""), ""L"", 
if(regexmatch(AH3, ""^[A-Za-z\.\_]+""),""S"","""")),
if(AZ3=""X"",""K"",""""))"),"")</f>
        <v/>
      </c>
      <c r="BR3" s="40" t="str">
        <f>IFERROR(__xludf.DUMMYFUNCTION("CONCATENATE( 
if (regexmatch(Q3, ""^[A-Za-z\.\_]+""), ""L"", 
if(regexmatch(AJ3, ""^[A-Za-z\.\_]+""),""S"","""")),
if(BA3=""X"",""K"",""""))"),"")</f>
        <v/>
      </c>
      <c r="BS3" s="40" t="str">
        <f>IFERROR(__xludf.DUMMYFUNCTION(" CONCATENATE( 
if (regexmatch(R3, ""^[A-Za-z\.\_]+""), ""L"", 
if(regexmatch(AK3, ""^[A-Za-z\.\_]+""),""S"","""")),
if(BB3=""X"",""K"",""""))"),"LK")</f>
        <v>LK</v>
      </c>
      <c r="BT3" s="40" t="str">
        <f>IFERROR(__xludf.DUMMYFUNCTION("CONCATENATE( 
if (regexmatch(S3, ""^[A-Za-z\.\_]+""), ""L"", 
if(regexmatch(AL3, ""^[A-Za-z\.\_]+""),""S"","""")),
if(BC3=""X"",""K"",""""))"),"")</f>
        <v/>
      </c>
      <c r="BU3" s="40" t="str">
        <f>IFERROR(__xludf.DUMMYFUNCTION("CONCATENATE( 
if (regexmatch(T3, ""^[A-Za-z\.\_]+""), ""L"", 
if(regexmatch(AM3, ""^[A-Za-z\.\_]+""),""S"","""")),
if(BD3=""X"",""K"",""""))"),"L")</f>
        <v>L</v>
      </c>
      <c r="BV3" s="40" t="str">
        <f>IFERROR(__xludf.DUMMYFUNCTION("CONCATENATE( 
if (regexmatch(U3, ""^[A-Za-z\.\_]+""), ""L"", 
if(regexmatch(AN3, ""^[A-Za-z\.\_]+""),""S"","""")),
if(BE3=""X"",""K"",""""))"),"K")</f>
        <v>K</v>
      </c>
      <c r="BW3" s="40" t="str">
        <f>IFERROR(__xludf.DUMMYFUNCTION(" CONCATENATE( 
if (regexmatch(V3, ""^[A-Za-z\.\_]+""), ""L"", 
if(regexmatch(AO3, ""^[A-Za-z\.\_]+""),""S"","""")),
if(BF3=""X"",""K"",""""))"),"SK")</f>
        <v>SK</v>
      </c>
      <c r="BX3" s="40" t="str">
        <f>IFERROR(__xludf.DUMMYFUNCTION("CONCATENATE( 
if (regexmatch(W3, ""^[A-Za-z\.\_]+""), ""L"", 
if(regexmatch(AP3, ""^[A-Za-z\.\_]+""),""S"","""")),
if(BG3=""X"",""K"",""""))"),"L")</f>
        <v>L</v>
      </c>
      <c r="BY3" s="40" t="str">
        <f>IFERROR(__xludf.DUMMYFUNCTION("CONCATENATE( 
if (regexmatch(X3, ""^[A-Za-z\.\_]+""), ""L"", 
if(regexmatch(AQ3, ""^[A-Za-z\.\_]+""),""S"","""")),
if(BH3=""X"",""K"",""""))"),"")</f>
        <v/>
      </c>
      <c r="BZ3" s="40" t="str">
        <f>IFERROR(__xludf.DUMMYFUNCTION("CONCATENATE( 
if (regexmatch(Y3, ""^[A-Za-z\.\_]+""), ""L"", 
if(regexmatch(AR3, ""^[A-Za-z\.\_]+""),""S"","""")),
if(BI3=""X"",""K"",""""))"),"LK")</f>
        <v>LK</v>
      </c>
      <c r="CA3" s="40" t="str">
        <f>IFERROR(__xludf.DUMMYFUNCTION("CONCATENATE( 
if (regexmatch(Z3, ""^[A-Za-z\.\_]+""), ""L"", 
if(regexmatch(AS3, ""^[A-Za-z\.\_]+""),""S"","""")),
if(BJ3=""X"",""K"",""""))"),"LK")</f>
        <v>LK</v>
      </c>
      <c r="CB3" s="39"/>
      <c r="CC3" s="39"/>
      <c r="CD3" s="39"/>
      <c r="CE3" s="39"/>
      <c r="CF3" s="39"/>
      <c r="CG3" s="39"/>
      <c r="CH3" s="39"/>
      <c r="CI3" s="39"/>
      <c r="CJ3" s="39"/>
      <c r="CK3" s="39"/>
      <c r="CL3" s="39"/>
      <c r="CM3" s="39"/>
      <c r="CN3" s="39"/>
      <c r="CO3" s="39"/>
      <c r="CP3" s="39"/>
      <c r="CQ3" s="39"/>
      <c r="CR3" s="39"/>
    </row>
    <row r="4">
      <c r="A4" s="25">
        <v>1.0</v>
      </c>
      <c r="B4" s="44" t="s">
        <v>79</v>
      </c>
      <c r="C4" s="27" t="s">
        <v>80</v>
      </c>
      <c r="D4" s="27" t="str">
        <f>IFERROR(__xludf.DUMMYFUNCTION("CONCATENATE(regexextract($C4,""[\w]* [\w]*""), ""*"")"),"Arabidopsis lyrata*")</f>
        <v>Arabidopsis lyrata*</v>
      </c>
      <c r="E4" s="28" t="s">
        <v>81</v>
      </c>
      <c r="F4" s="29">
        <v>59689.0</v>
      </c>
      <c r="G4" s="45" t="s">
        <v>82</v>
      </c>
      <c r="H4" s="31"/>
      <c r="I4" s="32" t="str">
        <f>CONCATENATE(
if(countif(dd.agi,$D4),"D",""),
if(countif(knap.agi,$D4),"K",""),
if(countif(mic.agi,$D4),"M",""),
if(countif(nap.agi,$D4),"N",""),
if(countif(np.agi,$D4),"P",""),
if(countif(imp.agi,$D4),"T",""),
if(countif(us.agi,$D4),"U",""),
if(countif(var.agi,$D4),"V","")
)</f>
        <v/>
      </c>
      <c r="J4" s="32" t="str">
        <f>
CONCATENATE(
if(countif(nap.bun,$D4),"N",""),
if(countif(np.bun,$D4),"P","")
)
</f>
        <v/>
      </c>
      <c r="K4" s="32" t="str">
        <f>CONCATENATE(
if(countif(dd.kxn,$D4),"D",""),
if(countif(knap.kxn,$D4),"K",""),
if(countif(mic.kxn,$D4),"M",""),
if(countif(nap.kxn,$D4),"N",""),
if(countif(np.kxn,$D4),"P",""),
if(countif(us.kxn,$D4),"U",""),
if(countif(var.kxn,$D4),"V","")
)</f>
        <v/>
      </c>
      <c r="L4" s="32" t="str">
        <f>
CONCATENATE(
if(countif(dd.hwb,$D4),"D",""),
if(countif(knap.hwb,$D4),"K",""),
if(countif(mic.hwb,$D4),"M",""),
if(countif(nap.hwb,$D4),"N",""),
if(countif(np.hwb,$D4),"P",""),
if(countif(us.hwb,$D4),"U",""),
if(countif(imp.hwb,$D4),"T",""),
if(countif(var.hwb,$D4),"V","")
)</f>
        <v/>
      </c>
      <c r="M4" s="32" t="str">
        <f>CONCATENATE(
if(countif(dd.epc,$D4),"D",""),
if(countif(knap.ekxn,$D4),"K",""),
if(countif(mic.ekxn,$D4),"M",""),
if(countif(nap.ekxn,$D4),"N",""),
if(countif(np.ekxn,$D4),"P",""),
if(countif(imp.epc,$D4),"T",""),
if(countif(us.ekxn,$D4),"U",""),
if(countif(var.ekxn,$D4),"V","")
)</f>
        <v/>
      </c>
      <c r="N4" s="32" t="str">
        <f>
CONCATENATE(
if(countif(dd.ecg,$D4),"D",""),
if(countif(mic.ecg,$D4),"M",""),
if(countif(np.ecg,$D4),"P",""),
if(countif(imp.ecg,$D4),"T",""),
if(countif(us.ecg,$D4),"U","")
)</f>
        <v/>
      </c>
      <c r="O4" s="32" t="str">
        <f>
CONCATENATE(
if(countif(dd.egt,$D4),"D",""),
if(countif(mic.egt,$D4),"M",""),
if(countif(nap.egt,$D4),"N",""),
if(countif(us.egt,$D4),"U",""),
if(countif(var.egt,$D4),"V",""))
</f>
        <v/>
      </c>
      <c r="P4" s="32" t="str">
        <f>CONCATENATE(
if(countif(knap.egcg,$D4),"K",""),
if(countif(mic.egcg,$D4),"M",""),
if(countif(np.egcg,$D4),"P",""),
if(countif(us.egcg,$D4),"U","")
)</f>
        <v/>
      </c>
      <c r="Q4" s="32" t="str">
        <f>CONCATENATE(if(countif(np.ecit,$D4),"P",""),
if(countif(nap.ecit,$D4),"A",""))</f>
        <v/>
      </c>
      <c r="R4" s="32" t="str">
        <f>
CONCATENATE(
if(countif(nap.erd,$D4),"N",""),
if(countif(np.erd,$D4),"P",""),
if(countif(var.erd,$D4),"V",""))</f>
        <v/>
      </c>
      <c r="S4" s="32" t="str">
        <f>
CONCATENATE(
if(countif(dd.gkxn,$D4),"D",""),
if(countif(knap.gkxn,$D4),"K",""),
if(countif(nap.gkxn,$D4),"N",""),
if(countif(np.gkxn,$D4),"P",""),
if(countif(imp.gkxn,$D4),"T",""),
if(countif(var.gkxn,$D4),"V",""))</f>
        <v/>
      </c>
      <c r="T4" s="32" t="str">
        <f>
CONCATENATE(
if(countif(dd.gen,$C4),"D",""),
if(countif(knap.gen,$C4),"K",""),
if(countif(nap.gen,$C4),"N",""),
if(countif(np.gen,$C4),"P",""),
if(countif(imp.gen,$C4),"T",""),
if(countif(var.gen,$C4),"V",""))</f>
        <v/>
      </c>
      <c r="U4" s="32" t="str">
        <f>
CONCATENATE(
if(countif(dd.hcc,$D4),"D",""),
if(countif(knap.hcc,$D4),"K",""),
if(countif(np.hcc,$D4),"P","")
)
</f>
        <v/>
      </c>
      <c r="V4" s="32" t="str">
        <f>
CONCATENATE(
if(countif(dd.kmp,$D4),"D",""),
if(countif(knap.kmp,$D4),"K",""),
if(countif(mic.kmp,$D4),"M",""),
if(countif(nap.kmp,$D4),"N",""),
if(countif(np.kmp,$D4),"P",""),
if(countif(imp.kmp,$D4),"T",""),
if(countif(us.kmp,$D4),"U",""),
if(countif(var.kmp,$D4),"V",""))</f>
        <v/>
      </c>
      <c r="W4" s="32" t="str">
        <f>
CONCATENATE(
if(countif(dd.lu2,$D4),"D",""),
if(countif(knap.lu2,$D4),"K",""),
if(countif(mic.lu2,$D4),"M",""),
if(countif(nap.lu2,$D4),"N",""),
if(countif(np.lu2,$D4),"P",""),
if(countif(imp.lu2,$D4),"T",""),
if(countif(us.lu2,$D4),"U",""),
if(countif(var.lu2,$D4),"V",""))</f>
        <v/>
      </c>
      <c r="X4" s="32" t="str">
        <f>
CONCATENATE(
if(countif(dd.myc,$D4),"D",""),
if(countif(knap.myc,$D4),"K",""), 
if(countif(mic.myc,$D4),"M",""),
if(countif(nap.myc,$D4),"N",""),
if(countif(np.myc,$D4),"P",""),
if(countif(imp.myc,$D4),"T",""),
if(countif(us.myc,$D4),"U",""),
if(countif(var.myc,$D4),"V",""))</f>
        <v/>
      </c>
      <c r="Y4" s="32" t="str">
        <f>CONCATENATE(
if(countif(dd.nar,$D4),"D",""),
if(countif(knap.nar,$D4),"K",""),
if(countif(nap.nar,$D4),"N",""),
if(countif(np.nar,$D4),"P",""),
if(countif(imp.nar,$D4),"T",""),
if(countif(us.nar,$D4),"U",""),
if(countif(var.nar,$D4),"V",""))</f>
        <v/>
      </c>
      <c r="Z4" s="33" t="str">
        <f>
CONCATENATE(
if(countif(dd.que,$D4),"D",""),
if(countif(knap.que,$D4),"K",""),
if(countif(mic.que,$D4),"M",""),
if(countif(nap.que,$D4),"N",""),
if(countif(np.que,$D4),"P",""),
if(countif(imp.que,$D4),"T",""),
if(countif(us.que,$D4),"U",""),
if(countif(var.que,$D4),"V",""))</f>
        <v/>
      </c>
      <c r="AA4" s="32"/>
      <c r="AB4" s="34" t="str">
        <f>
CONCATENATE(if(countif(knap.agi.sim,$D4),"K",""),
if(countif(dd.agi.sim,$D4),"D",""),
if(countif(nap.agi.sim,$D4),"A",""),
if(countif(var.agi.sim,$D4),"V",""))</f>
        <v/>
      </c>
      <c r="AC4" s="34" t="str">
        <f>
if(countif(nap.bun.sim,$D4),"A","")</f>
        <v/>
      </c>
      <c r="AD4" s="34" t="str">
        <f>
CONCATENATE(if(countif(knap.kxn.sim,$D4),"K",""),
if(countif(np.kxn.sim,$D4),"P",""),
if(countif(dd.kxn.sim,$D4),"D",""),
if(countif(nap.kxn.sim,$D4),"A",""),
if(countif(var.kxn.sim,$D4),"V",""))</f>
        <v/>
      </c>
      <c r="AE4" s="34" t="str">
        <f>
CONCATENATE(if(countif(knap.hwb.sim,$D4),"K",""),
if(countif(np.hwb.sim,$D4),"P",""),
if(countif(mic.hwb.sim,$D4),"M",""),
if(countif(imp.hwb.sim,$D4),"T",""),
if(countif(dd.cyan.sim,$D4),"D",""),
if(countif(nap.hwb.sim,$D4),"A",""),
if(countif(var.hwb.sim,$D4),"V",""))</f>
        <v/>
      </c>
      <c r="AF4" s="34" t="str">
        <f>
CONCATENATE(if(countif(us.ekxn.sim,$D4),"U",""),
if(countif(knap.ekxn.sim,$D4),"K",""),
if(countif(np.ekxn.sim,$D4),"P",""),
if(countif(mic.ekxn.sim,$D4),"M",""),
if(countif(imp.epc.sim,$D4),"T",""),
if(countif(nap.ekxn.sim,$D4),"A",""))</f>
        <v/>
      </c>
      <c r="AG4" s="34"/>
      <c r="AH4" s="34" t="str">
        <f>
CONCATENATE(if(countif(us.egt.sim,$D4),"U",""),
if(countif(knap.egt.sim,$D4),"K",""),
if(countif(np.egt.sim,$D4),"P",""),
if(countif(mic.egt.sim,$D4),"M",""))</f>
        <v/>
      </c>
      <c r="AI4" s="34"/>
      <c r="AJ4" s="34" t="str">
        <f>if(countif(nap.ecit.sim,$D4),"A","")</f>
        <v/>
      </c>
      <c r="AK4" s="34" t="str">
        <f>
CONCATENATE(if(countif(nap.erd,$D4),"M",""),
if(countif(nap.erd.sim,$D4),"A",""),
if(countif(var.erd.sim,$D4),"V",""))</f>
        <v/>
      </c>
      <c r="AL4" s="34" t="str">
        <f>
CONCATENATE(if(countif(knap.gkxn.sim,$D4),"K",""),
if(countif(nap.gkxn.sim,$D4),"A",""))</f>
        <v/>
      </c>
      <c r="AM4" s="34" t="str">
        <f>
CONCATENATE(if(countif(knap.gen.sim,$C4),"K",""),
if(countif(imp.gen.sim,$C4),"T",""),
if(countif(dd.gen.sim,$C4),"D",""),
if(countif(nap.gen.sim,$C4),"A",""),
if(countif(var.gen.sim,$C4),"V",""))
</f>
        <v/>
      </c>
      <c r="AN4" s="34" t="str">
        <f>IFERROR(__xludf.DUMMYFUNCTION("
if(countif(#REF!,CONCATENATE(regexextract($C4,""[\w]* [\w]*""), ""*"")),""V"","""")"),"")</f>
        <v/>
      </c>
      <c r="AO4" s="34" t="str">
        <f>
CONCATENATE(if(countif(knap.kmp.sim,$D4),"K",""),
if(countif(np.kmp.sim,$D4),"P",""),
if(countif(imp.kmp.sim,$D4),"T",""),
if(countif(dd.kmp,$D4),"D",""),
if(countif(nap.kmp.sim,$D4),"A",""),
if(countif(var.kmp.sim,$D4),"V",""))</f>
        <v/>
      </c>
      <c r="AP4" s="34" t="str">
        <f>
CONCATENATE(if(countif(knap.lu2.sim,$D4),"K",""),
if(countif(np.lu2.sim,$D4),"P",""),
if(countif(imp.lu2.sim,$D4),"T",""),
if(countif(dd.lu2.sim,$D4),"D",""),
if(countif(nap.lu2.sim,$D4),"A",""),
if(countif(var.lu2.sim,$D4),"V",""))</f>
        <v/>
      </c>
      <c r="AQ4" s="34" t="str">
        <f>
CONCATENATE(if(countif(np.myc.sim,$D4),"P",""),
if(countif(imp.myc.sim,$D4),"T",""),
if(countif(nap.myc.sim,$D4),"A",""))
</f>
        <v/>
      </c>
      <c r="AR4" s="36" t="str">
        <f>
CONCATENATE(if(countif(knap.nar.sim,$D4),"K",""),
if(countif(np.nar.sim,$D4),"P",""),
if(countif(imp.nar.sim,$D4),"T",""),
if(countif(dd.nar.sim,$D4),"D",""),
if(countif(nap.nar.sim,$D4),"A",""),
if(countif(var.nar.sim,$D4),"V",""))</f>
        <v/>
      </c>
      <c r="AS4" s="34" t="str">
        <f>
CONCATENATE(if(countif(knap.que.sim,$D4),"K",""),
if(countif(np.que.sim,$D4),"P",""),
if(countif(imp.que.sim,$D4),"T",""),
if(countif(dd.que.sim,$D4),"D",""),
if(countif(nap.que.sim,$D4),"A",""),
if(countif(var.que.sim,$D4),"V",""))</f>
        <v/>
      </c>
      <c r="AT4" s="37"/>
      <c r="AU4" s="32" t="str">
        <f>IFERROR(__xludf.DUMMYFUNCTION("if(countif(kr.agi, CONCATENATE(regexextract($C4,""[\w]* [\w]*""), ""*"")),""X"","""")"),"")</f>
        <v/>
      </c>
      <c r="AV4" s="38" t="str">
        <f>IFERROR(__xludf.DUMMYFUNCTION("if(countif(kr.bun,CONCATENATE(regexextract($C4,""[\w]* [\w]*""), ""*"")),""X"","""")"),"X")</f>
        <v>X</v>
      </c>
      <c r="AW4" s="38" t="str">
        <f>IFERROR(__xludf.DUMMYFUNCTION("if(countif(kr.kxn,CONCATENATE(regexextract($C4,""[\w]* [\w]*""), ""*"")),""X"","""")"),"")</f>
        <v/>
      </c>
      <c r="AX4" s="38" t="str">
        <f>IFERROR(__xludf.DUMMYFUNCTION("if(countif(kr.hwb,CONCATENATE(regexextract($C4,""[\w]* [\w]*""), ""*"")),""X"","""")"),"X")</f>
        <v>X</v>
      </c>
      <c r="AY4" s="38" t="str">
        <f>IFERROR(__xludf.DUMMYFUNCTION("if(countif(kr.ec,CONCATENATE(regexextract($C4,""[\w]* [\w]*""), ""*"")),""X"","""")"),"X")</f>
        <v>X</v>
      </c>
      <c r="AZ4" s="38" t="str">
        <f>IFERROR(__xludf.DUMMYFUNCTION("if(countif(kr.egt,CONCATENATE(regexextract($C4,""[\w]* [\w]*""), ""*"")),""X"","""")"),"")</f>
        <v/>
      </c>
      <c r="BA4" s="38"/>
      <c r="BB4" s="38" t="str">
        <f>IFERROR(__xludf.DUMMYFUNCTION("if(countif(kr.erd,CONCATENATE(regexextract($C4,""[\w]* [\w]*""), ""*"")),""X"","""")"),"X")</f>
        <v>X</v>
      </c>
      <c r="BC4" s="38" t="str">
        <f>IFERROR(__xludf.DUMMYFUNCTION("if(countif(kr.gkxn,CONCATENATE(regexextract($C4,""[\w]* [\w]*""), ""*"")),""X"","""")"),"")</f>
        <v/>
      </c>
      <c r="BD4" s="38" t="str">
        <f>IFERROR(__xludf.DUMMYFUNCTION("if(countif(kr.gen,CONCATENATE(regexextract(C4,""[\w]* [\w]*""), ""*"")),""X"","""")"),"")</f>
        <v/>
      </c>
      <c r="BE4" s="38" t="str">
        <f>IFERROR(__xludf.DUMMYFUNCTION("if(countif(kr.hcc,CONCATENATE(regexextract($C4,""[\w]* [\w]*""), ""*"")),""X"","""")"),"X")</f>
        <v>X</v>
      </c>
      <c r="BF4" s="38" t="str">
        <f>IFERROR(__xludf.DUMMYFUNCTION("if(countif(kr.kmp,CONCATENATE(regexextract($C4,""[\w]* [\w]*""), ""*"")),""X"","""")"),"X")</f>
        <v>X</v>
      </c>
      <c r="BG4" s="38" t="str">
        <f>IFERROR(__xludf.DUMMYFUNCTION("if(countif(kr.lu2,CONCATENATE(regexextract($C4,""[\w]* [\w]*""), ""*"")),""X"","""")"),"")</f>
        <v/>
      </c>
      <c r="BH4" s="38" t="str">
        <f>IFERROR(__xludf.DUMMYFUNCTION("if(countif(kr.myc,CONCATENATE(regexextract($C4,""[\w]* [\w]*""), ""*"")),""X"","""")"),"")</f>
        <v/>
      </c>
      <c r="BI4" s="38" t="str">
        <f>IFERROR(__xludf.DUMMYFUNCTION("if(countif(kr.nar,CONCATENATE(regexextract($C4,""[\w]* [\w]*""), ""*"")),""X"","""")"),"X")</f>
        <v>X</v>
      </c>
      <c r="BJ4" s="38" t="str">
        <f>IFERROR(__xludf.DUMMYFUNCTION("if(countif(kr.que,CONCATENATE(regexextract($C4,""[\w]* [\w]*""), ""*"")),""X"","""")"),"X")</f>
        <v>X</v>
      </c>
      <c r="BK4" s="39"/>
      <c r="BL4" s="40" t="str">
        <f>IFERROR(__xludf.DUMMYFUNCTION(" CONCATENATE( 
if (regexmatch(I4, ""^[A-Za-z\.\_]+""), ""L"", 
if(regexmatch(AB4, ""^[A-Za-z\.\_]+""),""S"","""")),
if(AU4=""X"",""K"",""""))"),"")</f>
        <v/>
      </c>
      <c r="BM4" s="40" t="str">
        <f>IFERROR(__xludf.DUMMYFUNCTION(" CONCATENATE( 
if (regexmatch(J4, ""^[A-Za-z\.\_]+""), ""L"", 
if(regexmatch(AC4, ""^[A-Za-z\.\_]+""),""S"","""")),
if(AV4=""X"",""K"",""""))"),"K")</f>
        <v>K</v>
      </c>
      <c r="BN4" s="40" t="str">
        <f>IFERROR(__xludf.DUMMYFUNCTION(" CONCATENATE( 
if (regexmatch(K4, ""^[A-Za-z\.\_]+""), ""L"", 
if(regexmatch(AD4, ""^[A-Za-z\.\_]+""),""S"","""")),
if(AW4=""X"",""K"",""""))"),"")</f>
        <v/>
      </c>
      <c r="BO4" s="40" t="str">
        <f>IFERROR(__xludf.DUMMYFUNCTION(" CONCATENATE( 
if (regexmatch(L4, ""^[A-Za-z\.\_]+""), ""L"", 
if(regexmatch(AE4, ""^[A-Za-z\.\_]+""),""S"","""")),
if(AX4=""X"",""K"",""""))"),"K")</f>
        <v>K</v>
      </c>
      <c r="BP4" s="40" t="str">
        <f>IFERROR(__xludf.DUMMYFUNCTION(" CONCATENATE( 
if (regexmatch(M4, ""^[A-Za-z\.\_]+""), ""L"", 
if(regexmatch(AF4, ""^[A-Za-z\.\_]+""),""S"","""")),
if(AY4=""X"",""K"",""""))"),"K")</f>
        <v>K</v>
      </c>
      <c r="BQ4" s="40" t="str">
        <f>IFERROR(__xludf.DUMMYFUNCTION("CONCATENATE( 
if (regexmatch(O4, ""^[A-Za-z\.\_]+""), ""L"", 
if(regexmatch(AH4, ""^[A-Za-z\.\_]+""),""S"","""")),
if(AZ4=""X"",""K"",""""))"),"")</f>
        <v/>
      </c>
      <c r="BR4" s="40" t="str">
        <f>IFERROR(__xludf.DUMMYFUNCTION("CONCATENATE( 
if (regexmatch(Q4, ""^[A-Za-z\.\_]+""), ""L"", 
if(regexmatch(AJ4, ""^[A-Za-z\.\_]+""),""S"","""")),
if(BA4=""X"",""K"",""""))"),"")</f>
        <v/>
      </c>
      <c r="BS4" s="40" t="str">
        <f>IFERROR(__xludf.DUMMYFUNCTION(" CONCATENATE( 
if (regexmatch(R4, ""^[A-Za-z\.\_]+""), ""L"", 
if(regexmatch(AK4, ""^[A-Za-z\.\_]+""),""S"","""")),
if(BB4=""X"",""K"",""""))"),"K")</f>
        <v>K</v>
      </c>
      <c r="BT4" s="40" t="str">
        <f>IFERROR(__xludf.DUMMYFUNCTION("CONCATENATE( 
if (regexmatch(S4, ""^[A-Za-z\.\_]+""), ""L"", 
if(regexmatch(AL4, ""^[A-Za-z\.\_]+""),""S"","""")),
if(BC4=""X"",""K"",""""))"),"")</f>
        <v/>
      </c>
      <c r="BU4" s="40" t="str">
        <f>IFERROR(__xludf.DUMMYFUNCTION("CONCATENATE( 
if (regexmatch(T4, ""^[A-Za-z\.\_]+""), ""L"", 
if(regexmatch(AM4, ""^[A-Za-z\.\_]+""),""S"","""")),
if(BD4=""X"",""K"",""""))"),"")</f>
        <v/>
      </c>
      <c r="BV4" s="40" t="str">
        <f>IFERROR(__xludf.DUMMYFUNCTION("CONCATENATE( 
if (regexmatch(U4, ""^[A-Za-z\.\_]+""), ""L"", 
if(regexmatch(AN4, ""^[A-Za-z\.\_]+""),""S"","""")),
if(BE4=""X"",""K"",""""))"),"K")</f>
        <v>K</v>
      </c>
      <c r="BW4" s="40" t="str">
        <f>IFERROR(__xludf.DUMMYFUNCTION(" CONCATENATE( 
if (regexmatch(V4, ""^[A-Za-z\.\_]+""), ""L"", 
if(regexmatch(AO4, ""^[A-Za-z\.\_]+""),""S"","""")),
if(BF4=""X"",""K"",""""))"),"K")</f>
        <v>K</v>
      </c>
      <c r="BX4" s="40" t="str">
        <f>IFERROR(__xludf.DUMMYFUNCTION("CONCATENATE( 
if (regexmatch(W4, ""^[A-Za-z\.\_]+""), ""L"", 
if(regexmatch(AP4, ""^[A-Za-z\.\_]+""),""S"","""")),
if(BG4=""X"",""K"",""""))"),"")</f>
        <v/>
      </c>
      <c r="BY4" s="40" t="str">
        <f>IFERROR(__xludf.DUMMYFUNCTION("CONCATENATE( 
if (regexmatch(X4, ""^[A-Za-z\.\_]+""), ""L"", 
if(regexmatch(AQ4, ""^[A-Za-z\.\_]+""),""S"","""")),
if(BH4=""X"",""K"",""""))"),"")</f>
        <v/>
      </c>
      <c r="BZ4" s="40" t="str">
        <f>IFERROR(__xludf.DUMMYFUNCTION("CONCATENATE( 
if (regexmatch(Y4, ""^[A-Za-z\.\_]+""), ""L"", 
if(regexmatch(AR4, ""^[A-Za-z\.\_]+""),""S"","""")),
if(BI4=""X"",""K"",""""))"),"K")</f>
        <v>K</v>
      </c>
      <c r="CA4" s="40" t="str">
        <f>IFERROR(__xludf.DUMMYFUNCTION("CONCATENATE( 
if (regexmatch(Z4, ""^[A-Za-z\.\_]+""), ""L"", 
if(regexmatch(AS4, ""^[A-Za-z\.\_]+""),""S"","""")),
if(BJ4=""X"",""K"",""""))"),"K")</f>
        <v>K</v>
      </c>
      <c r="CB4" s="39"/>
      <c r="CC4" s="39"/>
      <c r="CD4" s="39"/>
      <c r="CE4" s="39"/>
      <c r="CF4" s="39"/>
      <c r="CG4" s="39"/>
      <c r="CH4" s="39"/>
      <c r="CI4" s="39"/>
      <c r="CJ4" s="39"/>
      <c r="CK4" s="39"/>
      <c r="CL4" s="39"/>
      <c r="CM4" s="39"/>
      <c r="CN4" s="39"/>
      <c r="CO4" s="39"/>
      <c r="CP4" s="39"/>
      <c r="CQ4" s="39"/>
      <c r="CR4" s="39"/>
    </row>
    <row r="5">
      <c r="A5" s="25">
        <v>2.0</v>
      </c>
      <c r="B5" s="44" t="s">
        <v>83</v>
      </c>
      <c r="C5" s="27" t="s">
        <v>84</v>
      </c>
      <c r="D5" s="27" t="str">
        <f>IFERROR(__xludf.DUMMYFUNCTION("CONCATENATE(regexextract($C5,""[\w]* [\w]*""), ""*"")"),"Arabidopsis thaliana*")</f>
        <v>Arabidopsis thaliana*</v>
      </c>
      <c r="E5" s="28" t="s">
        <v>85</v>
      </c>
      <c r="F5" s="29">
        <v>3702.0</v>
      </c>
      <c r="G5" s="46" t="s">
        <v>86</v>
      </c>
      <c r="H5" s="31"/>
      <c r="I5" s="32" t="str">
        <f>CONCATENATE(
if(countif(dd.agi,$D5),"D",""),
if(countif(knap.agi,$D5),"K",""),
if(countif(mic.agi,$D5),"M",""),
if(countif(nap.agi,$D5),"N",""),
if(countif(np.agi,$D5),"P",""),
if(countif(imp.agi,$D5),"T",""),
if(countif(us.agi,$D5),"U",""),
if(countif(var.agi,$D5),"V","")
)</f>
        <v/>
      </c>
      <c r="J5" s="32" t="str">
        <f>
CONCATENATE(
if(countif(nap.bun,$D5),"N",""),
if(countif(np.bun,$D5),"P","")
)
</f>
        <v/>
      </c>
      <c r="K5" s="32" t="str">
        <f>CONCATENATE(
if(countif(dd.kxn,$D5),"D",""),
if(countif(knap.kxn,$D5),"K",""),
if(countif(mic.kxn,$D5),"M",""),
if(countif(nap.kxn,$D5),"N",""),
if(countif(np.kxn,$D5),"P",""),
if(countif(us.kxn,$D5),"U",""),
if(countif(var.kxn,$D5),"V","")
)</f>
        <v>K</v>
      </c>
      <c r="L5" s="32" t="str">
        <f>
CONCATENATE(
if(countif(dd.hwb,$D5),"D",""),
if(countif(knap.hwb,$D5),"K",""),
if(countif(mic.hwb,$D5),"M",""),
if(countif(nap.hwb,$D5),"N",""),
if(countif(np.hwb,$D5),"P",""),
if(countif(us.hwb,$D5),"U",""),
if(countif(imp.hwb,$D5),"T",""),
if(countif(var.hwb,$D5),"V","")
)</f>
        <v>K</v>
      </c>
      <c r="M5" s="32" t="str">
        <f>CONCATENATE(
if(countif(dd.epc,$D5),"D",""),
if(countif(knap.ekxn,$D5),"K",""),
if(countif(mic.ekxn,$D5),"M",""),
if(countif(nap.ekxn,$D5),"N",""),
if(countif(np.ekxn,$D5),"P",""),
if(countif(imp.epc,$D5),"T",""),
if(countif(us.ekxn,$D5),"U",""),
if(countif(var.ekxn,$D5),"V","")
)</f>
        <v>K</v>
      </c>
      <c r="N5" s="32" t="str">
        <f>
CONCATENATE(
if(countif(dd.ecg,$D5),"D",""),
if(countif(mic.ecg,$D5),"M",""),
if(countif(np.ecg,$D5),"P",""),
if(countif(imp.ecg,$D5),"T",""),
if(countif(us.ecg,$D5),"U","")
)</f>
        <v/>
      </c>
      <c r="O5" s="32" t="str">
        <f>
CONCATENATE(
if(countif(dd.egt,$D5),"D",""),
if(countif(mic.egt,$D5),"M",""),
if(countif(nap.egt,$D5),"N",""),
if(countif(us.egt,$D5),"U",""),
if(countif(var.egt,$D5),"V",""))
</f>
        <v/>
      </c>
      <c r="P5" s="32" t="str">
        <f>CONCATENATE(
if(countif(knap.egcg,$D5),"K",""),
if(countif(mic.egcg,$D5),"M",""),
if(countif(np.egcg,$D5),"P",""),
if(countif(us.egcg,$D5),"U","")
)</f>
        <v/>
      </c>
      <c r="Q5" s="32" t="str">
        <f>CONCATENATE(if(countif(np.ecit,$D5),"P",""),
if(countif(nap.ecit,$D5),"A",""))</f>
        <v/>
      </c>
      <c r="R5" s="32" t="str">
        <f>
CONCATENATE(
if(countif(nap.erd,$D5),"N",""),
if(countif(np.erd,$D5),"P",""),
if(countif(var.erd,$D5),"V",""))</f>
        <v/>
      </c>
      <c r="S5" s="32" t="str">
        <f>
CONCATENATE(
if(countif(dd.gkxn,$D5),"D",""),
if(countif(knap.gkxn,$D5),"K",""),
if(countif(nap.gkxn,$D5),"N",""),
if(countif(np.gkxn,$D5),"P",""),
if(countif(imp.gkxn,$D5),"T",""),
if(countif(var.gkxn,$D5),"V",""))</f>
        <v/>
      </c>
      <c r="T5" s="32" t="str">
        <f>
CONCATENATE(
if(countif(dd.gen,$C5),"D",""),
if(countif(knap.gen,$C5),"K",""),
if(countif(nap.gen,$C5),"N",""),
if(countif(np.gen,$C5),"P",""),
if(countif(imp.gen,$C5),"T",""),
if(countif(var.gen,$C5),"V",""))</f>
        <v>K</v>
      </c>
      <c r="U5" s="32" t="str">
        <f>
CONCATENATE(
if(countif(dd.hcc,$D5),"D",""),
if(countif(knap.hcc,$D5),"K",""),
if(countif(np.hcc,$D5),"P","")
)
</f>
        <v>K</v>
      </c>
      <c r="V5" s="32" t="str">
        <f>
CONCATENATE(
if(countif(dd.kmp,$D5),"D",""),
if(countif(knap.kmp,$D5),"K",""),
if(countif(mic.kmp,$D5),"M",""),
if(countif(nap.kmp,$D5),"N",""),
if(countif(np.kmp,$D5),"P",""),
if(countif(imp.kmp,$D5),"T",""),
if(countif(us.kmp,$D5),"U",""),
if(countif(var.kmp,$D5),"V",""))</f>
        <v>KNT</v>
      </c>
      <c r="W5" s="32" t="str">
        <f>
CONCATENATE(
if(countif(dd.lu2,$D5),"D",""),
if(countif(knap.lu2,$D5),"K",""),
if(countif(mic.lu2,$D5),"M",""),
if(countif(nap.lu2,$D5),"N",""),
if(countif(np.lu2,$D5),"P",""),
if(countif(imp.lu2,$D5),"T",""),
if(countif(us.lu2,$D5),"U",""),
if(countif(var.lu2,$D5),"V",""))</f>
        <v/>
      </c>
      <c r="X5" s="32" t="str">
        <f>
CONCATENATE(
if(countif(dd.myc,$D5),"D",""),
if(countif(knap.myc,$D5),"K",""), 
if(countif(mic.myc,$D5),"M",""),
if(countif(nap.myc,$D5),"N",""),
if(countif(np.myc,$D5),"P",""),
if(countif(imp.myc,$D5),"T",""),
if(countif(us.myc,$D5),"U",""),
if(countif(var.myc,$D5),"V",""))</f>
        <v/>
      </c>
      <c r="Y5" s="32" t="str">
        <f>CONCATENATE(
if(countif(dd.nar,$D5),"D",""),
if(countif(knap.nar,$D5),"K",""),
if(countif(nap.nar,$D5),"N",""),
if(countif(np.nar,$D5),"P",""),
if(countif(imp.nar,$D5),"T",""),
if(countif(us.nar,$D5),"U",""),
if(countif(var.nar,$D5),"V",""))</f>
        <v>K</v>
      </c>
      <c r="Z5" s="33" t="str">
        <f>
CONCATENATE(
if(countif(dd.que,$D5),"D",""),
if(countif(knap.que,$D5),"K",""),
if(countif(mic.que,$D5),"M",""),
if(countif(nap.que,$D5),"N",""),
if(countif(np.que,$D5),"P",""),
if(countif(imp.que,$D5),"T",""),
if(countif(us.que,$D5),"U",""),
if(countif(var.que,$D5),"V",""))</f>
        <v>KT</v>
      </c>
      <c r="AA5" s="32"/>
      <c r="AB5" s="34" t="str">
        <f>
CONCATENATE(if(countif(knap.agi.sim,$D5),"K",""),
if(countif(dd.agi.sim,$D5),"D",""),
if(countif(nap.agi.sim,$D5),"A",""),
if(countif(var.agi.sim,$D5),"V",""))</f>
        <v/>
      </c>
      <c r="AC5" s="34" t="str">
        <f>
if(countif(nap.bun.sim,$D5),"A","")</f>
        <v/>
      </c>
      <c r="AD5" s="34" t="str">
        <f>
CONCATENATE(if(countif(knap.kxn.sim,$D5),"K",""),
if(countif(np.kxn.sim,$D5),"P",""),
if(countif(dd.kxn.sim,$D5),"D",""),
if(countif(nap.kxn.sim,$D5),"A",""),
if(countif(var.kxn.sim,$D5),"V",""))</f>
        <v/>
      </c>
      <c r="AE5" s="34" t="str">
        <f>
CONCATENATE(if(countif(knap.hwb.sim,$D5),"K",""),
if(countif(np.hwb.sim,$D5),"P",""),
if(countif(mic.hwb.sim,$D5),"M",""),
if(countif(imp.hwb.sim,$D5),"T",""),
if(countif(dd.cyan.sim,$D5),"D",""),
if(countif(nap.hwb.sim,$D5),"A",""),
if(countif(var.hwb.sim,$D5),"V",""))</f>
        <v>KA</v>
      </c>
      <c r="AF5" s="34" t="str">
        <f>
CONCATENATE(if(countif(us.ekxn.sim,$D5),"U",""),
if(countif(knap.ekxn.sim,$D5),"K",""),
if(countif(np.ekxn.sim,$D5),"P",""),
if(countif(mic.ekxn.sim,$D5),"M",""),
if(countif(imp.epc.sim,$D5),"T",""),
if(countif(nap.ekxn.sim,$D5),"A",""))</f>
        <v/>
      </c>
      <c r="AG5" s="34"/>
      <c r="AH5" s="34" t="str">
        <f>
CONCATENATE(if(countif(us.egt.sim,$D5),"U",""),
if(countif(knap.egt.sim,$D5),"K",""),
if(countif(np.egt.sim,$D5),"P",""),
if(countif(mic.egt.sim,$D5),"M",""))</f>
        <v/>
      </c>
      <c r="AI5" s="34"/>
      <c r="AJ5" s="34" t="str">
        <f>if(countif(nap.ecit.sim,$D5),"A","")</f>
        <v/>
      </c>
      <c r="AK5" s="34" t="str">
        <f>
CONCATENATE(if(countif(nap.erd,$D5),"M",""),
if(countif(nap.erd.sim,$D5),"A",""),
if(countif(var.erd.sim,$D5),"V",""))</f>
        <v/>
      </c>
      <c r="AL5" s="34" t="str">
        <f>
CONCATENATE(if(countif(knap.gkxn.sim,$D5),"K",""),
if(countif(nap.gkxn.sim,$D5),"A",""))</f>
        <v/>
      </c>
      <c r="AM5" s="34" t="str">
        <f>
CONCATENATE(if(countif(knap.gen.sim,$C5),"K",""),
if(countif(imp.gen.sim,$C5),"T",""),
if(countif(dd.gen.sim,$C5),"D",""),
if(countif(nap.gen.sim,$C5),"A",""),
if(countif(var.gen.sim,$C5),"V",""))
</f>
        <v/>
      </c>
      <c r="AN5" s="34" t="str">
        <f>IFERROR(__xludf.DUMMYFUNCTION("
if(countif(#REF!,CONCATENATE(regexextract($C5,""[\w]* [\w]*""), ""*"")),""V"","""")"),"")</f>
        <v/>
      </c>
      <c r="AO5" s="34" t="str">
        <f>
CONCATENATE(if(countif(knap.kmp.sim,$D5),"K",""),
if(countif(np.kmp.sim,$D5),"P",""),
if(countif(imp.kmp.sim,$D5),"T",""),
if(countif(dd.kmp,$D5),"D",""),
if(countif(nap.kmp.sim,$D5),"A",""),
if(countif(var.kmp.sim,$D5),"V",""))</f>
        <v>KPA</v>
      </c>
      <c r="AP5" s="34" t="str">
        <f>
CONCATENATE(if(countif(knap.lu2.sim,$D5),"K",""),
if(countif(np.lu2.sim,$D5),"P",""),
if(countif(imp.lu2.sim,$D5),"T",""),
if(countif(dd.lu2.sim,$D5),"D",""),
if(countif(nap.lu2.sim,$D5),"A",""),
if(countif(var.lu2.sim,$D5),"V",""))</f>
        <v/>
      </c>
      <c r="AQ5" s="34" t="str">
        <f>
CONCATENATE(if(countif(np.myc.sim,$D5),"P",""),
if(countif(imp.myc.sim,$D5),"T",""),
if(countif(nap.myc.sim,$D5),"A",""))
</f>
        <v/>
      </c>
      <c r="AR5" s="36" t="str">
        <f>
CONCATENATE(if(countif(knap.nar.sim,$D5),"K",""),
if(countif(np.nar.sim,$D5),"P",""),
if(countif(imp.nar.sim,$D5),"T",""),
if(countif(dd.nar.sim,$D5),"D",""),
if(countif(nap.nar.sim,$D5),"A",""),
if(countif(var.nar.sim,$D5),"V",""))</f>
        <v>K</v>
      </c>
      <c r="AS5" s="34" t="str">
        <f>
CONCATENATE(if(countif(knap.que.sim,$D5),"K",""),
if(countif(np.que.sim,$D5),"P",""),
if(countif(imp.que.sim,$D5),"T",""),
if(countif(dd.que.sim,$D5),"D",""),
if(countif(nap.que.sim,$D5),"A",""),
if(countif(var.que.sim,$D5),"V",""))</f>
        <v>KT</v>
      </c>
      <c r="AT5" s="37"/>
      <c r="AU5" s="32" t="str">
        <f>IFERROR(__xludf.DUMMYFUNCTION("if(countif(kr.agi, CONCATENATE(regexextract($C5,""[\w]* [\w]*""), ""*"")),""X"","""")"),"")</f>
        <v/>
      </c>
      <c r="AV5" s="38" t="str">
        <f>IFERROR(__xludf.DUMMYFUNCTION("if(countif(kr.bun,CONCATENATE(regexextract($C5,""[\w]* [\w]*""), ""*"")),""X"","""")"),"X")</f>
        <v>X</v>
      </c>
      <c r="AW5" s="38" t="str">
        <f>IFERROR(__xludf.DUMMYFUNCTION("if(countif(kr.kxn,CONCATENATE(regexextract($C5,""[\w]* [\w]*""), ""*"")),""X"","""")"),"")</f>
        <v/>
      </c>
      <c r="AX5" s="38" t="str">
        <f>IFERROR(__xludf.DUMMYFUNCTION("if(countif(kr.hwb,CONCATENATE(regexextract($C5,""[\w]* [\w]*""), ""*"")),""X"","""")"),"X")</f>
        <v>X</v>
      </c>
      <c r="AY5" s="38" t="str">
        <f>IFERROR(__xludf.DUMMYFUNCTION("if(countif(kr.ec,CONCATENATE(regexextract($C5,""[\w]* [\w]*""), ""*"")),""X"","""")"),"X")</f>
        <v>X</v>
      </c>
      <c r="AZ5" s="38" t="str">
        <f>IFERROR(__xludf.DUMMYFUNCTION("if(countif(kr.egt,CONCATENATE(regexextract($C5,""[\w]* [\w]*""), ""*"")),""X"","""")"),"")</f>
        <v/>
      </c>
      <c r="BA5" s="38"/>
      <c r="BB5" s="38" t="str">
        <f>IFERROR(__xludf.DUMMYFUNCTION("if(countif(kr.erd,CONCATENATE(regexextract($C5,""[\w]* [\w]*""), ""*"")),""X"","""")"),"X")</f>
        <v>X</v>
      </c>
      <c r="BC5" s="38" t="str">
        <f>IFERROR(__xludf.DUMMYFUNCTION("if(countif(kr.gkxn,CONCATENATE(regexextract($C5,""[\w]* [\w]*""), ""*"")),""X"","""")"),"")</f>
        <v/>
      </c>
      <c r="BD5" s="38" t="str">
        <f>IFERROR(__xludf.DUMMYFUNCTION("if(countif(kr.gen,CONCATENATE(regexextract(C5,""[\w]* [\w]*""), ""*"")),""X"","""")"),"")</f>
        <v/>
      </c>
      <c r="BE5" s="38" t="str">
        <f>IFERROR(__xludf.DUMMYFUNCTION("if(countif(kr.hcc,CONCATENATE(regexextract($C5,""[\w]* [\w]*""), ""*"")),""X"","""")"),"X")</f>
        <v>X</v>
      </c>
      <c r="BF5" s="38" t="str">
        <f>IFERROR(__xludf.DUMMYFUNCTION("if(countif(kr.kmp,CONCATENATE(regexextract($C5,""[\w]* [\w]*""), ""*"")),""X"","""")"),"X")</f>
        <v>X</v>
      </c>
      <c r="BG5" s="38" t="str">
        <f>IFERROR(__xludf.DUMMYFUNCTION("if(countif(kr.lu2,CONCATENATE(regexextract($C5,""[\w]* [\w]*""), ""*"")),""X"","""")"),"")</f>
        <v/>
      </c>
      <c r="BH5" s="38" t="str">
        <f>IFERROR(__xludf.DUMMYFUNCTION("if(countif(kr.myc,CONCATENATE(regexextract($C5,""[\w]* [\w]*""), ""*"")),""X"","""")"),"")</f>
        <v/>
      </c>
      <c r="BI5" s="38" t="str">
        <f>IFERROR(__xludf.DUMMYFUNCTION("if(countif(kr.nar,CONCATENATE(regexextract($C5,""[\w]* [\w]*""), ""*"")),""X"","""")"),"X")</f>
        <v>X</v>
      </c>
      <c r="BJ5" s="38" t="str">
        <f>IFERROR(__xludf.DUMMYFUNCTION("if(countif(kr.que,CONCATENATE(regexextract($C5,""[\w]* [\w]*""), ""*"")),""X"","""")"),"X")</f>
        <v>X</v>
      </c>
      <c r="BK5" s="39"/>
      <c r="BL5" s="40" t="str">
        <f>IFERROR(__xludf.DUMMYFUNCTION(" CONCATENATE( 
if (regexmatch(I5, ""^[A-Za-z\.\_]+""), ""L"", 
if(regexmatch(AB5, ""^[A-Za-z\.\_]+""),""S"","""")),
if(AU5=""X"",""K"",""""))"),"")</f>
        <v/>
      </c>
      <c r="BM5" s="40" t="str">
        <f>IFERROR(__xludf.DUMMYFUNCTION(" CONCATENATE( 
if (regexmatch(J5, ""^[A-Za-z\.\_]+""), ""L"", 
if(regexmatch(AC5, ""^[A-Za-z\.\_]+""),""S"","""")),
if(AV5=""X"",""K"",""""))"),"K")</f>
        <v>K</v>
      </c>
      <c r="BN5" s="40" t="str">
        <f>IFERROR(__xludf.DUMMYFUNCTION(" CONCATENATE( 
if (regexmatch(K5, ""^[A-Za-z\.\_]+""), ""L"", 
if(regexmatch(AD5, ""^[A-Za-z\.\_]+""),""S"","""")),
if(AW5=""X"",""K"",""""))"),"L")</f>
        <v>L</v>
      </c>
      <c r="BO5" s="40" t="str">
        <f>IFERROR(__xludf.DUMMYFUNCTION(" CONCATENATE( 
if (regexmatch(L5, ""^[A-Za-z\.\_]+""), ""L"", 
if(regexmatch(AE5, ""^[A-Za-z\.\_]+""),""S"","""")),
if(AX5=""X"",""K"",""""))"),"LK")</f>
        <v>LK</v>
      </c>
      <c r="BP5" s="40" t="str">
        <f>IFERROR(__xludf.DUMMYFUNCTION(" CONCATENATE( 
if (regexmatch(M5, ""^[A-Za-z\.\_]+""), ""L"", 
if(regexmatch(AF5, ""^[A-Za-z\.\_]+""),""S"","""")),
if(AY5=""X"",""K"",""""))"),"LK")</f>
        <v>LK</v>
      </c>
      <c r="BQ5" s="40" t="str">
        <f>IFERROR(__xludf.DUMMYFUNCTION("CONCATENATE( 
if (regexmatch(O5, ""^[A-Za-z\.\_]+""), ""L"", 
if(regexmatch(AH5, ""^[A-Za-z\.\_]+""),""S"","""")),
if(AZ5=""X"",""K"",""""))"),"")</f>
        <v/>
      </c>
      <c r="BR5" s="40" t="str">
        <f>IFERROR(__xludf.DUMMYFUNCTION("CONCATENATE( 
if (regexmatch(Q5, ""^[A-Za-z\.\_]+""), ""L"", 
if(regexmatch(AJ5, ""^[A-Za-z\.\_]+""),""S"","""")),
if(BA5=""X"",""K"",""""))"),"")</f>
        <v/>
      </c>
      <c r="BS5" s="40" t="str">
        <f>IFERROR(__xludf.DUMMYFUNCTION(" CONCATENATE( 
if (regexmatch(R5, ""^[A-Za-z\.\_]+""), ""L"", 
if(regexmatch(AK5, ""^[A-Za-z\.\_]+""),""S"","""")),
if(BB5=""X"",""K"",""""))"),"K")</f>
        <v>K</v>
      </c>
      <c r="BT5" s="40" t="str">
        <f>IFERROR(__xludf.DUMMYFUNCTION("CONCATENATE( 
if (regexmatch(S5, ""^[A-Za-z\.\_]+""), ""L"", 
if(regexmatch(AL5, ""^[A-Za-z\.\_]+""),""S"","""")),
if(BC5=""X"",""K"",""""))"),"")</f>
        <v/>
      </c>
      <c r="BU5" s="40" t="str">
        <f>IFERROR(__xludf.DUMMYFUNCTION("CONCATENATE( 
if (regexmatch(T5, ""^[A-Za-z\.\_]+""), ""L"", 
if(regexmatch(AM5, ""^[A-Za-z\.\_]+""),""S"","""")),
if(BD5=""X"",""K"",""""))"),"L")</f>
        <v>L</v>
      </c>
      <c r="BV5" s="40" t="str">
        <f>IFERROR(__xludf.DUMMYFUNCTION("CONCATENATE( 
if (regexmatch(U5, ""^[A-Za-z\.\_]+""), ""L"", 
if(regexmatch(AN5, ""^[A-Za-z\.\_]+""),""S"","""")),
if(BE5=""X"",""K"",""""))"),"LK")</f>
        <v>LK</v>
      </c>
      <c r="BW5" s="40" t="str">
        <f>IFERROR(__xludf.DUMMYFUNCTION(" CONCATENATE( 
if (regexmatch(V5, ""^[A-Za-z\.\_]+""), ""L"", 
if(regexmatch(AO5, ""^[A-Za-z\.\_]+""),""S"","""")),
if(BF5=""X"",""K"",""""))"),"LK")</f>
        <v>LK</v>
      </c>
      <c r="BX5" s="40" t="str">
        <f>IFERROR(__xludf.DUMMYFUNCTION("CONCATENATE( 
if (regexmatch(W5, ""^[A-Za-z\.\_]+""), ""L"", 
if(regexmatch(AP5, ""^[A-Za-z\.\_]+""),""S"","""")),
if(BG5=""X"",""K"",""""))"),"")</f>
        <v/>
      </c>
      <c r="BY5" s="40" t="str">
        <f>IFERROR(__xludf.DUMMYFUNCTION("CONCATENATE( 
if (regexmatch(X5, ""^[A-Za-z\.\_]+""), ""L"", 
if(regexmatch(AQ5, ""^[A-Za-z\.\_]+""),""S"","""")),
if(BH5=""X"",""K"",""""))"),"")</f>
        <v/>
      </c>
      <c r="BZ5" s="40" t="str">
        <f>IFERROR(__xludf.DUMMYFUNCTION("CONCATENATE( 
if (regexmatch(Y5, ""^[A-Za-z\.\_]+""), ""L"", 
if(regexmatch(AR5, ""^[A-Za-z\.\_]+""),""S"","""")),
if(BI5=""X"",""K"",""""))"),"LK")</f>
        <v>LK</v>
      </c>
      <c r="CA5" s="40" t="str">
        <f>IFERROR(__xludf.DUMMYFUNCTION("CONCATENATE( 
if (regexmatch(Z5, ""^[A-Za-z\.\_]+""), ""L"", 
if(regexmatch(AS5, ""^[A-Za-z\.\_]+""),""S"","""")),
if(BJ5=""X"",""K"",""""))"),"LK")</f>
        <v>LK</v>
      </c>
      <c r="CB5" s="39"/>
      <c r="CC5" s="39"/>
      <c r="CD5" s="39"/>
      <c r="CE5" s="39"/>
      <c r="CF5" s="39"/>
      <c r="CG5" s="39"/>
      <c r="CH5" s="39"/>
      <c r="CI5" s="39"/>
      <c r="CJ5" s="39"/>
      <c r="CK5" s="39"/>
      <c r="CL5" s="39"/>
      <c r="CM5" s="39"/>
      <c r="CN5" s="39"/>
      <c r="CO5" s="39"/>
      <c r="CP5" s="39"/>
      <c r="CQ5" s="39"/>
      <c r="CR5" s="39"/>
    </row>
    <row r="6">
      <c r="A6" s="25">
        <v>26.0</v>
      </c>
      <c r="B6" s="26" t="s">
        <v>87</v>
      </c>
      <c r="C6" s="41" t="s">
        <v>88</v>
      </c>
      <c r="D6" s="27" t="str">
        <f>IFERROR(__xludf.DUMMYFUNCTION("CONCATENATE(regexextract($C6,""[\w]* [\w]*""), ""*"")"),"Arachis duranensis*")</f>
        <v>Arachis duranensis*</v>
      </c>
      <c r="E6" s="26" t="s">
        <v>89</v>
      </c>
      <c r="F6" s="29">
        <v>130453.0</v>
      </c>
      <c r="G6" s="47" t="s">
        <v>90</v>
      </c>
      <c r="H6" s="31"/>
      <c r="I6" s="32" t="str">
        <f>CONCATENATE(
if(countif(dd.agi,$D6),"D",""),
if(countif(knap.agi,$D6),"K",""),
if(countif(mic.agi,$D6),"M",""),
if(countif(nap.agi,$D6),"N",""),
if(countif(np.agi,$D6),"P",""),
if(countif(imp.agi,$D6),"T",""),
if(countif(us.agi,$D6),"U",""),
if(countif(var.agi,$D6),"V","")
)</f>
        <v/>
      </c>
      <c r="J6" s="32" t="str">
        <f>
CONCATENATE(
if(countif(nap.bun,$D6),"N",""),
if(countif(np.bun,$D6),"P","")
)
</f>
        <v/>
      </c>
      <c r="K6" s="32" t="str">
        <f>CONCATENATE(
if(countif(dd.kxn,$D6),"D",""),
if(countif(knap.kxn,$D6),"K",""),
if(countif(mic.kxn,$D6),"M",""),
if(countif(nap.kxn,$D6),"N",""),
if(countif(np.kxn,$D6),"P",""),
if(countif(us.kxn,$D6),"U",""),
if(countif(var.kxn,$D6),"V","")
)</f>
        <v/>
      </c>
      <c r="L6" s="32" t="str">
        <f>
CONCATENATE(
if(countif(dd.hwb,$D6),"D",""),
if(countif(knap.hwb,$D6),"K",""),
if(countif(mic.hwb,$D6),"M",""),
if(countif(nap.hwb,$D6),"N",""),
if(countif(np.hwb,$D6),"P",""),
if(countif(us.hwb,$D6),"U",""),
if(countif(imp.hwb,$D6),"T",""),
if(countif(var.hwb,$D6),"V","")
)</f>
        <v/>
      </c>
      <c r="M6" s="32" t="str">
        <f>CONCATENATE(
if(countif(dd.epc,$D6),"D",""),
if(countif(knap.ekxn,$D6),"K",""),
if(countif(mic.ekxn,$D6),"M",""),
if(countif(nap.ekxn,$D6),"N",""),
if(countif(np.ekxn,$D6),"P",""),
if(countif(imp.epc,$D6),"T",""),
if(countif(us.ekxn,$D6),"U",""),
if(countif(var.ekxn,$D6),"V","")
)</f>
        <v/>
      </c>
      <c r="N6" s="32" t="str">
        <f>
CONCATENATE(
if(countif(dd.ecg,$D6),"D",""),
if(countif(mic.ecg,$D6),"M",""),
if(countif(np.ecg,$D6),"P",""),
if(countif(imp.ecg,$D6),"T",""),
if(countif(us.ecg,$D6),"U","")
)</f>
        <v/>
      </c>
      <c r="O6" s="32" t="str">
        <f>
CONCATENATE(
if(countif(dd.egt,$D6),"D",""),
if(countif(mic.egt,$D6),"M",""),
if(countif(nap.egt,$D6),"N",""),
if(countif(us.egt,$D6),"U",""),
if(countif(var.egt,$D6),"V",""))
</f>
        <v/>
      </c>
      <c r="P6" s="32" t="str">
        <f>CONCATENATE(
if(countif(knap.egcg,$D6),"K",""),
if(countif(mic.egcg,$D6),"M",""),
if(countif(np.egcg,$D6),"P",""),
if(countif(us.egcg,$D6),"U","")
)</f>
        <v/>
      </c>
      <c r="Q6" s="32" t="str">
        <f>CONCATENATE(if(countif(np.ecit,$D6),"P",""),
if(countif(nap.ecit,$D6),"A",""))</f>
        <v/>
      </c>
      <c r="R6" s="32" t="str">
        <f>
CONCATENATE(
if(countif(nap.erd,$D6),"N",""),
if(countif(np.erd,$D6),"P",""),
if(countif(var.erd,$D6),"V",""))</f>
        <v/>
      </c>
      <c r="S6" s="32" t="str">
        <f>
CONCATENATE(
if(countif(dd.gkxn,$D6),"D",""),
if(countif(knap.gkxn,$D6),"K",""),
if(countif(nap.gkxn,$D6),"N",""),
if(countif(np.gkxn,$D6),"P",""),
if(countif(imp.gkxn,$D6),"T",""),
if(countif(var.gkxn,$D6),"V",""))</f>
        <v/>
      </c>
      <c r="T6" s="32" t="str">
        <f>
CONCATENATE(
if(countif(dd.gen,$C6),"D",""),
if(countif(knap.gen,$C6),"K",""),
if(countif(nap.gen,$C6),"N",""),
if(countif(np.gen,$C6),"P",""),
if(countif(imp.gen,$C6),"T",""),
if(countif(var.gen,$C6),"V",""))</f>
        <v/>
      </c>
      <c r="U6" s="32" t="str">
        <f>
CONCATENATE(
if(countif(dd.hcc,$D6),"D",""),
if(countif(knap.hcc,$D6),"K",""),
if(countif(np.hcc,$D6),"P","")
)
</f>
        <v/>
      </c>
      <c r="V6" s="32" t="str">
        <f>
CONCATENATE(
if(countif(dd.kmp,$D6),"D",""),
if(countif(knap.kmp,$D6),"K",""),
if(countif(mic.kmp,$D6),"M",""),
if(countif(nap.kmp,$D6),"N",""),
if(countif(np.kmp,$D6),"P",""),
if(countif(imp.kmp,$D6),"T",""),
if(countif(us.kmp,$D6),"U",""),
if(countif(var.kmp,$D6),"V",""))</f>
        <v/>
      </c>
      <c r="W6" s="32" t="str">
        <f>
CONCATENATE(
if(countif(dd.lu2,$D6),"D",""),
if(countif(knap.lu2,$D6),"K",""),
if(countif(mic.lu2,$D6),"M",""),
if(countif(nap.lu2,$D6),"N",""),
if(countif(np.lu2,$D6),"P",""),
if(countif(imp.lu2,$D6),"T",""),
if(countif(us.lu2,$D6),"U",""),
if(countif(var.lu2,$D6),"V",""))</f>
        <v/>
      </c>
      <c r="X6" s="32" t="str">
        <f>
CONCATENATE(
if(countif(dd.myc,$D6),"D",""),
if(countif(knap.myc,$D6),"K",""), 
if(countif(mic.myc,$D6),"M",""),
if(countif(nap.myc,$D6),"N",""),
if(countif(np.myc,$D6),"P",""),
if(countif(imp.myc,$D6),"T",""),
if(countif(us.myc,$D6),"U",""),
if(countif(var.myc,$D6),"V",""))</f>
        <v/>
      </c>
      <c r="Y6" s="32" t="str">
        <f>CONCATENATE(
if(countif(dd.nar,$D6),"D",""),
if(countif(knap.nar,$D6),"K",""),
if(countif(nap.nar,$D6),"N",""),
if(countif(np.nar,$D6),"P",""),
if(countif(imp.nar,$D6),"T",""),
if(countif(us.nar,$D6),"U",""),
if(countif(var.nar,$D6),"V",""))</f>
        <v/>
      </c>
      <c r="Z6" s="33" t="str">
        <f>
CONCATENATE(
if(countif(dd.que,$D6),"D",""),
if(countif(knap.que,$D6),"K",""),
if(countif(mic.que,$D6),"M",""),
if(countif(nap.que,$D6),"N",""),
if(countif(np.que,$D6),"P",""),
if(countif(imp.que,$D6),"T",""),
if(countif(us.que,$D6),"U",""),
if(countif(var.que,$D6),"V",""))</f>
        <v/>
      </c>
      <c r="AA6" s="32"/>
      <c r="AB6" s="34" t="str">
        <f>
CONCATENATE(if(countif(knap.agi.sim,$D6),"K",""),
if(countif(dd.agi.sim,$D6),"D",""),
if(countif(nap.agi.sim,$D6),"A",""),
if(countif(var.agi.sim,$D6),"V",""))</f>
        <v/>
      </c>
      <c r="AC6" s="34" t="str">
        <f>
if(countif(nap.bun.sim,$D6),"A","")</f>
        <v/>
      </c>
      <c r="AD6" s="34" t="str">
        <f>
CONCATENATE(if(countif(knap.kxn.sim,$D6),"K",""),
if(countif(np.kxn.sim,$D6),"P",""),
if(countif(dd.kxn.sim,$D6),"D",""),
if(countif(nap.kxn.sim,$D6),"A",""),
if(countif(var.kxn.sim,$D6),"V",""))</f>
        <v/>
      </c>
      <c r="AE6" s="34" t="str">
        <f>
CONCATENATE(if(countif(knap.hwb.sim,$D6),"K",""),
if(countif(np.hwb.sim,$D6),"P",""),
if(countif(mic.hwb.sim,$D6),"M",""),
if(countif(imp.hwb.sim,$D6),"T",""),
if(countif(dd.cyan.sim,$D6),"D",""),
if(countif(nap.hwb.sim,$D6),"A",""),
if(countif(var.hwb.sim,$D6),"V",""))</f>
        <v/>
      </c>
      <c r="AF6" s="34" t="str">
        <f>
CONCATENATE(if(countif(us.ekxn.sim,$D6),"U",""),
if(countif(knap.ekxn.sim,$D6),"K",""),
if(countif(np.ekxn.sim,$D6),"P",""),
if(countif(mic.ekxn.sim,$D6),"M",""),
if(countif(imp.epc.sim,$D6),"T",""),
if(countif(nap.ekxn.sim,$D6),"A",""))</f>
        <v/>
      </c>
      <c r="AG6" s="34"/>
      <c r="AH6" s="34" t="str">
        <f>
CONCATENATE(if(countif(us.egt.sim,$D6),"U",""),
if(countif(knap.egt.sim,$D6),"K",""),
if(countif(np.egt.sim,$D6),"P",""),
if(countif(mic.egt.sim,$D6),"M",""))</f>
        <v/>
      </c>
      <c r="AI6" s="34"/>
      <c r="AJ6" s="34" t="str">
        <f>if(countif(nap.ecit.sim,$D6),"A","")</f>
        <v/>
      </c>
      <c r="AK6" s="34" t="str">
        <f>
CONCATENATE(if(countif(nap.erd,$D6),"M",""),
if(countif(nap.erd.sim,$D6),"A",""),
if(countif(var.erd.sim,$D6),"V",""))</f>
        <v/>
      </c>
      <c r="AL6" s="34" t="str">
        <f>
CONCATENATE(if(countif(knap.gkxn.sim,$D6),"K",""),
if(countif(nap.gkxn.sim,$D6),"A",""))</f>
        <v/>
      </c>
      <c r="AM6" s="34" t="str">
        <f>
CONCATENATE(if(countif(knap.gen.sim,$C6),"K",""),
if(countif(imp.gen.sim,$C6),"T",""),
if(countif(dd.gen.sim,$C6),"D",""),
if(countif(nap.gen.sim,$C6),"A",""),
if(countif(var.gen.sim,$C6),"V",""))
</f>
        <v/>
      </c>
      <c r="AN6" s="34" t="str">
        <f>IFERROR(__xludf.DUMMYFUNCTION("
if(countif(#REF!,CONCATENATE(regexextract($C6,""[\w]* [\w]*""), ""*"")),""V"","""")"),"")</f>
        <v/>
      </c>
      <c r="AO6" s="34" t="str">
        <f>
CONCATENATE(if(countif(knap.kmp.sim,$D6),"K",""),
if(countif(np.kmp.sim,$D6),"P",""),
if(countif(imp.kmp.sim,$D6),"T",""),
if(countif(dd.kmp,$D6),"D",""),
if(countif(nap.kmp.sim,$D6),"A",""),
if(countif(var.kmp.sim,$D6),"V",""))</f>
        <v/>
      </c>
      <c r="AP6" s="34" t="str">
        <f>
CONCATENATE(if(countif(knap.lu2.sim,$D6),"K",""),
if(countif(np.lu2.sim,$D6),"P",""),
if(countif(imp.lu2.sim,$D6),"T",""),
if(countif(dd.lu2.sim,$D6),"D",""),
if(countif(nap.lu2.sim,$D6),"A",""),
if(countif(var.lu2.sim,$D6),"V",""))</f>
        <v/>
      </c>
      <c r="AQ6" s="34" t="str">
        <f>
CONCATENATE(if(countif(np.myc.sim,$D6),"P",""),
if(countif(imp.myc.sim,$D6),"T",""),
if(countif(nap.myc.sim,$D6),"A",""))
</f>
        <v/>
      </c>
      <c r="AR6" s="36" t="str">
        <f>
CONCATENATE(if(countif(knap.nar.sim,$D6),"K",""),
if(countif(np.nar.sim,$D6),"P",""),
if(countif(imp.nar.sim,$D6),"T",""),
if(countif(dd.nar.sim,$D6),"D",""),
if(countif(nap.nar.sim,$D6),"A",""),
if(countif(var.nar.sim,$D6),"V",""))</f>
        <v/>
      </c>
      <c r="AS6" s="34" t="str">
        <f>
CONCATENATE(if(countif(knap.que.sim,$D6),"K",""),
if(countif(np.que.sim,$D6),"P",""),
if(countif(imp.que.sim,$D6),"T",""),
if(countif(dd.que.sim,$D6),"D",""),
if(countif(nap.que.sim,$D6),"A",""),
if(countif(var.que.sim,$D6),"V",""))</f>
        <v/>
      </c>
      <c r="AT6" s="37"/>
      <c r="AU6" s="32" t="str">
        <f>IFERROR(__xludf.DUMMYFUNCTION("if(countif(kr.agi, CONCATENATE(regexextract($C6,""[\w]* [\w]*""), ""*"")),""X"","""")"),"X")</f>
        <v>X</v>
      </c>
      <c r="AV6" s="38" t="str">
        <f>IFERROR(__xludf.DUMMYFUNCTION("if(countif(kr.bun,CONCATENATE(regexextract($C6,""[\w]* [\w]*""), ""*"")),""X"","""")"),"X")</f>
        <v>X</v>
      </c>
      <c r="AW6" s="38" t="str">
        <f>IFERROR(__xludf.DUMMYFUNCTION("if(countif(kr.kxn,CONCATENATE(regexextract($C6,""[\w]* [\w]*""), ""*"")),""X"","""")"),"X")</f>
        <v>X</v>
      </c>
      <c r="AX6" s="38" t="str">
        <f>IFERROR(__xludf.DUMMYFUNCTION("if(countif(kr.hwb,CONCATENATE(regexextract($C6,""[\w]* [\w]*""), ""*"")),""X"","""")"),"X")</f>
        <v>X</v>
      </c>
      <c r="AY6" s="38" t="str">
        <f>IFERROR(__xludf.DUMMYFUNCTION("if(countif(kr.ec,CONCATENATE(regexextract($C6,""[\w]* [\w]*""), ""*"")),""X"","""")"),"X")</f>
        <v>X</v>
      </c>
      <c r="AZ6" s="38" t="str">
        <f>IFERROR(__xludf.DUMMYFUNCTION("if(countif(kr.egt,CONCATENATE(regexextract($C6,""[\w]* [\w]*""), ""*"")),""X"","""")"),"")</f>
        <v/>
      </c>
      <c r="BA6" s="38"/>
      <c r="BB6" s="38" t="str">
        <f>IFERROR(__xludf.DUMMYFUNCTION("if(countif(kr.erd,CONCATENATE(regexextract($C6,""[\w]* [\w]*""), ""*"")),""X"","""")"),"X")</f>
        <v>X</v>
      </c>
      <c r="BC6" s="38" t="str">
        <f>IFERROR(__xludf.DUMMYFUNCTION("if(countif(kr.gkxn,CONCATENATE(regexextract($C6,""[\w]* [\w]*""), ""*"")),""X"","""")"),"")</f>
        <v/>
      </c>
      <c r="BD6" s="38" t="str">
        <f>IFERROR(__xludf.DUMMYFUNCTION("if(countif(kr.gen,CONCATENATE(regexextract(C6,""[\w]* [\w]*""), ""*"")),""X"","""")"),"")</f>
        <v/>
      </c>
      <c r="BE6" s="38" t="str">
        <f>IFERROR(__xludf.DUMMYFUNCTION("if(countif(kr.hcc,CONCATENATE(regexextract($C6,""[\w]* [\w]*""), ""*"")),""X"","""")"),"X")</f>
        <v>X</v>
      </c>
      <c r="BF6" s="38" t="str">
        <f>IFERROR(__xludf.DUMMYFUNCTION("if(countif(kr.kmp,CONCATENATE(regexextract($C6,""[\w]* [\w]*""), ""*"")),""X"","""")"),"X")</f>
        <v>X</v>
      </c>
      <c r="BG6" s="38" t="str">
        <f>IFERROR(__xludf.DUMMYFUNCTION("if(countif(kr.lu2,CONCATENATE(regexextract($C6,""[\w]* [\w]*""), ""*"")),""X"","""")"),"X")</f>
        <v>X</v>
      </c>
      <c r="BH6" s="38" t="str">
        <f>IFERROR(__xludf.DUMMYFUNCTION("if(countif(kr.myc,CONCATENATE(regexextract($C6,""[\w]* [\w]*""), ""*"")),""X"","""")"),"")</f>
        <v/>
      </c>
      <c r="BI6" s="38" t="str">
        <f>IFERROR(__xludf.DUMMYFUNCTION("if(countif(kr.nar,CONCATENATE(regexextract($C6,""[\w]* [\w]*""), ""*"")),""X"","""")"),"X")</f>
        <v>X</v>
      </c>
      <c r="BJ6" s="38" t="str">
        <f>IFERROR(__xludf.DUMMYFUNCTION("if(countif(kr.que,CONCATENATE(regexextract($C6,""[\w]* [\w]*""), ""*"")),""X"","""")"),"X")</f>
        <v>X</v>
      </c>
      <c r="BK6" s="39"/>
      <c r="BL6" s="40" t="str">
        <f>IFERROR(__xludf.DUMMYFUNCTION(" CONCATENATE( 
if (regexmatch(I6, ""^[A-Za-z\.\_]+""), ""L"", 
if(regexmatch(AB6, ""^[A-Za-z\.\_]+""),""S"","""")),
if(AU6=""X"",""K"",""""))"),"K")</f>
        <v>K</v>
      </c>
      <c r="BM6" s="40" t="str">
        <f>IFERROR(__xludf.DUMMYFUNCTION(" CONCATENATE( 
if (regexmatch(J6, ""^[A-Za-z\.\_]+""), ""L"", 
if(regexmatch(AC6, ""^[A-Za-z\.\_]+""),""S"","""")),
if(AV6=""X"",""K"",""""))"),"K")</f>
        <v>K</v>
      </c>
      <c r="BN6" s="40" t="str">
        <f>IFERROR(__xludf.DUMMYFUNCTION(" CONCATENATE( 
if (regexmatch(K6, ""^[A-Za-z\.\_]+""), ""L"", 
if(regexmatch(AD6, ""^[A-Za-z\.\_]+""),""S"","""")),
if(AW6=""X"",""K"",""""))"),"K")</f>
        <v>K</v>
      </c>
      <c r="BO6" s="40" t="str">
        <f>IFERROR(__xludf.DUMMYFUNCTION(" CONCATENATE( 
if (regexmatch(L6, ""^[A-Za-z\.\_]+""), ""L"", 
if(regexmatch(AE6, ""^[A-Za-z\.\_]+""),""S"","""")),
if(AX6=""X"",""K"",""""))"),"K")</f>
        <v>K</v>
      </c>
      <c r="BP6" s="40" t="str">
        <f>IFERROR(__xludf.DUMMYFUNCTION(" CONCATENATE( 
if (regexmatch(M6, ""^[A-Za-z\.\_]+""), ""L"", 
if(regexmatch(AF6, ""^[A-Za-z\.\_]+""),""S"","""")),
if(AY6=""X"",""K"",""""))"),"K")</f>
        <v>K</v>
      </c>
      <c r="BQ6" s="40" t="str">
        <f>IFERROR(__xludf.DUMMYFUNCTION("CONCATENATE( 
if (regexmatch(O6, ""^[A-Za-z\.\_]+""), ""L"", 
if(regexmatch(AH6, ""^[A-Za-z\.\_]+""),""S"","""")),
if(AZ6=""X"",""K"",""""))"),"")</f>
        <v/>
      </c>
      <c r="BR6" s="40" t="str">
        <f>IFERROR(__xludf.DUMMYFUNCTION("CONCATENATE( 
if (regexmatch(Q6, ""^[A-Za-z\.\_]+""), ""L"", 
if(regexmatch(AJ6, ""^[A-Za-z\.\_]+""),""S"","""")),
if(BA6=""X"",""K"",""""))"),"")</f>
        <v/>
      </c>
      <c r="BS6" s="40" t="str">
        <f>IFERROR(__xludf.DUMMYFUNCTION(" CONCATENATE( 
if (regexmatch(R6, ""^[A-Za-z\.\_]+""), ""L"", 
if(regexmatch(AK6, ""^[A-Za-z\.\_]+""),""S"","""")),
if(BB6=""X"",""K"",""""))"),"K")</f>
        <v>K</v>
      </c>
      <c r="BT6" s="40" t="str">
        <f>IFERROR(__xludf.DUMMYFUNCTION("CONCATENATE( 
if (regexmatch(S6, ""^[A-Za-z\.\_]+""), ""L"", 
if(regexmatch(AL6, ""^[A-Za-z\.\_]+""),""S"","""")),
if(BC6=""X"",""K"",""""))"),"")</f>
        <v/>
      </c>
      <c r="BU6" s="40" t="str">
        <f>IFERROR(__xludf.DUMMYFUNCTION("CONCATENATE( 
if (regexmatch(T6, ""^[A-Za-z\.\_]+""), ""L"", 
if(regexmatch(AM6, ""^[A-Za-z\.\_]+""),""S"","""")),
if(BD6=""X"",""K"",""""))"),"")</f>
        <v/>
      </c>
      <c r="BV6" s="40" t="str">
        <f>IFERROR(__xludf.DUMMYFUNCTION("CONCATENATE( 
if (regexmatch(U6, ""^[A-Za-z\.\_]+""), ""L"", 
if(regexmatch(AN6, ""^[A-Za-z\.\_]+""),""S"","""")),
if(BE6=""X"",""K"",""""))"),"K")</f>
        <v>K</v>
      </c>
      <c r="BW6" s="40" t="str">
        <f>IFERROR(__xludf.DUMMYFUNCTION(" CONCATENATE( 
if (regexmatch(V6, ""^[A-Za-z\.\_]+""), ""L"", 
if(regexmatch(AO6, ""^[A-Za-z\.\_]+""),""S"","""")),
if(BF6=""X"",""K"",""""))"),"K")</f>
        <v>K</v>
      </c>
      <c r="BX6" s="40" t="str">
        <f>IFERROR(__xludf.DUMMYFUNCTION("CONCATENATE( 
if (regexmatch(W6, ""^[A-Za-z\.\_]+""), ""L"", 
if(regexmatch(AP6, ""^[A-Za-z\.\_]+""),""S"","""")),
if(BG6=""X"",""K"",""""))"),"K")</f>
        <v>K</v>
      </c>
      <c r="BY6" s="40" t="str">
        <f>IFERROR(__xludf.DUMMYFUNCTION("CONCATENATE( 
if (regexmatch(X6, ""^[A-Za-z\.\_]+""), ""L"", 
if(regexmatch(AQ6, ""^[A-Za-z\.\_]+""),""S"","""")),
if(BH6=""X"",""K"",""""))"),"")</f>
        <v/>
      </c>
      <c r="BZ6" s="40" t="str">
        <f>IFERROR(__xludf.DUMMYFUNCTION("CONCATENATE( 
if (regexmatch(Y6, ""^[A-Za-z\.\_]+""), ""L"", 
if(regexmatch(AR6, ""^[A-Za-z\.\_]+""),""S"","""")),
if(BI6=""X"",""K"",""""))"),"K")</f>
        <v>K</v>
      </c>
      <c r="CA6" s="40" t="str">
        <f>IFERROR(__xludf.DUMMYFUNCTION("CONCATENATE( 
if (regexmatch(Z6, ""^[A-Za-z\.\_]+""), ""L"", 
if(regexmatch(AS6, ""^[A-Za-z\.\_]+""),""S"","""")),
if(BJ6=""X"",""K"",""""))"),"K")</f>
        <v>K</v>
      </c>
      <c r="CB6" s="39"/>
      <c r="CC6" s="39"/>
      <c r="CD6" s="39"/>
      <c r="CE6" s="39"/>
      <c r="CF6" s="39"/>
      <c r="CG6" s="39"/>
      <c r="CH6" s="39"/>
      <c r="CI6" s="39"/>
      <c r="CJ6" s="39"/>
      <c r="CK6" s="39"/>
      <c r="CL6" s="39"/>
      <c r="CM6" s="39"/>
      <c r="CN6" s="39"/>
      <c r="CO6" s="39"/>
      <c r="CP6" s="39"/>
      <c r="CQ6" s="39"/>
      <c r="CR6" s="39"/>
    </row>
    <row r="7">
      <c r="A7" s="25">
        <v>27.0</v>
      </c>
      <c r="B7" s="26" t="s">
        <v>91</v>
      </c>
      <c r="C7" s="41" t="s">
        <v>92</v>
      </c>
      <c r="D7" s="27" t="str">
        <f>IFERROR(__xludf.DUMMYFUNCTION("CONCATENATE(regexextract($C7,""[\w]* [\w]*""), ""*"")"),"Arachis ipaensis*")</f>
        <v>Arachis ipaensis*</v>
      </c>
      <c r="E7" s="26" t="s">
        <v>89</v>
      </c>
      <c r="F7" s="29">
        <v>130454.0</v>
      </c>
      <c r="G7" s="48" t="s">
        <v>93</v>
      </c>
      <c r="H7" s="31"/>
      <c r="I7" s="32" t="str">
        <f>CONCATENATE(
if(countif(dd.agi,$D7),"D",""),
if(countif(knap.agi,$D7),"K",""),
if(countif(mic.agi,$D7),"M",""),
if(countif(nap.agi,$D7),"N",""),
if(countif(np.agi,$D7),"P",""),
if(countif(imp.agi,$D7),"T",""),
if(countif(us.agi,$D7),"U",""),
if(countif(var.agi,$D7),"V","")
)</f>
        <v/>
      </c>
      <c r="J7" s="32" t="str">
        <f>
CONCATENATE(
if(countif(nap.bun,$D7),"N",""),
if(countif(np.bun,$D7),"P","")
)
</f>
        <v/>
      </c>
      <c r="K7" s="32" t="str">
        <f>CONCATENATE(
if(countif(dd.kxn,$D7),"D",""),
if(countif(knap.kxn,$D7),"K",""),
if(countif(mic.kxn,$D7),"M",""),
if(countif(nap.kxn,$D7),"N",""),
if(countif(np.kxn,$D7),"P",""),
if(countif(us.kxn,$D7),"U",""),
if(countif(var.kxn,$D7),"V","")
)</f>
        <v/>
      </c>
      <c r="L7" s="32" t="str">
        <f>
CONCATENATE(
if(countif(dd.hwb,$D7),"D",""),
if(countif(knap.hwb,$D7),"K",""),
if(countif(mic.hwb,$D7),"M",""),
if(countif(nap.hwb,$D7),"N",""),
if(countif(np.hwb,$D7),"P",""),
if(countif(us.hwb,$D7),"U",""),
if(countif(imp.hwb,$D7),"T",""),
if(countif(var.hwb,$D7),"V","")
)</f>
        <v/>
      </c>
      <c r="M7" s="32" t="str">
        <f>CONCATENATE(
if(countif(dd.epc,$D7),"D",""),
if(countif(knap.ekxn,$D7),"K",""),
if(countif(mic.ekxn,$D7),"M",""),
if(countif(nap.ekxn,$D7),"N",""),
if(countif(np.ekxn,$D7),"P",""),
if(countif(imp.epc,$D7),"T",""),
if(countif(us.ekxn,$D7),"U",""),
if(countif(var.ekxn,$D7),"V","")
)</f>
        <v/>
      </c>
      <c r="N7" s="32" t="str">
        <f>
CONCATENATE(
if(countif(dd.ecg,$D7),"D",""),
if(countif(mic.ecg,$D7),"M",""),
if(countif(np.ecg,$D7),"P",""),
if(countif(imp.ecg,$D7),"T",""),
if(countif(us.ecg,$D7),"U","")
)</f>
        <v/>
      </c>
      <c r="O7" s="32" t="str">
        <f>
CONCATENATE(
if(countif(dd.egt,$D7),"D",""),
if(countif(mic.egt,$D7),"M",""),
if(countif(nap.egt,$D7),"N",""),
if(countif(us.egt,$D7),"U",""),
if(countif(var.egt,$D7),"V",""))
</f>
        <v/>
      </c>
      <c r="P7" s="32" t="str">
        <f>CONCATENATE(
if(countif(knap.egcg,$D7),"K",""),
if(countif(mic.egcg,$D7),"M",""),
if(countif(np.egcg,$D7),"P",""),
if(countif(us.egcg,$D7),"U","")
)</f>
        <v/>
      </c>
      <c r="Q7" s="32" t="str">
        <f>CONCATENATE(if(countif(np.ecit,$D7),"P",""),
if(countif(nap.ecit,$D7),"A",""))</f>
        <v/>
      </c>
      <c r="R7" s="32" t="str">
        <f>
CONCATENATE(
if(countif(nap.erd,$D7),"N",""),
if(countif(np.erd,$D7),"P",""),
if(countif(var.erd,$D7),"V",""))</f>
        <v/>
      </c>
      <c r="S7" s="32" t="str">
        <f>
CONCATENATE(
if(countif(dd.gkxn,$D7),"D",""),
if(countif(knap.gkxn,$D7),"K",""),
if(countif(nap.gkxn,$D7),"N",""),
if(countif(np.gkxn,$D7),"P",""),
if(countif(imp.gkxn,$D7),"T",""),
if(countif(var.gkxn,$D7),"V",""))</f>
        <v/>
      </c>
      <c r="T7" s="32" t="str">
        <f>
CONCATENATE(
if(countif(dd.gen,$C7),"D",""),
if(countif(knap.gen,$C7),"K",""),
if(countif(nap.gen,$C7),"N",""),
if(countif(np.gen,$C7),"P",""),
if(countif(imp.gen,$C7),"T",""),
if(countif(var.gen,$C7),"V",""))</f>
        <v/>
      </c>
      <c r="U7" s="32" t="str">
        <f>
CONCATENATE(
if(countif(dd.hcc,$D7),"D",""),
if(countif(knap.hcc,$D7),"K",""),
if(countif(np.hcc,$D7),"P","")
)
</f>
        <v/>
      </c>
      <c r="V7" s="32" t="str">
        <f>
CONCATENATE(
if(countif(dd.kmp,$D7),"D",""),
if(countif(knap.kmp,$D7),"K",""),
if(countif(mic.kmp,$D7),"M",""),
if(countif(nap.kmp,$D7),"N",""),
if(countif(np.kmp,$D7),"P",""),
if(countif(imp.kmp,$D7),"T",""),
if(countif(us.kmp,$D7),"U",""),
if(countif(var.kmp,$D7),"V",""))</f>
        <v/>
      </c>
      <c r="W7" s="32" t="str">
        <f>
CONCATENATE(
if(countif(dd.lu2,$D7),"D",""),
if(countif(knap.lu2,$D7),"K",""),
if(countif(mic.lu2,$D7),"M",""),
if(countif(nap.lu2,$D7),"N",""),
if(countif(np.lu2,$D7),"P",""),
if(countif(imp.lu2,$D7),"T",""),
if(countif(us.lu2,$D7),"U",""),
if(countif(var.lu2,$D7),"V",""))</f>
        <v/>
      </c>
      <c r="X7" s="32" t="str">
        <f>
CONCATENATE(
if(countif(dd.myc,$D7),"D",""),
if(countif(knap.myc,$D7),"K",""), 
if(countif(mic.myc,$D7),"M",""),
if(countif(nap.myc,$D7),"N",""),
if(countif(np.myc,$D7),"P",""),
if(countif(imp.myc,$D7),"T",""),
if(countif(us.myc,$D7),"U",""),
if(countif(var.myc,$D7),"V",""))</f>
        <v/>
      </c>
      <c r="Y7" s="32" t="str">
        <f>CONCATENATE(
if(countif(dd.nar,$D7),"D",""),
if(countif(knap.nar,$D7),"K",""),
if(countif(nap.nar,$D7),"N",""),
if(countif(np.nar,$D7),"P",""),
if(countif(imp.nar,$D7),"T",""),
if(countif(us.nar,$D7),"U",""),
if(countif(var.nar,$D7),"V",""))</f>
        <v/>
      </c>
      <c r="Z7" s="33" t="str">
        <f>
CONCATENATE(
if(countif(dd.que,$D7),"D",""),
if(countif(knap.que,$D7),"K",""),
if(countif(mic.que,$D7),"M",""),
if(countif(nap.que,$D7),"N",""),
if(countif(np.que,$D7),"P",""),
if(countif(imp.que,$D7),"T",""),
if(countif(us.que,$D7),"U",""),
if(countif(var.que,$D7),"V",""))</f>
        <v/>
      </c>
      <c r="AA7" s="32"/>
      <c r="AB7" s="34" t="str">
        <f>
CONCATENATE(if(countif(knap.agi.sim,$D7),"K",""),
if(countif(dd.agi.sim,$D7),"D",""),
if(countif(nap.agi.sim,$D7),"A",""),
if(countif(var.agi.sim,$D7),"V",""))</f>
        <v/>
      </c>
      <c r="AC7" s="34" t="str">
        <f>
if(countif(nap.bun.sim,$D7),"A","")</f>
        <v/>
      </c>
      <c r="AD7" s="34" t="str">
        <f>
CONCATENATE(if(countif(knap.kxn.sim,$D7),"K",""),
if(countif(np.kxn.sim,$D7),"P",""),
if(countif(dd.kxn.sim,$D7),"D",""),
if(countif(nap.kxn.sim,$D7),"A",""),
if(countif(var.kxn.sim,$D7),"V",""))</f>
        <v/>
      </c>
      <c r="AE7" s="34" t="str">
        <f>
CONCATENATE(if(countif(knap.hwb.sim,$D7),"K",""),
if(countif(np.hwb.sim,$D7),"P",""),
if(countif(mic.hwb.sim,$D7),"M",""),
if(countif(imp.hwb.sim,$D7),"T",""),
if(countif(dd.cyan.sim,$D7),"D",""),
if(countif(nap.hwb.sim,$D7),"A",""),
if(countif(var.hwb.sim,$D7),"V",""))</f>
        <v/>
      </c>
      <c r="AF7" s="34" t="str">
        <f>
CONCATENATE(if(countif(us.ekxn.sim,$D7),"U",""),
if(countif(knap.ekxn.sim,$D7),"K",""),
if(countif(np.ekxn.sim,$D7),"P",""),
if(countif(mic.ekxn.sim,$D7),"M",""),
if(countif(imp.epc.sim,$D7),"T",""),
if(countif(nap.ekxn.sim,$D7),"A",""))</f>
        <v/>
      </c>
      <c r="AG7" s="34"/>
      <c r="AH7" s="34" t="str">
        <f>
CONCATENATE(if(countif(us.egt.sim,$D7),"U",""),
if(countif(knap.egt.sim,$D7),"K",""),
if(countif(np.egt.sim,$D7),"P",""),
if(countif(mic.egt.sim,$D7),"M",""))</f>
        <v/>
      </c>
      <c r="AI7" s="34"/>
      <c r="AJ7" s="34" t="str">
        <f>if(countif(nap.ecit.sim,$D7),"A","")</f>
        <v/>
      </c>
      <c r="AK7" s="34" t="str">
        <f>
CONCATENATE(if(countif(nap.erd,$D7),"M",""),
if(countif(nap.erd.sim,$D7),"A",""),
if(countif(var.erd.sim,$D7),"V",""))</f>
        <v/>
      </c>
      <c r="AL7" s="34" t="str">
        <f>
CONCATENATE(if(countif(knap.gkxn.sim,$D7),"K",""),
if(countif(nap.gkxn.sim,$D7),"A",""))</f>
        <v/>
      </c>
      <c r="AM7" s="34" t="str">
        <f>
CONCATENATE(if(countif(knap.gen.sim,$C7),"K",""),
if(countif(imp.gen.sim,$C7),"T",""),
if(countif(dd.gen.sim,$C7),"D",""),
if(countif(nap.gen.sim,$C7),"A",""),
if(countif(var.gen.sim,$C7),"V",""))
</f>
        <v/>
      </c>
      <c r="AN7" s="34" t="str">
        <f>IFERROR(__xludf.DUMMYFUNCTION("
if(countif(#REF!,CONCATENATE(regexextract($C7,""[\w]* [\w]*""), ""*"")),""V"","""")"),"")</f>
        <v/>
      </c>
      <c r="AO7" s="34" t="str">
        <f>
CONCATENATE(if(countif(knap.kmp.sim,$D7),"K",""),
if(countif(np.kmp.sim,$D7),"P",""),
if(countif(imp.kmp.sim,$D7),"T",""),
if(countif(dd.kmp,$D7),"D",""),
if(countif(nap.kmp.sim,$D7),"A",""),
if(countif(var.kmp.sim,$D7),"V",""))</f>
        <v/>
      </c>
      <c r="AP7" s="34" t="str">
        <f>
CONCATENATE(if(countif(knap.lu2.sim,$D7),"K",""),
if(countif(np.lu2.sim,$D7),"P",""),
if(countif(imp.lu2.sim,$D7),"T",""),
if(countif(dd.lu2.sim,$D7),"D",""),
if(countif(nap.lu2.sim,$D7),"A",""),
if(countif(var.lu2.sim,$D7),"V",""))</f>
        <v/>
      </c>
      <c r="AQ7" s="34" t="str">
        <f>
CONCATENATE(if(countif(np.myc.sim,$D7),"P",""),
if(countif(imp.myc.sim,$D7),"T",""),
if(countif(nap.myc.sim,$D7),"A",""))
</f>
        <v/>
      </c>
      <c r="AR7" s="36" t="str">
        <f>
CONCATENATE(if(countif(knap.nar.sim,$D7),"K",""),
if(countif(np.nar.sim,$D7),"P",""),
if(countif(imp.nar.sim,$D7),"T",""),
if(countif(dd.nar.sim,$D7),"D",""),
if(countif(nap.nar.sim,$D7),"A",""),
if(countif(var.nar.sim,$D7),"V",""))</f>
        <v/>
      </c>
      <c r="AS7" s="34" t="str">
        <f>
CONCATENATE(if(countif(knap.que.sim,$D7),"K",""),
if(countif(np.que.sim,$D7),"P",""),
if(countif(imp.que.sim,$D7),"T",""),
if(countif(dd.que.sim,$D7),"D",""),
if(countif(nap.que.sim,$D7),"A",""),
if(countif(var.que.sim,$D7),"V",""))</f>
        <v/>
      </c>
      <c r="AT7" s="37"/>
      <c r="AU7" s="32" t="str">
        <f>IFERROR(__xludf.DUMMYFUNCTION("if(countif(kr.agi, CONCATENATE(regexextract($C7,""[\w]* [\w]*""), ""*"")),""X"","""")"),"X")</f>
        <v>X</v>
      </c>
      <c r="AV7" s="38" t="str">
        <f>IFERROR(__xludf.DUMMYFUNCTION("if(countif(kr.bun,CONCATENATE(regexextract($C7,""[\w]* [\w]*""), ""*"")),""X"","""")"),"X")</f>
        <v>X</v>
      </c>
      <c r="AW7" s="38" t="str">
        <f>IFERROR(__xludf.DUMMYFUNCTION("if(countif(kr.kxn,CONCATENATE(regexextract($C7,""[\w]* [\w]*""), ""*"")),""X"","""")"),"")</f>
        <v/>
      </c>
      <c r="AX7" s="38" t="str">
        <f>IFERROR(__xludf.DUMMYFUNCTION("if(countif(kr.hwb,CONCATENATE(regexextract($C7,""[\w]* [\w]*""), ""*"")),""X"","""")"),"")</f>
        <v/>
      </c>
      <c r="AY7" s="38" t="str">
        <f>IFERROR(__xludf.DUMMYFUNCTION("if(countif(kr.ec,CONCATENATE(regexextract($C7,""[\w]* [\w]*""), ""*"")),""X"","""")"),"")</f>
        <v/>
      </c>
      <c r="AZ7" s="38" t="str">
        <f>IFERROR(__xludf.DUMMYFUNCTION("if(countif(kr.egt,CONCATENATE(regexextract($C7,""[\w]* [\w]*""), ""*"")),""X"","""")"),"")</f>
        <v/>
      </c>
      <c r="BA7" s="38"/>
      <c r="BB7" s="38" t="str">
        <f>IFERROR(__xludf.DUMMYFUNCTION("if(countif(kr.erd,CONCATENATE(regexextract($C7,""[\w]* [\w]*""), ""*"")),""X"","""")"),"X")</f>
        <v>X</v>
      </c>
      <c r="BC7" s="38" t="str">
        <f>IFERROR(__xludf.DUMMYFUNCTION("if(countif(kr.gkxn,CONCATENATE(regexextract($C7,""[\w]* [\w]*""), ""*"")),""X"","""")"),"")</f>
        <v/>
      </c>
      <c r="BD7" s="38" t="str">
        <f>IFERROR(__xludf.DUMMYFUNCTION("if(countif(kr.gen,CONCATENATE(regexextract(C7,""[\w]* [\w]*""), ""*"")),""X"","""")"),"")</f>
        <v/>
      </c>
      <c r="BE7" s="38" t="str">
        <f>IFERROR(__xludf.DUMMYFUNCTION("if(countif(kr.hcc,CONCATENATE(regexextract($C7,""[\w]* [\w]*""), ""*"")),""X"","""")"),"X")</f>
        <v>X</v>
      </c>
      <c r="BF7" s="38" t="str">
        <f>IFERROR(__xludf.DUMMYFUNCTION("if(countif(kr.kmp,CONCATENATE(regexextract($C7,""[\w]* [\w]*""), ""*"")),""X"","""")"),"X")</f>
        <v>X</v>
      </c>
      <c r="BG7" s="38" t="str">
        <f>IFERROR(__xludf.DUMMYFUNCTION("if(countif(kr.lu2,CONCATENATE(regexextract($C7,""[\w]* [\w]*""), ""*"")),""X"","""")"),"X")</f>
        <v>X</v>
      </c>
      <c r="BH7" s="38" t="str">
        <f>IFERROR(__xludf.DUMMYFUNCTION("if(countif(kr.myc,CONCATENATE(regexextract($C7,""[\w]* [\w]*""), ""*"")),""X"","""")"),"")</f>
        <v/>
      </c>
      <c r="BI7" s="38" t="str">
        <f>IFERROR(__xludf.DUMMYFUNCTION("if(countif(kr.nar,CONCATENATE(regexextract($C7,""[\w]* [\w]*""), ""*"")),""X"","""")"),"X")</f>
        <v>X</v>
      </c>
      <c r="BJ7" s="38" t="str">
        <f>IFERROR(__xludf.DUMMYFUNCTION("if(countif(kr.que,CONCATENATE(regexextract($C7,""[\w]* [\w]*""), ""*"")),""X"","""")"),"X")</f>
        <v>X</v>
      </c>
      <c r="BK7" s="39"/>
      <c r="BL7" s="40" t="str">
        <f>IFERROR(__xludf.DUMMYFUNCTION(" CONCATENATE( 
if (regexmatch(I7, ""^[A-Za-z\.\_]+""), ""L"", 
if(regexmatch(AB7, ""^[A-Za-z\.\_]+""),""S"","""")),
if(AU7=""X"",""K"",""""))"),"K")</f>
        <v>K</v>
      </c>
      <c r="BM7" s="40" t="str">
        <f>IFERROR(__xludf.DUMMYFUNCTION(" CONCATENATE( 
if (regexmatch(J7, ""^[A-Za-z\.\_]+""), ""L"", 
if(regexmatch(AC7, ""^[A-Za-z\.\_]+""),""S"","""")),
if(AV7=""X"",""K"",""""))"),"K")</f>
        <v>K</v>
      </c>
      <c r="BN7" s="40" t="str">
        <f>IFERROR(__xludf.DUMMYFUNCTION(" CONCATENATE( 
if (regexmatch(K7, ""^[A-Za-z\.\_]+""), ""L"", 
if(regexmatch(AD7, ""^[A-Za-z\.\_]+""),""S"","""")),
if(AW7=""X"",""K"",""""))"),"")</f>
        <v/>
      </c>
      <c r="BO7" s="40" t="str">
        <f>IFERROR(__xludf.DUMMYFUNCTION(" CONCATENATE( 
if (regexmatch(L7, ""^[A-Za-z\.\_]+""), ""L"", 
if(regexmatch(AE7, ""^[A-Za-z\.\_]+""),""S"","""")),
if(AX7=""X"",""K"",""""))"),"")</f>
        <v/>
      </c>
      <c r="BP7" s="40" t="str">
        <f>IFERROR(__xludf.DUMMYFUNCTION(" CONCATENATE( 
if (regexmatch(M7, ""^[A-Za-z\.\_]+""), ""L"", 
if(regexmatch(AF7, ""^[A-Za-z\.\_]+""),""S"","""")),
if(AY7=""X"",""K"",""""))"),"")</f>
        <v/>
      </c>
      <c r="BQ7" s="40" t="str">
        <f>IFERROR(__xludf.DUMMYFUNCTION("CONCATENATE( 
if (regexmatch(O7, ""^[A-Za-z\.\_]+""), ""L"", 
if(regexmatch(AH7, ""^[A-Za-z\.\_]+""),""S"","""")),
if(AZ7=""X"",""K"",""""))"),"")</f>
        <v/>
      </c>
      <c r="BR7" s="40" t="str">
        <f>IFERROR(__xludf.DUMMYFUNCTION("CONCATENATE( 
if (regexmatch(Q7, ""^[A-Za-z\.\_]+""), ""L"", 
if(regexmatch(AJ7, ""^[A-Za-z\.\_]+""),""S"","""")),
if(BA7=""X"",""K"",""""))"),"")</f>
        <v/>
      </c>
      <c r="BS7" s="40" t="str">
        <f>IFERROR(__xludf.DUMMYFUNCTION(" CONCATENATE( 
if (regexmatch(R7, ""^[A-Za-z\.\_]+""), ""L"", 
if(regexmatch(AK7, ""^[A-Za-z\.\_]+""),""S"","""")),
if(BB7=""X"",""K"",""""))"),"K")</f>
        <v>K</v>
      </c>
      <c r="BT7" s="40" t="str">
        <f>IFERROR(__xludf.DUMMYFUNCTION("CONCATENATE( 
if (regexmatch(S7, ""^[A-Za-z\.\_]+""), ""L"", 
if(regexmatch(AL7, ""^[A-Za-z\.\_]+""),""S"","""")),
if(BC7=""X"",""K"",""""))"),"")</f>
        <v/>
      </c>
      <c r="BU7" s="40" t="str">
        <f>IFERROR(__xludf.DUMMYFUNCTION("CONCATENATE( 
if (regexmatch(T7, ""^[A-Za-z\.\_]+""), ""L"", 
if(regexmatch(AM7, ""^[A-Za-z\.\_]+""),""S"","""")),
if(BD7=""X"",""K"",""""))"),"")</f>
        <v/>
      </c>
      <c r="BV7" s="40" t="str">
        <f>IFERROR(__xludf.DUMMYFUNCTION("CONCATENATE( 
if (regexmatch(U7, ""^[A-Za-z\.\_]+""), ""L"", 
if(regexmatch(AN7, ""^[A-Za-z\.\_]+""),""S"","""")),
if(BE7=""X"",""K"",""""))"),"K")</f>
        <v>K</v>
      </c>
      <c r="BW7" s="40" t="str">
        <f>IFERROR(__xludf.DUMMYFUNCTION(" CONCATENATE( 
if (regexmatch(V7, ""^[A-Za-z\.\_]+""), ""L"", 
if(regexmatch(AO7, ""^[A-Za-z\.\_]+""),""S"","""")),
if(BF7=""X"",""K"",""""))"),"K")</f>
        <v>K</v>
      </c>
      <c r="BX7" s="40" t="str">
        <f>IFERROR(__xludf.DUMMYFUNCTION("CONCATENATE( 
if (regexmatch(W7, ""^[A-Za-z\.\_]+""), ""L"", 
if(regexmatch(AP7, ""^[A-Za-z\.\_]+""),""S"","""")),
if(BG7=""X"",""K"",""""))"),"K")</f>
        <v>K</v>
      </c>
      <c r="BY7" s="40" t="str">
        <f>IFERROR(__xludf.DUMMYFUNCTION("CONCATENATE( 
if (regexmatch(X7, ""^[A-Za-z\.\_]+""), ""L"", 
if(regexmatch(AQ7, ""^[A-Za-z\.\_]+""),""S"","""")),
if(BH7=""X"",""K"",""""))"),"")</f>
        <v/>
      </c>
      <c r="BZ7" s="40" t="str">
        <f>IFERROR(__xludf.DUMMYFUNCTION("CONCATENATE( 
if (regexmatch(Y7, ""^[A-Za-z\.\_]+""), ""L"", 
if(regexmatch(AR7, ""^[A-Za-z\.\_]+""),""S"","""")),
if(BI7=""X"",""K"",""""))"),"K")</f>
        <v>K</v>
      </c>
      <c r="CA7" s="40" t="str">
        <f>IFERROR(__xludf.DUMMYFUNCTION("CONCATENATE( 
if (regexmatch(Z7, ""^[A-Za-z\.\_]+""), ""L"", 
if(regexmatch(AS7, ""^[A-Za-z\.\_]+""),""S"","""")),
if(BJ7=""X"",""K"",""""))"),"K")</f>
        <v>K</v>
      </c>
      <c r="CB7" s="39"/>
      <c r="CC7" s="39"/>
      <c r="CD7" s="39"/>
      <c r="CE7" s="39"/>
      <c r="CF7" s="39"/>
      <c r="CG7" s="39"/>
      <c r="CH7" s="39"/>
      <c r="CI7" s="39"/>
      <c r="CJ7" s="39"/>
      <c r="CK7" s="39"/>
      <c r="CL7" s="39"/>
      <c r="CM7" s="39"/>
      <c r="CN7" s="39"/>
      <c r="CO7" s="39"/>
      <c r="CP7" s="39"/>
      <c r="CQ7" s="39"/>
      <c r="CR7" s="39"/>
    </row>
    <row r="8">
      <c r="A8" s="25">
        <v>117.0</v>
      </c>
      <c r="B8" s="26" t="s">
        <v>94</v>
      </c>
      <c r="C8" s="27" t="s">
        <v>95</v>
      </c>
      <c r="D8" s="27" t="str">
        <f>IFERROR(__xludf.DUMMYFUNCTION("CONCATENATE(regexextract($C8,""[\w]* [\w]*""), ""*"")"),"Asparagus officinalis*")</f>
        <v>Asparagus officinalis*</v>
      </c>
      <c r="E8" s="28" t="s">
        <v>96</v>
      </c>
      <c r="F8" s="29">
        <v>4686.0</v>
      </c>
      <c r="G8" s="49" t="s">
        <v>97</v>
      </c>
      <c r="H8" s="31"/>
      <c r="I8" s="32" t="str">
        <f>CONCATENATE(
if(countif(dd.agi,$D8),"D",""),
if(countif(knap.agi,$D8),"K",""),
if(countif(mic.agi,$D8),"M",""),
if(countif(nap.agi,$D8),"N",""),
if(countif(np.agi,$D8),"P",""),
if(countif(imp.agi,$D8),"T",""),
if(countif(us.agi,$D8),"U",""),
if(countif(var.agi,$D8),"V","")
)</f>
        <v>K</v>
      </c>
      <c r="J8" s="32" t="str">
        <f>
CONCATENATE(
if(countif(nap.bun,$D8),"N",""),
if(countif(np.bun,$D8),"P","")
)
</f>
        <v/>
      </c>
      <c r="K8" s="32" t="str">
        <f>CONCATENATE(
if(countif(dd.kxn,$D8),"D",""),
if(countif(knap.kxn,$D8),"K",""),
if(countif(mic.kxn,$D8),"M",""),
if(countif(nap.kxn,$D8),"N",""),
if(countif(np.kxn,$D8),"P",""),
if(countif(us.kxn,$D8),"U",""),
if(countif(var.kxn,$D8),"V","")
)</f>
        <v>K</v>
      </c>
      <c r="L8" s="32" t="str">
        <f>
CONCATENATE(
if(countif(dd.hwb,$D8),"D",""),
if(countif(knap.hwb,$D8),"K",""),
if(countif(mic.hwb,$D8),"M",""),
if(countif(nap.hwb,$D8),"N",""),
if(countif(np.hwb,$D8),"P",""),
if(countif(us.hwb,$D8),"U",""),
if(countif(imp.hwb,$D8),"T",""),
if(countif(var.hwb,$D8),"V","")
)</f>
        <v/>
      </c>
      <c r="M8" s="32" t="str">
        <f>CONCATENATE(
if(countif(dd.epc,$D8),"D",""),
if(countif(knap.ekxn,$D8),"K",""),
if(countif(mic.ekxn,$D8),"M",""),
if(countif(nap.ekxn,$D8),"N",""),
if(countif(np.ekxn,$D8),"P",""),
if(countif(imp.epc,$D8),"T",""),
if(countif(us.ekxn,$D8),"U",""),
if(countif(var.ekxn,$D8),"V","")
)</f>
        <v/>
      </c>
      <c r="N8" s="32" t="str">
        <f>
CONCATENATE(
if(countif(dd.ecg,$D8),"D",""),
if(countif(mic.ecg,$D8),"M",""),
if(countif(np.ecg,$D8),"P",""),
if(countif(imp.ecg,$D8),"T",""),
if(countif(us.ecg,$D8),"U","")
)</f>
        <v/>
      </c>
      <c r="O8" s="32" t="str">
        <f>
CONCATENATE(
if(countif(dd.egt,$D8),"D",""),
if(countif(mic.egt,$D8),"M",""),
if(countif(nap.egt,$D8),"N",""),
if(countif(us.egt,$D8),"U",""),
if(countif(var.egt,$D8),"V",""))
</f>
        <v/>
      </c>
      <c r="P8" s="32" t="str">
        <f>CONCATENATE(
if(countif(knap.egcg,$D8),"K",""),
if(countif(mic.egcg,$D8),"M",""),
if(countif(np.egcg,$D8),"P",""),
if(countif(us.egcg,$D8),"U","")
)</f>
        <v/>
      </c>
      <c r="Q8" s="32" t="str">
        <f>CONCATENATE(if(countif(np.ecit,$D8),"P",""),
if(countif(nap.ecit,$D8),"A",""))</f>
        <v/>
      </c>
      <c r="R8" s="32" t="str">
        <f>
CONCATENATE(
if(countif(nap.erd,$D8),"N",""),
if(countif(np.erd,$D8),"P",""),
if(countif(var.erd,$D8),"V",""))</f>
        <v/>
      </c>
      <c r="S8" s="32" t="str">
        <f>
CONCATENATE(
if(countif(dd.gkxn,$D8),"D",""),
if(countif(knap.gkxn,$D8),"K",""),
if(countif(nap.gkxn,$D8),"N",""),
if(countif(np.gkxn,$D8),"P",""),
if(countif(imp.gkxn,$D8),"T",""),
if(countif(var.gkxn,$D8),"V",""))</f>
        <v/>
      </c>
      <c r="T8" s="32" t="str">
        <f>
CONCATENATE(
if(countif(dd.gen,$C8),"D",""),
if(countif(knap.gen,$C8),"K",""),
if(countif(nap.gen,$C8),"N",""),
if(countif(np.gen,$C8),"P",""),
if(countif(imp.gen,$C8),"T",""),
if(countif(var.gen,$C8),"V",""))</f>
        <v/>
      </c>
      <c r="U8" s="32" t="str">
        <f>
CONCATENATE(
if(countif(dd.hcc,$D8),"D",""),
if(countif(knap.hcc,$D8),"K",""),
if(countif(np.hcc,$D8),"P","")
)
</f>
        <v/>
      </c>
      <c r="V8" s="32" t="str">
        <f>
CONCATENATE(
if(countif(dd.kmp,$D8),"D",""),
if(countif(knap.kmp,$D8),"K",""),
if(countif(mic.kmp,$D8),"M",""),
if(countif(nap.kmp,$D8),"N",""),
if(countif(np.kmp,$D8),"P",""),
if(countif(imp.kmp,$D8),"T",""),
if(countif(us.kmp,$D8),"U",""),
if(countif(var.kmp,$D8),"V",""))</f>
        <v>DKMTU</v>
      </c>
      <c r="W8" s="32" t="str">
        <f>
CONCATENATE(
if(countif(dd.lu2,$D8),"D",""),
if(countif(knap.lu2,$D8),"K",""),
if(countif(mic.lu2,$D8),"M",""),
if(countif(nap.lu2,$D8),"N",""),
if(countif(np.lu2,$D8),"P",""),
if(countif(imp.lu2,$D8),"T",""),
if(countif(us.lu2,$D8),"U",""),
if(countif(var.lu2,$D8),"V",""))</f>
        <v>K</v>
      </c>
      <c r="X8" s="32" t="str">
        <f>
CONCATENATE(
if(countif(dd.myc,$D8),"D",""),
if(countif(knap.myc,$D8),"K",""), 
if(countif(mic.myc,$D8),"M",""),
if(countif(nap.myc,$D8),"N",""),
if(countif(np.myc,$D8),"P",""),
if(countif(imp.myc,$D8),"T",""),
if(countif(us.myc,$D8),"U",""),
if(countif(var.myc,$D8),"V",""))</f>
        <v>K</v>
      </c>
      <c r="Y8" s="32" t="str">
        <f>CONCATENATE(
if(countif(dd.nar,$D8),"D",""),
if(countif(knap.nar,$D8),"K",""),
if(countif(nap.nar,$D8),"N",""),
if(countif(np.nar,$D8),"P",""),
if(countif(imp.nar,$D8),"T",""),
if(countif(us.nar,$D8),"U",""),
if(countif(var.nar,$D8),"V",""))</f>
        <v>K</v>
      </c>
      <c r="Z8" s="33" t="str">
        <f>
CONCATENATE(
if(countif(dd.que,$D8),"D",""),
if(countif(knap.que,$D8),"K",""),
if(countif(mic.que,$D8),"M",""),
if(countif(nap.que,$D8),"N",""),
if(countif(np.que,$D8),"P",""),
if(countif(imp.que,$D8),"T",""),
if(countif(us.que,$D8),"U",""),
if(countif(var.que,$D8),"V",""))</f>
        <v>DKMTU</v>
      </c>
      <c r="AA8" s="32"/>
      <c r="AB8" s="34" t="str">
        <f>
CONCATENATE(if(countif(knap.agi.sim,$D8),"K",""),
if(countif(dd.agi.sim,$D8),"D",""),
if(countif(nap.agi.sim,$D8),"A",""),
if(countif(var.agi.sim,$D8),"V",""))</f>
        <v>K</v>
      </c>
      <c r="AC8" s="34" t="str">
        <f>
if(countif(nap.bun.sim,$D8),"A","")</f>
        <v/>
      </c>
      <c r="AD8" s="34" t="str">
        <f>
CONCATENATE(if(countif(knap.kxn.sim,$D8),"K",""),
if(countif(np.kxn.sim,$D8),"P",""),
if(countif(dd.kxn.sim,$D8),"D",""),
if(countif(nap.kxn.sim,$D8),"A",""),
if(countif(var.kxn.sim,$D8),"V",""))</f>
        <v/>
      </c>
      <c r="AE8" s="34" t="str">
        <f>
CONCATENATE(if(countif(knap.hwb.sim,$D8),"K",""),
if(countif(np.hwb.sim,$D8),"P",""),
if(countif(mic.hwb.sim,$D8),"M",""),
if(countif(imp.hwb.sim,$D8),"T",""),
if(countif(dd.cyan.sim,$D8),"D",""),
if(countif(nap.hwb.sim,$D8),"A",""),
if(countif(var.hwb.sim,$D8),"V",""))</f>
        <v>DA</v>
      </c>
      <c r="AF8" s="34" t="str">
        <f>
CONCATENATE(if(countif(us.ekxn.sim,$D8),"U",""),
if(countif(knap.ekxn.sim,$D8),"K",""),
if(countif(np.ekxn.sim,$D8),"P",""),
if(countif(mic.ekxn.sim,$D8),"M",""),
if(countif(imp.epc.sim,$D8),"T",""),
if(countif(nap.ekxn.sim,$D8),"A",""))</f>
        <v/>
      </c>
      <c r="AG8" s="34"/>
      <c r="AH8" s="34" t="str">
        <f>
CONCATENATE(if(countif(us.egt.sim,$D8),"U",""),
if(countif(knap.egt.sim,$D8),"K",""),
if(countif(np.egt.sim,$D8),"P",""),
if(countif(mic.egt.sim,$D8),"M",""))</f>
        <v/>
      </c>
      <c r="AI8" s="34"/>
      <c r="AJ8" s="34" t="str">
        <f>if(countif(nap.ecit.sim,$D8),"A","")</f>
        <v/>
      </c>
      <c r="AK8" s="34" t="str">
        <f>
CONCATENATE(if(countif(nap.erd,$D8),"M",""),
if(countif(nap.erd.sim,$D8),"A",""),
if(countif(var.erd.sim,$D8),"V",""))</f>
        <v/>
      </c>
      <c r="AL8" s="34" t="str">
        <f>
CONCATENATE(if(countif(knap.gkxn.sim,$D8),"K",""),
if(countif(nap.gkxn.sim,$D8),"A",""))</f>
        <v/>
      </c>
      <c r="AM8" s="34" t="str">
        <f>
CONCATENATE(if(countif(knap.gen.sim,$C8),"K",""),
if(countif(imp.gen.sim,$C8),"T",""),
if(countif(dd.gen.sim,$C8),"D",""),
if(countif(nap.gen.sim,$C8),"A",""),
if(countif(var.gen.sim,$C8),"V",""))
</f>
        <v/>
      </c>
      <c r="AN8" s="34" t="str">
        <f>IFERROR(__xludf.DUMMYFUNCTION("
if(countif(#REF!,CONCATENATE(regexextract($C8,""[\w]* [\w]*""), ""*"")),""V"","""")"),"")</f>
        <v/>
      </c>
      <c r="AO8" s="34" t="str">
        <f>
CONCATENATE(if(countif(knap.kmp.sim,$D8),"K",""),
if(countif(np.kmp.sim,$D8),"P",""),
if(countif(imp.kmp.sim,$D8),"T",""),
if(countif(dd.kmp,$D8),"D",""),
if(countif(nap.kmp.sim,$D8),"A",""),
if(countif(var.kmp.sim,$D8),"V",""))</f>
        <v>D</v>
      </c>
      <c r="AP8" s="34" t="str">
        <f>
CONCATENATE(if(countif(knap.lu2.sim,$D8),"K",""),
if(countif(np.lu2.sim,$D8),"P",""),
if(countif(imp.lu2.sim,$D8),"T",""),
if(countif(dd.lu2.sim,$D8),"D",""),
if(countif(nap.lu2.sim,$D8),"A",""),
if(countif(var.lu2.sim,$D8),"V",""))</f>
        <v/>
      </c>
      <c r="AQ8" s="34" t="str">
        <f>
CONCATENATE(if(countif(np.myc.sim,$D8),"P",""),
if(countif(imp.myc.sim,$D8),"T",""),
if(countif(nap.myc.sim,$D8),"A",""))
</f>
        <v/>
      </c>
      <c r="AR8" s="36" t="str">
        <f>
CONCATENATE(if(countif(knap.nar.sim,$D8),"K",""),
if(countif(np.nar.sim,$D8),"P",""),
if(countif(imp.nar.sim,$D8),"T",""),
if(countif(dd.nar.sim,$D8),"D",""),
if(countif(nap.nar.sim,$D8),"A",""),
if(countif(var.nar.sim,$D8),"V",""))</f>
        <v>K</v>
      </c>
      <c r="AS8" s="34" t="str">
        <f>
CONCATENATE(if(countif(knap.que.sim,$D8),"K",""),
if(countif(np.que.sim,$D8),"P",""),
if(countif(imp.que.sim,$D8),"T",""),
if(countif(dd.que.sim,$D8),"D",""),
if(countif(nap.que.sim,$D8),"A",""),
if(countif(var.que.sim,$D8),"V",""))</f>
        <v>KPD</v>
      </c>
      <c r="AT8" s="37"/>
      <c r="AU8" s="32" t="str">
        <f>IFERROR(__xludf.DUMMYFUNCTION("if(countif(kr.agi, CONCATENATE(regexextract($C8,""[\w]* [\w]*""), ""*"")),""X"","""")"),"")</f>
        <v/>
      </c>
      <c r="AV8" s="38" t="str">
        <f>IFERROR(__xludf.DUMMYFUNCTION("if(countif(kr.bun,CONCATENATE(regexextract($C8,""[\w]* [\w]*""), ""*"")),""X"","""")"),"X")</f>
        <v>X</v>
      </c>
      <c r="AW8" s="38" t="str">
        <f>IFERROR(__xludf.DUMMYFUNCTION("if(countif(kr.kxn,CONCATENATE(regexextract($C8,""[\w]* [\w]*""), ""*"")),""X"","""")"),"X")</f>
        <v>X</v>
      </c>
      <c r="AX8" s="38" t="str">
        <f>IFERROR(__xludf.DUMMYFUNCTION("if(countif(kr.hwb,CONCATENATE(regexextract($C8,""[\w]* [\w]*""), ""*"")),""X"","""")"),"X")</f>
        <v>X</v>
      </c>
      <c r="AY8" s="38" t="str">
        <f>IFERROR(__xludf.DUMMYFUNCTION("if(countif(kr.ec,CONCATENATE(regexextract($C8,""[\w]* [\w]*""), ""*"")),""X"","""")"),"X")</f>
        <v>X</v>
      </c>
      <c r="AZ8" s="38" t="str">
        <f>IFERROR(__xludf.DUMMYFUNCTION("if(countif(kr.egt,CONCATENATE(regexextract($C8,""[\w]* [\w]*""), ""*"")),""X"","""")"),"")</f>
        <v/>
      </c>
      <c r="BA8" s="38"/>
      <c r="BB8" s="38" t="str">
        <f>IFERROR(__xludf.DUMMYFUNCTION("if(countif(kr.erd,CONCATENATE(regexextract($C8,""[\w]* [\w]*""), ""*"")),""X"","""")"),"X")</f>
        <v>X</v>
      </c>
      <c r="BC8" s="38" t="str">
        <f>IFERROR(__xludf.DUMMYFUNCTION("if(countif(kr.gkxn,CONCATENATE(regexextract($C8,""[\w]* [\w]*""), ""*"")),""X"","""")"),"")</f>
        <v/>
      </c>
      <c r="BD8" s="38" t="str">
        <f>IFERROR(__xludf.DUMMYFUNCTION("if(countif(kr.gen,CONCATENATE(regexextract(C8,""[\w]* [\w]*""), ""*"")),""X"","""")"),"")</f>
        <v/>
      </c>
      <c r="BE8" s="38" t="str">
        <f>IFERROR(__xludf.DUMMYFUNCTION("if(countif(kr.hcc,CONCATENATE(regexextract($C8,""[\w]* [\w]*""), ""*"")),""X"","""")"),"X")</f>
        <v>X</v>
      </c>
      <c r="BF8" s="38" t="str">
        <f>IFERROR(__xludf.DUMMYFUNCTION("if(countif(kr.kmp,CONCATENATE(regexextract($C8,""[\w]* [\w]*""), ""*"")),""X"","""")"),"X")</f>
        <v>X</v>
      </c>
      <c r="BG8" s="38" t="str">
        <f>IFERROR(__xludf.DUMMYFUNCTION("if(countif(kr.lu2,CONCATENATE(regexextract($C8,""[\w]* [\w]*""), ""*"")),""X"","""")"),"")</f>
        <v/>
      </c>
      <c r="BH8" s="38" t="str">
        <f>IFERROR(__xludf.DUMMYFUNCTION("if(countif(kr.myc,CONCATENATE(regexextract($C8,""[\w]* [\w]*""), ""*"")),""X"","""")"),"")</f>
        <v/>
      </c>
      <c r="BI8" s="38" t="str">
        <f>IFERROR(__xludf.DUMMYFUNCTION("if(countif(kr.nar,CONCATENATE(regexextract($C8,""[\w]* [\w]*""), ""*"")),""X"","""")"),"X")</f>
        <v>X</v>
      </c>
      <c r="BJ8" s="38" t="str">
        <f>IFERROR(__xludf.DUMMYFUNCTION("if(countif(kr.que,CONCATENATE(regexextract($C8,""[\w]* [\w]*""), ""*"")),""X"","""")"),"X")</f>
        <v>X</v>
      </c>
      <c r="BK8" s="39"/>
      <c r="BL8" s="40" t="str">
        <f>IFERROR(__xludf.DUMMYFUNCTION(" CONCATENATE( 
if (regexmatch(I8, ""^[A-Za-z\.\_]+""), ""L"", 
if(regexmatch(AB8, ""^[A-Za-z\.\_]+""),""S"","""")),
if(AU8=""X"",""K"",""""))"),"L")</f>
        <v>L</v>
      </c>
      <c r="BM8" s="40" t="str">
        <f>IFERROR(__xludf.DUMMYFUNCTION(" CONCATENATE( 
if (regexmatch(J8, ""^[A-Za-z\.\_]+""), ""L"", 
if(regexmatch(AC8, ""^[A-Za-z\.\_]+""),""S"","""")),
if(AV8=""X"",""K"",""""))"),"K")</f>
        <v>K</v>
      </c>
      <c r="BN8" s="40" t="str">
        <f>IFERROR(__xludf.DUMMYFUNCTION(" CONCATENATE( 
if (regexmatch(K8, ""^[A-Za-z\.\_]+""), ""L"", 
if(regexmatch(AD8, ""^[A-Za-z\.\_]+""),""S"","""")),
if(AW8=""X"",""K"",""""))"),"LK")</f>
        <v>LK</v>
      </c>
      <c r="BO8" s="40" t="str">
        <f>IFERROR(__xludf.DUMMYFUNCTION(" CONCATENATE( 
if (regexmatch(L8, ""^[A-Za-z\.\_]+""), ""L"", 
if(regexmatch(AE8, ""^[A-Za-z\.\_]+""),""S"","""")),
if(AX8=""X"",""K"",""""))"),"SK")</f>
        <v>SK</v>
      </c>
      <c r="BP8" s="40" t="str">
        <f>IFERROR(__xludf.DUMMYFUNCTION(" CONCATENATE( 
if (regexmatch(M8, ""^[A-Za-z\.\_]+""), ""L"", 
if(regexmatch(AF8, ""^[A-Za-z\.\_]+""),""S"","""")),
if(AY8=""X"",""K"",""""))"),"K")</f>
        <v>K</v>
      </c>
      <c r="BQ8" s="40" t="str">
        <f>IFERROR(__xludf.DUMMYFUNCTION("CONCATENATE( 
if (regexmatch(O8, ""^[A-Za-z\.\_]+""), ""L"", 
if(regexmatch(AH8, ""^[A-Za-z\.\_]+""),""S"","""")),
if(AZ8=""X"",""K"",""""))"),"")</f>
        <v/>
      </c>
      <c r="BR8" s="40" t="str">
        <f>IFERROR(__xludf.DUMMYFUNCTION("CONCATENATE( 
if (regexmatch(Q8, ""^[A-Za-z\.\_]+""), ""L"", 
if(regexmatch(AJ8, ""^[A-Za-z\.\_]+""),""S"","""")),
if(BA8=""X"",""K"",""""))"),"")</f>
        <v/>
      </c>
      <c r="BS8" s="40" t="str">
        <f>IFERROR(__xludf.DUMMYFUNCTION(" CONCATENATE( 
if (regexmatch(R8, ""^[A-Za-z\.\_]+""), ""L"", 
if(regexmatch(AK8, ""^[A-Za-z\.\_]+""),""S"","""")),
if(BB8=""X"",""K"",""""))"),"K")</f>
        <v>K</v>
      </c>
      <c r="BT8" s="40" t="str">
        <f>IFERROR(__xludf.DUMMYFUNCTION("CONCATENATE( 
if (regexmatch(S8, ""^[A-Za-z\.\_]+""), ""L"", 
if(regexmatch(AL8, ""^[A-Za-z\.\_]+""),""S"","""")),
if(BC8=""X"",""K"",""""))"),"")</f>
        <v/>
      </c>
      <c r="BU8" s="40" t="str">
        <f>IFERROR(__xludf.DUMMYFUNCTION("CONCATENATE( 
if (regexmatch(T8, ""^[A-Za-z\.\_]+""), ""L"", 
if(regexmatch(AM8, ""^[A-Za-z\.\_]+""),""S"","""")),
if(BD8=""X"",""K"",""""))"),"")</f>
        <v/>
      </c>
      <c r="BV8" s="40" t="str">
        <f>IFERROR(__xludf.DUMMYFUNCTION("CONCATENATE( 
if (regexmatch(U8, ""^[A-Za-z\.\_]+""), ""L"", 
if(regexmatch(AN8, ""^[A-Za-z\.\_]+""),""S"","""")),
if(BE8=""X"",""K"",""""))"),"K")</f>
        <v>K</v>
      </c>
      <c r="BW8" s="40" t="str">
        <f>IFERROR(__xludf.DUMMYFUNCTION(" CONCATENATE( 
if (regexmatch(V8, ""^[A-Za-z\.\_]+""), ""L"", 
if(regexmatch(AO8, ""^[A-Za-z\.\_]+""),""S"","""")),
if(BF8=""X"",""K"",""""))"),"LK")</f>
        <v>LK</v>
      </c>
      <c r="BX8" s="40" t="str">
        <f>IFERROR(__xludf.DUMMYFUNCTION("CONCATENATE( 
if (regexmatch(W8, ""^[A-Za-z\.\_]+""), ""L"", 
if(regexmatch(AP8, ""^[A-Za-z\.\_]+""),""S"","""")),
if(BG8=""X"",""K"",""""))"),"L")</f>
        <v>L</v>
      </c>
      <c r="BY8" s="40" t="str">
        <f>IFERROR(__xludf.DUMMYFUNCTION("CONCATENATE( 
if (regexmatch(X8, ""^[A-Za-z\.\_]+""), ""L"", 
if(regexmatch(AQ8, ""^[A-Za-z\.\_]+""),""S"","""")),
if(BH8=""X"",""K"",""""))"),"L")</f>
        <v>L</v>
      </c>
      <c r="BZ8" s="40" t="str">
        <f>IFERROR(__xludf.DUMMYFUNCTION("CONCATENATE( 
if (regexmatch(Y8, ""^[A-Za-z\.\_]+""), ""L"", 
if(regexmatch(AR8, ""^[A-Za-z\.\_]+""),""S"","""")),
if(BI8=""X"",""K"",""""))"),"LK")</f>
        <v>LK</v>
      </c>
      <c r="CA8" s="40" t="str">
        <f>IFERROR(__xludf.DUMMYFUNCTION("CONCATENATE( 
if (regexmatch(Z8, ""^[A-Za-z\.\_]+""), ""L"", 
if(regexmatch(AS8, ""^[A-Za-z\.\_]+""),""S"","""")),
if(BJ8=""X"",""K"",""""))"),"LK")</f>
        <v>LK</v>
      </c>
      <c r="CB8" s="39"/>
      <c r="CC8" s="39"/>
      <c r="CD8" s="39"/>
      <c r="CE8" s="39"/>
      <c r="CF8" s="39"/>
      <c r="CG8" s="39"/>
      <c r="CH8" s="39"/>
      <c r="CI8" s="39"/>
      <c r="CJ8" s="39"/>
      <c r="CK8" s="39"/>
      <c r="CL8" s="39"/>
      <c r="CM8" s="39"/>
      <c r="CN8" s="39"/>
      <c r="CO8" s="39"/>
      <c r="CP8" s="39"/>
      <c r="CQ8" s="39"/>
      <c r="CR8" s="39"/>
    </row>
    <row r="9">
      <c r="A9" s="25">
        <v>125.0</v>
      </c>
      <c r="B9" s="26" t="s">
        <v>98</v>
      </c>
      <c r="C9" s="27" t="s">
        <v>99</v>
      </c>
      <c r="D9" s="27" t="str">
        <f>IFERROR(__xludf.DUMMYFUNCTION("CONCATENATE(regexextract($C9,""[\w]* [\w]*""), ""*"")"),"Auxenochlorella protothecoides*")</f>
        <v>Auxenochlorella protothecoides*</v>
      </c>
      <c r="E9" s="28" t="s">
        <v>100</v>
      </c>
      <c r="F9" s="29">
        <v>3075.0</v>
      </c>
      <c r="G9" s="50" t="s">
        <v>101</v>
      </c>
      <c r="H9" s="31"/>
      <c r="I9" s="32" t="str">
        <f>CONCATENATE(
if(countif(dd.agi,$D9),"D",""),
if(countif(knap.agi,$D9),"K",""),
if(countif(mic.agi,$D9),"M",""),
if(countif(nap.agi,$D9),"N",""),
if(countif(np.agi,$D9),"P",""),
if(countif(imp.agi,$D9),"T",""),
if(countif(us.agi,$D9),"U",""),
if(countif(var.agi,$D9),"V","")
)</f>
        <v/>
      </c>
      <c r="J9" s="32" t="str">
        <f>
CONCATENATE(
if(countif(nap.bun,$D9),"N",""),
if(countif(np.bun,$D9),"P","")
)
</f>
        <v/>
      </c>
      <c r="K9" s="32" t="str">
        <f>CONCATENATE(
if(countif(dd.kxn,$D9),"D",""),
if(countif(knap.kxn,$D9),"K",""),
if(countif(mic.kxn,$D9),"M",""),
if(countif(nap.kxn,$D9),"N",""),
if(countif(np.kxn,$D9),"P",""),
if(countif(us.kxn,$D9),"U",""),
if(countif(var.kxn,$D9),"V","")
)</f>
        <v/>
      </c>
      <c r="L9" s="32" t="str">
        <f>
CONCATENATE(
if(countif(dd.hwb,$D9),"D",""),
if(countif(knap.hwb,$D9),"K",""),
if(countif(mic.hwb,$D9),"M",""),
if(countif(nap.hwb,$D9),"N",""),
if(countif(np.hwb,$D9),"P",""),
if(countif(us.hwb,$D9),"U",""),
if(countif(imp.hwb,$D9),"T",""),
if(countif(var.hwb,$D9),"V","")
)</f>
        <v/>
      </c>
      <c r="M9" s="32" t="str">
        <f>CONCATENATE(
if(countif(dd.epc,$D9),"D",""),
if(countif(knap.ekxn,$D9),"K",""),
if(countif(mic.ekxn,$D9),"M",""),
if(countif(nap.ekxn,$D9),"N",""),
if(countif(np.ekxn,$D9),"P",""),
if(countif(imp.epc,$D9),"T",""),
if(countif(us.ekxn,$D9),"U",""),
if(countif(var.ekxn,$D9),"V","")
)</f>
        <v/>
      </c>
      <c r="N9" s="32" t="str">
        <f>
CONCATENATE(
if(countif(dd.ecg,$D9),"D",""),
if(countif(mic.ecg,$D9),"M",""),
if(countif(np.ecg,$D9),"P",""),
if(countif(imp.ecg,$D9),"T",""),
if(countif(us.ecg,$D9),"U","")
)</f>
        <v/>
      </c>
      <c r="O9" s="32" t="str">
        <f>
CONCATENATE(
if(countif(dd.egt,$D9),"D",""),
if(countif(mic.egt,$D9),"M",""),
if(countif(nap.egt,$D9),"N",""),
if(countif(us.egt,$D9),"U",""),
if(countif(var.egt,$D9),"V",""))
</f>
        <v/>
      </c>
      <c r="P9" s="32" t="str">
        <f>CONCATENATE(
if(countif(knap.egcg,$D9),"K",""),
if(countif(mic.egcg,$D9),"M",""),
if(countif(np.egcg,$D9),"P",""),
if(countif(us.egcg,$D9),"U","")
)</f>
        <v/>
      </c>
      <c r="Q9" s="32" t="str">
        <f>CONCATENATE(if(countif(np.ecit,$D9),"P",""),
if(countif(nap.ecit,$D9),"A",""))</f>
        <v/>
      </c>
      <c r="R9" s="32" t="str">
        <f>
CONCATENATE(
if(countif(nap.erd,$D9),"N",""),
if(countif(np.erd,$D9),"P",""),
if(countif(var.erd,$D9),"V",""))</f>
        <v/>
      </c>
      <c r="S9" s="32" t="str">
        <f>
CONCATENATE(
if(countif(dd.gkxn,$D9),"D",""),
if(countif(knap.gkxn,$D9),"K",""),
if(countif(nap.gkxn,$D9),"N",""),
if(countif(np.gkxn,$D9),"P",""),
if(countif(imp.gkxn,$D9),"T",""),
if(countif(var.gkxn,$D9),"V",""))</f>
        <v/>
      </c>
      <c r="T9" s="32" t="str">
        <f>
CONCATENATE(
if(countif(dd.gen,$C9),"D",""),
if(countif(knap.gen,$C9),"K",""),
if(countif(nap.gen,$C9),"N",""),
if(countif(np.gen,$C9),"P",""),
if(countif(imp.gen,$C9),"T",""),
if(countif(var.gen,$C9),"V",""))</f>
        <v/>
      </c>
      <c r="U9" s="32" t="str">
        <f>
CONCATENATE(
if(countif(dd.hcc,$D9),"D",""),
if(countif(knap.hcc,$D9),"K",""),
if(countif(np.hcc,$D9),"P","")
)
</f>
        <v/>
      </c>
      <c r="V9" s="32" t="str">
        <f>
CONCATENATE(
if(countif(dd.kmp,$D9),"D",""),
if(countif(knap.kmp,$D9),"K",""),
if(countif(mic.kmp,$D9),"M",""),
if(countif(nap.kmp,$D9),"N",""),
if(countif(np.kmp,$D9),"P",""),
if(countif(imp.kmp,$D9),"T",""),
if(countif(us.kmp,$D9),"U",""),
if(countif(var.kmp,$D9),"V",""))</f>
        <v/>
      </c>
      <c r="W9" s="32" t="str">
        <f>
CONCATENATE(
if(countif(dd.lu2,$D9),"D",""),
if(countif(knap.lu2,$D9),"K",""),
if(countif(mic.lu2,$D9),"M",""),
if(countif(nap.lu2,$D9),"N",""),
if(countif(np.lu2,$D9),"P",""),
if(countif(imp.lu2,$D9),"T",""),
if(countif(us.lu2,$D9),"U",""),
if(countif(var.lu2,$D9),"V",""))</f>
        <v/>
      </c>
      <c r="X9" s="32" t="str">
        <f>
CONCATENATE(
if(countif(dd.myc,$D9),"D",""),
if(countif(knap.myc,$D9),"K",""), 
if(countif(mic.myc,$D9),"M",""),
if(countif(nap.myc,$D9),"N",""),
if(countif(np.myc,$D9),"P",""),
if(countif(imp.myc,$D9),"T",""),
if(countif(us.myc,$D9),"U",""),
if(countif(var.myc,$D9),"V",""))</f>
        <v/>
      </c>
      <c r="Y9" s="32" t="str">
        <f>CONCATENATE(
if(countif(dd.nar,$D9),"D",""),
if(countif(knap.nar,$D9),"K",""),
if(countif(nap.nar,$D9),"N",""),
if(countif(np.nar,$D9),"P",""),
if(countif(imp.nar,$D9),"T",""),
if(countif(us.nar,$D9),"U",""),
if(countif(var.nar,$D9),"V",""))</f>
        <v/>
      </c>
      <c r="Z9" s="33" t="str">
        <f>
CONCATENATE(
if(countif(dd.que,$D9),"D",""),
if(countif(knap.que,$D9),"K",""),
if(countif(mic.que,$D9),"M",""),
if(countif(nap.que,$D9),"N",""),
if(countif(np.que,$D9),"P",""),
if(countif(imp.que,$D9),"T",""),
if(countif(us.que,$D9),"U",""),
if(countif(var.que,$D9),"V",""))</f>
        <v/>
      </c>
      <c r="AA9" s="32"/>
      <c r="AB9" s="34" t="str">
        <f>
CONCATENATE(if(countif(knap.agi.sim,$D9),"K",""),
if(countif(dd.agi.sim,$D9),"D",""),
if(countif(nap.agi.sim,$D9),"A",""),
if(countif(var.agi.sim,$D9),"V",""))</f>
        <v/>
      </c>
      <c r="AC9" s="34" t="str">
        <f>
if(countif(nap.bun.sim,$D9),"A","")</f>
        <v/>
      </c>
      <c r="AD9" s="34" t="str">
        <f>
CONCATENATE(if(countif(knap.kxn.sim,$D9),"K",""),
if(countif(np.kxn.sim,$D9),"P",""),
if(countif(dd.kxn.sim,$D9),"D",""),
if(countif(nap.kxn.sim,$D9),"A",""),
if(countif(var.kxn.sim,$D9),"V",""))</f>
        <v/>
      </c>
      <c r="AE9" s="34" t="str">
        <f>
CONCATENATE(if(countif(knap.hwb.sim,$D9),"K",""),
if(countif(np.hwb.sim,$D9),"P",""),
if(countif(mic.hwb.sim,$D9),"M",""),
if(countif(imp.hwb.sim,$D9),"T",""),
if(countif(dd.cyan.sim,$D9),"D",""),
if(countif(nap.hwb.sim,$D9),"A",""),
if(countif(var.hwb.sim,$D9),"V",""))</f>
        <v/>
      </c>
      <c r="AF9" s="34" t="str">
        <f>
CONCATENATE(if(countif(us.ekxn.sim,$D9),"U",""),
if(countif(knap.ekxn.sim,$D9),"K",""),
if(countif(np.ekxn.sim,$D9),"P",""),
if(countif(mic.ekxn.sim,$D9),"M",""),
if(countif(imp.epc.sim,$D9),"T",""),
if(countif(nap.ekxn.sim,$D9),"A",""))</f>
        <v/>
      </c>
      <c r="AG9" s="34"/>
      <c r="AH9" s="34" t="str">
        <f>
CONCATENATE(if(countif(us.egt.sim,$D9),"U",""),
if(countif(knap.egt.sim,$D9),"K",""),
if(countif(np.egt.sim,$D9),"P",""),
if(countif(mic.egt.sim,$D9),"M",""))</f>
        <v/>
      </c>
      <c r="AI9" s="34"/>
      <c r="AJ9" s="34" t="str">
        <f>if(countif(nap.ecit.sim,$D9),"A","")</f>
        <v/>
      </c>
      <c r="AK9" s="34" t="str">
        <f>
CONCATENATE(if(countif(nap.erd,$D9),"M",""),
if(countif(nap.erd.sim,$D9),"A",""),
if(countif(var.erd.sim,$D9),"V",""))</f>
        <v/>
      </c>
      <c r="AL9" s="34" t="str">
        <f>
CONCATENATE(if(countif(knap.gkxn.sim,$D9),"K",""),
if(countif(nap.gkxn.sim,$D9),"A",""))</f>
        <v/>
      </c>
      <c r="AM9" s="34" t="str">
        <f>
CONCATENATE(if(countif(knap.gen.sim,$C9),"K",""),
if(countif(imp.gen.sim,$C9),"T",""),
if(countif(dd.gen.sim,$C9),"D",""),
if(countif(nap.gen.sim,$C9),"A",""),
if(countif(var.gen.sim,$C9),"V",""))
</f>
        <v/>
      </c>
      <c r="AN9" s="34" t="str">
        <f>IFERROR(__xludf.DUMMYFUNCTION("
if(countif(#REF!,CONCATENATE(regexextract($C9,""[\w]* [\w]*""), ""*"")),""V"","""")"),"")</f>
        <v/>
      </c>
      <c r="AO9" s="34" t="str">
        <f>
CONCATENATE(if(countif(knap.kmp.sim,$D9),"K",""),
if(countif(np.kmp.sim,$D9),"P",""),
if(countif(imp.kmp.sim,$D9),"T",""),
if(countif(dd.kmp,$D9),"D",""),
if(countif(nap.kmp.sim,$D9),"A",""),
if(countif(var.kmp.sim,$D9),"V",""))</f>
        <v/>
      </c>
      <c r="AP9" s="34" t="str">
        <f>
CONCATENATE(if(countif(knap.lu2.sim,$D9),"K",""),
if(countif(np.lu2.sim,$D9),"P",""),
if(countif(imp.lu2.sim,$D9),"T",""),
if(countif(dd.lu2.sim,$D9),"D",""),
if(countif(nap.lu2.sim,$D9),"A",""),
if(countif(var.lu2.sim,$D9),"V",""))</f>
        <v/>
      </c>
      <c r="AQ9" s="34" t="str">
        <f>
CONCATENATE(if(countif(np.myc.sim,$D9),"P",""),
if(countif(imp.myc.sim,$D9),"T",""),
if(countif(nap.myc.sim,$D9),"A",""))
</f>
        <v/>
      </c>
      <c r="AR9" s="36" t="str">
        <f>
CONCATENATE(if(countif(knap.nar.sim,$D9),"K",""),
if(countif(np.nar.sim,$D9),"P",""),
if(countif(imp.nar.sim,$D9),"T",""),
if(countif(dd.nar.sim,$D9),"D",""),
if(countif(nap.nar.sim,$D9),"A",""),
if(countif(var.nar.sim,$D9),"V",""))</f>
        <v/>
      </c>
      <c r="AS9" s="34" t="str">
        <f>
CONCATENATE(if(countif(knap.que.sim,$D9),"K",""),
if(countif(np.que.sim,$D9),"P",""),
if(countif(imp.que.sim,$D9),"T",""),
if(countif(dd.que.sim,$D9),"D",""),
if(countif(nap.que.sim,$D9),"A",""),
if(countif(var.que.sim,$D9),"V",""))</f>
        <v/>
      </c>
      <c r="AT9" s="37"/>
      <c r="AU9" s="32" t="str">
        <f>IFERROR(__xludf.DUMMYFUNCTION("if(countif(kr.agi, CONCATENATE(regexextract($C9,""[\w]* [\w]*""), ""*"")),""X"","""")"),"")</f>
        <v/>
      </c>
      <c r="AV9" s="38" t="str">
        <f>IFERROR(__xludf.DUMMYFUNCTION("if(countif(kr.bun,CONCATENATE(regexextract($C9,""[\w]* [\w]*""), ""*"")),""X"","""")"),"")</f>
        <v/>
      </c>
      <c r="AW9" s="38" t="str">
        <f>IFERROR(__xludf.DUMMYFUNCTION("if(countif(kr.kxn,CONCATENATE(regexextract($C9,""[\w]* [\w]*""), ""*"")),""X"","""")"),"")</f>
        <v/>
      </c>
      <c r="AX9" s="38" t="str">
        <f>IFERROR(__xludf.DUMMYFUNCTION("if(countif(kr.hwb,CONCATENATE(regexextract($C9,""[\w]* [\w]*""), ""*"")),""X"","""")"),"")</f>
        <v/>
      </c>
      <c r="AY9" s="38" t="str">
        <f>IFERROR(__xludf.DUMMYFUNCTION("if(countif(kr.ec,CONCATENATE(regexextract($C9,""[\w]* [\w]*""), ""*"")),""X"","""")"),"")</f>
        <v/>
      </c>
      <c r="AZ9" s="38" t="str">
        <f>IFERROR(__xludf.DUMMYFUNCTION("if(countif(kr.egt,CONCATENATE(regexextract($C9,""[\w]* [\w]*""), ""*"")),""X"","""")"),"")</f>
        <v/>
      </c>
      <c r="BA9" s="38"/>
      <c r="BB9" s="38" t="str">
        <f>IFERROR(__xludf.DUMMYFUNCTION("if(countif(kr.erd,CONCATENATE(regexextract($C9,""[\w]* [\w]*""), ""*"")),""X"","""")"),"")</f>
        <v/>
      </c>
      <c r="BC9" s="38" t="str">
        <f>IFERROR(__xludf.DUMMYFUNCTION("if(countif(kr.gkxn,CONCATENATE(regexextract($C9,""[\w]* [\w]*""), ""*"")),""X"","""")"),"")</f>
        <v/>
      </c>
      <c r="BD9" s="38" t="str">
        <f>IFERROR(__xludf.DUMMYFUNCTION("if(countif(kr.gen,CONCATENATE(regexextract(C9,""[\w]* [\w]*""), ""*"")),""X"","""")"),"")</f>
        <v/>
      </c>
      <c r="BE9" s="38" t="str">
        <f>IFERROR(__xludf.DUMMYFUNCTION("if(countif(kr.hcc,CONCATENATE(regexextract($C9,""[\w]* [\w]*""), ""*"")),""X"","""")"),"")</f>
        <v/>
      </c>
      <c r="BF9" s="38" t="str">
        <f>IFERROR(__xludf.DUMMYFUNCTION("if(countif(kr.kmp,CONCATENATE(regexextract($C9,""[\w]* [\w]*""), ""*"")),""X"","""")"),"")</f>
        <v/>
      </c>
      <c r="BG9" s="38" t="str">
        <f>IFERROR(__xludf.DUMMYFUNCTION("if(countif(kr.lu2,CONCATENATE(regexextract($C9,""[\w]* [\w]*""), ""*"")),""X"","""")"),"")</f>
        <v/>
      </c>
      <c r="BH9" s="38" t="str">
        <f>IFERROR(__xludf.DUMMYFUNCTION("if(countif(kr.myc,CONCATENATE(regexextract($C9,""[\w]* [\w]*""), ""*"")),""X"","""")"),"")</f>
        <v/>
      </c>
      <c r="BI9" s="38" t="str">
        <f>IFERROR(__xludf.DUMMYFUNCTION("if(countif(kr.nar,CONCATENATE(regexextract($C9,""[\w]* [\w]*""), ""*"")),""X"","""")"),"")</f>
        <v/>
      </c>
      <c r="BJ9" s="38" t="str">
        <f>IFERROR(__xludf.DUMMYFUNCTION("if(countif(kr.que,CONCATENATE(regexextract($C9,""[\w]* [\w]*""), ""*"")),""X"","""")"),"")</f>
        <v/>
      </c>
      <c r="BK9" s="39"/>
      <c r="BL9" s="40" t="str">
        <f>IFERROR(__xludf.DUMMYFUNCTION(" CONCATENATE( 
if (regexmatch(I9, ""^[A-Za-z\.\_]+""), ""L"", 
if(regexmatch(AB9, ""^[A-Za-z\.\_]+""),""S"","""")),
if(AU9=""X"",""K"",""""))"),"")</f>
        <v/>
      </c>
      <c r="BM9" s="40" t="str">
        <f>IFERROR(__xludf.DUMMYFUNCTION(" CONCATENATE( 
if (regexmatch(J9, ""^[A-Za-z\.\_]+""), ""L"", 
if(regexmatch(AC9, ""^[A-Za-z\.\_]+""),""S"","""")),
if(AV9=""X"",""K"",""""))"),"")</f>
        <v/>
      </c>
      <c r="BN9" s="40" t="str">
        <f>IFERROR(__xludf.DUMMYFUNCTION(" CONCATENATE( 
if (regexmatch(K9, ""^[A-Za-z\.\_]+""), ""L"", 
if(regexmatch(AD9, ""^[A-Za-z\.\_]+""),""S"","""")),
if(AW9=""X"",""K"",""""))"),"")</f>
        <v/>
      </c>
      <c r="BO9" s="40" t="str">
        <f>IFERROR(__xludf.DUMMYFUNCTION(" CONCATENATE( 
if (regexmatch(L9, ""^[A-Za-z\.\_]+""), ""L"", 
if(regexmatch(AE9, ""^[A-Za-z\.\_]+""),""S"","""")),
if(AX9=""X"",""K"",""""))"),"")</f>
        <v/>
      </c>
      <c r="BP9" s="40" t="str">
        <f>IFERROR(__xludf.DUMMYFUNCTION(" CONCATENATE( 
if (regexmatch(M9, ""^[A-Za-z\.\_]+""), ""L"", 
if(regexmatch(AF9, ""^[A-Za-z\.\_]+""),""S"","""")),
if(AY9=""X"",""K"",""""))"),"")</f>
        <v/>
      </c>
      <c r="BQ9" s="40" t="str">
        <f>IFERROR(__xludf.DUMMYFUNCTION("CONCATENATE( 
if (regexmatch(O9, ""^[A-Za-z\.\_]+""), ""L"", 
if(regexmatch(AH9, ""^[A-Za-z\.\_]+""),""S"","""")),
if(AZ9=""X"",""K"",""""))"),"")</f>
        <v/>
      </c>
      <c r="BR9" s="40" t="str">
        <f>IFERROR(__xludf.DUMMYFUNCTION("CONCATENATE( 
if (regexmatch(Q9, ""^[A-Za-z\.\_]+""), ""L"", 
if(regexmatch(AJ9, ""^[A-Za-z\.\_]+""),""S"","""")),
if(BA9=""X"",""K"",""""))"),"")</f>
        <v/>
      </c>
      <c r="BS9" s="40" t="str">
        <f>IFERROR(__xludf.DUMMYFUNCTION(" CONCATENATE( 
if (regexmatch(R9, ""^[A-Za-z\.\_]+""), ""L"", 
if(regexmatch(AK9, ""^[A-Za-z\.\_]+""),""S"","""")),
if(BB9=""X"",""K"",""""))"),"")</f>
        <v/>
      </c>
      <c r="BT9" s="40" t="str">
        <f>IFERROR(__xludf.DUMMYFUNCTION("CONCATENATE( 
if (regexmatch(S9, ""^[A-Za-z\.\_]+""), ""L"", 
if(regexmatch(AL9, ""^[A-Za-z\.\_]+""),""S"","""")),
if(BC9=""X"",""K"",""""))"),"")</f>
        <v/>
      </c>
      <c r="BU9" s="40" t="str">
        <f>IFERROR(__xludf.DUMMYFUNCTION("CONCATENATE( 
if (regexmatch(T9, ""^[A-Za-z\.\_]+""), ""L"", 
if(regexmatch(AM9, ""^[A-Za-z\.\_]+""),""S"","""")),
if(BD9=""X"",""K"",""""))"),"")</f>
        <v/>
      </c>
      <c r="BV9" s="40" t="str">
        <f>IFERROR(__xludf.DUMMYFUNCTION("CONCATENATE( 
if (regexmatch(U9, ""^[A-Za-z\.\_]+""), ""L"", 
if(regexmatch(AN9, ""^[A-Za-z\.\_]+""),""S"","""")),
if(BE9=""X"",""K"",""""))"),"")</f>
        <v/>
      </c>
      <c r="BW9" s="40" t="str">
        <f>IFERROR(__xludf.DUMMYFUNCTION(" CONCATENATE( 
if (regexmatch(V9, ""^[A-Za-z\.\_]+""), ""L"", 
if(regexmatch(AO9, ""^[A-Za-z\.\_]+""),""S"","""")),
if(BF9=""X"",""K"",""""))"),"")</f>
        <v/>
      </c>
      <c r="BX9" s="40" t="str">
        <f>IFERROR(__xludf.DUMMYFUNCTION("CONCATENATE( 
if (regexmatch(W9, ""^[A-Za-z\.\_]+""), ""L"", 
if(regexmatch(AP9, ""^[A-Za-z\.\_]+""),""S"","""")),
if(BG9=""X"",""K"",""""))"),"")</f>
        <v/>
      </c>
      <c r="BY9" s="40" t="str">
        <f>IFERROR(__xludf.DUMMYFUNCTION("CONCATENATE( 
if (regexmatch(X9, ""^[A-Za-z\.\_]+""), ""L"", 
if(regexmatch(AQ9, ""^[A-Za-z\.\_]+""),""S"","""")),
if(BH9=""X"",""K"",""""))"),"")</f>
        <v/>
      </c>
      <c r="BZ9" s="40" t="str">
        <f>IFERROR(__xludf.DUMMYFUNCTION("CONCATENATE( 
if (regexmatch(Y9, ""^[A-Za-z\.\_]+""), ""L"", 
if(regexmatch(AR9, ""^[A-Za-z\.\_]+""),""S"","""")),
if(BI9=""X"",""K"",""""))"),"")</f>
        <v/>
      </c>
      <c r="CA9" s="40" t="str">
        <f>IFERROR(__xludf.DUMMYFUNCTION("CONCATENATE( 
if (regexmatch(Z9, ""^[A-Za-z\.\_]+""), ""L"", 
if(regexmatch(AS9, ""^[A-Za-z\.\_]+""),""S"","""")),
if(BJ9=""X"",""K"",""""))"),"")</f>
        <v/>
      </c>
      <c r="CB9" s="39"/>
      <c r="CC9" s="39"/>
      <c r="CD9" s="39"/>
      <c r="CE9" s="39"/>
      <c r="CF9" s="39"/>
      <c r="CG9" s="39"/>
      <c r="CH9" s="39"/>
      <c r="CI9" s="39"/>
      <c r="CJ9" s="39"/>
      <c r="CK9" s="39"/>
      <c r="CL9" s="39"/>
      <c r="CM9" s="39"/>
      <c r="CN9" s="39"/>
      <c r="CO9" s="39"/>
      <c r="CP9" s="39"/>
      <c r="CQ9" s="39"/>
      <c r="CR9" s="39"/>
    </row>
    <row r="10">
      <c r="A10" s="25">
        <v>126.0</v>
      </c>
      <c r="B10" s="26" t="s">
        <v>102</v>
      </c>
      <c r="C10" s="27" t="s">
        <v>103</v>
      </c>
      <c r="D10" s="27" t="str">
        <f>IFERROR(__xludf.DUMMYFUNCTION("CONCATENATE(regexextract($C10,""[\w]* [\w]*""), ""*"")"),"Bathycoccus prasinos*")</f>
        <v>Bathycoccus prasinos*</v>
      </c>
      <c r="E10" s="28" t="s">
        <v>104</v>
      </c>
      <c r="F10" s="29">
        <v>41875.0</v>
      </c>
      <c r="G10" s="51" t="s">
        <v>105</v>
      </c>
      <c r="H10" s="31"/>
      <c r="I10" s="32" t="str">
        <f>CONCATENATE(
if(countif(dd.agi,$D10),"D",""),
if(countif(knap.agi,$D10),"K",""),
if(countif(mic.agi,$D10),"M",""),
if(countif(nap.agi,$D10),"N",""),
if(countif(np.agi,$D10),"P",""),
if(countif(imp.agi,$D10),"T",""),
if(countif(us.agi,$D10),"U",""),
if(countif(var.agi,$D10),"V","")
)</f>
        <v/>
      </c>
      <c r="J10" s="32" t="str">
        <f>
CONCATENATE(
if(countif(nap.bun,$D10),"N",""),
if(countif(np.bun,$D10),"P","")
)
</f>
        <v/>
      </c>
      <c r="K10" s="32" t="str">
        <f>CONCATENATE(
if(countif(dd.kxn,$D10),"D",""),
if(countif(knap.kxn,$D10),"K",""),
if(countif(mic.kxn,$D10),"M",""),
if(countif(nap.kxn,$D10),"N",""),
if(countif(np.kxn,$D10),"P",""),
if(countif(us.kxn,$D10),"U",""),
if(countif(var.kxn,$D10),"V","")
)</f>
        <v/>
      </c>
      <c r="L10" s="32" t="str">
        <f>
CONCATENATE(
if(countif(dd.hwb,$D10),"D",""),
if(countif(knap.hwb,$D10),"K",""),
if(countif(mic.hwb,$D10),"M",""),
if(countif(nap.hwb,$D10),"N",""),
if(countif(np.hwb,$D10),"P",""),
if(countif(us.hwb,$D10),"U",""),
if(countif(imp.hwb,$D10),"T",""),
if(countif(var.hwb,$D10),"V","")
)</f>
        <v/>
      </c>
      <c r="M10" s="32" t="str">
        <f>CONCATENATE(
if(countif(dd.epc,$D10),"D",""),
if(countif(knap.ekxn,$D10),"K",""),
if(countif(mic.ekxn,$D10),"M",""),
if(countif(nap.ekxn,$D10),"N",""),
if(countif(np.ekxn,$D10),"P",""),
if(countif(imp.epc,$D10),"T",""),
if(countif(us.ekxn,$D10),"U",""),
if(countif(var.ekxn,$D10),"V","")
)</f>
        <v/>
      </c>
      <c r="N10" s="32" t="str">
        <f>
CONCATENATE(
if(countif(dd.ecg,$D10),"D",""),
if(countif(mic.ecg,$D10),"M",""),
if(countif(np.ecg,$D10),"P",""),
if(countif(imp.ecg,$D10),"T",""),
if(countif(us.ecg,$D10),"U","")
)</f>
        <v/>
      </c>
      <c r="O10" s="32" t="str">
        <f>
CONCATENATE(
if(countif(dd.egt,$D10),"D",""),
if(countif(mic.egt,$D10),"M",""),
if(countif(nap.egt,$D10),"N",""),
if(countif(us.egt,$D10),"U",""),
if(countif(var.egt,$D10),"V",""))
</f>
        <v/>
      </c>
      <c r="P10" s="32" t="str">
        <f>CONCATENATE(
if(countif(knap.egcg,$D10),"K",""),
if(countif(mic.egcg,$D10),"M",""),
if(countif(np.egcg,$D10),"P",""),
if(countif(us.egcg,$D10),"U","")
)</f>
        <v/>
      </c>
      <c r="Q10" s="32" t="str">
        <f>CONCATENATE(if(countif(np.ecit,$D10),"P",""),
if(countif(nap.ecit,$D10),"A",""))</f>
        <v/>
      </c>
      <c r="R10" s="32" t="str">
        <f>
CONCATENATE(
if(countif(nap.erd,$D10),"N",""),
if(countif(np.erd,$D10),"P",""),
if(countif(var.erd,$D10),"V",""))</f>
        <v/>
      </c>
      <c r="S10" s="32" t="str">
        <f>
CONCATENATE(
if(countif(dd.gkxn,$D10),"D",""),
if(countif(knap.gkxn,$D10),"K",""),
if(countif(nap.gkxn,$D10),"N",""),
if(countif(np.gkxn,$D10),"P",""),
if(countif(imp.gkxn,$D10),"T",""),
if(countif(var.gkxn,$D10),"V",""))</f>
        <v/>
      </c>
      <c r="T10" s="32" t="str">
        <f>
CONCATENATE(
if(countif(dd.gen,$C10),"D",""),
if(countif(knap.gen,$C10),"K",""),
if(countif(nap.gen,$C10),"N",""),
if(countif(np.gen,$C10),"P",""),
if(countif(imp.gen,$C10),"T",""),
if(countif(var.gen,$C10),"V",""))</f>
        <v/>
      </c>
      <c r="U10" s="32" t="str">
        <f>
CONCATENATE(
if(countif(dd.hcc,$D10),"D",""),
if(countif(knap.hcc,$D10),"K",""),
if(countif(np.hcc,$D10),"P","")
)
</f>
        <v/>
      </c>
      <c r="V10" s="32" t="str">
        <f>
CONCATENATE(
if(countif(dd.kmp,$D10),"D",""),
if(countif(knap.kmp,$D10),"K",""),
if(countif(mic.kmp,$D10),"M",""),
if(countif(nap.kmp,$D10),"N",""),
if(countif(np.kmp,$D10),"P",""),
if(countif(imp.kmp,$D10),"T",""),
if(countif(us.kmp,$D10),"U",""),
if(countif(var.kmp,$D10),"V",""))</f>
        <v/>
      </c>
      <c r="W10" s="32" t="str">
        <f>
CONCATENATE(
if(countif(dd.lu2,$D10),"D",""),
if(countif(knap.lu2,$D10),"K",""),
if(countif(mic.lu2,$D10),"M",""),
if(countif(nap.lu2,$D10),"N",""),
if(countif(np.lu2,$D10),"P",""),
if(countif(imp.lu2,$D10),"T",""),
if(countif(us.lu2,$D10),"U",""),
if(countif(var.lu2,$D10),"V",""))</f>
        <v/>
      </c>
      <c r="X10" s="32" t="str">
        <f>
CONCATENATE(
if(countif(dd.myc,$D10),"D",""),
if(countif(knap.myc,$D10),"K",""), 
if(countif(mic.myc,$D10),"M",""),
if(countif(nap.myc,$D10),"N",""),
if(countif(np.myc,$D10),"P",""),
if(countif(imp.myc,$D10),"T",""),
if(countif(us.myc,$D10),"U",""),
if(countif(var.myc,$D10),"V",""))</f>
        <v/>
      </c>
      <c r="Y10" s="32" t="str">
        <f>CONCATENATE(
if(countif(dd.nar,$D10),"D",""),
if(countif(knap.nar,$D10),"K",""),
if(countif(nap.nar,$D10),"N",""),
if(countif(np.nar,$D10),"P",""),
if(countif(imp.nar,$D10),"T",""),
if(countif(us.nar,$D10),"U",""),
if(countif(var.nar,$D10),"V",""))</f>
        <v/>
      </c>
      <c r="Z10" s="33" t="str">
        <f>
CONCATENATE(
if(countif(dd.que,$D10),"D",""),
if(countif(knap.que,$D10),"K",""),
if(countif(mic.que,$D10),"M",""),
if(countif(nap.que,$D10),"N",""),
if(countif(np.que,$D10),"P",""),
if(countif(imp.que,$D10),"T",""),
if(countif(us.que,$D10),"U",""),
if(countif(var.que,$D10),"V",""))</f>
        <v/>
      </c>
      <c r="AA10" s="32"/>
      <c r="AB10" s="34" t="str">
        <f>
CONCATENATE(if(countif(knap.agi.sim,$D10),"K",""),
if(countif(dd.agi.sim,$D10),"D",""),
if(countif(nap.agi.sim,$D10),"A",""),
if(countif(var.agi.sim,$D10),"V",""))</f>
        <v/>
      </c>
      <c r="AC10" s="34" t="str">
        <f>
if(countif(nap.bun.sim,$D10),"A","")</f>
        <v/>
      </c>
      <c r="AD10" s="34" t="str">
        <f>
CONCATENATE(if(countif(knap.kxn.sim,$D10),"K",""),
if(countif(np.kxn.sim,$D10),"P",""),
if(countif(dd.kxn.sim,$D10),"D",""),
if(countif(nap.kxn.sim,$D10),"A",""),
if(countif(var.kxn.sim,$D10),"V",""))</f>
        <v/>
      </c>
      <c r="AE10" s="34" t="str">
        <f>
CONCATENATE(if(countif(knap.hwb.sim,$D10),"K",""),
if(countif(np.hwb.sim,$D10),"P",""),
if(countif(mic.hwb.sim,$D10),"M",""),
if(countif(imp.hwb.sim,$D10),"T",""),
if(countif(dd.cyan.sim,$D10),"D",""),
if(countif(nap.hwb.sim,$D10),"A",""),
if(countif(var.hwb.sim,$D10),"V",""))</f>
        <v/>
      </c>
      <c r="AF10" s="34" t="str">
        <f>
CONCATENATE(if(countif(us.ekxn.sim,$D10),"U",""),
if(countif(knap.ekxn.sim,$D10),"K",""),
if(countif(np.ekxn.sim,$D10),"P",""),
if(countif(mic.ekxn.sim,$D10),"M",""),
if(countif(imp.epc.sim,$D10),"T",""),
if(countif(nap.ekxn.sim,$D10),"A",""))</f>
        <v/>
      </c>
      <c r="AG10" s="34"/>
      <c r="AH10" s="34" t="str">
        <f>
CONCATENATE(if(countif(us.egt.sim,$D10),"U",""),
if(countif(knap.egt.sim,$D10),"K",""),
if(countif(np.egt.sim,$D10),"P",""),
if(countif(mic.egt.sim,$D10),"M",""))</f>
        <v/>
      </c>
      <c r="AI10" s="34"/>
      <c r="AJ10" s="34" t="str">
        <f>if(countif(nap.ecit.sim,$D10),"A","")</f>
        <v/>
      </c>
      <c r="AK10" s="34" t="str">
        <f>
CONCATENATE(if(countif(nap.erd,$D10),"M",""),
if(countif(nap.erd.sim,$D10),"A",""),
if(countif(var.erd.sim,$D10),"V",""))</f>
        <v/>
      </c>
      <c r="AL10" s="34" t="str">
        <f>
CONCATENATE(if(countif(knap.gkxn.sim,$D10),"K",""),
if(countif(nap.gkxn.sim,$D10),"A",""))</f>
        <v/>
      </c>
      <c r="AM10" s="34" t="str">
        <f>
CONCATENATE(if(countif(knap.gen.sim,$C10),"K",""),
if(countif(imp.gen.sim,$C10),"T",""),
if(countif(dd.gen.sim,$C10),"D",""),
if(countif(nap.gen.sim,$C10),"A",""),
if(countif(var.gen.sim,$C10),"V",""))
</f>
        <v/>
      </c>
      <c r="AN10" s="34" t="str">
        <f>IFERROR(__xludf.DUMMYFUNCTION("
if(countif(#REF!,CONCATENATE(regexextract($C10,""[\w]* [\w]*""), ""*"")),""V"","""")"),"")</f>
        <v/>
      </c>
      <c r="AO10" s="34" t="str">
        <f>
CONCATENATE(if(countif(knap.kmp.sim,$D10),"K",""),
if(countif(np.kmp.sim,$D10),"P",""),
if(countif(imp.kmp.sim,$D10),"T",""),
if(countif(dd.kmp,$D10),"D",""),
if(countif(nap.kmp.sim,$D10),"A",""),
if(countif(var.kmp.sim,$D10),"V",""))</f>
        <v/>
      </c>
      <c r="AP10" s="34" t="str">
        <f>
CONCATENATE(if(countif(knap.lu2.sim,$D10),"K",""),
if(countif(np.lu2.sim,$D10),"P",""),
if(countif(imp.lu2.sim,$D10),"T",""),
if(countif(dd.lu2.sim,$D10),"D",""),
if(countif(nap.lu2.sim,$D10),"A",""),
if(countif(var.lu2.sim,$D10),"V",""))</f>
        <v/>
      </c>
      <c r="AQ10" s="34" t="str">
        <f>
CONCATENATE(if(countif(np.myc.sim,$D10),"P",""),
if(countif(imp.myc.sim,$D10),"T",""),
if(countif(nap.myc.sim,$D10),"A",""))
</f>
        <v/>
      </c>
      <c r="AR10" s="36" t="str">
        <f>
CONCATENATE(if(countif(knap.nar.sim,$D10),"K",""),
if(countif(np.nar.sim,$D10),"P",""),
if(countif(imp.nar.sim,$D10),"T",""),
if(countif(dd.nar.sim,$D10),"D",""),
if(countif(nap.nar.sim,$D10),"A",""),
if(countif(var.nar.sim,$D10),"V",""))</f>
        <v/>
      </c>
      <c r="AS10" s="34" t="str">
        <f>
CONCATENATE(if(countif(knap.que.sim,$D10),"K",""),
if(countif(np.que.sim,$D10),"P",""),
if(countif(imp.que.sim,$D10),"T",""),
if(countif(dd.que.sim,$D10),"D",""),
if(countif(nap.que.sim,$D10),"A",""),
if(countif(var.que.sim,$D10),"V",""))</f>
        <v/>
      </c>
      <c r="AT10" s="37"/>
      <c r="AU10" s="32" t="str">
        <f>IFERROR(__xludf.DUMMYFUNCTION("if(countif(kr.agi, CONCATENATE(regexextract($C10,""[\w]* [\w]*""), ""*"")),""X"","""")"),"")</f>
        <v/>
      </c>
      <c r="AV10" s="38" t="str">
        <f>IFERROR(__xludf.DUMMYFUNCTION("if(countif(kr.bun,CONCATENATE(regexextract($C10,""[\w]* [\w]*""), ""*"")),""X"","""")"),"")</f>
        <v/>
      </c>
      <c r="AW10" s="38" t="str">
        <f>IFERROR(__xludf.DUMMYFUNCTION("if(countif(kr.kxn,CONCATENATE(regexextract($C10,""[\w]* [\w]*""), ""*"")),""X"","""")"),"")</f>
        <v/>
      </c>
      <c r="AX10" s="38" t="str">
        <f>IFERROR(__xludf.DUMMYFUNCTION("if(countif(kr.hwb,CONCATENATE(regexextract($C10,""[\w]* [\w]*""), ""*"")),""X"","""")"),"")</f>
        <v/>
      </c>
      <c r="AY10" s="38" t="str">
        <f>IFERROR(__xludf.DUMMYFUNCTION("if(countif(kr.ec,CONCATENATE(regexextract($C10,""[\w]* [\w]*""), ""*"")),""X"","""")"),"")</f>
        <v/>
      </c>
      <c r="AZ10" s="38" t="str">
        <f>IFERROR(__xludf.DUMMYFUNCTION("if(countif(kr.egt,CONCATENATE(regexextract($C10,""[\w]* [\w]*""), ""*"")),""X"","""")"),"")</f>
        <v/>
      </c>
      <c r="BA10" s="38"/>
      <c r="BB10" s="38" t="str">
        <f>IFERROR(__xludf.DUMMYFUNCTION("if(countif(kr.erd,CONCATENATE(regexextract($C10,""[\w]* [\w]*""), ""*"")),""X"","""")"),"")</f>
        <v/>
      </c>
      <c r="BC10" s="38" t="str">
        <f>IFERROR(__xludf.DUMMYFUNCTION("if(countif(kr.gkxn,CONCATENATE(regexextract($C10,""[\w]* [\w]*""), ""*"")),""X"","""")"),"")</f>
        <v/>
      </c>
      <c r="BD10" s="38" t="str">
        <f>IFERROR(__xludf.DUMMYFUNCTION("if(countif(kr.gen,CONCATENATE(regexextract(C10,""[\w]* [\w]*""), ""*"")),""X"","""")"),"")</f>
        <v/>
      </c>
      <c r="BE10" s="38" t="str">
        <f>IFERROR(__xludf.DUMMYFUNCTION("if(countif(kr.hcc,CONCATENATE(regexextract($C10,""[\w]* [\w]*""), ""*"")),""X"","""")"),"")</f>
        <v/>
      </c>
      <c r="BF10" s="38" t="str">
        <f>IFERROR(__xludf.DUMMYFUNCTION("if(countif(kr.kmp,CONCATENATE(regexextract($C10,""[\w]* [\w]*""), ""*"")),""X"","""")"),"")</f>
        <v/>
      </c>
      <c r="BG10" s="38" t="str">
        <f>IFERROR(__xludf.DUMMYFUNCTION("if(countif(kr.lu2,CONCATENATE(regexextract($C10,""[\w]* [\w]*""), ""*"")),""X"","""")"),"")</f>
        <v/>
      </c>
      <c r="BH10" s="38" t="str">
        <f>IFERROR(__xludf.DUMMYFUNCTION("if(countif(kr.myc,CONCATENATE(regexextract($C10,""[\w]* [\w]*""), ""*"")),""X"","""")"),"")</f>
        <v/>
      </c>
      <c r="BI10" s="38" t="str">
        <f>IFERROR(__xludf.DUMMYFUNCTION("if(countif(kr.nar,CONCATENATE(regexextract($C10,""[\w]* [\w]*""), ""*"")),""X"","""")"),"")</f>
        <v/>
      </c>
      <c r="BJ10" s="38" t="str">
        <f>IFERROR(__xludf.DUMMYFUNCTION("if(countif(kr.que,CONCATENATE(regexextract($C10,""[\w]* [\w]*""), ""*"")),""X"","""")"),"")</f>
        <v/>
      </c>
      <c r="BK10" s="39"/>
      <c r="BL10" s="40" t="str">
        <f>IFERROR(__xludf.DUMMYFUNCTION(" CONCATENATE( 
if (regexmatch(I10, ""^[A-Za-z\.\_]+""), ""L"", 
if(regexmatch(AB10, ""^[A-Za-z\.\_]+""),""S"","""")),
if(AU10=""X"",""K"",""""))"),"")</f>
        <v/>
      </c>
      <c r="BM10" s="40" t="str">
        <f>IFERROR(__xludf.DUMMYFUNCTION(" CONCATENATE( 
if (regexmatch(J10, ""^[A-Za-z\.\_]+""), ""L"", 
if(regexmatch(AC10, ""^[A-Za-z\.\_]+""),""S"","""")),
if(AV10=""X"",""K"",""""))"),"")</f>
        <v/>
      </c>
      <c r="BN10" s="40" t="str">
        <f>IFERROR(__xludf.DUMMYFUNCTION(" CONCATENATE( 
if (regexmatch(K10, ""^[A-Za-z\.\_]+""), ""L"", 
if(regexmatch(AD10, ""^[A-Za-z\.\_]+""),""S"","""")),
if(AW10=""X"",""K"",""""))"),"")</f>
        <v/>
      </c>
      <c r="BO10" s="40" t="str">
        <f>IFERROR(__xludf.DUMMYFUNCTION(" CONCATENATE( 
if (regexmatch(L10, ""^[A-Za-z\.\_]+""), ""L"", 
if(regexmatch(AE10, ""^[A-Za-z\.\_]+""),""S"","""")),
if(AX10=""X"",""K"",""""))"),"")</f>
        <v/>
      </c>
      <c r="BP10" s="40" t="str">
        <f>IFERROR(__xludf.DUMMYFUNCTION(" CONCATENATE( 
if (regexmatch(M10, ""^[A-Za-z\.\_]+""), ""L"", 
if(regexmatch(AF10, ""^[A-Za-z\.\_]+""),""S"","""")),
if(AY10=""X"",""K"",""""))"),"")</f>
        <v/>
      </c>
      <c r="BQ10" s="40" t="str">
        <f>IFERROR(__xludf.DUMMYFUNCTION("CONCATENATE( 
if (regexmatch(O10, ""^[A-Za-z\.\_]+""), ""L"", 
if(regexmatch(AH10, ""^[A-Za-z\.\_]+""),""S"","""")),
if(AZ10=""X"",""K"",""""))"),"")</f>
        <v/>
      </c>
      <c r="BR10" s="40" t="str">
        <f>IFERROR(__xludf.DUMMYFUNCTION("CONCATENATE( 
if (regexmatch(Q10, ""^[A-Za-z\.\_]+""), ""L"", 
if(regexmatch(AJ10, ""^[A-Za-z\.\_]+""),""S"","""")),
if(BA10=""X"",""K"",""""))"),"")</f>
        <v/>
      </c>
      <c r="BS10" s="40" t="str">
        <f>IFERROR(__xludf.DUMMYFUNCTION(" CONCATENATE( 
if (regexmatch(R10, ""^[A-Za-z\.\_]+""), ""L"", 
if(regexmatch(AK10, ""^[A-Za-z\.\_]+""),""S"","""")),
if(BB10=""X"",""K"",""""))"),"")</f>
        <v/>
      </c>
      <c r="BT10" s="40" t="str">
        <f>IFERROR(__xludf.DUMMYFUNCTION("CONCATENATE( 
if (regexmatch(S10, ""^[A-Za-z\.\_]+""), ""L"", 
if(regexmatch(AL10, ""^[A-Za-z\.\_]+""),""S"","""")),
if(BC10=""X"",""K"",""""))"),"")</f>
        <v/>
      </c>
      <c r="BU10" s="40" t="str">
        <f>IFERROR(__xludf.DUMMYFUNCTION("CONCATENATE( 
if (regexmatch(T10, ""^[A-Za-z\.\_]+""), ""L"", 
if(regexmatch(AM10, ""^[A-Za-z\.\_]+""),""S"","""")),
if(BD10=""X"",""K"",""""))"),"")</f>
        <v/>
      </c>
      <c r="BV10" s="40" t="str">
        <f>IFERROR(__xludf.DUMMYFUNCTION("CONCATENATE( 
if (regexmatch(U10, ""^[A-Za-z\.\_]+""), ""L"", 
if(regexmatch(AN10, ""^[A-Za-z\.\_]+""),""S"","""")),
if(BE10=""X"",""K"",""""))"),"")</f>
        <v/>
      </c>
      <c r="BW10" s="40" t="str">
        <f>IFERROR(__xludf.DUMMYFUNCTION(" CONCATENATE( 
if (regexmatch(V10, ""^[A-Za-z\.\_]+""), ""L"", 
if(regexmatch(AO10, ""^[A-Za-z\.\_]+""),""S"","""")),
if(BF10=""X"",""K"",""""))"),"")</f>
        <v/>
      </c>
      <c r="BX10" s="40" t="str">
        <f>IFERROR(__xludf.DUMMYFUNCTION("CONCATENATE( 
if (regexmatch(W10, ""^[A-Za-z\.\_]+""), ""L"", 
if(regexmatch(AP10, ""^[A-Za-z\.\_]+""),""S"","""")),
if(BG10=""X"",""K"",""""))"),"")</f>
        <v/>
      </c>
      <c r="BY10" s="40" t="str">
        <f>IFERROR(__xludf.DUMMYFUNCTION("CONCATENATE( 
if (regexmatch(X10, ""^[A-Za-z\.\_]+""), ""L"", 
if(regexmatch(AQ10, ""^[A-Za-z\.\_]+""),""S"","""")),
if(BH10=""X"",""K"",""""))"),"")</f>
        <v/>
      </c>
      <c r="BZ10" s="40" t="str">
        <f>IFERROR(__xludf.DUMMYFUNCTION("CONCATENATE( 
if (regexmatch(Y10, ""^[A-Za-z\.\_]+""), ""L"", 
if(regexmatch(AR10, ""^[A-Za-z\.\_]+""),""S"","""")),
if(BI10=""X"",""K"",""""))"),"")</f>
        <v/>
      </c>
      <c r="CA10" s="40" t="str">
        <f>IFERROR(__xludf.DUMMYFUNCTION("CONCATENATE( 
if (regexmatch(Z10, ""^[A-Za-z\.\_]+""), ""L"", 
if(regexmatch(AS10, ""^[A-Za-z\.\_]+""),""S"","""")),
if(BJ10=""X"",""K"",""""))"),"")</f>
        <v/>
      </c>
      <c r="CB10" s="39"/>
      <c r="CC10" s="39"/>
      <c r="CD10" s="39"/>
      <c r="CE10" s="39"/>
      <c r="CF10" s="39"/>
      <c r="CG10" s="39"/>
      <c r="CH10" s="39"/>
      <c r="CI10" s="39"/>
      <c r="CJ10" s="39"/>
      <c r="CK10" s="39"/>
      <c r="CL10" s="39"/>
      <c r="CM10" s="39"/>
      <c r="CN10" s="39"/>
      <c r="CO10" s="39"/>
      <c r="CP10" s="39"/>
      <c r="CQ10" s="39"/>
      <c r="CR10" s="39"/>
    </row>
    <row r="11">
      <c r="A11" s="25">
        <v>92.0</v>
      </c>
      <c r="B11" s="26" t="s">
        <v>106</v>
      </c>
      <c r="C11" s="27" t="s">
        <v>107</v>
      </c>
      <c r="D11" s="27" t="str">
        <f>IFERROR(__xludf.DUMMYFUNCTION("CONCATENATE(regexextract($C11,""[\w]* [\w]*""), ""*"")"),"Beta vulgaris*")</f>
        <v>Beta vulgaris*</v>
      </c>
      <c r="E11" s="28" t="s">
        <v>108</v>
      </c>
      <c r="F11" s="29">
        <v>161934.0</v>
      </c>
      <c r="G11" s="52" t="s">
        <v>109</v>
      </c>
      <c r="H11" s="31"/>
      <c r="I11" s="32" t="str">
        <f>CONCATENATE(
if(countif(dd.agi,$D11),"D",""),
if(countif(knap.agi,$D11),"K",""),
if(countif(mic.agi,$D11),"M",""),
if(countif(nap.agi,$D11),"N",""),
if(countif(np.agi,$D11),"P",""),
if(countif(imp.agi,$D11),"T",""),
if(countif(us.agi,$D11),"U",""),
if(countif(var.agi,$D11),"V","")
)</f>
        <v>V</v>
      </c>
      <c r="J11" s="32" t="str">
        <f>
CONCATENATE(
if(countif(nap.bun,$D11),"N",""),
if(countif(np.bun,$D11),"P","")
)
</f>
        <v/>
      </c>
      <c r="K11" s="32" t="str">
        <f>CONCATENATE(
if(countif(dd.kxn,$D11),"D",""),
if(countif(knap.kxn,$D11),"K",""),
if(countif(mic.kxn,$D11),"M",""),
if(countif(nap.kxn,$D11),"N",""),
if(countif(np.kxn,$D11),"P",""),
if(countif(us.kxn,$D11),"U",""),
if(countif(var.kxn,$D11),"V","")
)</f>
        <v>V</v>
      </c>
      <c r="L11" s="32" t="str">
        <f>
CONCATENATE(
if(countif(dd.hwb,$D11),"D",""),
if(countif(knap.hwb,$D11),"K",""),
if(countif(mic.hwb,$D11),"M",""),
if(countif(nap.hwb,$D11),"N",""),
if(countif(np.hwb,$D11),"P",""),
if(countif(us.hwb,$D11),"U",""),
if(countif(imp.hwb,$D11),"T",""),
if(countif(var.hwb,$D11),"V","")
)</f>
        <v/>
      </c>
      <c r="M11" s="32" t="str">
        <f>CONCATENATE(
if(countif(dd.epc,$D11),"D",""),
if(countif(knap.ekxn,$D11),"K",""),
if(countif(mic.ekxn,$D11),"M",""),
if(countif(nap.ekxn,$D11),"N",""),
if(countif(np.ekxn,$D11),"P",""),
if(countif(imp.epc,$D11),"T",""),
if(countif(us.ekxn,$D11),"U",""),
if(countif(var.ekxn,$D11),"V","")
)</f>
        <v>V</v>
      </c>
      <c r="N11" s="32" t="str">
        <f>
CONCATENATE(
if(countif(dd.ecg,$D11),"D",""),
if(countif(mic.ecg,$D11),"M",""),
if(countif(np.ecg,$D11),"P",""),
if(countif(imp.ecg,$D11),"T",""),
if(countif(us.ecg,$D11),"U","")
)</f>
        <v/>
      </c>
      <c r="O11" s="32" t="str">
        <f>
CONCATENATE(
if(countif(dd.egt,$D11),"D",""),
if(countif(mic.egt,$D11),"M",""),
if(countif(nap.egt,$D11),"N",""),
if(countif(us.egt,$D11),"U",""),
if(countif(var.egt,$D11),"V",""))
</f>
        <v/>
      </c>
      <c r="P11" s="32" t="str">
        <f>CONCATENATE(
if(countif(knap.egcg,$D11),"K",""),
if(countif(mic.egcg,$D11),"M",""),
if(countif(np.egcg,$D11),"P",""),
if(countif(us.egcg,$D11),"U","")
)</f>
        <v/>
      </c>
      <c r="Q11" s="32" t="str">
        <f>CONCATENATE(if(countif(np.ecit,$D11),"P",""),
if(countif(nap.ecit,$D11),"A",""))</f>
        <v/>
      </c>
      <c r="R11" s="32" t="str">
        <f>
CONCATENATE(
if(countif(nap.erd,$D11),"N",""),
if(countif(np.erd,$D11),"P",""),
if(countif(var.erd,$D11),"V",""))</f>
        <v/>
      </c>
      <c r="S11" s="32" t="str">
        <f>
CONCATENATE(
if(countif(dd.gkxn,$D11),"D",""),
if(countif(knap.gkxn,$D11),"K",""),
if(countif(nap.gkxn,$D11),"N",""),
if(countif(np.gkxn,$D11),"P",""),
if(countif(imp.gkxn,$D11),"T",""),
if(countif(var.gkxn,$D11),"V",""))</f>
        <v/>
      </c>
      <c r="T11" s="32" t="str">
        <f>
CONCATENATE(
if(countif(dd.gen,$C11),"D",""),
if(countif(knap.gen,$C11),"K",""),
if(countif(nap.gen,$C11),"N",""),
if(countif(np.gen,$C11),"P",""),
if(countif(imp.gen,$C11),"T",""),
if(countif(var.gen,$C11),"V",""))</f>
        <v>N</v>
      </c>
      <c r="U11" s="32" t="str">
        <f>
CONCATENATE(
if(countif(dd.hcc,$D11),"D",""),
if(countif(knap.hcc,$D11),"K",""),
if(countif(np.hcc,$D11),"P","")
)
</f>
        <v/>
      </c>
      <c r="V11" s="32" t="str">
        <f>
CONCATENATE(
if(countif(dd.kmp,$D11),"D",""),
if(countif(knap.kmp,$D11),"K",""),
if(countif(mic.kmp,$D11),"M",""),
if(countif(nap.kmp,$D11),"N",""),
if(countif(np.kmp,$D11),"P",""),
if(countif(imp.kmp,$D11),"T",""),
if(countif(us.kmp,$D11),"U",""),
if(countif(var.kmp,$D11),"V",""))</f>
        <v>NP</v>
      </c>
      <c r="W11" s="32" t="str">
        <f>
CONCATENATE(
if(countif(dd.lu2,$D11),"D",""),
if(countif(knap.lu2,$D11),"K",""),
if(countif(mic.lu2,$D11),"M",""),
if(countif(nap.lu2,$D11),"N",""),
if(countif(np.lu2,$D11),"P",""),
if(countif(imp.lu2,$D11),"T",""),
if(countif(us.lu2,$D11),"U",""),
if(countif(var.lu2,$D11),"V",""))</f>
        <v>MU</v>
      </c>
      <c r="X11" s="32" t="str">
        <f>
CONCATENATE(
if(countif(dd.myc,$D11),"D",""),
if(countif(knap.myc,$D11),"K",""), 
if(countif(mic.myc,$D11),"M",""),
if(countif(nap.myc,$D11),"N",""),
if(countif(np.myc,$D11),"P",""),
if(countif(imp.myc,$D11),"T",""),
if(countif(us.myc,$D11),"U",""),
if(countif(var.myc,$D11),"V",""))</f>
        <v/>
      </c>
      <c r="Y11" s="32" t="str">
        <f>CONCATENATE(
if(countif(dd.nar,$D11),"D",""),
if(countif(knap.nar,$D11),"K",""),
if(countif(nap.nar,$D11),"N",""),
if(countif(np.nar,$D11),"P",""),
if(countif(imp.nar,$D11),"T",""),
if(countif(us.nar,$D11),"U",""),
if(countif(var.nar,$D11),"V",""))</f>
        <v/>
      </c>
      <c r="Z11" s="33" t="str">
        <f>
CONCATENATE(
if(countif(dd.que,$D11),"D",""),
if(countif(knap.que,$D11),"K",""),
if(countif(mic.que,$D11),"M",""),
if(countif(nap.que,$D11),"N",""),
if(countif(np.que,$D11),"P",""),
if(countif(imp.que,$D11),"T",""),
if(countif(us.que,$D11),"U",""),
if(countif(var.que,$D11),"V",""))</f>
        <v>DMNPU</v>
      </c>
      <c r="AA11" s="32"/>
      <c r="AB11" s="34" t="str">
        <f>
CONCATENATE(if(countif(knap.agi.sim,$D11),"K",""),
if(countif(dd.agi.sim,$D11),"D",""),
if(countif(nap.agi.sim,$D11),"A",""),
if(countif(var.agi.sim,$D11),"V",""))</f>
        <v/>
      </c>
      <c r="AC11" s="34" t="str">
        <f>
if(countif(nap.bun.sim,$D11),"A","")</f>
        <v/>
      </c>
      <c r="AD11" s="34" t="str">
        <f>
CONCATENATE(if(countif(knap.kxn.sim,$D11),"K",""),
if(countif(np.kxn.sim,$D11),"P",""),
if(countif(dd.kxn.sim,$D11),"D",""),
if(countif(nap.kxn.sim,$D11),"A",""),
if(countif(var.kxn.sim,$D11),"V",""))</f>
        <v/>
      </c>
      <c r="AE11" s="34" t="str">
        <f>
CONCATENATE(if(countif(knap.hwb.sim,$D11),"K",""),
if(countif(np.hwb.sim,$D11),"P",""),
if(countif(mic.hwb.sim,$D11),"M",""),
if(countif(imp.hwb.sim,$D11),"T",""),
if(countif(dd.cyan.sim,$D11),"D",""),
if(countif(nap.hwb.sim,$D11),"A",""),
if(countif(var.hwb.sim,$D11),"V",""))</f>
        <v/>
      </c>
      <c r="AF11" s="34" t="str">
        <f>
CONCATENATE(if(countif(us.ekxn.sim,$D11),"U",""),
if(countif(knap.ekxn.sim,$D11),"K",""),
if(countif(np.ekxn.sim,$D11),"P",""),
if(countif(mic.ekxn.sim,$D11),"M",""),
if(countif(imp.epc.sim,$D11),"T",""),
if(countif(nap.ekxn.sim,$D11),"A",""))</f>
        <v/>
      </c>
      <c r="AG11" s="34"/>
      <c r="AH11" s="34" t="str">
        <f>
CONCATENATE(if(countif(us.egt.sim,$D11),"U",""),
if(countif(knap.egt.sim,$D11),"K",""),
if(countif(np.egt.sim,$D11),"P",""),
if(countif(mic.egt.sim,$D11),"M",""))</f>
        <v/>
      </c>
      <c r="AI11" s="34"/>
      <c r="AJ11" s="34" t="str">
        <f>if(countif(nap.ecit.sim,$D11),"A","")</f>
        <v/>
      </c>
      <c r="AK11" s="34" t="str">
        <f>
CONCATENATE(if(countif(nap.erd,$D11),"M",""),
if(countif(nap.erd.sim,$D11),"A",""),
if(countif(var.erd.sim,$D11),"V",""))</f>
        <v/>
      </c>
      <c r="AL11" s="34" t="str">
        <f>
CONCATENATE(if(countif(knap.gkxn.sim,$D11),"K",""),
if(countif(nap.gkxn.sim,$D11),"A",""))</f>
        <v/>
      </c>
      <c r="AM11" s="34" t="str">
        <f>
CONCATENATE(if(countif(knap.gen.sim,$C11),"K",""),
if(countif(imp.gen.sim,$C11),"T",""),
if(countif(dd.gen.sim,$C11),"D",""),
if(countif(nap.gen.sim,$C11),"A",""),
if(countif(var.gen.sim,$C11),"V",""))
</f>
        <v/>
      </c>
      <c r="AN11" s="34" t="str">
        <f>IFERROR(__xludf.DUMMYFUNCTION("
if(countif(#REF!,CONCATENATE(regexextract($C11,""[\w]* [\w]*""), ""*"")),""V"","""")"),"")</f>
        <v/>
      </c>
      <c r="AO11" s="34" t="str">
        <f>
CONCATENATE(if(countif(knap.kmp.sim,$D11),"K",""),
if(countif(np.kmp.sim,$D11),"P",""),
if(countif(imp.kmp.sim,$D11),"T",""),
if(countif(dd.kmp,$D11),"D",""),
if(countif(nap.kmp.sim,$D11),"A",""),
if(countif(var.kmp.sim,$D11),"V",""))</f>
        <v>P</v>
      </c>
      <c r="AP11" s="34" t="str">
        <f>
CONCATENATE(if(countif(knap.lu2.sim,$D11),"K",""),
if(countif(np.lu2.sim,$D11),"P",""),
if(countif(imp.lu2.sim,$D11),"T",""),
if(countif(dd.lu2.sim,$D11),"D",""),
if(countif(nap.lu2.sim,$D11),"A",""),
if(countif(var.lu2.sim,$D11),"V",""))</f>
        <v>P</v>
      </c>
      <c r="AQ11" s="34" t="str">
        <f>
CONCATENATE(if(countif(np.myc.sim,$D11),"P",""),
if(countif(imp.myc.sim,$D11),"T",""),
if(countif(nap.myc.sim,$D11),"A",""))
</f>
        <v/>
      </c>
      <c r="AR11" s="36" t="str">
        <f>
CONCATENATE(if(countif(knap.nar.sim,$D11),"K",""),
if(countif(np.nar.sim,$D11),"P",""),
if(countif(imp.nar.sim,$D11),"T",""),
if(countif(dd.nar.sim,$D11),"D",""),
if(countif(nap.nar.sim,$D11),"A",""),
if(countif(var.nar.sim,$D11),"V",""))</f>
        <v/>
      </c>
      <c r="AS11" s="34" t="str">
        <f>
CONCATENATE(if(countif(knap.que.sim,$D11),"K",""),
if(countif(np.que.sim,$D11),"P",""),
if(countif(imp.que.sim,$D11),"T",""),
if(countif(dd.que.sim,$D11),"D",""),
if(countif(nap.que.sim,$D11),"A",""),
if(countif(var.que.sim,$D11),"V",""))</f>
        <v>PV</v>
      </c>
      <c r="AT11" s="37"/>
      <c r="AU11" s="32" t="str">
        <f>IFERROR(__xludf.DUMMYFUNCTION("if(countif(kr.agi, CONCATENATE(regexextract($C11,""[\w]* [\w]*""), ""*"")),""X"","""")"),"")</f>
        <v/>
      </c>
      <c r="AV11" s="38" t="str">
        <f>IFERROR(__xludf.DUMMYFUNCTION("if(countif(kr.bun,CONCATENATE(regexextract($C11,""[\w]* [\w]*""), ""*"")),""X"","""")"),"X")</f>
        <v>X</v>
      </c>
      <c r="AW11" s="38" t="str">
        <f>IFERROR(__xludf.DUMMYFUNCTION("if(countif(kr.kxn,CONCATENATE(regexextract($C11,""[\w]* [\w]*""), ""*"")),""X"","""")"),"X")</f>
        <v>X</v>
      </c>
      <c r="AX11" s="38" t="str">
        <f>IFERROR(__xludf.DUMMYFUNCTION("if(countif(kr.hwb,CONCATENATE(regexextract($C11,""[\w]* [\w]*""), ""*"")),""X"","""")"),"X")</f>
        <v>X</v>
      </c>
      <c r="AY11" s="38" t="str">
        <f>IFERROR(__xludf.DUMMYFUNCTION("if(countif(kr.ec,CONCATENATE(regexextract($C11,""[\w]* [\w]*""), ""*"")),""X"","""")"),"X")</f>
        <v>X</v>
      </c>
      <c r="AZ11" s="38" t="str">
        <f>IFERROR(__xludf.DUMMYFUNCTION("if(countif(kr.egt,CONCATENATE(regexextract($C11,""[\w]* [\w]*""), ""*"")),""X"","""")"),"")</f>
        <v/>
      </c>
      <c r="BA11" s="38"/>
      <c r="BB11" s="38" t="str">
        <f>IFERROR(__xludf.DUMMYFUNCTION("if(countif(kr.erd,CONCATENATE(regexextract($C11,""[\w]* [\w]*""), ""*"")),""X"","""")"),"X")</f>
        <v>X</v>
      </c>
      <c r="BC11" s="38" t="str">
        <f>IFERROR(__xludf.DUMMYFUNCTION("if(countif(kr.gkxn,CONCATENATE(regexextract($C11,""[\w]* [\w]*""), ""*"")),""X"","""")"),"")</f>
        <v/>
      </c>
      <c r="BD11" s="38" t="str">
        <f>IFERROR(__xludf.DUMMYFUNCTION("if(countif(kr.gen,CONCATENATE(regexextract(C11,""[\w]* [\w]*""), ""*"")),""X"","""")"),"")</f>
        <v/>
      </c>
      <c r="BE11" s="38" t="str">
        <f>IFERROR(__xludf.DUMMYFUNCTION("if(countif(kr.hcc,CONCATENATE(regexextract($C11,""[\w]* [\w]*""), ""*"")),""X"","""")"),"X")</f>
        <v>X</v>
      </c>
      <c r="BF11" s="38" t="str">
        <f>IFERROR(__xludf.DUMMYFUNCTION("if(countif(kr.kmp,CONCATENATE(regexextract($C11,""[\w]* [\w]*""), ""*"")),""X"","""")"),"X")</f>
        <v>X</v>
      </c>
      <c r="BG11" s="38" t="str">
        <f>IFERROR(__xludf.DUMMYFUNCTION("if(countif(kr.lu2,CONCATENATE(regexextract($C11,""[\w]* [\w]*""), ""*"")),""X"","""")"),"")</f>
        <v/>
      </c>
      <c r="BH11" s="38" t="str">
        <f>IFERROR(__xludf.DUMMYFUNCTION("if(countif(kr.myc,CONCATENATE(regexextract($C11,""[\w]* [\w]*""), ""*"")),""X"","""")"),"")</f>
        <v/>
      </c>
      <c r="BI11" s="38" t="str">
        <f>IFERROR(__xludf.DUMMYFUNCTION("if(countif(kr.nar,CONCATENATE(regexextract($C11,""[\w]* [\w]*""), ""*"")),""X"","""")"),"X")</f>
        <v>X</v>
      </c>
      <c r="BJ11" s="38" t="str">
        <f>IFERROR(__xludf.DUMMYFUNCTION("if(countif(kr.que,CONCATENATE(regexextract($C11,""[\w]* [\w]*""), ""*"")),""X"","""")"),"X")</f>
        <v>X</v>
      </c>
      <c r="BK11" s="39"/>
      <c r="BL11" s="40" t="str">
        <f>IFERROR(__xludf.DUMMYFUNCTION(" CONCATENATE( 
if (regexmatch(I11, ""^[A-Za-z\.\_]+""), ""L"", 
if(regexmatch(AB11, ""^[A-Za-z\.\_]+""),""S"","""")),
if(AU11=""X"",""K"",""""))"),"L")</f>
        <v>L</v>
      </c>
      <c r="BM11" s="40" t="str">
        <f>IFERROR(__xludf.DUMMYFUNCTION(" CONCATENATE( 
if (regexmatch(J11, ""^[A-Za-z\.\_]+""), ""L"", 
if(regexmatch(AC11, ""^[A-Za-z\.\_]+""),""S"","""")),
if(AV11=""X"",""K"",""""))"),"K")</f>
        <v>K</v>
      </c>
      <c r="BN11" s="40" t="str">
        <f>IFERROR(__xludf.DUMMYFUNCTION(" CONCATENATE( 
if (regexmatch(K11, ""^[A-Za-z\.\_]+""), ""L"", 
if(regexmatch(AD11, ""^[A-Za-z\.\_]+""),""S"","""")),
if(AW11=""X"",""K"",""""))"),"LK")</f>
        <v>LK</v>
      </c>
      <c r="BO11" s="40" t="str">
        <f>IFERROR(__xludf.DUMMYFUNCTION(" CONCATENATE( 
if (regexmatch(L11, ""^[A-Za-z\.\_]+""), ""L"", 
if(regexmatch(AE11, ""^[A-Za-z\.\_]+""),""S"","""")),
if(AX11=""X"",""K"",""""))"),"K")</f>
        <v>K</v>
      </c>
      <c r="BP11" s="40" t="str">
        <f>IFERROR(__xludf.DUMMYFUNCTION(" CONCATENATE( 
if (regexmatch(M11, ""^[A-Za-z\.\_]+""), ""L"", 
if(regexmatch(AF11, ""^[A-Za-z\.\_]+""),""S"","""")),
if(AY11=""X"",""K"",""""))"),"LK")</f>
        <v>LK</v>
      </c>
      <c r="BQ11" s="40" t="str">
        <f>IFERROR(__xludf.DUMMYFUNCTION("CONCATENATE( 
if (regexmatch(O11, ""^[A-Za-z\.\_]+""), ""L"", 
if(regexmatch(AH11, ""^[A-Za-z\.\_]+""),""S"","""")),
if(AZ11=""X"",""K"",""""))"),"")</f>
        <v/>
      </c>
      <c r="BR11" s="40" t="str">
        <f>IFERROR(__xludf.DUMMYFUNCTION("CONCATENATE( 
if (regexmatch(Q11, ""^[A-Za-z\.\_]+""), ""L"", 
if(regexmatch(AJ11, ""^[A-Za-z\.\_]+""),""S"","""")),
if(BA11=""X"",""K"",""""))"),"")</f>
        <v/>
      </c>
      <c r="BS11" s="40" t="str">
        <f>IFERROR(__xludf.DUMMYFUNCTION(" CONCATENATE( 
if (regexmatch(R11, ""^[A-Za-z\.\_]+""), ""L"", 
if(regexmatch(AK11, ""^[A-Za-z\.\_]+""),""S"","""")),
if(BB11=""X"",""K"",""""))"),"K")</f>
        <v>K</v>
      </c>
      <c r="BT11" s="40" t="str">
        <f>IFERROR(__xludf.DUMMYFUNCTION("CONCATENATE( 
if (regexmatch(S11, ""^[A-Za-z\.\_]+""), ""L"", 
if(regexmatch(AL11, ""^[A-Za-z\.\_]+""),""S"","""")),
if(BC11=""X"",""K"",""""))"),"")</f>
        <v/>
      </c>
      <c r="BU11" s="40" t="str">
        <f>IFERROR(__xludf.DUMMYFUNCTION("CONCATENATE( 
if (regexmatch(T11, ""^[A-Za-z\.\_]+""), ""L"", 
if(regexmatch(AM11, ""^[A-Za-z\.\_]+""),""S"","""")),
if(BD11=""X"",""K"",""""))"),"L")</f>
        <v>L</v>
      </c>
      <c r="BV11" s="40" t="str">
        <f>IFERROR(__xludf.DUMMYFUNCTION("CONCATENATE( 
if (regexmatch(U11, ""^[A-Za-z\.\_]+""), ""L"", 
if(regexmatch(AN11, ""^[A-Za-z\.\_]+""),""S"","""")),
if(BE11=""X"",""K"",""""))"),"K")</f>
        <v>K</v>
      </c>
      <c r="BW11" s="40" t="str">
        <f>IFERROR(__xludf.DUMMYFUNCTION(" CONCATENATE( 
if (regexmatch(V11, ""^[A-Za-z\.\_]+""), ""L"", 
if(regexmatch(AO11, ""^[A-Za-z\.\_]+""),""S"","""")),
if(BF11=""X"",""K"",""""))"),"LK")</f>
        <v>LK</v>
      </c>
      <c r="BX11" s="40" t="str">
        <f>IFERROR(__xludf.DUMMYFUNCTION("CONCATENATE( 
if (regexmatch(W11, ""^[A-Za-z\.\_]+""), ""L"", 
if(regexmatch(AP11, ""^[A-Za-z\.\_]+""),""S"","""")),
if(BG11=""X"",""K"",""""))"),"L")</f>
        <v>L</v>
      </c>
      <c r="BY11" s="40" t="str">
        <f>IFERROR(__xludf.DUMMYFUNCTION("CONCATENATE( 
if (regexmatch(X11, ""^[A-Za-z\.\_]+""), ""L"", 
if(regexmatch(AQ11, ""^[A-Za-z\.\_]+""),""S"","""")),
if(BH11=""X"",""K"",""""))"),"")</f>
        <v/>
      </c>
      <c r="BZ11" s="40" t="str">
        <f>IFERROR(__xludf.DUMMYFUNCTION("CONCATENATE( 
if (regexmatch(Y11, ""^[A-Za-z\.\_]+""), ""L"", 
if(regexmatch(AR11, ""^[A-Za-z\.\_]+""),""S"","""")),
if(BI11=""X"",""K"",""""))"),"K")</f>
        <v>K</v>
      </c>
      <c r="CA11" s="40" t="str">
        <f>IFERROR(__xludf.DUMMYFUNCTION("CONCATENATE( 
if (regexmatch(Z11, ""^[A-Za-z\.\_]+""), ""L"", 
if(regexmatch(AS11, ""^[A-Za-z\.\_]+""),""S"","""")),
if(BJ11=""X"",""K"",""""))"),"LK")</f>
        <v>LK</v>
      </c>
      <c r="CB11" s="39"/>
      <c r="CC11" s="39"/>
      <c r="CD11" s="39"/>
      <c r="CE11" s="39"/>
      <c r="CF11" s="39"/>
      <c r="CG11" s="39"/>
      <c r="CH11" s="39"/>
      <c r="CI11" s="39"/>
      <c r="CJ11" s="39"/>
      <c r="CK11" s="39"/>
      <c r="CL11" s="39"/>
      <c r="CM11" s="39"/>
      <c r="CN11" s="39"/>
      <c r="CO11" s="39"/>
      <c r="CP11" s="39"/>
      <c r="CQ11" s="39"/>
      <c r="CR11" s="39"/>
    </row>
    <row r="12">
      <c r="A12" s="25">
        <v>101.0</v>
      </c>
      <c r="B12" s="26" t="s">
        <v>110</v>
      </c>
      <c r="C12" s="27" t="s">
        <v>111</v>
      </c>
      <c r="D12" s="27" t="str">
        <f>IFERROR(__xludf.DUMMYFUNCTION("CONCATENATE(regexextract($C12,""[\w]* [\w]*""), ""*"")"),"Brachypodium distachyon*")</f>
        <v>Brachypodium distachyon*</v>
      </c>
      <c r="E12" s="28" t="s">
        <v>112</v>
      </c>
      <c r="F12" s="29">
        <v>15368.0</v>
      </c>
      <c r="G12" s="53"/>
      <c r="H12" s="31"/>
      <c r="I12" s="32" t="str">
        <f>CONCATENATE(
if(countif(dd.agi,$D12),"D",""),
if(countif(knap.agi,$D12),"K",""),
if(countif(mic.agi,$D12),"M",""),
if(countif(nap.agi,$D12),"N",""),
if(countif(np.agi,$D12),"P",""),
if(countif(imp.agi,$D12),"T",""),
if(countif(us.agi,$D12),"U",""),
if(countif(var.agi,$D12),"V","")
)</f>
        <v/>
      </c>
      <c r="J12" s="32" t="str">
        <f>
CONCATENATE(
if(countif(nap.bun,$D12),"N",""),
if(countif(np.bun,$D12),"P","")
)
</f>
        <v/>
      </c>
      <c r="K12" s="32" t="str">
        <f>CONCATENATE(
if(countif(dd.kxn,$D12),"D",""),
if(countif(knap.kxn,$D12),"K",""),
if(countif(mic.kxn,$D12),"M",""),
if(countif(nap.kxn,$D12),"N",""),
if(countif(np.kxn,$D12),"P",""),
if(countif(us.kxn,$D12),"U",""),
if(countif(var.kxn,$D12),"V","")
)</f>
        <v/>
      </c>
      <c r="L12" s="32" t="str">
        <f>
CONCATENATE(
if(countif(dd.hwb,$D12),"D",""),
if(countif(knap.hwb,$D12),"K",""),
if(countif(mic.hwb,$D12),"M",""),
if(countif(nap.hwb,$D12),"N",""),
if(countif(np.hwb,$D12),"P",""),
if(countif(us.hwb,$D12),"U",""),
if(countif(imp.hwb,$D12),"T",""),
if(countif(var.hwb,$D12),"V","")
)</f>
        <v/>
      </c>
      <c r="M12" s="32" t="str">
        <f>CONCATENATE(
if(countif(dd.epc,$D12),"D",""),
if(countif(knap.ekxn,$D12),"K",""),
if(countif(mic.ekxn,$D12),"M",""),
if(countif(nap.ekxn,$D12),"N",""),
if(countif(np.ekxn,$D12),"P",""),
if(countif(imp.epc,$D12),"T",""),
if(countif(us.ekxn,$D12),"U",""),
if(countif(var.ekxn,$D12),"V","")
)</f>
        <v/>
      </c>
      <c r="N12" s="32" t="str">
        <f>
CONCATENATE(
if(countif(dd.ecg,$D12),"D",""),
if(countif(mic.ecg,$D12),"M",""),
if(countif(np.ecg,$D12),"P",""),
if(countif(imp.ecg,$D12),"T",""),
if(countif(us.ecg,$D12),"U","")
)</f>
        <v/>
      </c>
      <c r="O12" s="32" t="str">
        <f>
CONCATENATE(
if(countif(dd.egt,$D12),"D",""),
if(countif(mic.egt,$D12),"M",""),
if(countif(nap.egt,$D12),"N",""),
if(countif(us.egt,$D12),"U",""),
if(countif(var.egt,$D12),"V",""))
</f>
        <v/>
      </c>
      <c r="P12" s="32" t="str">
        <f>CONCATENATE(
if(countif(knap.egcg,$D12),"K",""),
if(countif(mic.egcg,$D12),"M",""),
if(countif(np.egcg,$D12),"P",""),
if(countif(us.egcg,$D12),"U","")
)</f>
        <v/>
      </c>
      <c r="Q12" s="32" t="str">
        <f>CONCATENATE(if(countif(np.ecit,$D12),"P",""),
if(countif(nap.ecit,$D12),"A",""))</f>
        <v/>
      </c>
      <c r="R12" s="32" t="str">
        <f>
CONCATENATE(
if(countif(nap.erd,$D12),"N",""),
if(countif(np.erd,$D12),"P",""),
if(countif(var.erd,$D12),"V",""))</f>
        <v/>
      </c>
      <c r="S12" s="32" t="str">
        <f>
CONCATENATE(
if(countif(dd.gkxn,$D12),"D",""),
if(countif(knap.gkxn,$D12),"K",""),
if(countif(nap.gkxn,$D12),"N",""),
if(countif(np.gkxn,$D12),"P",""),
if(countif(imp.gkxn,$D12),"T",""),
if(countif(var.gkxn,$D12),"V",""))</f>
        <v/>
      </c>
      <c r="T12" s="32" t="str">
        <f>
CONCATENATE(
if(countif(dd.gen,$C12),"D",""),
if(countif(knap.gen,$C12),"K",""),
if(countif(nap.gen,$C12),"N",""),
if(countif(np.gen,$C12),"P",""),
if(countif(imp.gen,$C12),"T",""),
if(countif(var.gen,$C12),"V",""))</f>
        <v/>
      </c>
      <c r="U12" s="32" t="str">
        <f>
CONCATENATE(
if(countif(dd.hcc,$D12),"D",""),
if(countif(knap.hcc,$D12),"K",""),
if(countif(np.hcc,$D12),"P","")
)
</f>
        <v/>
      </c>
      <c r="V12" s="32" t="str">
        <f>
CONCATENATE(
if(countif(dd.kmp,$D12),"D",""),
if(countif(knap.kmp,$D12),"K",""),
if(countif(mic.kmp,$D12),"M",""),
if(countif(nap.kmp,$D12),"N",""),
if(countif(np.kmp,$D12),"P",""),
if(countif(imp.kmp,$D12),"T",""),
if(countif(us.kmp,$D12),"U",""),
if(countif(var.kmp,$D12),"V",""))</f>
        <v/>
      </c>
      <c r="W12" s="32" t="str">
        <f>
CONCATENATE(
if(countif(dd.lu2,$D12),"D",""),
if(countif(knap.lu2,$D12),"K",""),
if(countif(mic.lu2,$D12),"M",""),
if(countif(nap.lu2,$D12),"N",""),
if(countif(np.lu2,$D12),"P",""),
if(countif(imp.lu2,$D12),"T",""),
if(countif(us.lu2,$D12),"U",""),
if(countif(var.lu2,$D12),"V",""))</f>
        <v/>
      </c>
      <c r="X12" s="32" t="str">
        <f>
CONCATENATE(
if(countif(dd.myc,$D12),"D",""),
if(countif(knap.myc,$D12),"K",""), 
if(countif(mic.myc,$D12),"M",""),
if(countif(nap.myc,$D12),"N",""),
if(countif(np.myc,$D12),"P",""),
if(countif(imp.myc,$D12),"T",""),
if(countif(us.myc,$D12),"U",""),
if(countif(var.myc,$D12),"V",""))</f>
        <v/>
      </c>
      <c r="Y12" s="32" t="str">
        <f>CONCATENATE(
if(countif(dd.nar,$D12),"D",""),
if(countif(knap.nar,$D12),"K",""),
if(countif(nap.nar,$D12),"N",""),
if(countif(np.nar,$D12),"P",""),
if(countif(imp.nar,$D12),"T",""),
if(countif(us.nar,$D12),"U",""),
if(countif(var.nar,$D12),"V",""))</f>
        <v>V</v>
      </c>
      <c r="Z12" s="33" t="str">
        <f>
CONCATENATE(
if(countif(dd.que,$D12),"D",""),
if(countif(knap.que,$D12),"K",""),
if(countif(mic.que,$D12),"M",""),
if(countif(nap.que,$D12),"N",""),
if(countif(np.que,$D12),"P",""),
if(countif(imp.que,$D12),"T",""),
if(countif(us.que,$D12),"U",""),
if(countif(var.que,$D12),"V",""))</f>
        <v/>
      </c>
      <c r="AA12" s="32"/>
      <c r="AB12" s="34" t="str">
        <f>
CONCATENATE(if(countif(knap.agi.sim,$D12),"K",""),
if(countif(dd.agi.sim,$D12),"D",""),
if(countif(nap.agi.sim,$D12),"A",""),
if(countif(var.agi.sim,$D12),"V",""))</f>
        <v/>
      </c>
      <c r="AC12" s="34" t="str">
        <f>
if(countif(nap.bun.sim,$D12),"A","")</f>
        <v/>
      </c>
      <c r="AD12" s="34" t="str">
        <f>
CONCATENATE(if(countif(knap.kxn.sim,$D12),"K",""),
if(countif(np.kxn.sim,$D12),"P",""),
if(countif(dd.kxn.sim,$D12),"D",""),
if(countif(nap.kxn.sim,$D12),"A",""),
if(countif(var.kxn.sim,$D12),"V",""))</f>
        <v/>
      </c>
      <c r="AE12" s="34" t="str">
        <f>
CONCATENATE(if(countif(knap.hwb.sim,$D12),"K",""),
if(countif(np.hwb.sim,$D12),"P",""),
if(countif(mic.hwb.sim,$D12),"M",""),
if(countif(imp.hwb.sim,$D12),"T",""),
if(countif(dd.cyan.sim,$D12),"D",""),
if(countif(nap.hwb.sim,$D12),"A",""),
if(countif(var.hwb.sim,$D12),"V",""))</f>
        <v/>
      </c>
      <c r="AF12" s="34" t="str">
        <f>
CONCATENATE(if(countif(us.ekxn.sim,$D12),"U",""),
if(countif(knap.ekxn.sim,$D12),"K",""),
if(countif(np.ekxn.sim,$D12),"P",""),
if(countif(mic.ekxn.sim,$D12),"M",""),
if(countif(imp.epc.sim,$D12),"T",""),
if(countif(nap.ekxn.sim,$D12),"A",""))</f>
        <v/>
      </c>
      <c r="AG12" s="34"/>
      <c r="AH12" s="34" t="str">
        <f>
CONCATENATE(if(countif(us.egt.sim,$D12),"U",""),
if(countif(knap.egt.sim,$D12),"K",""),
if(countif(np.egt.sim,$D12),"P",""),
if(countif(mic.egt.sim,$D12),"M",""))</f>
        <v/>
      </c>
      <c r="AI12" s="34"/>
      <c r="AJ12" s="34" t="str">
        <f>if(countif(nap.ecit.sim,$D12),"A","")</f>
        <v/>
      </c>
      <c r="AK12" s="34" t="str">
        <f>
CONCATENATE(if(countif(nap.erd,$D12),"M",""),
if(countif(nap.erd.sim,$D12),"A",""),
if(countif(var.erd.sim,$D12),"V",""))</f>
        <v/>
      </c>
      <c r="AL12" s="34" t="str">
        <f>
CONCATENATE(if(countif(knap.gkxn.sim,$D12),"K",""),
if(countif(nap.gkxn.sim,$D12),"A",""))</f>
        <v/>
      </c>
      <c r="AM12" s="34" t="str">
        <f>
CONCATENATE(if(countif(knap.gen.sim,$C12),"K",""),
if(countif(imp.gen.sim,$C12),"T",""),
if(countif(dd.gen.sim,$C12),"D",""),
if(countif(nap.gen.sim,$C12),"A",""),
if(countif(var.gen.sim,$C12),"V",""))
</f>
        <v/>
      </c>
      <c r="AN12" s="34" t="str">
        <f>IFERROR(__xludf.DUMMYFUNCTION("
if(countif(#REF!,CONCATENATE(regexextract($C12,""[\w]* [\w]*""), ""*"")),""V"","""")"),"")</f>
        <v/>
      </c>
      <c r="AO12" s="34" t="str">
        <f>
CONCATENATE(if(countif(knap.kmp.sim,$D12),"K",""),
if(countif(np.kmp.sim,$D12),"P",""),
if(countif(imp.kmp.sim,$D12),"T",""),
if(countif(dd.kmp,$D12),"D",""),
if(countif(nap.kmp.sim,$D12),"A",""),
if(countif(var.kmp.sim,$D12),"V",""))</f>
        <v/>
      </c>
      <c r="AP12" s="34" t="str">
        <f>
CONCATENATE(if(countif(knap.lu2.sim,$D12),"K",""),
if(countif(np.lu2.sim,$D12),"P",""),
if(countif(imp.lu2.sim,$D12),"T",""),
if(countif(dd.lu2.sim,$D12),"D",""),
if(countif(nap.lu2.sim,$D12),"A",""),
if(countif(var.lu2.sim,$D12),"V",""))</f>
        <v/>
      </c>
      <c r="AQ12" s="34" t="str">
        <f>
CONCATENATE(if(countif(np.myc.sim,$D12),"P",""),
if(countif(imp.myc.sim,$D12),"T",""),
if(countif(nap.myc.sim,$D12),"A",""))
</f>
        <v/>
      </c>
      <c r="AR12" s="36" t="str">
        <f>
CONCATENATE(if(countif(knap.nar.sim,$D12),"K",""),
if(countif(np.nar.sim,$D12),"P",""),
if(countif(imp.nar.sim,$D12),"T",""),
if(countif(dd.nar.sim,$D12),"D",""),
if(countif(nap.nar.sim,$D12),"A",""),
if(countif(var.nar.sim,$D12),"V",""))</f>
        <v/>
      </c>
      <c r="AS12" s="34" t="str">
        <f>
CONCATENATE(if(countif(knap.que.sim,$D12),"K",""),
if(countif(np.que.sim,$D12),"P",""),
if(countif(imp.que.sim,$D12),"T",""),
if(countif(dd.que.sim,$D12),"D",""),
if(countif(nap.que.sim,$D12),"A",""),
if(countif(var.que.sim,$D12),"V",""))</f>
        <v/>
      </c>
      <c r="AT12" s="37"/>
      <c r="AU12" s="32" t="str">
        <f>IFERROR(__xludf.DUMMYFUNCTION("if(countif(kr.agi, CONCATENATE(regexextract($C12,""[\w]* [\w]*""), ""*"")),""X"","""")"),"X")</f>
        <v>X</v>
      </c>
      <c r="AV12" s="38" t="str">
        <f>IFERROR(__xludf.DUMMYFUNCTION("if(countif(kr.bun,CONCATENATE(regexextract($C12,""[\w]* [\w]*""), ""*"")),""X"","""")"),"X")</f>
        <v>X</v>
      </c>
      <c r="AW12" s="38" t="str">
        <f>IFERROR(__xludf.DUMMYFUNCTION("if(countif(kr.kxn,CONCATENATE(regexextract($C12,""[\w]* [\w]*""), ""*"")),""X"","""")"),"X")</f>
        <v>X</v>
      </c>
      <c r="AX12" s="38" t="str">
        <f>IFERROR(__xludf.DUMMYFUNCTION("if(countif(kr.hwb,CONCATENATE(regexextract($C12,""[\w]* [\w]*""), ""*"")),""X"","""")"),"")</f>
        <v/>
      </c>
      <c r="AY12" s="38" t="str">
        <f>IFERROR(__xludf.DUMMYFUNCTION("if(countif(kr.ec,CONCATENATE(regexextract($C12,""[\w]* [\w]*""), ""*"")),""X"","""")"),"")</f>
        <v/>
      </c>
      <c r="AZ12" s="38" t="str">
        <f>IFERROR(__xludf.DUMMYFUNCTION("if(countif(kr.egt,CONCATENATE(regexextract($C12,""[\w]* [\w]*""), ""*"")),""X"","""")"),"")</f>
        <v/>
      </c>
      <c r="BA12" s="38"/>
      <c r="BB12" s="38" t="str">
        <f>IFERROR(__xludf.DUMMYFUNCTION("if(countif(kr.erd,CONCATENATE(regexextract($C12,""[\w]* [\w]*""), ""*"")),""X"","""")"),"X")</f>
        <v>X</v>
      </c>
      <c r="BC12" s="38" t="str">
        <f>IFERROR(__xludf.DUMMYFUNCTION("if(countif(kr.gkxn,CONCATENATE(regexextract($C12,""[\w]* [\w]*""), ""*"")),""X"","""")"),"X")</f>
        <v>X</v>
      </c>
      <c r="BD12" s="38" t="str">
        <f>IFERROR(__xludf.DUMMYFUNCTION("if(countif(kr.gen,CONCATENATE(regexextract(C12,""[\w]* [\w]*""), ""*"")),""X"","""")"),"")</f>
        <v/>
      </c>
      <c r="BE12" s="38" t="str">
        <f>IFERROR(__xludf.DUMMYFUNCTION("if(countif(kr.hcc,CONCATENATE(regexextract($C12,""[\w]* [\w]*""), ""*"")),""X"","""")"),"X")</f>
        <v>X</v>
      </c>
      <c r="BF12" s="38" t="str">
        <f>IFERROR(__xludf.DUMMYFUNCTION("if(countif(kr.kmp,CONCATENATE(regexextract($C12,""[\w]* [\w]*""), ""*"")),""X"","""")"),"X")</f>
        <v>X</v>
      </c>
      <c r="BG12" s="38" t="str">
        <f>IFERROR(__xludf.DUMMYFUNCTION("if(countif(kr.lu2,CONCATENATE(regexextract($C12,""[\w]* [\w]*""), ""*"")),""X"","""")"),"X")</f>
        <v>X</v>
      </c>
      <c r="BH12" s="38" t="str">
        <f>IFERROR(__xludf.DUMMYFUNCTION("if(countif(kr.myc,CONCATENATE(regexextract($C12,""[\w]* [\w]*""), ""*"")),""X"","""")"),"X")</f>
        <v>X</v>
      </c>
      <c r="BI12" s="38" t="str">
        <f>IFERROR(__xludf.DUMMYFUNCTION("if(countif(kr.nar,CONCATENATE(regexextract($C12,""[\w]* [\w]*""), ""*"")),""X"","""")"),"X")</f>
        <v>X</v>
      </c>
      <c r="BJ12" s="38" t="str">
        <f>IFERROR(__xludf.DUMMYFUNCTION("if(countif(kr.que,CONCATENATE(regexextract($C12,""[\w]* [\w]*""), ""*"")),""X"","""")"),"X")</f>
        <v>X</v>
      </c>
      <c r="BK12" s="39"/>
      <c r="BL12" s="40" t="str">
        <f>IFERROR(__xludf.DUMMYFUNCTION(" CONCATENATE( 
if (regexmatch(I12, ""^[A-Za-z\.\_]+""), ""L"", 
if(regexmatch(AB12, ""^[A-Za-z\.\_]+""),""S"","""")),
if(AU12=""X"",""K"",""""))"),"K")</f>
        <v>K</v>
      </c>
      <c r="BM12" s="40" t="str">
        <f>IFERROR(__xludf.DUMMYFUNCTION(" CONCATENATE( 
if (regexmatch(J12, ""^[A-Za-z\.\_]+""), ""L"", 
if(regexmatch(AC12, ""^[A-Za-z\.\_]+""),""S"","""")),
if(AV12=""X"",""K"",""""))"),"K")</f>
        <v>K</v>
      </c>
      <c r="BN12" s="40" t="str">
        <f>IFERROR(__xludf.DUMMYFUNCTION(" CONCATENATE( 
if (regexmatch(K12, ""^[A-Za-z\.\_]+""), ""L"", 
if(regexmatch(AD12, ""^[A-Za-z\.\_]+""),""S"","""")),
if(AW12=""X"",""K"",""""))"),"K")</f>
        <v>K</v>
      </c>
      <c r="BO12" s="40" t="str">
        <f>IFERROR(__xludf.DUMMYFUNCTION(" CONCATENATE( 
if (regexmatch(L12, ""^[A-Za-z\.\_]+""), ""L"", 
if(regexmatch(AE12, ""^[A-Za-z\.\_]+""),""S"","""")),
if(AX12=""X"",""K"",""""))"),"")</f>
        <v/>
      </c>
      <c r="BP12" s="40" t="str">
        <f>IFERROR(__xludf.DUMMYFUNCTION(" CONCATENATE( 
if (regexmatch(M12, ""^[A-Za-z\.\_]+""), ""L"", 
if(regexmatch(AF12, ""^[A-Za-z\.\_]+""),""S"","""")),
if(AY12=""X"",""K"",""""))"),"")</f>
        <v/>
      </c>
      <c r="BQ12" s="40" t="str">
        <f>IFERROR(__xludf.DUMMYFUNCTION("CONCATENATE( 
if (regexmatch(O12, ""^[A-Za-z\.\_]+""), ""L"", 
if(regexmatch(AH12, ""^[A-Za-z\.\_]+""),""S"","""")),
if(AZ12=""X"",""K"",""""))"),"")</f>
        <v/>
      </c>
      <c r="BR12" s="40" t="str">
        <f>IFERROR(__xludf.DUMMYFUNCTION("CONCATENATE( 
if (regexmatch(Q12, ""^[A-Za-z\.\_]+""), ""L"", 
if(regexmatch(AJ12, ""^[A-Za-z\.\_]+""),""S"","""")),
if(BA12=""X"",""K"",""""))"),"")</f>
        <v/>
      </c>
      <c r="BS12" s="40" t="str">
        <f>IFERROR(__xludf.DUMMYFUNCTION(" CONCATENATE( 
if (regexmatch(R12, ""^[A-Za-z\.\_]+""), ""L"", 
if(regexmatch(AK12, ""^[A-Za-z\.\_]+""),""S"","""")),
if(BB12=""X"",""K"",""""))"),"K")</f>
        <v>K</v>
      </c>
      <c r="BT12" s="40" t="str">
        <f>IFERROR(__xludf.DUMMYFUNCTION("CONCATENATE( 
if (regexmatch(S12, ""^[A-Za-z\.\_]+""), ""L"", 
if(regexmatch(AL12, ""^[A-Za-z\.\_]+""),""S"","""")),
if(BC12=""X"",""K"",""""))"),"K")</f>
        <v>K</v>
      </c>
      <c r="BU12" s="40" t="str">
        <f>IFERROR(__xludf.DUMMYFUNCTION("CONCATENATE( 
if (regexmatch(T12, ""^[A-Za-z\.\_]+""), ""L"", 
if(regexmatch(AM12, ""^[A-Za-z\.\_]+""),""S"","""")),
if(BD12=""X"",""K"",""""))"),"")</f>
        <v/>
      </c>
      <c r="BV12" s="40" t="str">
        <f>IFERROR(__xludf.DUMMYFUNCTION("CONCATENATE( 
if (regexmatch(U12, ""^[A-Za-z\.\_]+""), ""L"", 
if(regexmatch(AN12, ""^[A-Za-z\.\_]+""),""S"","""")),
if(BE12=""X"",""K"",""""))"),"K")</f>
        <v>K</v>
      </c>
      <c r="BW12" s="40" t="str">
        <f>IFERROR(__xludf.DUMMYFUNCTION(" CONCATENATE( 
if (regexmatch(V12, ""^[A-Za-z\.\_]+""), ""L"", 
if(regexmatch(AO12, ""^[A-Za-z\.\_]+""),""S"","""")),
if(BF12=""X"",""K"",""""))"),"K")</f>
        <v>K</v>
      </c>
      <c r="BX12" s="40" t="str">
        <f>IFERROR(__xludf.DUMMYFUNCTION("CONCATENATE( 
if (regexmatch(W12, ""^[A-Za-z\.\_]+""), ""L"", 
if(regexmatch(AP12, ""^[A-Za-z\.\_]+""),""S"","""")),
if(BG12=""X"",""K"",""""))"),"K")</f>
        <v>K</v>
      </c>
      <c r="BY12" s="40" t="str">
        <f>IFERROR(__xludf.DUMMYFUNCTION("CONCATENATE( 
if (regexmatch(X12, ""^[A-Za-z\.\_]+""), ""L"", 
if(regexmatch(AQ12, ""^[A-Za-z\.\_]+""),""S"","""")),
if(BH12=""X"",""K"",""""))"),"K")</f>
        <v>K</v>
      </c>
      <c r="BZ12" s="40" t="str">
        <f>IFERROR(__xludf.DUMMYFUNCTION("CONCATENATE( 
if (regexmatch(Y12, ""^[A-Za-z\.\_]+""), ""L"", 
if(regexmatch(AR12, ""^[A-Za-z\.\_]+""),""S"","""")),
if(BI12=""X"",""K"",""""))"),"LK")</f>
        <v>LK</v>
      </c>
      <c r="CA12" s="40" t="str">
        <f>IFERROR(__xludf.DUMMYFUNCTION("CONCATENATE( 
if (regexmatch(Z12, ""^[A-Za-z\.\_]+""), ""L"", 
if(regexmatch(AS12, ""^[A-Za-z\.\_]+""),""S"","""")),
if(BJ12=""X"",""K"",""""))"),"K")</f>
        <v>K</v>
      </c>
      <c r="CB12" s="39"/>
      <c r="CC12" s="39"/>
      <c r="CD12" s="39"/>
      <c r="CE12" s="39"/>
      <c r="CF12" s="39"/>
      <c r="CG12" s="39"/>
      <c r="CH12" s="39"/>
      <c r="CI12" s="39"/>
      <c r="CJ12" s="39"/>
      <c r="CK12" s="39"/>
      <c r="CL12" s="39"/>
      <c r="CM12" s="39"/>
      <c r="CN12" s="39"/>
      <c r="CO12" s="39"/>
      <c r="CP12" s="39"/>
      <c r="CQ12" s="39"/>
      <c r="CR12" s="39"/>
    </row>
    <row r="13">
      <c r="A13" s="25">
        <v>3.0</v>
      </c>
      <c r="B13" s="44" t="s">
        <v>113</v>
      </c>
      <c r="C13" s="27" t="s">
        <v>114</v>
      </c>
      <c r="D13" s="27" t="str">
        <f>IFERROR(__xludf.DUMMYFUNCTION("CONCATENATE(regexextract($C13,""[\w]* [\w]*""), ""*"")"),"Brassica napus*")</f>
        <v>Brassica napus*</v>
      </c>
      <c r="E13" s="28" t="s">
        <v>115</v>
      </c>
      <c r="F13" s="29">
        <v>3708.0</v>
      </c>
      <c r="G13" s="53"/>
      <c r="H13" s="31"/>
      <c r="I13" s="32" t="str">
        <f>CONCATENATE(
if(countif(dd.agi,$D13),"D",""),
if(countif(knap.agi,$D13),"K",""),
if(countif(mic.agi,$D13),"M",""),
if(countif(nap.agi,$D13),"N",""),
if(countif(np.agi,$D13),"P",""),
if(countif(imp.agi,$D13),"T",""),
if(countif(us.agi,$D13),"U",""),
if(countif(var.agi,$D13),"V","")
)</f>
        <v/>
      </c>
      <c r="J13" s="32" t="str">
        <f>
CONCATENATE(
if(countif(nap.bun,$D13),"N",""),
if(countif(np.bun,$D13),"P","")
)
</f>
        <v/>
      </c>
      <c r="K13" s="32" t="str">
        <f>CONCATENATE(
if(countif(dd.kxn,$D13),"D",""),
if(countif(knap.kxn,$D13),"K",""),
if(countif(mic.kxn,$D13),"M",""),
if(countif(nap.kxn,$D13),"N",""),
if(countif(np.kxn,$D13),"P",""),
if(countif(us.kxn,$D13),"U",""),
if(countif(var.kxn,$D13),"V","")
)</f>
        <v/>
      </c>
      <c r="L13" s="32" t="str">
        <f>
CONCATENATE(
if(countif(dd.hwb,$D13),"D",""),
if(countif(knap.hwb,$D13),"K",""),
if(countif(mic.hwb,$D13),"M",""),
if(countif(nap.hwb,$D13),"N",""),
if(countif(np.hwb,$D13),"P",""),
if(countif(us.hwb,$D13),"U",""),
if(countif(imp.hwb,$D13),"T",""),
if(countif(var.hwb,$D13),"V","")
)</f>
        <v/>
      </c>
      <c r="M13" s="32" t="str">
        <f>CONCATENATE(
if(countif(dd.epc,$D13),"D",""),
if(countif(knap.ekxn,$D13),"K",""),
if(countif(mic.ekxn,$D13),"M",""),
if(countif(nap.ekxn,$D13),"N",""),
if(countif(np.ekxn,$D13),"P",""),
if(countif(imp.epc,$D13),"T",""),
if(countif(us.ekxn,$D13),"U",""),
if(countif(var.ekxn,$D13),"V","")
)</f>
        <v>V</v>
      </c>
      <c r="N13" s="32" t="str">
        <f>
CONCATENATE(
if(countif(dd.ecg,$D13),"D",""),
if(countif(mic.ecg,$D13),"M",""),
if(countif(np.ecg,$D13),"P",""),
if(countif(imp.ecg,$D13),"T",""),
if(countif(us.ecg,$D13),"U","")
)</f>
        <v/>
      </c>
      <c r="O13" s="32" t="str">
        <f>
CONCATENATE(
if(countif(dd.egt,$D13),"D",""),
if(countif(mic.egt,$D13),"M",""),
if(countif(nap.egt,$D13),"N",""),
if(countif(us.egt,$D13),"U",""),
if(countif(var.egt,$D13),"V",""))
</f>
        <v/>
      </c>
      <c r="P13" s="32" t="str">
        <f>CONCATENATE(
if(countif(knap.egcg,$D13),"K",""),
if(countif(mic.egcg,$D13),"M",""),
if(countif(np.egcg,$D13),"P",""),
if(countif(us.egcg,$D13),"U","")
)</f>
        <v/>
      </c>
      <c r="Q13" s="32" t="str">
        <f>CONCATENATE(if(countif(np.ecit,$D13),"P",""),
if(countif(nap.ecit,$D13),"A",""))</f>
        <v/>
      </c>
      <c r="R13" s="32" t="str">
        <f>
CONCATENATE(
if(countif(nap.erd,$D13),"N",""),
if(countif(np.erd,$D13),"P",""),
if(countif(var.erd,$D13),"V",""))</f>
        <v/>
      </c>
      <c r="S13" s="32" t="str">
        <f>
CONCATENATE(
if(countif(dd.gkxn,$D13),"D",""),
if(countif(knap.gkxn,$D13),"K",""),
if(countif(nap.gkxn,$D13),"N",""),
if(countif(np.gkxn,$D13),"P",""),
if(countif(imp.gkxn,$D13),"T",""),
if(countif(var.gkxn,$D13),"V",""))</f>
        <v/>
      </c>
      <c r="T13" s="32" t="str">
        <f>
CONCATENATE(
if(countif(dd.gen,$C13),"D",""),
if(countif(knap.gen,$C13),"K",""),
if(countif(nap.gen,$C13),"N",""),
if(countif(np.gen,$C13),"P",""),
if(countif(imp.gen,$C13),"T",""),
if(countif(var.gen,$C13),"V",""))</f>
        <v/>
      </c>
      <c r="U13" s="32" t="str">
        <f>
CONCATENATE(
if(countif(dd.hcc,$D13),"D",""),
if(countif(knap.hcc,$D13),"K",""),
if(countif(np.hcc,$D13),"P","")
)
</f>
        <v/>
      </c>
      <c r="V13" s="32" t="str">
        <f>
CONCATENATE(
if(countif(dd.kmp,$D13),"D",""),
if(countif(knap.kmp,$D13),"K",""),
if(countif(mic.kmp,$D13),"M",""),
if(countif(nap.kmp,$D13),"N",""),
if(countif(np.kmp,$D13),"P",""),
if(countif(imp.kmp,$D13),"T",""),
if(countif(us.kmp,$D13),"U",""),
if(countif(var.kmp,$D13),"V",""))</f>
        <v>N</v>
      </c>
      <c r="W13" s="32" t="str">
        <f>
CONCATENATE(
if(countif(dd.lu2,$D13),"D",""),
if(countif(knap.lu2,$D13),"K",""),
if(countif(mic.lu2,$D13),"M",""),
if(countif(nap.lu2,$D13),"N",""),
if(countif(np.lu2,$D13),"P",""),
if(countif(imp.lu2,$D13),"T",""),
if(countif(us.lu2,$D13),"U",""),
if(countif(var.lu2,$D13),"V",""))</f>
        <v>V</v>
      </c>
      <c r="X13" s="32" t="str">
        <f>
CONCATENATE(
if(countif(dd.myc,$D13),"D",""),
if(countif(knap.myc,$D13),"K",""), 
if(countif(mic.myc,$D13),"M",""),
if(countif(nap.myc,$D13),"N",""),
if(countif(np.myc,$D13),"P",""),
if(countif(imp.myc,$D13),"T",""),
if(countif(us.myc,$D13),"U",""),
if(countif(var.myc,$D13),"V",""))</f>
        <v/>
      </c>
      <c r="Y13" s="32" t="str">
        <f>CONCATENATE(
if(countif(dd.nar,$D13),"D",""),
if(countif(knap.nar,$D13),"K",""),
if(countif(nap.nar,$D13),"N",""),
if(countif(np.nar,$D13),"P",""),
if(countif(imp.nar,$D13),"T",""),
if(countif(us.nar,$D13),"U",""),
if(countif(var.nar,$D13),"V",""))</f>
        <v>V</v>
      </c>
      <c r="Z13" s="33" t="str">
        <f>
CONCATENATE(
if(countif(dd.que,$D13),"D",""),
if(countif(knap.que,$D13),"K",""),
if(countif(mic.que,$D13),"M",""),
if(countif(nap.que,$D13),"N",""),
if(countif(np.que,$D13),"P",""),
if(countif(imp.que,$D13),"T",""),
if(countif(us.que,$D13),"U",""),
if(countif(var.que,$D13),"V",""))</f>
        <v>N</v>
      </c>
      <c r="AA13" s="32"/>
      <c r="AB13" s="34" t="str">
        <f>
CONCATENATE(if(countif(knap.agi.sim,$D13),"K",""),
if(countif(dd.agi.sim,$D13),"D",""),
if(countif(nap.agi.sim,$D13),"A",""),
if(countif(var.agi.sim,$D13),"V",""))</f>
        <v/>
      </c>
      <c r="AC13" s="34" t="str">
        <f>
if(countif(nap.bun.sim,$D13),"A","")</f>
        <v/>
      </c>
      <c r="AD13" s="34" t="str">
        <f>
CONCATENATE(if(countif(knap.kxn.sim,$D13),"K",""),
if(countif(np.kxn.sim,$D13),"P",""),
if(countif(dd.kxn.sim,$D13),"D",""),
if(countif(nap.kxn.sim,$D13),"A",""),
if(countif(var.kxn.sim,$D13),"V",""))</f>
        <v/>
      </c>
      <c r="AE13" s="34" t="str">
        <f>
CONCATENATE(if(countif(knap.hwb.sim,$D13),"K",""),
if(countif(np.hwb.sim,$D13),"P",""),
if(countif(mic.hwb.sim,$D13),"M",""),
if(countif(imp.hwb.sim,$D13),"T",""),
if(countif(dd.cyan.sim,$D13),"D",""),
if(countif(nap.hwb.sim,$D13),"A",""),
if(countif(var.hwb.sim,$D13),"V",""))</f>
        <v>K</v>
      </c>
      <c r="AF13" s="34" t="str">
        <f>
CONCATENATE(if(countif(us.ekxn.sim,$D13),"U",""),
if(countif(knap.ekxn.sim,$D13),"K",""),
if(countif(np.ekxn.sim,$D13),"P",""),
if(countif(mic.ekxn.sim,$D13),"M",""),
if(countif(imp.epc.sim,$D13),"T",""),
if(countif(nap.ekxn.sim,$D13),"A",""))</f>
        <v/>
      </c>
      <c r="AG13" s="34"/>
      <c r="AH13" s="34" t="str">
        <f>
CONCATENATE(if(countif(us.egt.sim,$D13),"U",""),
if(countif(knap.egt.sim,$D13),"K",""),
if(countif(np.egt.sim,$D13),"P",""),
if(countif(mic.egt.sim,$D13),"M",""))</f>
        <v/>
      </c>
      <c r="AI13" s="34"/>
      <c r="AJ13" s="34" t="str">
        <f>if(countif(nap.ecit.sim,$D13),"A","")</f>
        <v/>
      </c>
      <c r="AK13" s="34" t="str">
        <f>
CONCATENATE(if(countif(nap.erd,$D13),"M",""),
if(countif(nap.erd.sim,$D13),"A",""),
if(countif(var.erd.sim,$D13),"V",""))</f>
        <v/>
      </c>
      <c r="AL13" s="34" t="str">
        <f>
CONCATENATE(if(countif(knap.gkxn.sim,$D13),"K",""),
if(countif(nap.gkxn.sim,$D13),"A",""))</f>
        <v/>
      </c>
      <c r="AM13" s="34" t="str">
        <f>
CONCATENATE(if(countif(knap.gen.sim,$C13),"K",""),
if(countif(imp.gen.sim,$C13),"T",""),
if(countif(dd.gen.sim,$C13),"D",""),
if(countif(nap.gen.sim,$C13),"A",""),
if(countif(var.gen.sim,$C13),"V",""))
</f>
        <v/>
      </c>
      <c r="AN13" s="34" t="str">
        <f>IFERROR(__xludf.DUMMYFUNCTION("
if(countif(#REF!,CONCATENATE(regexextract($C13,""[\w]* [\w]*""), ""*"")),""V"","""")"),"")</f>
        <v/>
      </c>
      <c r="AO13" s="34" t="str">
        <f>
CONCATENATE(if(countif(knap.kmp.sim,$D13),"K",""),
if(countif(np.kmp.sim,$D13),"P",""),
if(countif(imp.kmp.sim,$D13),"T",""),
if(countif(dd.kmp,$D13),"D",""),
if(countif(nap.kmp.sim,$D13),"A",""),
if(countif(var.kmp.sim,$D13),"V",""))</f>
        <v>KAV</v>
      </c>
      <c r="AP13" s="34" t="str">
        <f>
CONCATENATE(if(countif(knap.lu2.sim,$D13),"K",""),
if(countif(np.lu2.sim,$D13),"P",""),
if(countif(imp.lu2.sim,$D13),"T",""),
if(countif(dd.lu2.sim,$D13),"D",""),
if(countif(nap.lu2.sim,$D13),"A",""),
if(countif(var.lu2.sim,$D13),"V",""))</f>
        <v/>
      </c>
      <c r="AQ13" s="34" t="str">
        <f>
CONCATENATE(if(countif(np.myc.sim,$D13),"P",""),
if(countif(imp.myc.sim,$D13),"T",""),
if(countif(nap.myc.sim,$D13),"A",""))
</f>
        <v/>
      </c>
      <c r="AR13" s="36" t="str">
        <f>
CONCATENATE(if(countif(knap.nar.sim,$D13),"K",""),
if(countif(np.nar.sim,$D13),"P",""),
if(countif(imp.nar.sim,$D13),"T",""),
if(countif(dd.nar.sim,$D13),"D",""),
if(countif(nap.nar.sim,$D13),"A",""),
if(countif(var.nar.sim,$D13),"V",""))</f>
        <v/>
      </c>
      <c r="AS13" s="34" t="str">
        <f>
CONCATENATE(if(countif(knap.que.sim,$D13),"K",""),
if(countif(np.que.sim,$D13),"P",""),
if(countif(imp.que.sim,$D13),"T",""),
if(countif(dd.que.sim,$D13),"D",""),
if(countif(nap.que.sim,$D13),"A",""),
if(countif(var.que.sim,$D13),"V",""))</f>
        <v>KAV</v>
      </c>
      <c r="AT13" s="37"/>
      <c r="AU13" s="32" t="str">
        <f>IFERROR(__xludf.DUMMYFUNCTION("if(countif(kr.agi, CONCATENATE(regexextract($C13,""[\w]* [\w]*""), ""*"")),""X"","""")"),"")</f>
        <v/>
      </c>
      <c r="AV13" s="38" t="str">
        <f>IFERROR(__xludf.DUMMYFUNCTION("if(countif(kr.bun,CONCATENATE(regexextract($C13,""[\w]* [\w]*""), ""*"")),""X"","""")"),"X")</f>
        <v>X</v>
      </c>
      <c r="AW13" s="38" t="str">
        <f>IFERROR(__xludf.DUMMYFUNCTION("if(countif(kr.kxn,CONCATENATE(regexextract($C13,""[\w]* [\w]*""), ""*"")),""X"","""")"),"")</f>
        <v/>
      </c>
      <c r="AX13" s="38" t="str">
        <f>IFERROR(__xludf.DUMMYFUNCTION("if(countif(kr.hwb,CONCATENATE(regexextract($C13,""[\w]* [\w]*""), ""*"")),""X"","""")"),"X")</f>
        <v>X</v>
      </c>
      <c r="AY13" s="38" t="str">
        <f>IFERROR(__xludf.DUMMYFUNCTION("if(countif(kr.ec,CONCATENATE(regexextract($C13,""[\w]* [\w]*""), ""*"")),""X"","""")"),"X")</f>
        <v>X</v>
      </c>
      <c r="AZ13" s="38" t="str">
        <f>IFERROR(__xludf.DUMMYFUNCTION("if(countif(kr.egt,CONCATENATE(regexextract($C13,""[\w]* [\w]*""), ""*"")),""X"","""")"),"")</f>
        <v/>
      </c>
      <c r="BA13" s="38"/>
      <c r="BB13" s="38" t="str">
        <f>IFERROR(__xludf.DUMMYFUNCTION("if(countif(kr.erd,CONCATENATE(regexextract($C13,""[\w]* [\w]*""), ""*"")),""X"","""")"),"X")</f>
        <v>X</v>
      </c>
      <c r="BC13" s="38" t="str">
        <f>IFERROR(__xludf.DUMMYFUNCTION("if(countif(kr.gkxn,CONCATENATE(regexextract($C13,""[\w]* [\w]*""), ""*"")),""X"","""")"),"")</f>
        <v/>
      </c>
      <c r="BD13" s="38" t="str">
        <f>IFERROR(__xludf.DUMMYFUNCTION("if(countif(kr.gen,CONCATENATE(regexextract(C13,""[\w]* [\w]*""), ""*"")),""X"","""")"),"")</f>
        <v/>
      </c>
      <c r="BE13" s="38" t="str">
        <f>IFERROR(__xludf.DUMMYFUNCTION("if(countif(kr.hcc,CONCATENATE(regexextract($C13,""[\w]* [\w]*""), ""*"")),""X"","""")"),"X")</f>
        <v>X</v>
      </c>
      <c r="BF13" s="38" t="str">
        <f>IFERROR(__xludf.DUMMYFUNCTION("if(countif(kr.kmp,CONCATENATE(regexextract($C13,""[\w]* [\w]*""), ""*"")),""X"","""")"),"X")</f>
        <v>X</v>
      </c>
      <c r="BG13" s="38" t="str">
        <f>IFERROR(__xludf.DUMMYFUNCTION("if(countif(kr.lu2,CONCATENATE(regexextract($C13,""[\w]* [\w]*""), ""*"")),""X"","""")"),"")</f>
        <v/>
      </c>
      <c r="BH13" s="38" t="str">
        <f>IFERROR(__xludf.DUMMYFUNCTION("if(countif(kr.myc,CONCATENATE(regexextract($C13,""[\w]* [\w]*""), ""*"")),""X"","""")"),"")</f>
        <v/>
      </c>
      <c r="BI13" s="38" t="str">
        <f>IFERROR(__xludf.DUMMYFUNCTION("if(countif(kr.nar,CONCATENATE(regexextract($C13,""[\w]* [\w]*""), ""*"")),""X"","""")"),"X")</f>
        <v>X</v>
      </c>
      <c r="BJ13" s="38" t="str">
        <f>IFERROR(__xludf.DUMMYFUNCTION("if(countif(kr.que,CONCATENATE(regexextract($C13,""[\w]* [\w]*""), ""*"")),""X"","""")"),"X")</f>
        <v>X</v>
      </c>
      <c r="BK13" s="39"/>
      <c r="BL13" s="40" t="str">
        <f>IFERROR(__xludf.DUMMYFUNCTION(" CONCATENATE( 
if (regexmatch(I13, ""^[A-Za-z\.\_]+""), ""L"", 
if(regexmatch(AB13, ""^[A-Za-z\.\_]+""),""S"","""")),
if(AU13=""X"",""K"",""""))"),"")</f>
        <v/>
      </c>
      <c r="BM13" s="40" t="str">
        <f>IFERROR(__xludf.DUMMYFUNCTION(" CONCATENATE( 
if (regexmatch(J13, ""^[A-Za-z\.\_]+""), ""L"", 
if(regexmatch(AC13, ""^[A-Za-z\.\_]+""),""S"","""")),
if(AV13=""X"",""K"",""""))"),"K")</f>
        <v>K</v>
      </c>
      <c r="BN13" s="40" t="str">
        <f>IFERROR(__xludf.DUMMYFUNCTION(" CONCATENATE( 
if (regexmatch(K13, ""^[A-Za-z\.\_]+""), ""L"", 
if(regexmatch(AD13, ""^[A-Za-z\.\_]+""),""S"","""")),
if(AW13=""X"",""K"",""""))"),"")</f>
        <v/>
      </c>
      <c r="BO13" s="40" t="str">
        <f>IFERROR(__xludf.DUMMYFUNCTION(" CONCATENATE( 
if (regexmatch(L13, ""^[A-Za-z\.\_]+""), ""L"", 
if(regexmatch(AE13, ""^[A-Za-z\.\_]+""),""S"","""")),
if(AX13=""X"",""K"",""""))"),"SK")</f>
        <v>SK</v>
      </c>
      <c r="BP13" s="40" t="str">
        <f>IFERROR(__xludf.DUMMYFUNCTION(" CONCATENATE( 
if (regexmatch(M13, ""^[A-Za-z\.\_]+""), ""L"", 
if(regexmatch(AF13, ""^[A-Za-z\.\_]+""),""S"","""")),
if(AY13=""X"",""K"",""""))"),"LK")</f>
        <v>LK</v>
      </c>
      <c r="BQ13" s="40" t="str">
        <f>IFERROR(__xludf.DUMMYFUNCTION("CONCATENATE( 
if (regexmatch(O13, ""^[A-Za-z\.\_]+""), ""L"", 
if(regexmatch(AH13, ""^[A-Za-z\.\_]+""),""S"","""")),
if(AZ13=""X"",""K"",""""))"),"")</f>
        <v/>
      </c>
      <c r="BR13" s="40" t="str">
        <f>IFERROR(__xludf.DUMMYFUNCTION("CONCATENATE( 
if (regexmatch(Q13, ""^[A-Za-z\.\_]+""), ""L"", 
if(regexmatch(AJ13, ""^[A-Za-z\.\_]+""),""S"","""")),
if(BA13=""X"",""K"",""""))"),"")</f>
        <v/>
      </c>
      <c r="BS13" s="40" t="str">
        <f>IFERROR(__xludf.DUMMYFUNCTION(" CONCATENATE( 
if (regexmatch(R13, ""^[A-Za-z\.\_]+""), ""L"", 
if(regexmatch(AK13, ""^[A-Za-z\.\_]+""),""S"","""")),
if(BB13=""X"",""K"",""""))"),"K")</f>
        <v>K</v>
      </c>
      <c r="BT13" s="40" t="str">
        <f>IFERROR(__xludf.DUMMYFUNCTION("CONCATENATE( 
if (regexmatch(S13, ""^[A-Za-z\.\_]+""), ""L"", 
if(regexmatch(AL13, ""^[A-Za-z\.\_]+""),""S"","""")),
if(BC13=""X"",""K"",""""))"),"")</f>
        <v/>
      </c>
      <c r="BU13" s="40" t="str">
        <f>IFERROR(__xludf.DUMMYFUNCTION("CONCATENATE( 
if (regexmatch(T13, ""^[A-Za-z\.\_]+""), ""L"", 
if(regexmatch(AM13, ""^[A-Za-z\.\_]+""),""S"","""")),
if(BD13=""X"",""K"",""""))"),"")</f>
        <v/>
      </c>
      <c r="BV13" s="40" t="str">
        <f>IFERROR(__xludf.DUMMYFUNCTION("CONCATENATE( 
if (regexmatch(U13, ""^[A-Za-z\.\_]+""), ""L"", 
if(regexmatch(AN13, ""^[A-Za-z\.\_]+""),""S"","""")),
if(BE13=""X"",""K"",""""))"),"K")</f>
        <v>K</v>
      </c>
      <c r="BW13" s="40" t="str">
        <f>IFERROR(__xludf.DUMMYFUNCTION(" CONCATENATE( 
if (regexmatch(V13, ""^[A-Za-z\.\_]+""), ""L"", 
if(regexmatch(AO13, ""^[A-Za-z\.\_]+""),""S"","""")),
if(BF13=""X"",""K"",""""))"),"LK")</f>
        <v>LK</v>
      </c>
      <c r="BX13" s="40" t="str">
        <f>IFERROR(__xludf.DUMMYFUNCTION("CONCATENATE( 
if (regexmatch(W13, ""^[A-Za-z\.\_]+""), ""L"", 
if(regexmatch(AP13, ""^[A-Za-z\.\_]+""),""S"","""")),
if(BG13=""X"",""K"",""""))"),"L")</f>
        <v>L</v>
      </c>
      <c r="BY13" s="40" t="str">
        <f>IFERROR(__xludf.DUMMYFUNCTION("CONCATENATE( 
if (regexmatch(X13, ""^[A-Za-z\.\_]+""), ""L"", 
if(regexmatch(AQ13, ""^[A-Za-z\.\_]+""),""S"","""")),
if(BH13=""X"",""K"",""""))"),"")</f>
        <v/>
      </c>
      <c r="BZ13" s="40" t="str">
        <f>IFERROR(__xludf.DUMMYFUNCTION("CONCATENATE( 
if (regexmatch(Y13, ""^[A-Za-z\.\_]+""), ""L"", 
if(regexmatch(AR13, ""^[A-Za-z\.\_]+""),""S"","""")),
if(BI13=""X"",""K"",""""))"),"LK")</f>
        <v>LK</v>
      </c>
      <c r="CA13" s="40" t="str">
        <f>IFERROR(__xludf.DUMMYFUNCTION("CONCATENATE( 
if (regexmatch(Z13, ""^[A-Za-z\.\_]+""), ""L"", 
if(regexmatch(AS13, ""^[A-Za-z\.\_]+""),""S"","""")),
if(BJ13=""X"",""K"",""""))"),"LK")</f>
        <v>LK</v>
      </c>
      <c r="CB13" s="39"/>
      <c r="CC13" s="39"/>
      <c r="CD13" s="39"/>
      <c r="CE13" s="39"/>
      <c r="CF13" s="39"/>
      <c r="CG13" s="39"/>
      <c r="CH13" s="39"/>
      <c r="CI13" s="39"/>
      <c r="CJ13" s="39"/>
      <c r="CK13" s="39"/>
      <c r="CL13" s="39"/>
      <c r="CM13" s="39"/>
      <c r="CN13" s="39"/>
      <c r="CO13" s="39"/>
      <c r="CP13" s="39"/>
      <c r="CQ13" s="39"/>
      <c r="CR13" s="39"/>
    </row>
    <row r="14">
      <c r="A14" s="25">
        <v>4.0</v>
      </c>
      <c r="B14" s="44" t="s">
        <v>116</v>
      </c>
      <c r="C14" s="41" t="s">
        <v>117</v>
      </c>
      <c r="D14" s="27" t="str">
        <f>IFERROR(__xludf.DUMMYFUNCTION("CONCATENATE(regexextract($C14,""[\w]* [\w]*""), ""*"")"),"Brassica oleracea*")</f>
        <v>Brassica oleracea*</v>
      </c>
      <c r="E14" s="28" t="s">
        <v>118</v>
      </c>
      <c r="F14" s="29">
        <v>3712.0</v>
      </c>
      <c r="G14" s="53"/>
      <c r="H14" s="31"/>
      <c r="I14" s="32" t="str">
        <f>CONCATENATE(
if(countif(dd.agi,$D14),"D",""),
if(countif(knap.agi,$D14),"K",""),
if(countif(mic.agi,$D14),"M",""),
if(countif(nap.agi,$D14),"N",""),
if(countif(np.agi,$D14),"P",""),
if(countif(imp.agi,$D14),"T",""),
if(countif(us.agi,$D14),"U",""),
if(countif(var.agi,$D14),"V","")
)</f>
        <v>KM</v>
      </c>
      <c r="J14" s="32" t="str">
        <f>
CONCATENATE(
if(countif(nap.bun,$D14),"N",""),
if(countif(np.bun,$D14),"P","")
)
</f>
        <v/>
      </c>
      <c r="K14" s="32" t="str">
        <f>CONCATENATE(
if(countif(dd.kxn,$D14),"D",""),
if(countif(knap.kxn,$D14),"K",""),
if(countif(mic.kxn,$D14),"M",""),
if(countif(nap.kxn,$D14),"N",""),
if(countif(np.kxn,$D14),"P",""),
if(countif(us.kxn,$D14),"U",""),
if(countif(var.kxn,$D14),"V","")
)</f>
        <v/>
      </c>
      <c r="L14" s="32" t="str">
        <f>
CONCATENATE(
if(countif(dd.hwb,$D14),"D",""),
if(countif(knap.hwb,$D14),"K",""),
if(countif(mic.hwb,$D14),"M",""),
if(countif(nap.hwb,$D14),"N",""),
if(countif(np.hwb,$D14),"P",""),
if(countif(us.hwb,$D14),"U",""),
if(countif(imp.hwb,$D14),"T",""),
if(countif(var.hwb,$D14),"V","")
)</f>
        <v>KT</v>
      </c>
      <c r="M14" s="32" t="str">
        <f>CONCATENATE(
if(countif(dd.epc,$D14),"D",""),
if(countif(knap.ekxn,$D14),"K",""),
if(countif(mic.ekxn,$D14),"M",""),
if(countif(nap.ekxn,$D14),"N",""),
if(countif(np.ekxn,$D14),"P",""),
if(countif(imp.epc,$D14),"T",""),
if(countif(us.ekxn,$D14),"U",""),
if(countif(var.ekxn,$D14),"V","")
)</f>
        <v/>
      </c>
      <c r="N14" s="32" t="str">
        <f>
CONCATENATE(
if(countif(dd.ecg,$D14),"D",""),
if(countif(mic.ecg,$D14),"M",""),
if(countif(np.ecg,$D14),"P",""),
if(countif(imp.ecg,$D14),"T",""),
if(countif(us.ecg,$D14),"U","")
)</f>
        <v/>
      </c>
      <c r="O14" s="32" t="str">
        <f>
CONCATENATE(
if(countif(dd.egt,$D14),"D",""),
if(countif(mic.egt,$D14),"M",""),
if(countif(nap.egt,$D14),"N",""),
if(countif(us.egt,$D14),"U",""),
if(countif(var.egt,$D14),"V",""))
</f>
        <v/>
      </c>
      <c r="P14" s="32" t="str">
        <f>CONCATENATE(
if(countif(knap.egcg,$D14),"K",""),
if(countif(mic.egcg,$D14),"M",""),
if(countif(np.egcg,$D14),"P",""),
if(countif(us.egcg,$D14),"U","")
)</f>
        <v/>
      </c>
      <c r="Q14" s="32" t="str">
        <f>CONCATENATE(if(countif(np.ecit,$D14),"P",""),
if(countif(nap.ecit,$D14),"A",""))</f>
        <v/>
      </c>
      <c r="R14" s="32" t="str">
        <f>
CONCATENATE(
if(countif(nap.erd,$D14),"N",""),
if(countif(np.erd,$D14),"P",""),
if(countif(var.erd,$D14),"V",""))</f>
        <v/>
      </c>
      <c r="S14" s="32" t="str">
        <f>
CONCATENATE(
if(countif(dd.gkxn,$D14),"D",""),
if(countif(knap.gkxn,$D14),"K",""),
if(countif(nap.gkxn,$D14),"N",""),
if(countif(np.gkxn,$D14),"P",""),
if(countif(imp.gkxn,$D14),"T",""),
if(countif(var.gkxn,$D14),"V",""))</f>
        <v/>
      </c>
      <c r="T14" s="32" t="str">
        <f>
CONCATENATE(
if(countif(dd.gen,$C14),"D",""),
if(countif(knap.gen,$C14),"K",""),
if(countif(nap.gen,$C14),"N",""),
if(countif(np.gen,$C14),"P",""),
if(countif(imp.gen,$C14),"T",""),
if(countif(var.gen,$C14),"V",""))</f>
        <v>K</v>
      </c>
      <c r="U14" s="32" t="str">
        <f>
CONCATENATE(
if(countif(dd.hcc,$D14),"D",""),
if(countif(knap.hcc,$D14),"K",""),
if(countif(np.hcc,$D14),"P","")
)
</f>
        <v/>
      </c>
      <c r="V14" s="32" t="str">
        <f>
CONCATENATE(
if(countif(dd.kmp,$D14),"D",""),
if(countif(knap.kmp,$D14),"K",""),
if(countif(mic.kmp,$D14),"M",""),
if(countif(nap.kmp,$D14),"N",""),
if(countif(np.kmp,$D14),"P",""),
if(countif(imp.kmp,$D14),"T",""),
if(countif(us.kmp,$D14),"U",""),
if(countif(var.kmp,$D14),"V",""))</f>
        <v>DKMNTU</v>
      </c>
      <c r="W14" s="32" t="str">
        <f>
CONCATENATE(
if(countif(dd.lu2,$D14),"D",""),
if(countif(knap.lu2,$D14),"K",""),
if(countif(mic.lu2,$D14),"M",""),
if(countif(nap.lu2,$D14),"N",""),
if(countif(np.lu2,$D14),"P",""),
if(countif(imp.lu2,$D14),"T",""),
if(countif(us.lu2,$D14),"U",""),
if(countif(var.lu2,$D14),"V",""))</f>
        <v>KMTU</v>
      </c>
      <c r="X14" s="32" t="str">
        <f>
CONCATENATE(
if(countif(dd.myc,$D14),"D",""),
if(countif(knap.myc,$D14),"K",""), 
if(countif(mic.myc,$D14),"M",""),
if(countif(nap.myc,$D14),"N",""),
if(countif(np.myc,$D14),"P",""),
if(countif(imp.myc,$D14),"T",""),
if(countif(us.myc,$D14),"U",""),
if(countif(var.myc,$D14),"V",""))</f>
        <v/>
      </c>
      <c r="Y14" s="32" t="str">
        <f>CONCATENATE(
if(countif(dd.nar,$D14),"D",""),
if(countif(knap.nar,$D14),"K",""),
if(countif(nap.nar,$D14),"N",""),
if(countif(np.nar,$D14),"P",""),
if(countif(imp.nar,$D14),"T",""),
if(countif(us.nar,$D14),"U",""),
if(countif(var.nar,$D14),"V",""))</f>
        <v>KT</v>
      </c>
      <c r="Z14" s="33" t="str">
        <f>
CONCATENATE(
if(countif(dd.que,$D14),"D",""),
if(countif(knap.que,$D14),"K",""),
if(countif(mic.que,$D14),"M",""),
if(countif(nap.que,$D14),"N",""),
if(countif(np.que,$D14),"P",""),
if(countif(imp.que,$D14),"T",""),
if(countif(us.que,$D14),"U",""),
if(countif(var.que,$D14),"V",""))</f>
        <v>DKMNU</v>
      </c>
      <c r="AA14" s="32"/>
      <c r="AB14" s="34" t="str">
        <f>
CONCATENATE(if(countif(knap.agi.sim,$D14),"K",""),
if(countif(dd.agi.sim,$D14),"D",""),
if(countif(nap.agi.sim,$D14),"A",""),
if(countif(var.agi.sim,$D14),"V",""))</f>
        <v/>
      </c>
      <c r="AC14" s="34" t="str">
        <f>
if(countif(nap.bun.sim,$D14),"A","")</f>
        <v/>
      </c>
      <c r="AD14" s="34" t="str">
        <f>
CONCATENATE(if(countif(knap.kxn.sim,$D14),"K",""),
if(countif(np.kxn.sim,$D14),"P",""),
if(countif(dd.kxn.sim,$D14),"D",""),
if(countif(nap.kxn.sim,$D14),"A",""),
if(countif(var.kxn.sim,$D14),"V",""))</f>
        <v/>
      </c>
      <c r="AE14" s="34" t="str">
        <f>
CONCATENATE(if(countif(knap.hwb.sim,$D14),"K",""),
if(countif(np.hwb.sim,$D14),"P",""),
if(countif(mic.hwb.sim,$D14),"M",""),
if(countif(imp.hwb.sim,$D14),"T",""),
if(countif(dd.cyan.sim,$D14),"D",""),
if(countif(nap.hwb.sim,$D14),"A",""),
if(countif(var.hwb.sim,$D14),"V",""))</f>
        <v>KA</v>
      </c>
      <c r="AF14" s="34" t="str">
        <f>
CONCATENATE(if(countif(us.ekxn.sim,$D14),"U",""),
if(countif(knap.ekxn.sim,$D14),"K",""),
if(countif(np.ekxn.sim,$D14),"P",""),
if(countif(mic.ekxn.sim,$D14),"M",""),
if(countif(imp.epc.sim,$D14),"T",""),
if(countif(nap.ekxn.sim,$D14),"A",""))</f>
        <v/>
      </c>
      <c r="AG14" s="34"/>
      <c r="AH14" s="34" t="str">
        <f>
CONCATENATE(if(countif(us.egt.sim,$D14),"U",""),
if(countif(knap.egt.sim,$D14),"K",""),
if(countif(np.egt.sim,$D14),"P",""),
if(countif(mic.egt.sim,$D14),"M",""))</f>
        <v/>
      </c>
      <c r="AI14" s="34"/>
      <c r="AJ14" s="34" t="str">
        <f>if(countif(nap.ecit.sim,$D14),"A","")</f>
        <v/>
      </c>
      <c r="AK14" s="34" t="str">
        <f>
CONCATENATE(if(countif(nap.erd,$D14),"M",""),
if(countif(nap.erd.sim,$D14),"A",""),
if(countif(var.erd.sim,$D14),"V",""))</f>
        <v/>
      </c>
      <c r="AL14" s="34" t="str">
        <f>
CONCATENATE(if(countif(knap.gkxn.sim,$D14),"K",""),
if(countif(nap.gkxn.sim,$D14),"A",""))</f>
        <v/>
      </c>
      <c r="AM14" s="34" t="str">
        <f>
CONCATENATE(if(countif(knap.gen.sim,$C14),"K",""),
if(countif(imp.gen.sim,$C14),"T",""),
if(countif(dd.gen.sim,$C14),"D",""),
if(countif(nap.gen.sim,$C14),"A",""),
if(countif(var.gen.sim,$C14),"V",""))
</f>
        <v/>
      </c>
      <c r="AN14" s="34" t="str">
        <f>IFERROR(__xludf.DUMMYFUNCTION("
if(countif(#REF!,CONCATENATE(regexextract($C14,""[\w]* [\w]*""), ""*"")),""V"","""")"),"")</f>
        <v/>
      </c>
      <c r="AO14" s="34" t="str">
        <f>
CONCATENATE(if(countif(knap.kmp.sim,$D14),"K",""),
if(countif(np.kmp.sim,$D14),"P",""),
if(countif(imp.kmp.sim,$D14),"T",""),
if(countif(dd.kmp,$D14),"D",""),
if(countif(nap.kmp.sim,$D14),"A",""),
if(countif(var.kmp.sim,$D14),"V",""))</f>
        <v>KDA</v>
      </c>
      <c r="AP14" s="34" t="str">
        <f>
CONCATENATE(if(countif(knap.lu2.sim,$D14),"K",""),
if(countif(np.lu2.sim,$D14),"P",""),
if(countif(imp.lu2.sim,$D14),"T",""),
if(countif(dd.lu2.sim,$D14),"D",""),
if(countif(nap.lu2.sim,$D14),"A",""),
if(countif(var.lu2.sim,$D14),"V",""))</f>
        <v/>
      </c>
      <c r="AQ14" s="34" t="str">
        <f>
CONCATENATE(if(countif(np.myc.sim,$D14),"P",""),
if(countif(imp.myc.sim,$D14),"T",""),
if(countif(nap.myc.sim,$D14),"A",""))
</f>
        <v/>
      </c>
      <c r="AR14" s="36" t="str">
        <f>
CONCATENATE(if(countif(knap.nar.sim,$D14),"K",""),
if(countif(np.nar.sim,$D14),"P",""),
if(countif(imp.nar.sim,$D14),"T",""),
if(countif(dd.nar.sim,$D14),"D",""),
if(countif(nap.nar.sim,$D14),"A",""),
if(countif(var.nar.sim,$D14),"V",""))</f>
        <v/>
      </c>
      <c r="AS14" s="34" t="str">
        <f>
CONCATENATE(if(countif(knap.que.sim,$D14),"K",""),
if(countif(np.que.sim,$D14),"P",""),
if(countif(imp.que.sim,$D14),"T",""),
if(countif(dd.que.sim,$D14),"D",""),
if(countif(nap.que.sim,$D14),"A",""),
if(countif(var.que.sim,$D14),"V",""))</f>
        <v>KA</v>
      </c>
      <c r="AT14" s="37"/>
      <c r="AU14" s="32" t="str">
        <f>IFERROR(__xludf.DUMMYFUNCTION("if(countif(kr.agi, CONCATENATE(regexextract($C14,""[\w]* [\w]*""), ""*"")),""X"","""")"),"")</f>
        <v/>
      </c>
      <c r="AV14" s="38" t="str">
        <f>IFERROR(__xludf.DUMMYFUNCTION("if(countif(kr.bun,CONCATENATE(regexextract($C14,""[\w]* [\w]*""), ""*"")),""X"","""")"),"X")</f>
        <v>X</v>
      </c>
      <c r="AW14" s="38" t="str">
        <f>IFERROR(__xludf.DUMMYFUNCTION("if(countif(kr.kxn,CONCATENATE(regexextract($C14,""[\w]* [\w]*""), ""*"")),""X"","""")"),"")</f>
        <v/>
      </c>
      <c r="AX14" s="38" t="str">
        <f>IFERROR(__xludf.DUMMYFUNCTION("if(countif(kr.hwb,CONCATENATE(regexextract($C14,""[\w]* [\w]*""), ""*"")),""X"","""")"),"X")</f>
        <v>X</v>
      </c>
      <c r="AY14" s="38" t="str">
        <f>IFERROR(__xludf.DUMMYFUNCTION("if(countif(kr.ec,CONCATENATE(regexextract($C14,""[\w]* [\w]*""), ""*"")),""X"","""")"),"X")</f>
        <v>X</v>
      </c>
      <c r="AZ14" s="38" t="str">
        <f>IFERROR(__xludf.DUMMYFUNCTION("if(countif(kr.egt,CONCATENATE(regexextract($C14,""[\w]* [\w]*""), ""*"")),""X"","""")"),"")</f>
        <v/>
      </c>
      <c r="BA14" s="38"/>
      <c r="BB14" s="38" t="str">
        <f>IFERROR(__xludf.DUMMYFUNCTION("if(countif(kr.erd,CONCATENATE(regexextract($C14,""[\w]* [\w]*""), ""*"")),""X"","""")"),"X")</f>
        <v>X</v>
      </c>
      <c r="BC14" s="38" t="str">
        <f>IFERROR(__xludf.DUMMYFUNCTION("if(countif(kr.gkxn,CONCATENATE(regexextract($C14,""[\w]* [\w]*""), ""*"")),""X"","""")"),"")</f>
        <v/>
      </c>
      <c r="BD14" s="38" t="str">
        <f>IFERROR(__xludf.DUMMYFUNCTION("if(countif(kr.gen,CONCATENATE(regexextract(C14,""[\w]* [\w]*""), ""*"")),""X"","""")"),"")</f>
        <v/>
      </c>
      <c r="BE14" s="38" t="str">
        <f>IFERROR(__xludf.DUMMYFUNCTION("if(countif(kr.hcc,CONCATENATE(regexextract($C14,""[\w]* [\w]*""), ""*"")),""X"","""")"),"X")</f>
        <v>X</v>
      </c>
      <c r="BF14" s="38" t="str">
        <f>IFERROR(__xludf.DUMMYFUNCTION("if(countif(kr.kmp,CONCATENATE(regexextract($C14,""[\w]* [\w]*""), ""*"")),""X"","""")"),"X")</f>
        <v>X</v>
      </c>
      <c r="BG14" s="38" t="str">
        <f>IFERROR(__xludf.DUMMYFUNCTION("if(countif(kr.lu2,CONCATENATE(regexextract($C14,""[\w]* [\w]*""), ""*"")),""X"","""")"),"")</f>
        <v/>
      </c>
      <c r="BH14" s="38" t="str">
        <f>IFERROR(__xludf.DUMMYFUNCTION("if(countif(kr.myc,CONCATENATE(regexextract($C14,""[\w]* [\w]*""), ""*"")),""X"","""")"),"")</f>
        <v/>
      </c>
      <c r="BI14" s="38" t="str">
        <f>IFERROR(__xludf.DUMMYFUNCTION("if(countif(kr.nar,CONCATENATE(regexextract($C14,""[\w]* [\w]*""), ""*"")),""X"","""")"),"X")</f>
        <v>X</v>
      </c>
      <c r="BJ14" s="38" t="str">
        <f>IFERROR(__xludf.DUMMYFUNCTION("if(countif(kr.que,CONCATENATE(regexextract($C14,""[\w]* [\w]*""), ""*"")),""X"","""")"),"X")</f>
        <v>X</v>
      </c>
      <c r="BK14" s="39"/>
      <c r="BL14" s="40" t="str">
        <f>IFERROR(__xludf.DUMMYFUNCTION(" CONCATENATE( 
if (regexmatch(I14, ""^[A-Za-z\.\_]+""), ""L"", 
if(regexmatch(AB14, ""^[A-Za-z\.\_]+""),""S"","""")),
if(AU14=""X"",""K"",""""))"),"L")</f>
        <v>L</v>
      </c>
      <c r="BM14" s="40" t="str">
        <f>IFERROR(__xludf.DUMMYFUNCTION(" CONCATENATE( 
if (regexmatch(J14, ""^[A-Za-z\.\_]+""), ""L"", 
if(regexmatch(AC14, ""^[A-Za-z\.\_]+""),""S"","""")),
if(AV14=""X"",""K"",""""))"),"K")</f>
        <v>K</v>
      </c>
      <c r="BN14" s="40" t="str">
        <f>IFERROR(__xludf.DUMMYFUNCTION(" CONCATENATE( 
if (regexmatch(K14, ""^[A-Za-z\.\_]+""), ""L"", 
if(regexmatch(AD14, ""^[A-Za-z\.\_]+""),""S"","""")),
if(AW14=""X"",""K"",""""))"),"")</f>
        <v/>
      </c>
      <c r="BO14" s="40" t="str">
        <f>IFERROR(__xludf.DUMMYFUNCTION(" CONCATENATE( 
if (regexmatch(L14, ""^[A-Za-z\.\_]+""), ""L"", 
if(regexmatch(AE14, ""^[A-Za-z\.\_]+""),""S"","""")),
if(AX14=""X"",""K"",""""))"),"LK")</f>
        <v>LK</v>
      </c>
      <c r="BP14" s="40" t="str">
        <f>IFERROR(__xludf.DUMMYFUNCTION(" CONCATENATE( 
if (regexmatch(M14, ""^[A-Za-z\.\_]+""), ""L"", 
if(regexmatch(AF14, ""^[A-Za-z\.\_]+""),""S"","""")),
if(AY14=""X"",""K"",""""))"),"K")</f>
        <v>K</v>
      </c>
      <c r="BQ14" s="40" t="str">
        <f>IFERROR(__xludf.DUMMYFUNCTION("CONCATENATE( 
if (regexmatch(O14, ""^[A-Za-z\.\_]+""), ""L"", 
if(regexmatch(AH14, ""^[A-Za-z\.\_]+""),""S"","""")),
if(AZ14=""X"",""K"",""""))"),"")</f>
        <v/>
      </c>
      <c r="BR14" s="40" t="str">
        <f>IFERROR(__xludf.DUMMYFUNCTION("CONCATENATE( 
if (regexmatch(Q14, ""^[A-Za-z\.\_]+""), ""L"", 
if(regexmatch(AJ14, ""^[A-Za-z\.\_]+""),""S"","""")),
if(BA14=""X"",""K"",""""))"),"")</f>
        <v/>
      </c>
      <c r="BS14" s="40" t="str">
        <f>IFERROR(__xludf.DUMMYFUNCTION(" CONCATENATE( 
if (regexmatch(R14, ""^[A-Za-z\.\_]+""), ""L"", 
if(regexmatch(AK14, ""^[A-Za-z\.\_]+""),""S"","""")),
if(BB14=""X"",""K"",""""))"),"K")</f>
        <v>K</v>
      </c>
      <c r="BT14" s="40" t="str">
        <f>IFERROR(__xludf.DUMMYFUNCTION("CONCATENATE( 
if (regexmatch(S14, ""^[A-Za-z\.\_]+""), ""L"", 
if(regexmatch(AL14, ""^[A-Za-z\.\_]+""),""S"","""")),
if(BC14=""X"",""K"",""""))"),"")</f>
        <v/>
      </c>
      <c r="BU14" s="40" t="str">
        <f>IFERROR(__xludf.DUMMYFUNCTION("CONCATENATE( 
if (regexmatch(T14, ""^[A-Za-z\.\_]+""), ""L"", 
if(regexmatch(AM14, ""^[A-Za-z\.\_]+""),""S"","""")),
if(BD14=""X"",""K"",""""))"),"L")</f>
        <v>L</v>
      </c>
      <c r="BV14" s="40" t="str">
        <f>IFERROR(__xludf.DUMMYFUNCTION("CONCATENATE( 
if (regexmatch(U14, ""^[A-Za-z\.\_]+""), ""L"", 
if(regexmatch(AN14, ""^[A-Za-z\.\_]+""),""S"","""")),
if(BE14=""X"",""K"",""""))"),"K")</f>
        <v>K</v>
      </c>
      <c r="BW14" s="40" t="str">
        <f>IFERROR(__xludf.DUMMYFUNCTION(" CONCATENATE( 
if (regexmatch(V14, ""^[A-Za-z\.\_]+""), ""L"", 
if(regexmatch(AO14, ""^[A-Za-z\.\_]+""),""S"","""")),
if(BF14=""X"",""K"",""""))"),"LK")</f>
        <v>LK</v>
      </c>
      <c r="BX14" s="40" t="str">
        <f>IFERROR(__xludf.DUMMYFUNCTION("CONCATENATE( 
if (regexmatch(W14, ""^[A-Za-z\.\_]+""), ""L"", 
if(regexmatch(AP14, ""^[A-Za-z\.\_]+""),""S"","""")),
if(BG14=""X"",""K"",""""))"),"L")</f>
        <v>L</v>
      </c>
      <c r="BY14" s="40" t="str">
        <f>IFERROR(__xludf.DUMMYFUNCTION("CONCATENATE( 
if (regexmatch(X14, ""^[A-Za-z\.\_]+""), ""L"", 
if(regexmatch(AQ14, ""^[A-Za-z\.\_]+""),""S"","""")),
if(BH14=""X"",""K"",""""))"),"")</f>
        <v/>
      </c>
      <c r="BZ14" s="40" t="str">
        <f>IFERROR(__xludf.DUMMYFUNCTION("CONCATENATE( 
if (regexmatch(Y14, ""^[A-Za-z\.\_]+""), ""L"", 
if(regexmatch(AR14, ""^[A-Za-z\.\_]+""),""S"","""")),
if(BI14=""X"",""K"",""""))"),"LK")</f>
        <v>LK</v>
      </c>
      <c r="CA14" s="40" t="str">
        <f>IFERROR(__xludf.DUMMYFUNCTION("CONCATENATE( 
if (regexmatch(Z14, ""^[A-Za-z\.\_]+""), ""L"", 
if(regexmatch(AS14, ""^[A-Za-z\.\_]+""),""S"","""")),
if(BJ14=""X"",""K"",""""))"),"LK")</f>
        <v>LK</v>
      </c>
      <c r="CB14" s="39"/>
      <c r="CC14" s="39"/>
      <c r="CD14" s="39"/>
      <c r="CE14" s="39"/>
      <c r="CF14" s="39"/>
      <c r="CG14" s="39"/>
      <c r="CH14" s="39"/>
      <c r="CI14" s="39"/>
      <c r="CJ14" s="39"/>
      <c r="CK14" s="39"/>
      <c r="CL14" s="39"/>
      <c r="CM14" s="39"/>
      <c r="CN14" s="39"/>
      <c r="CO14" s="39"/>
      <c r="CP14" s="39"/>
      <c r="CQ14" s="39"/>
      <c r="CR14" s="39"/>
    </row>
    <row r="15">
      <c r="A15" s="25">
        <v>5.0</v>
      </c>
      <c r="B15" s="44" t="s">
        <v>119</v>
      </c>
      <c r="C15" s="41" t="s">
        <v>120</v>
      </c>
      <c r="D15" s="27" t="str">
        <f>IFERROR(__xludf.DUMMYFUNCTION("CONCATENATE(regexextract($C15,""[\w]* [\w]*""), ""*"")"),"Brassica rapa*")</f>
        <v>Brassica rapa*</v>
      </c>
      <c r="E15" s="28" t="s">
        <v>121</v>
      </c>
      <c r="F15" s="29">
        <v>3711.0</v>
      </c>
      <c r="G15" s="53"/>
      <c r="H15" s="31"/>
      <c r="I15" s="32" t="str">
        <f>CONCATENATE(
if(countif(dd.agi,$D15),"D",""),
if(countif(knap.agi,$D15),"K",""),
if(countif(mic.agi,$D15),"M",""),
if(countif(nap.agi,$D15),"N",""),
if(countif(np.agi,$D15),"P",""),
if(countif(imp.agi,$D15),"T",""),
if(countif(us.agi,$D15),"U",""),
if(countif(var.agi,$D15),"V","")
)</f>
        <v>U</v>
      </c>
      <c r="J15" s="32" t="str">
        <f>
CONCATENATE(
if(countif(nap.bun,$D15),"N",""),
if(countif(np.bun,$D15),"P","")
)
</f>
        <v/>
      </c>
      <c r="K15" s="32" t="str">
        <f>CONCATENATE(
if(countif(dd.kxn,$D15),"D",""),
if(countif(knap.kxn,$D15),"K",""),
if(countif(mic.kxn,$D15),"M",""),
if(countif(nap.kxn,$D15),"N",""),
if(countif(np.kxn,$D15),"P",""),
if(countif(us.kxn,$D15),"U",""),
if(countif(var.kxn,$D15),"V","")
)</f>
        <v>V</v>
      </c>
      <c r="L15" s="32" t="str">
        <f>
CONCATENATE(
if(countif(dd.hwb,$D15),"D",""),
if(countif(knap.hwb,$D15),"K",""),
if(countif(mic.hwb,$D15),"M",""),
if(countif(nap.hwb,$D15),"N",""),
if(countif(np.hwb,$D15),"P",""),
if(countif(us.hwb,$D15),"U",""),
if(countif(imp.hwb,$D15),"T",""),
if(countif(var.hwb,$D15),"V","")
)</f>
        <v/>
      </c>
      <c r="M15" s="32" t="str">
        <f>CONCATENATE(
if(countif(dd.epc,$D15),"D",""),
if(countif(knap.ekxn,$D15),"K",""),
if(countif(mic.ekxn,$D15),"M",""),
if(countif(nap.ekxn,$D15),"N",""),
if(countif(np.ekxn,$D15),"P",""),
if(countif(imp.epc,$D15),"T",""),
if(countif(us.ekxn,$D15),"U",""),
if(countif(var.ekxn,$D15),"V","")
)</f>
        <v/>
      </c>
      <c r="N15" s="32" t="str">
        <f>
CONCATENATE(
if(countif(dd.ecg,$D15),"D",""),
if(countif(mic.ecg,$D15),"M",""),
if(countif(np.ecg,$D15),"P",""),
if(countif(imp.ecg,$D15),"T",""),
if(countif(us.ecg,$D15),"U","")
)</f>
        <v/>
      </c>
      <c r="O15" s="32" t="str">
        <f>
CONCATENATE(
if(countif(dd.egt,$D15),"D",""),
if(countif(mic.egt,$D15),"M",""),
if(countif(nap.egt,$D15),"N",""),
if(countif(us.egt,$D15),"U",""),
if(countif(var.egt,$D15),"V",""))
</f>
        <v/>
      </c>
      <c r="P15" s="32" t="str">
        <f>CONCATENATE(
if(countif(knap.egcg,$D15),"K",""),
if(countif(mic.egcg,$D15),"M",""),
if(countif(np.egcg,$D15),"P",""),
if(countif(us.egcg,$D15),"U","")
)</f>
        <v/>
      </c>
      <c r="Q15" s="32" t="str">
        <f>CONCATENATE(if(countif(np.ecit,$D15),"P",""),
if(countif(nap.ecit,$D15),"A",""))</f>
        <v/>
      </c>
      <c r="R15" s="32" t="str">
        <f>
CONCATENATE(
if(countif(nap.erd,$D15),"N",""),
if(countif(np.erd,$D15),"P",""),
if(countif(var.erd,$D15),"V",""))</f>
        <v/>
      </c>
      <c r="S15" s="32" t="str">
        <f>
CONCATENATE(
if(countif(dd.gkxn,$D15),"D",""),
if(countif(knap.gkxn,$D15),"K",""),
if(countif(nap.gkxn,$D15),"N",""),
if(countif(np.gkxn,$D15),"P",""),
if(countif(imp.gkxn,$D15),"T",""),
if(countif(var.gkxn,$D15),"V",""))</f>
        <v/>
      </c>
      <c r="T15" s="32" t="str">
        <f>
CONCATENATE(
if(countif(dd.gen,$C15),"D",""),
if(countif(knap.gen,$C15),"K",""),
if(countif(nap.gen,$C15),"N",""),
if(countif(np.gen,$C15),"P",""),
if(countif(imp.gen,$C15),"T",""),
if(countif(var.gen,$C15),"V",""))</f>
        <v/>
      </c>
      <c r="U15" s="32" t="str">
        <f>
CONCATENATE(
if(countif(dd.hcc,$D15),"D",""),
if(countif(knap.hcc,$D15),"K",""),
if(countif(np.hcc,$D15),"P","")
)
</f>
        <v/>
      </c>
      <c r="V15" s="32" t="str">
        <f>
CONCATENATE(
if(countif(dd.kmp,$D15),"D",""),
if(countif(knap.kmp,$D15),"K",""),
if(countif(mic.kmp,$D15),"M",""),
if(countif(nap.kmp,$D15),"N",""),
if(countif(np.kmp,$D15),"P",""),
if(countif(imp.kmp,$D15),"T",""),
if(countif(us.kmp,$D15),"U",""),
if(countif(var.kmp,$D15),"V",""))</f>
        <v>U</v>
      </c>
      <c r="W15" s="32" t="str">
        <f>
CONCATENATE(
if(countif(dd.lu2,$D15),"D",""),
if(countif(knap.lu2,$D15),"K",""),
if(countif(mic.lu2,$D15),"M",""),
if(countif(nap.lu2,$D15),"N",""),
if(countif(np.lu2,$D15),"P",""),
if(countif(imp.lu2,$D15),"T",""),
if(countif(us.lu2,$D15),"U",""),
if(countif(var.lu2,$D15),"V",""))</f>
        <v>U</v>
      </c>
      <c r="X15" s="32" t="str">
        <f>
CONCATENATE(
if(countif(dd.myc,$D15),"D",""),
if(countif(knap.myc,$D15),"K",""), 
if(countif(mic.myc,$D15),"M",""),
if(countif(nap.myc,$D15),"N",""),
if(countif(np.myc,$D15),"P",""),
if(countif(imp.myc,$D15),"T",""),
if(countif(us.myc,$D15),"U",""),
if(countif(var.myc,$D15),"V",""))</f>
        <v>U</v>
      </c>
      <c r="Y15" s="32" t="str">
        <f>CONCATENATE(
if(countif(dd.nar,$D15),"D",""),
if(countif(knap.nar,$D15),"K",""),
if(countif(nap.nar,$D15),"N",""),
if(countif(np.nar,$D15),"P",""),
if(countif(imp.nar,$D15),"T",""),
if(countif(us.nar,$D15),"U",""),
if(countif(var.nar,$D15),"V",""))</f>
        <v>V</v>
      </c>
      <c r="Z15" s="33" t="str">
        <f>
CONCATENATE(
if(countif(dd.que,$D15),"D",""),
if(countif(knap.que,$D15),"K",""),
if(countif(mic.que,$D15),"M",""),
if(countif(nap.que,$D15),"N",""),
if(countif(np.que,$D15),"P",""),
if(countif(imp.que,$D15),"T",""),
if(countif(us.que,$D15),"U",""),
if(countif(var.que,$D15),"V",""))</f>
        <v>U</v>
      </c>
      <c r="AA15" s="32"/>
      <c r="AB15" s="34" t="str">
        <f>
CONCATENATE(if(countif(knap.agi.sim,$D15),"K",""),
if(countif(dd.agi.sim,$D15),"D",""),
if(countif(nap.agi.sim,$D15),"A",""),
if(countif(var.agi.sim,$D15),"V",""))</f>
        <v/>
      </c>
      <c r="AC15" s="34" t="str">
        <f>
if(countif(nap.bun.sim,$D15),"A","")</f>
        <v/>
      </c>
      <c r="AD15" s="34" t="str">
        <f>
CONCATENATE(if(countif(knap.kxn.sim,$D15),"K",""),
if(countif(np.kxn.sim,$D15),"P",""),
if(countif(dd.kxn.sim,$D15),"D",""),
if(countif(nap.kxn.sim,$D15),"A",""),
if(countif(var.kxn.sim,$D15),"V",""))</f>
        <v/>
      </c>
      <c r="AE15" s="34" t="str">
        <f>
CONCATENATE(if(countif(knap.hwb.sim,$D15),"K",""),
if(countif(np.hwb.sim,$D15),"P",""),
if(countif(mic.hwb.sim,$D15),"M",""),
if(countif(imp.hwb.sim,$D15),"T",""),
if(countif(dd.cyan.sim,$D15),"D",""),
if(countif(nap.hwb.sim,$D15),"A",""),
if(countif(var.hwb.sim,$D15),"V",""))</f>
        <v/>
      </c>
      <c r="AF15" s="34" t="str">
        <f>
CONCATENATE(if(countif(us.ekxn.sim,$D15),"U",""),
if(countif(knap.ekxn.sim,$D15),"K",""),
if(countif(np.ekxn.sim,$D15),"P",""),
if(countif(mic.ekxn.sim,$D15),"M",""),
if(countif(imp.epc.sim,$D15),"T",""),
if(countif(nap.ekxn.sim,$D15),"A",""))</f>
        <v/>
      </c>
      <c r="AG15" s="34"/>
      <c r="AH15" s="34" t="str">
        <f>
CONCATENATE(if(countif(us.egt.sim,$D15),"U",""),
if(countif(knap.egt.sim,$D15),"K",""),
if(countif(np.egt.sim,$D15),"P",""),
if(countif(mic.egt.sim,$D15),"M",""))</f>
        <v/>
      </c>
      <c r="AI15" s="34"/>
      <c r="AJ15" s="34" t="str">
        <f>if(countif(nap.ecit.sim,$D15),"A","")</f>
        <v/>
      </c>
      <c r="AK15" s="34" t="str">
        <f>
CONCATENATE(if(countif(nap.erd,$D15),"M",""),
if(countif(nap.erd.sim,$D15),"A",""),
if(countif(var.erd.sim,$D15),"V",""))</f>
        <v/>
      </c>
      <c r="AL15" s="34" t="str">
        <f>
CONCATENATE(if(countif(knap.gkxn.sim,$D15),"K",""),
if(countif(nap.gkxn.sim,$D15),"A",""))</f>
        <v/>
      </c>
      <c r="AM15" s="34" t="str">
        <f>
CONCATENATE(if(countif(knap.gen.sim,$C15),"K",""),
if(countif(imp.gen.sim,$C15),"T",""),
if(countif(dd.gen.sim,$C15),"D",""),
if(countif(nap.gen.sim,$C15),"A",""),
if(countif(var.gen.sim,$C15),"V",""))
</f>
        <v/>
      </c>
      <c r="AN15" s="34" t="str">
        <f>IFERROR(__xludf.DUMMYFUNCTION("
if(countif(#REF!,CONCATENATE(regexextract($C15,""[\w]* [\w]*""), ""*"")),""V"","""")"),"")</f>
        <v/>
      </c>
      <c r="AO15" s="34" t="str">
        <f>
CONCATENATE(if(countif(knap.kmp.sim,$D15),"K",""),
if(countif(np.kmp.sim,$D15),"P",""),
if(countif(imp.kmp.sim,$D15),"T",""),
if(countif(dd.kmp,$D15),"D",""),
if(countif(nap.kmp.sim,$D15),"A",""),
if(countif(var.kmp.sim,$D15),"V",""))</f>
        <v>KA</v>
      </c>
      <c r="AP15" s="34" t="str">
        <f>
CONCATENATE(if(countif(knap.lu2.sim,$D15),"K",""),
if(countif(np.lu2.sim,$D15),"P",""),
if(countif(imp.lu2.sim,$D15),"T",""),
if(countif(dd.lu2.sim,$D15),"D",""),
if(countif(nap.lu2.sim,$D15),"A",""),
if(countif(var.lu2.sim,$D15),"V",""))</f>
        <v/>
      </c>
      <c r="AQ15" s="34" t="str">
        <f>
CONCATENATE(if(countif(np.myc.sim,$D15),"P",""),
if(countif(imp.myc.sim,$D15),"T",""),
if(countif(nap.myc.sim,$D15),"A",""))
</f>
        <v/>
      </c>
      <c r="AR15" s="36" t="str">
        <f>
CONCATENATE(if(countif(knap.nar.sim,$D15),"K",""),
if(countif(np.nar.sim,$D15),"P",""),
if(countif(imp.nar.sim,$D15),"T",""),
if(countif(dd.nar.sim,$D15),"D",""),
if(countif(nap.nar.sim,$D15),"A",""),
if(countif(var.nar.sim,$D15),"V",""))</f>
        <v/>
      </c>
      <c r="AS15" s="34" t="str">
        <f>
CONCATENATE(if(countif(knap.que.sim,$D15),"K",""),
if(countif(np.que.sim,$D15),"P",""),
if(countif(imp.que.sim,$D15),"T",""),
if(countif(dd.que.sim,$D15),"D",""),
if(countif(nap.que.sim,$D15),"A",""),
if(countif(var.que.sim,$D15),"V",""))</f>
        <v>A</v>
      </c>
      <c r="AT15" s="37"/>
      <c r="AU15" s="32" t="str">
        <f>IFERROR(__xludf.DUMMYFUNCTION("if(countif(kr.agi, CONCATENATE(regexextract($C15,""[\w]* [\w]*""), ""*"")),""X"","""")"),"")</f>
        <v/>
      </c>
      <c r="AV15" s="38" t="str">
        <f>IFERROR(__xludf.DUMMYFUNCTION("if(countif(kr.bun,CONCATENATE(regexextract($C15,""[\w]* [\w]*""), ""*"")),""X"","""")"),"X")</f>
        <v>X</v>
      </c>
      <c r="AW15" s="38" t="str">
        <f>IFERROR(__xludf.DUMMYFUNCTION("if(countif(kr.kxn,CONCATENATE(regexextract($C15,""[\w]* [\w]*""), ""*"")),""X"","""")"),"")</f>
        <v/>
      </c>
      <c r="AX15" s="38" t="str">
        <f>IFERROR(__xludf.DUMMYFUNCTION("if(countif(kr.hwb,CONCATENATE(regexextract($C15,""[\w]* [\w]*""), ""*"")),""X"","""")"),"X")</f>
        <v>X</v>
      </c>
      <c r="AY15" s="38" t="str">
        <f>IFERROR(__xludf.DUMMYFUNCTION("if(countif(kr.ec,CONCATENATE(regexextract($C15,""[\w]* [\w]*""), ""*"")),""X"","""")"),"X")</f>
        <v>X</v>
      </c>
      <c r="AZ15" s="38" t="str">
        <f>IFERROR(__xludf.DUMMYFUNCTION("if(countif(kr.egt,CONCATENATE(regexextract($C15,""[\w]* [\w]*""), ""*"")),""X"","""")"),"")</f>
        <v/>
      </c>
      <c r="BA15" s="38"/>
      <c r="BB15" s="38" t="str">
        <f>IFERROR(__xludf.DUMMYFUNCTION("if(countif(kr.erd,CONCATENATE(regexextract($C15,""[\w]* [\w]*""), ""*"")),""X"","""")"),"X")</f>
        <v>X</v>
      </c>
      <c r="BC15" s="38" t="str">
        <f>IFERROR(__xludf.DUMMYFUNCTION("if(countif(kr.gkxn,CONCATENATE(regexextract($C15,""[\w]* [\w]*""), ""*"")),""X"","""")"),"")</f>
        <v/>
      </c>
      <c r="BD15" s="38" t="str">
        <f>IFERROR(__xludf.DUMMYFUNCTION("if(countif(kr.gen,CONCATENATE(regexextract(C15,""[\w]* [\w]*""), ""*"")),""X"","""")"),"")</f>
        <v/>
      </c>
      <c r="BE15" s="38" t="str">
        <f>IFERROR(__xludf.DUMMYFUNCTION("if(countif(kr.hcc,CONCATENATE(regexextract($C15,""[\w]* [\w]*""), ""*"")),""X"","""")"),"X")</f>
        <v>X</v>
      </c>
      <c r="BF15" s="38" t="str">
        <f>IFERROR(__xludf.DUMMYFUNCTION("if(countif(kr.kmp,CONCATENATE(regexextract($C15,""[\w]* [\w]*""), ""*"")),""X"","""")"),"X")</f>
        <v>X</v>
      </c>
      <c r="BG15" s="38" t="str">
        <f>IFERROR(__xludf.DUMMYFUNCTION("if(countif(kr.lu2,CONCATENATE(regexextract($C15,""[\w]* [\w]*""), ""*"")),""X"","""")"),"")</f>
        <v/>
      </c>
      <c r="BH15" s="38" t="str">
        <f>IFERROR(__xludf.DUMMYFUNCTION("if(countif(kr.myc,CONCATENATE(regexextract($C15,""[\w]* [\w]*""), ""*"")),""X"","""")"),"")</f>
        <v/>
      </c>
      <c r="BI15" s="38" t="str">
        <f>IFERROR(__xludf.DUMMYFUNCTION("if(countif(kr.nar,CONCATENATE(regexextract($C15,""[\w]* [\w]*""), ""*"")),""X"","""")"),"X")</f>
        <v>X</v>
      </c>
      <c r="BJ15" s="38" t="str">
        <f>IFERROR(__xludf.DUMMYFUNCTION("if(countif(kr.que,CONCATENATE(regexextract($C15,""[\w]* [\w]*""), ""*"")),""X"","""")"),"X")</f>
        <v>X</v>
      </c>
      <c r="BK15" s="39"/>
      <c r="BL15" s="40" t="str">
        <f>IFERROR(__xludf.DUMMYFUNCTION(" CONCATENATE( 
if (regexmatch(I15, ""^[A-Za-z\.\_]+""), ""L"", 
if(regexmatch(AB15, ""^[A-Za-z\.\_]+""),""S"","""")),
if(AU15=""X"",""K"",""""))"),"L")</f>
        <v>L</v>
      </c>
      <c r="BM15" s="40" t="str">
        <f>IFERROR(__xludf.DUMMYFUNCTION(" CONCATENATE( 
if (regexmatch(J15, ""^[A-Za-z\.\_]+""), ""L"", 
if(regexmatch(AC15, ""^[A-Za-z\.\_]+""),""S"","""")),
if(AV15=""X"",""K"",""""))"),"K")</f>
        <v>K</v>
      </c>
      <c r="BN15" s="40" t="str">
        <f>IFERROR(__xludf.DUMMYFUNCTION(" CONCATENATE( 
if (regexmatch(K15, ""^[A-Za-z\.\_]+""), ""L"", 
if(regexmatch(AD15, ""^[A-Za-z\.\_]+""),""S"","""")),
if(AW15=""X"",""K"",""""))"),"L")</f>
        <v>L</v>
      </c>
      <c r="BO15" s="40" t="str">
        <f>IFERROR(__xludf.DUMMYFUNCTION(" CONCATENATE( 
if (regexmatch(L15, ""^[A-Za-z\.\_]+""), ""L"", 
if(regexmatch(AE15, ""^[A-Za-z\.\_]+""),""S"","""")),
if(AX15=""X"",""K"",""""))"),"K")</f>
        <v>K</v>
      </c>
      <c r="BP15" s="40" t="str">
        <f>IFERROR(__xludf.DUMMYFUNCTION(" CONCATENATE( 
if (regexmatch(M15, ""^[A-Za-z\.\_]+""), ""L"", 
if(regexmatch(AF15, ""^[A-Za-z\.\_]+""),""S"","""")),
if(AY15=""X"",""K"",""""))"),"K")</f>
        <v>K</v>
      </c>
      <c r="BQ15" s="40" t="str">
        <f>IFERROR(__xludf.DUMMYFUNCTION("CONCATENATE( 
if (regexmatch(O15, ""^[A-Za-z\.\_]+""), ""L"", 
if(regexmatch(AH15, ""^[A-Za-z\.\_]+""),""S"","""")),
if(AZ15=""X"",""K"",""""))"),"")</f>
        <v/>
      </c>
      <c r="BR15" s="40" t="str">
        <f>IFERROR(__xludf.DUMMYFUNCTION("CONCATENATE( 
if (regexmatch(Q15, ""^[A-Za-z\.\_]+""), ""L"", 
if(regexmatch(AJ15, ""^[A-Za-z\.\_]+""),""S"","""")),
if(BA15=""X"",""K"",""""))"),"")</f>
        <v/>
      </c>
      <c r="BS15" s="40" t="str">
        <f>IFERROR(__xludf.DUMMYFUNCTION(" CONCATENATE( 
if (regexmatch(R15, ""^[A-Za-z\.\_]+""), ""L"", 
if(regexmatch(AK15, ""^[A-Za-z\.\_]+""),""S"","""")),
if(BB15=""X"",""K"",""""))"),"K")</f>
        <v>K</v>
      </c>
      <c r="BT15" s="40" t="str">
        <f>IFERROR(__xludf.DUMMYFUNCTION("CONCATENATE( 
if (regexmatch(S15, ""^[A-Za-z\.\_]+""), ""L"", 
if(regexmatch(AL15, ""^[A-Za-z\.\_]+""),""S"","""")),
if(BC15=""X"",""K"",""""))"),"")</f>
        <v/>
      </c>
      <c r="BU15" s="40" t="str">
        <f>IFERROR(__xludf.DUMMYFUNCTION("CONCATENATE( 
if (regexmatch(T15, ""^[A-Za-z\.\_]+""), ""L"", 
if(regexmatch(AM15, ""^[A-Za-z\.\_]+""),""S"","""")),
if(BD15=""X"",""K"",""""))"),"")</f>
        <v/>
      </c>
      <c r="BV15" s="40" t="str">
        <f>IFERROR(__xludf.DUMMYFUNCTION("CONCATENATE( 
if (regexmatch(U15, ""^[A-Za-z\.\_]+""), ""L"", 
if(regexmatch(AN15, ""^[A-Za-z\.\_]+""),""S"","""")),
if(BE15=""X"",""K"",""""))"),"K")</f>
        <v>K</v>
      </c>
      <c r="BW15" s="40" t="str">
        <f>IFERROR(__xludf.DUMMYFUNCTION(" CONCATENATE( 
if (regexmatch(V15, ""^[A-Za-z\.\_]+""), ""L"", 
if(regexmatch(AO15, ""^[A-Za-z\.\_]+""),""S"","""")),
if(BF15=""X"",""K"",""""))"),"LK")</f>
        <v>LK</v>
      </c>
      <c r="BX15" s="40" t="str">
        <f>IFERROR(__xludf.DUMMYFUNCTION("CONCATENATE( 
if (regexmatch(W15, ""^[A-Za-z\.\_]+""), ""L"", 
if(regexmatch(AP15, ""^[A-Za-z\.\_]+""),""S"","""")),
if(BG15=""X"",""K"",""""))"),"L")</f>
        <v>L</v>
      </c>
      <c r="BY15" s="40" t="str">
        <f>IFERROR(__xludf.DUMMYFUNCTION("CONCATENATE( 
if (regexmatch(X15, ""^[A-Za-z\.\_]+""), ""L"", 
if(regexmatch(AQ15, ""^[A-Za-z\.\_]+""),""S"","""")),
if(BH15=""X"",""K"",""""))"),"L")</f>
        <v>L</v>
      </c>
      <c r="BZ15" s="40" t="str">
        <f>IFERROR(__xludf.DUMMYFUNCTION("CONCATENATE( 
if (regexmatch(Y15, ""^[A-Za-z\.\_]+""), ""L"", 
if(regexmatch(AR15, ""^[A-Za-z\.\_]+""),""S"","""")),
if(BI15=""X"",""K"",""""))"),"LK")</f>
        <v>LK</v>
      </c>
      <c r="CA15" s="40" t="str">
        <f>IFERROR(__xludf.DUMMYFUNCTION("CONCATENATE( 
if (regexmatch(Z15, ""^[A-Za-z\.\_]+""), ""L"", 
if(regexmatch(AS15, ""^[A-Za-z\.\_]+""),""S"","""")),
if(BJ15=""X"",""K"",""""))"),"LK")</f>
        <v>LK</v>
      </c>
      <c r="CB15" s="39"/>
      <c r="CC15" s="39"/>
      <c r="CD15" s="39"/>
      <c r="CE15" s="39"/>
      <c r="CF15" s="39"/>
      <c r="CG15" s="39"/>
      <c r="CH15" s="39"/>
      <c r="CI15" s="39"/>
      <c r="CJ15" s="39"/>
      <c r="CK15" s="39"/>
      <c r="CL15" s="39"/>
      <c r="CM15" s="39"/>
      <c r="CN15" s="39"/>
      <c r="CO15" s="39"/>
      <c r="CP15" s="39"/>
      <c r="CQ15" s="39"/>
      <c r="CR15" s="39"/>
    </row>
    <row r="16">
      <c r="A16" s="25">
        <v>28.0</v>
      </c>
      <c r="B16" s="26" t="s">
        <v>122</v>
      </c>
      <c r="C16" s="27" t="s">
        <v>123</v>
      </c>
      <c r="D16" s="27" t="str">
        <f>IFERROR(__xludf.DUMMYFUNCTION("CONCATENATE(regexextract($C16,""[\w]* [\w]*""), ""*"")"),"Cajanus cajan*")</f>
        <v>Cajanus cajan*</v>
      </c>
      <c r="E16" s="28" t="s">
        <v>124</v>
      </c>
      <c r="F16" s="54">
        <v>3821.0</v>
      </c>
      <c r="G16" s="53"/>
      <c r="H16" s="31"/>
      <c r="I16" s="32" t="str">
        <f>CONCATENATE(
if(countif(dd.agi,$D16),"D",""),
if(countif(knap.agi,$D16),"K",""),
if(countif(mic.agi,$D16),"M",""),
if(countif(nap.agi,$D16),"N",""),
if(countif(np.agi,$D16),"P",""),
if(countif(imp.agi,$D16),"T",""),
if(countif(us.agi,$D16),"U",""),
if(countif(var.agi,$D16),"V","")
)</f>
        <v>N</v>
      </c>
      <c r="J16" s="32" t="str">
        <f>
CONCATENATE(
if(countif(nap.bun,$D16),"N",""),
if(countif(np.bun,$D16),"P","")
)
</f>
        <v/>
      </c>
      <c r="K16" s="32" t="str">
        <f>CONCATENATE(
if(countif(dd.kxn,$D16),"D",""),
if(countif(knap.kxn,$D16),"K",""),
if(countif(mic.kxn,$D16),"M",""),
if(countif(nap.kxn,$D16),"N",""),
if(countif(np.kxn,$D16),"P",""),
if(countif(us.kxn,$D16),"U",""),
if(countif(var.kxn,$D16),"V","")
)</f>
        <v/>
      </c>
      <c r="L16" s="32" t="str">
        <f>
CONCATENATE(
if(countif(dd.hwb,$D16),"D",""),
if(countif(knap.hwb,$D16),"K",""),
if(countif(mic.hwb,$D16),"M",""),
if(countif(nap.hwb,$D16),"N",""),
if(countif(np.hwb,$D16),"P",""),
if(countif(us.hwb,$D16),"U",""),
if(countif(imp.hwb,$D16),"T",""),
if(countif(var.hwb,$D16),"V","")
)</f>
        <v/>
      </c>
      <c r="M16" s="32" t="str">
        <f>CONCATENATE(
if(countif(dd.epc,$D16),"D",""),
if(countif(knap.ekxn,$D16),"K",""),
if(countif(mic.ekxn,$D16),"M",""),
if(countif(nap.ekxn,$D16),"N",""),
if(countif(np.ekxn,$D16),"P",""),
if(countif(imp.epc,$D16),"T",""),
if(countif(us.ekxn,$D16),"U",""),
if(countif(var.ekxn,$D16),"V","")
)</f>
        <v/>
      </c>
      <c r="N16" s="32" t="str">
        <f>
CONCATENATE(
if(countif(dd.ecg,$D16),"D",""),
if(countif(mic.ecg,$D16),"M",""),
if(countif(np.ecg,$D16),"P",""),
if(countif(imp.ecg,$D16),"T",""),
if(countif(us.ecg,$D16),"U","")
)</f>
        <v/>
      </c>
      <c r="O16" s="32" t="str">
        <f>
CONCATENATE(
if(countif(dd.egt,$D16),"D",""),
if(countif(mic.egt,$D16),"M",""),
if(countif(nap.egt,$D16),"N",""),
if(countif(us.egt,$D16),"U",""),
if(countif(var.egt,$D16),"V",""))
</f>
        <v/>
      </c>
      <c r="P16" s="32" t="str">
        <f>CONCATENATE(
if(countif(knap.egcg,$D16),"K",""),
if(countif(mic.egcg,$D16),"M",""),
if(countif(np.egcg,$D16),"P",""),
if(countif(us.egcg,$D16),"U","")
)</f>
        <v/>
      </c>
      <c r="Q16" s="32" t="str">
        <f>CONCATENATE(if(countif(np.ecit,$D16),"P",""),
if(countif(nap.ecit,$D16),"A",""))</f>
        <v/>
      </c>
      <c r="R16" s="32" t="str">
        <f>
CONCATENATE(
if(countif(nap.erd,$D16),"N",""),
if(countif(np.erd,$D16),"P",""),
if(countif(var.erd,$D16),"V",""))</f>
        <v/>
      </c>
      <c r="S16" s="32" t="str">
        <f>
CONCATENATE(
if(countif(dd.gkxn,$D16),"D",""),
if(countif(knap.gkxn,$D16),"K",""),
if(countif(nap.gkxn,$D16),"N",""),
if(countif(np.gkxn,$D16),"P",""),
if(countif(imp.gkxn,$D16),"T",""),
if(countif(var.gkxn,$D16),"V",""))</f>
        <v/>
      </c>
      <c r="T16" s="32" t="str">
        <f>
CONCATENATE(
if(countif(dd.gen,$C16),"D",""),
if(countif(knap.gen,$C16),"K",""),
if(countif(nap.gen,$C16),"N",""),
if(countif(np.gen,$C16),"P",""),
if(countif(imp.gen,$C16),"T",""),
if(countif(var.gen,$C16),"V",""))</f>
        <v>DKN</v>
      </c>
      <c r="U16" s="32" t="str">
        <f>
CONCATENATE(
if(countif(dd.hcc,$D16),"D",""),
if(countif(knap.hcc,$D16),"K",""),
if(countif(np.hcc,$D16),"P","")
)
</f>
        <v/>
      </c>
      <c r="V16" s="32" t="str">
        <f>
CONCATENATE(
if(countif(dd.kmp,$D16),"D",""),
if(countif(knap.kmp,$D16),"K",""),
if(countif(mic.kmp,$D16),"M",""),
if(countif(nap.kmp,$D16),"N",""),
if(countif(np.kmp,$D16),"P",""),
if(countif(imp.kmp,$D16),"T",""),
if(countif(us.kmp,$D16),"U",""),
if(countif(var.kmp,$D16),"V",""))</f>
        <v/>
      </c>
      <c r="W16" s="32" t="str">
        <f>
CONCATENATE(
if(countif(dd.lu2,$D16),"D",""),
if(countif(knap.lu2,$D16),"K",""),
if(countif(mic.lu2,$D16),"M",""),
if(countif(nap.lu2,$D16),"N",""),
if(countif(np.lu2,$D16),"P",""),
if(countif(imp.lu2,$D16),"T",""),
if(countif(us.lu2,$D16),"U",""),
if(countif(var.lu2,$D16),"V",""))</f>
        <v>N</v>
      </c>
      <c r="X16" s="32" t="str">
        <f>
CONCATENATE(
if(countif(dd.myc,$D16),"D",""),
if(countif(knap.myc,$D16),"K",""), 
if(countif(mic.myc,$D16),"M",""),
if(countif(nap.myc,$D16),"N",""),
if(countif(np.myc,$D16),"P",""),
if(countif(imp.myc,$D16),"T",""),
if(countif(us.myc,$D16),"U",""),
if(countif(var.myc,$D16),"V",""))</f>
        <v/>
      </c>
      <c r="Y16" s="32" t="str">
        <f>CONCATENATE(
if(countif(dd.nar,$D16),"D",""),
if(countif(knap.nar,$D16),"K",""),
if(countif(nap.nar,$D16),"N",""),
if(countif(np.nar,$D16),"P",""),
if(countif(imp.nar,$D16),"T",""),
if(countif(us.nar,$D16),"U",""),
if(countif(var.nar,$D16),"V",""))</f>
        <v>V</v>
      </c>
      <c r="Z16" s="33" t="str">
        <f>
CONCATENATE(
if(countif(dd.que,$D16),"D",""),
if(countif(knap.que,$D16),"K",""),
if(countif(mic.que,$D16),"M",""),
if(countif(nap.que,$D16),"N",""),
if(countif(np.que,$D16),"P",""),
if(countif(imp.que,$D16),"T",""),
if(countif(us.que,$D16),"U",""),
if(countif(var.que,$D16),"V",""))</f>
        <v>V</v>
      </c>
      <c r="AA16" s="32"/>
      <c r="AB16" s="34" t="str">
        <f>
CONCATENATE(if(countif(knap.agi.sim,$D16),"K",""),
if(countif(dd.agi.sim,$D16),"D",""),
if(countif(nap.agi.sim,$D16),"A",""),
if(countif(var.agi.sim,$D16),"V",""))</f>
        <v/>
      </c>
      <c r="AC16" s="34" t="str">
        <f>
if(countif(nap.bun.sim,$D16),"A","")</f>
        <v/>
      </c>
      <c r="AD16" s="34" t="str">
        <f>
CONCATENATE(if(countif(knap.kxn.sim,$D16),"K",""),
if(countif(np.kxn.sim,$D16),"P",""),
if(countif(dd.kxn.sim,$D16),"D",""),
if(countif(nap.kxn.sim,$D16),"A",""),
if(countif(var.kxn.sim,$D16),"V",""))</f>
        <v/>
      </c>
      <c r="AE16" s="34" t="str">
        <f>
CONCATENATE(if(countif(knap.hwb.sim,$D16),"K",""),
if(countif(np.hwb.sim,$D16),"P",""),
if(countif(mic.hwb.sim,$D16),"M",""),
if(countif(imp.hwb.sim,$D16),"T",""),
if(countif(dd.cyan.sim,$D16),"D",""),
if(countif(nap.hwb.sim,$D16),"A",""),
if(countif(var.hwb.sim,$D16),"V",""))</f>
        <v/>
      </c>
      <c r="AF16" s="34" t="str">
        <f>
CONCATENATE(if(countif(us.ekxn.sim,$D16),"U",""),
if(countif(knap.ekxn.sim,$D16),"K",""),
if(countif(np.ekxn.sim,$D16),"P",""),
if(countif(mic.ekxn.sim,$D16),"M",""),
if(countif(imp.epc.sim,$D16),"T",""),
if(countif(nap.ekxn.sim,$D16),"A",""))</f>
        <v/>
      </c>
      <c r="AG16" s="34"/>
      <c r="AH16" s="34" t="str">
        <f>
CONCATENATE(if(countif(us.egt.sim,$D16),"U",""),
if(countif(knap.egt.sim,$D16),"K",""),
if(countif(np.egt.sim,$D16),"P",""),
if(countif(mic.egt.sim,$D16),"M",""))</f>
        <v/>
      </c>
      <c r="AI16" s="34"/>
      <c r="AJ16" s="34" t="str">
        <f>if(countif(nap.ecit.sim,$D16),"A","")</f>
        <v/>
      </c>
      <c r="AK16" s="34" t="str">
        <f>
CONCATENATE(if(countif(nap.erd,$D16),"M",""),
if(countif(nap.erd.sim,$D16),"A",""),
if(countif(var.erd.sim,$D16),"V",""))</f>
        <v/>
      </c>
      <c r="AL16" s="34" t="str">
        <f>
CONCATENATE(if(countif(knap.gkxn.sim,$D16),"K",""),
if(countif(nap.gkxn.sim,$D16),"A",""))</f>
        <v/>
      </c>
      <c r="AM16" s="34" t="str">
        <f>
CONCATENATE(if(countif(knap.gen.sim,$C16),"K",""),
if(countif(imp.gen.sim,$C16),"T",""),
if(countif(dd.gen.sim,$C16),"D",""),
if(countif(nap.gen.sim,$C16),"A",""),
if(countif(var.gen.sim,$C16),"V",""))
</f>
        <v>KTD</v>
      </c>
      <c r="AN16" s="34" t="str">
        <f>IFERROR(__xludf.DUMMYFUNCTION("
if(countif(#REF!,CONCATENATE(regexextract($C16,""[\w]* [\w]*""), ""*"")),""V"","""")"),"")</f>
        <v/>
      </c>
      <c r="AO16" s="34" t="str">
        <f>
CONCATENATE(if(countif(knap.kmp.sim,$D16),"K",""),
if(countif(np.kmp.sim,$D16),"P",""),
if(countif(imp.kmp.sim,$D16),"T",""),
if(countif(dd.kmp,$D16),"D",""),
if(countif(nap.kmp.sim,$D16),"A",""),
if(countif(var.kmp.sim,$D16),"V",""))</f>
        <v/>
      </c>
      <c r="AP16" s="34" t="str">
        <f>
CONCATENATE(if(countif(knap.lu2.sim,$D16),"K",""),
if(countif(np.lu2.sim,$D16),"P",""),
if(countif(imp.lu2.sim,$D16),"T",""),
if(countif(dd.lu2.sim,$D16),"D",""),
if(countif(nap.lu2.sim,$D16),"A",""),
if(countif(var.lu2.sim,$D16),"V",""))</f>
        <v>D</v>
      </c>
      <c r="AQ16" s="34" t="str">
        <f>
CONCATENATE(if(countif(np.myc.sim,$D16),"P",""),
if(countif(imp.myc.sim,$D16),"T",""),
if(countif(nap.myc.sim,$D16),"A",""))
</f>
        <v/>
      </c>
      <c r="AR16" s="36" t="str">
        <f>
CONCATENATE(if(countif(knap.nar.sim,$D16),"K",""),
if(countif(np.nar.sim,$D16),"P",""),
if(countif(imp.nar.sim,$D16),"T",""),
if(countif(dd.nar.sim,$D16),"D",""),
if(countif(nap.nar.sim,$D16),"A",""),
if(countif(var.nar.sim,$D16),"V",""))</f>
        <v>A</v>
      </c>
      <c r="AS16" s="34" t="str">
        <f>
CONCATENATE(if(countif(knap.que.sim,$D16),"K",""),
if(countif(np.que.sim,$D16),"P",""),
if(countif(imp.que.sim,$D16),"T",""),
if(countif(dd.que.sim,$D16),"D",""),
if(countif(nap.que.sim,$D16),"A",""),
if(countif(var.que.sim,$D16),"V",""))</f>
        <v/>
      </c>
      <c r="AT16" s="37"/>
      <c r="AU16" s="32" t="str">
        <f>IFERROR(__xludf.DUMMYFUNCTION("if(countif(kr.agi, CONCATENATE(regexextract($C16,""[\w]* [\w]*""), ""*"")),""X"","""")"),"X")</f>
        <v>X</v>
      </c>
      <c r="AV16" s="38" t="str">
        <f>IFERROR(__xludf.DUMMYFUNCTION("if(countif(kr.bun,CONCATENATE(regexextract($C16,""[\w]* [\w]*""), ""*"")),""X"","""")"),"X")</f>
        <v>X</v>
      </c>
      <c r="AW16" s="38" t="str">
        <f>IFERROR(__xludf.DUMMYFUNCTION("if(countif(kr.kxn,CONCATENATE(regexextract($C16,""[\w]* [\w]*""), ""*"")),""X"","""")"),"")</f>
        <v/>
      </c>
      <c r="AX16" s="38" t="str">
        <f>IFERROR(__xludf.DUMMYFUNCTION("if(countif(kr.hwb,CONCATENATE(regexextract($C16,""[\w]* [\w]*""), ""*"")),""X"","""")"),"")</f>
        <v/>
      </c>
      <c r="AY16" s="38" t="str">
        <f>IFERROR(__xludf.DUMMYFUNCTION("if(countif(kr.ec,CONCATENATE(regexextract($C16,""[\w]* [\w]*""), ""*"")),""X"","""")"),"")</f>
        <v/>
      </c>
      <c r="AZ16" s="38" t="str">
        <f>IFERROR(__xludf.DUMMYFUNCTION("if(countif(kr.egt,CONCATENATE(regexextract($C16,""[\w]* [\w]*""), ""*"")),""X"","""")"),"")</f>
        <v/>
      </c>
      <c r="BA16" s="38"/>
      <c r="BB16" s="38" t="str">
        <f>IFERROR(__xludf.DUMMYFUNCTION("if(countif(kr.erd,CONCATENATE(regexextract($C16,""[\w]* [\w]*""), ""*"")),""X"","""")"),"X")</f>
        <v>X</v>
      </c>
      <c r="BC16" s="38" t="str">
        <f>IFERROR(__xludf.DUMMYFUNCTION("if(countif(kr.gkxn,CONCATENATE(regexextract($C16,""[\w]* [\w]*""), ""*"")),""X"","""")"),"")</f>
        <v/>
      </c>
      <c r="BD16" s="38" t="str">
        <f>IFERROR(__xludf.DUMMYFUNCTION("if(countif(kr.gen,CONCATENATE(regexextract(C16,""[\w]* [\w]*""), ""*"")),""X"","""")"),"X")</f>
        <v>X</v>
      </c>
      <c r="BE16" s="38" t="str">
        <f>IFERROR(__xludf.DUMMYFUNCTION("if(countif(kr.hcc,CONCATENATE(regexextract($C16,""[\w]* [\w]*""), ""*"")),""X"","""")"),"X")</f>
        <v>X</v>
      </c>
      <c r="BF16" s="38" t="str">
        <f>IFERROR(__xludf.DUMMYFUNCTION("if(countif(kr.kmp,CONCATENATE(regexextract($C16,""[\w]* [\w]*""), ""*"")),""X"","""")"),"")</f>
        <v/>
      </c>
      <c r="BG16" s="38" t="str">
        <f>IFERROR(__xludf.DUMMYFUNCTION("if(countif(kr.lu2,CONCATENATE(regexextract($C16,""[\w]* [\w]*""), ""*"")),""X"","""")"),"X")</f>
        <v>X</v>
      </c>
      <c r="BH16" s="38" t="str">
        <f>IFERROR(__xludf.DUMMYFUNCTION("if(countif(kr.myc,CONCATENATE(regexextract($C16,""[\w]* [\w]*""), ""*"")),""X"","""")"),"")</f>
        <v/>
      </c>
      <c r="BI16" s="38" t="str">
        <f>IFERROR(__xludf.DUMMYFUNCTION("if(countif(kr.nar,CONCATENATE(regexextract($C16,""[\w]* [\w]*""), ""*"")),""X"","""")"),"X")</f>
        <v>X</v>
      </c>
      <c r="BJ16" s="38" t="str">
        <f>IFERROR(__xludf.DUMMYFUNCTION("if(countif(kr.que,CONCATENATE(regexextract($C16,""[\w]* [\w]*""), ""*"")),""X"","""")"),"")</f>
        <v/>
      </c>
      <c r="BK16" s="39"/>
      <c r="BL16" s="40" t="str">
        <f>IFERROR(__xludf.DUMMYFUNCTION(" CONCATENATE( 
if (regexmatch(I16, ""^[A-Za-z\.\_]+""), ""L"", 
if(regexmatch(AB16, ""^[A-Za-z\.\_]+""),""S"","""")),
if(AU16=""X"",""K"",""""))"),"LK")</f>
        <v>LK</v>
      </c>
      <c r="BM16" s="40" t="str">
        <f>IFERROR(__xludf.DUMMYFUNCTION(" CONCATENATE( 
if (regexmatch(J16, ""^[A-Za-z\.\_]+""), ""L"", 
if(regexmatch(AC16, ""^[A-Za-z\.\_]+""),""S"","""")),
if(AV16=""X"",""K"",""""))"),"K")</f>
        <v>K</v>
      </c>
      <c r="BN16" s="40" t="str">
        <f>IFERROR(__xludf.DUMMYFUNCTION(" CONCATENATE( 
if (regexmatch(K16, ""^[A-Za-z\.\_]+""), ""L"", 
if(regexmatch(AD16, ""^[A-Za-z\.\_]+""),""S"","""")),
if(AW16=""X"",""K"",""""))"),"")</f>
        <v/>
      </c>
      <c r="BO16" s="40" t="str">
        <f>IFERROR(__xludf.DUMMYFUNCTION(" CONCATENATE( 
if (regexmatch(L16, ""^[A-Za-z\.\_]+""), ""L"", 
if(regexmatch(AE16, ""^[A-Za-z\.\_]+""),""S"","""")),
if(AX16=""X"",""K"",""""))"),"")</f>
        <v/>
      </c>
      <c r="BP16" s="40" t="str">
        <f>IFERROR(__xludf.DUMMYFUNCTION(" CONCATENATE( 
if (regexmatch(M16, ""^[A-Za-z\.\_]+""), ""L"", 
if(regexmatch(AF16, ""^[A-Za-z\.\_]+""),""S"","""")),
if(AY16=""X"",""K"",""""))"),"")</f>
        <v/>
      </c>
      <c r="BQ16" s="40" t="str">
        <f>IFERROR(__xludf.DUMMYFUNCTION("CONCATENATE( 
if (regexmatch(O16, ""^[A-Za-z\.\_]+""), ""L"", 
if(regexmatch(AH16, ""^[A-Za-z\.\_]+""),""S"","""")),
if(AZ16=""X"",""K"",""""))"),"")</f>
        <v/>
      </c>
      <c r="BR16" s="40" t="str">
        <f>IFERROR(__xludf.DUMMYFUNCTION("CONCATENATE( 
if (regexmatch(Q16, ""^[A-Za-z\.\_]+""), ""L"", 
if(regexmatch(AJ16, ""^[A-Za-z\.\_]+""),""S"","""")),
if(BA16=""X"",""K"",""""))"),"")</f>
        <v/>
      </c>
      <c r="BS16" s="40" t="str">
        <f>IFERROR(__xludf.DUMMYFUNCTION(" CONCATENATE( 
if (regexmatch(R16, ""^[A-Za-z\.\_]+""), ""L"", 
if(regexmatch(AK16, ""^[A-Za-z\.\_]+""),""S"","""")),
if(BB16=""X"",""K"",""""))"),"K")</f>
        <v>K</v>
      </c>
      <c r="BT16" s="40" t="str">
        <f>IFERROR(__xludf.DUMMYFUNCTION("CONCATENATE( 
if (regexmatch(S16, ""^[A-Za-z\.\_]+""), ""L"", 
if(regexmatch(AL16, ""^[A-Za-z\.\_]+""),""S"","""")),
if(BC16=""X"",""K"",""""))"),"")</f>
        <v/>
      </c>
      <c r="BU16" s="40" t="str">
        <f>IFERROR(__xludf.DUMMYFUNCTION("CONCATENATE( 
if (regexmatch(T16, ""^[A-Za-z\.\_]+""), ""L"", 
if(regexmatch(AM16, ""^[A-Za-z\.\_]+""),""S"","""")),
if(BD16=""X"",""K"",""""))"),"LK")</f>
        <v>LK</v>
      </c>
      <c r="BV16" s="40" t="str">
        <f>IFERROR(__xludf.DUMMYFUNCTION("CONCATENATE( 
if (regexmatch(U16, ""^[A-Za-z\.\_]+""), ""L"", 
if(regexmatch(AN16, ""^[A-Za-z\.\_]+""),""S"","""")),
if(BE16=""X"",""K"",""""))"),"K")</f>
        <v>K</v>
      </c>
      <c r="BW16" s="40" t="str">
        <f>IFERROR(__xludf.DUMMYFUNCTION(" CONCATENATE( 
if (regexmatch(V16, ""^[A-Za-z\.\_]+""), ""L"", 
if(regexmatch(AO16, ""^[A-Za-z\.\_]+""),""S"","""")),
if(BF16=""X"",""K"",""""))"),"")</f>
        <v/>
      </c>
      <c r="BX16" s="40" t="str">
        <f>IFERROR(__xludf.DUMMYFUNCTION("CONCATENATE( 
if (regexmatch(W16, ""^[A-Za-z\.\_]+""), ""L"", 
if(regexmatch(AP16, ""^[A-Za-z\.\_]+""),""S"","""")),
if(BG16=""X"",""K"",""""))"),"LK")</f>
        <v>LK</v>
      </c>
      <c r="BY16" s="40" t="str">
        <f>IFERROR(__xludf.DUMMYFUNCTION("CONCATENATE( 
if (regexmatch(X16, ""^[A-Za-z\.\_]+""), ""L"", 
if(regexmatch(AQ16, ""^[A-Za-z\.\_]+""),""S"","""")),
if(BH16=""X"",""K"",""""))"),"")</f>
        <v/>
      </c>
      <c r="BZ16" s="40" t="str">
        <f>IFERROR(__xludf.DUMMYFUNCTION("CONCATENATE( 
if (regexmatch(Y16, ""^[A-Za-z\.\_]+""), ""L"", 
if(regexmatch(AR16, ""^[A-Za-z\.\_]+""),""S"","""")),
if(BI16=""X"",""K"",""""))"),"LK")</f>
        <v>LK</v>
      </c>
      <c r="CA16" s="40" t="str">
        <f>IFERROR(__xludf.DUMMYFUNCTION("CONCATENATE( 
if (regexmatch(Z16, ""^[A-Za-z\.\_]+""), ""L"", 
if(regexmatch(AS16, ""^[A-Za-z\.\_]+""),""S"","""")),
if(BJ16=""X"",""K"",""""))"),"L")</f>
        <v>L</v>
      </c>
      <c r="CB16" s="39"/>
      <c r="CC16" s="39"/>
      <c r="CD16" s="39"/>
      <c r="CE16" s="39"/>
      <c r="CF16" s="39"/>
      <c r="CG16" s="39"/>
      <c r="CH16" s="39"/>
      <c r="CI16" s="39"/>
      <c r="CJ16" s="39"/>
      <c r="CK16" s="39"/>
      <c r="CL16" s="39"/>
      <c r="CM16" s="39"/>
      <c r="CN16" s="39"/>
      <c r="CO16" s="39"/>
      <c r="CP16" s="39"/>
      <c r="CQ16" s="39"/>
      <c r="CR16" s="39"/>
    </row>
    <row r="17">
      <c r="A17" s="25">
        <v>6.0</v>
      </c>
      <c r="B17" s="44" t="s">
        <v>125</v>
      </c>
      <c r="C17" s="41" t="s">
        <v>126</v>
      </c>
      <c r="D17" s="27" t="str">
        <f>IFERROR(__xludf.DUMMYFUNCTION("CONCATENATE(regexextract($C17,""[\w]* [\w]*""), ""*"")"),"Camelina sativa*")</f>
        <v>Camelina sativa*</v>
      </c>
      <c r="E17" s="28" t="s">
        <v>127</v>
      </c>
      <c r="F17" s="55">
        <v>90675.0</v>
      </c>
      <c r="G17" s="53"/>
      <c r="H17" s="31"/>
      <c r="I17" s="32" t="str">
        <f>CONCATENATE(
if(countif(dd.agi,$D17),"D",""),
if(countif(knap.agi,$D17),"K",""),
if(countif(mic.agi,$D17),"M",""),
if(countif(nap.agi,$D17),"N",""),
if(countif(np.agi,$D17),"P",""),
if(countif(imp.agi,$D17),"T",""),
if(countif(us.agi,$D17),"U",""),
if(countif(var.agi,$D17),"V","")
)</f>
        <v/>
      </c>
      <c r="J17" s="32" t="str">
        <f>
CONCATENATE(
if(countif(nap.bun,$D17),"N",""),
if(countif(np.bun,$D17),"P","")
)
</f>
        <v/>
      </c>
      <c r="K17" s="32" t="str">
        <f>CONCATENATE(
if(countif(dd.kxn,$D17),"D",""),
if(countif(knap.kxn,$D17),"K",""),
if(countif(mic.kxn,$D17),"M",""),
if(countif(nap.kxn,$D17),"N",""),
if(countif(np.kxn,$D17),"P",""),
if(countif(us.kxn,$D17),"U",""),
if(countif(var.kxn,$D17),"V","")
)</f>
        <v>V</v>
      </c>
      <c r="L17" s="32" t="str">
        <f>
CONCATENATE(
if(countif(dd.hwb,$D17),"D",""),
if(countif(knap.hwb,$D17),"K",""),
if(countif(mic.hwb,$D17),"M",""),
if(countif(nap.hwb,$D17),"N",""),
if(countif(np.hwb,$D17),"P",""),
if(countif(us.hwb,$D17),"U",""),
if(countif(imp.hwb,$D17),"T",""),
if(countif(var.hwb,$D17),"V","")
)</f>
        <v/>
      </c>
      <c r="M17" s="32" t="str">
        <f>CONCATENATE(
if(countif(dd.epc,$D17),"D",""),
if(countif(knap.ekxn,$D17),"K",""),
if(countif(mic.ekxn,$D17),"M",""),
if(countif(nap.ekxn,$D17),"N",""),
if(countif(np.ekxn,$D17),"P",""),
if(countif(imp.epc,$D17),"T",""),
if(countif(us.ekxn,$D17),"U",""),
if(countif(var.ekxn,$D17),"V","")
)</f>
        <v/>
      </c>
      <c r="N17" s="32" t="str">
        <f>
CONCATENATE(
if(countif(dd.ecg,$D17),"D",""),
if(countif(mic.ecg,$D17),"M",""),
if(countif(np.ecg,$D17),"P",""),
if(countif(imp.ecg,$D17),"T",""),
if(countif(us.ecg,$D17),"U","")
)</f>
        <v/>
      </c>
      <c r="O17" s="32" t="str">
        <f>
CONCATENATE(
if(countif(dd.egt,$D17),"D",""),
if(countif(mic.egt,$D17),"M",""),
if(countif(nap.egt,$D17),"N",""),
if(countif(us.egt,$D17),"U",""),
if(countif(var.egt,$D17),"V",""))
</f>
        <v/>
      </c>
      <c r="P17" s="32" t="str">
        <f>CONCATENATE(
if(countif(knap.egcg,$D17),"K",""),
if(countif(mic.egcg,$D17),"M",""),
if(countif(np.egcg,$D17),"P",""),
if(countif(us.egcg,$D17),"U","")
)</f>
        <v/>
      </c>
      <c r="Q17" s="32" t="str">
        <f>CONCATENATE(if(countif(np.ecit,$D17),"P",""),
if(countif(nap.ecit,$D17),"A",""))</f>
        <v/>
      </c>
      <c r="R17" s="32" t="str">
        <f>
CONCATENATE(
if(countif(nap.erd,$D17),"N",""),
if(countif(np.erd,$D17),"P",""),
if(countif(var.erd,$D17),"V",""))</f>
        <v/>
      </c>
      <c r="S17" s="32" t="str">
        <f>
CONCATENATE(
if(countif(dd.gkxn,$D17),"D",""),
if(countif(knap.gkxn,$D17),"K",""),
if(countif(nap.gkxn,$D17),"N",""),
if(countif(np.gkxn,$D17),"P",""),
if(countif(imp.gkxn,$D17),"T",""),
if(countif(var.gkxn,$D17),"V",""))</f>
        <v/>
      </c>
      <c r="T17" s="32" t="str">
        <f>
CONCATENATE(
if(countif(dd.gen,$C17),"D",""),
if(countif(knap.gen,$C17),"K",""),
if(countif(nap.gen,$C17),"N",""),
if(countif(np.gen,$C17),"P",""),
if(countif(imp.gen,$C17),"T",""),
if(countif(var.gen,$C17),"V",""))</f>
        <v/>
      </c>
      <c r="U17" s="32" t="str">
        <f>
CONCATENATE(
if(countif(dd.hcc,$D17),"D",""),
if(countif(knap.hcc,$D17),"K",""),
if(countif(np.hcc,$D17),"P","")
)
</f>
        <v/>
      </c>
      <c r="V17" s="32" t="str">
        <f>
CONCATENATE(
if(countif(dd.kmp,$D17),"D",""),
if(countif(knap.kmp,$D17),"K",""),
if(countif(mic.kmp,$D17),"M",""),
if(countif(nap.kmp,$D17),"N",""),
if(countif(np.kmp,$D17),"P",""),
if(countif(imp.kmp,$D17),"T",""),
if(countif(us.kmp,$D17),"U",""),
if(countif(var.kmp,$D17),"V",""))</f>
        <v/>
      </c>
      <c r="W17" s="32" t="str">
        <f>
CONCATENATE(
if(countif(dd.lu2,$D17),"D",""),
if(countif(knap.lu2,$D17),"K",""),
if(countif(mic.lu2,$D17),"M",""),
if(countif(nap.lu2,$D17),"N",""),
if(countif(np.lu2,$D17),"P",""),
if(countif(imp.lu2,$D17),"T",""),
if(countif(us.lu2,$D17),"U",""),
if(countif(var.lu2,$D17),"V",""))</f>
        <v/>
      </c>
      <c r="X17" s="32" t="str">
        <f>
CONCATENATE(
if(countif(dd.myc,$D17),"D",""),
if(countif(knap.myc,$D17),"K",""), 
if(countif(mic.myc,$D17),"M",""),
if(countif(nap.myc,$D17),"N",""),
if(countif(np.myc,$D17),"P",""),
if(countif(imp.myc,$D17),"T",""),
if(countif(us.myc,$D17),"U",""),
if(countif(var.myc,$D17),"V",""))</f>
        <v/>
      </c>
      <c r="Y17" s="32" t="str">
        <f>CONCATENATE(
if(countif(dd.nar,$D17),"D",""),
if(countif(knap.nar,$D17),"K",""),
if(countif(nap.nar,$D17),"N",""),
if(countif(np.nar,$D17),"P",""),
if(countif(imp.nar,$D17),"T",""),
if(countif(us.nar,$D17),"U",""),
if(countif(var.nar,$D17),"V",""))</f>
        <v/>
      </c>
      <c r="Z17" s="33" t="str">
        <f>
CONCATENATE(
if(countif(dd.que,$D17),"D",""),
if(countif(knap.que,$D17),"K",""),
if(countif(mic.que,$D17),"M",""),
if(countif(nap.que,$D17),"N",""),
if(countif(np.que,$D17),"P",""),
if(countif(imp.que,$D17),"T",""),
if(countif(us.que,$D17),"U",""),
if(countif(var.que,$D17),"V",""))</f>
        <v>V</v>
      </c>
      <c r="AA17" s="32"/>
      <c r="AB17" s="34" t="str">
        <f>
CONCATENATE(if(countif(knap.agi.sim,$D17),"K",""),
if(countif(dd.agi.sim,$D17),"D",""),
if(countif(nap.agi.sim,$D17),"A",""),
if(countif(var.agi.sim,$D17),"V",""))</f>
        <v/>
      </c>
      <c r="AC17" s="34" t="str">
        <f>
if(countif(nap.bun.sim,$D17),"A","")</f>
        <v/>
      </c>
      <c r="AD17" s="34" t="str">
        <f>
CONCATENATE(if(countif(knap.kxn.sim,$D17),"K",""),
if(countif(np.kxn.sim,$D17),"P",""),
if(countif(dd.kxn.sim,$D17),"D",""),
if(countif(nap.kxn.sim,$D17),"A",""),
if(countif(var.kxn.sim,$D17),"V",""))</f>
        <v/>
      </c>
      <c r="AE17" s="34" t="str">
        <f>
CONCATENATE(if(countif(knap.hwb.sim,$D17),"K",""),
if(countif(np.hwb.sim,$D17),"P",""),
if(countif(mic.hwb.sim,$D17),"M",""),
if(countif(imp.hwb.sim,$D17),"T",""),
if(countif(dd.cyan.sim,$D17),"D",""),
if(countif(nap.hwb.sim,$D17),"A",""),
if(countif(var.hwb.sim,$D17),"V",""))</f>
        <v/>
      </c>
      <c r="AF17" s="34" t="str">
        <f>
CONCATENATE(if(countif(us.ekxn.sim,$D17),"U",""),
if(countif(knap.ekxn.sim,$D17),"K",""),
if(countif(np.ekxn.sim,$D17),"P",""),
if(countif(mic.ekxn.sim,$D17),"M",""),
if(countif(imp.epc.sim,$D17),"T",""),
if(countif(nap.ekxn.sim,$D17),"A",""))</f>
        <v/>
      </c>
      <c r="AG17" s="34"/>
      <c r="AH17" s="34" t="str">
        <f>
CONCATENATE(if(countif(us.egt.sim,$D17),"U",""),
if(countif(knap.egt.sim,$D17),"K",""),
if(countif(np.egt.sim,$D17),"P",""),
if(countif(mic.egt.sim,$D17),"M",""))</f>
        <v/>
      </c>
      <c r="AI17" s="34"/>
      <c r="AJ17" s="34" t="str">
        <f>if(countif(nap.ecit.sim,$D17),"A","")</f>
        <v/>
      </c>
      <c r="AK17" s="34" t="str">
        <f>
CONCATENATE(if(countif(nap.erd,$D17),"M",""),
if(countif(nap.erd.sim,$D17),"A",""),
if(countif(var.erd.sim,$D17),"V",""))</f>
        <v/>
      </c>
      <c r="AL17" s="34" t="str">
        <f>
CONCATENATE(if(countif(knap.gkxn.sim,$D17),"K",""),
if(countif(nap.gkxn.sim,$D17),"A",""))</f>
        <v/>
      </c>
      <c r="AM17" s="34" t="str">
        <f>
CONCATENATE(if(countif(knap.gen.sim,$C17),"K",""),
if(countif(imp.gen.sim,$C17),"T",""),
if(countif(dd.gen.sim,$C17),"D",""),
if(countif(nap.gen.sim,$C17),"A",""),
if(countif(var.gen.sim,$C17),"V",""))
</f>
        <v/>
      </c>
      <c r="AN17" s="34" t="str">
        <f>IFERROR(__xludf.DUMMYFUNCTION("
if(countif(#REF!,CONCATENATE(regexextract($C17,""[\w]* [\w]*""), ""*"")),""V"","""")"),"")</f>
        <v/>
      </c>
      <c r="AO17" s="34" t="str">
        <f>
CONCATENATE(if(countif(knap.kmp.sim,$D17),"K",""),
if(countif(np.kmp.sim,$D17),"P",""),
if(countif(imp.kmp.sim,$D17),"T",""),
if(countif(dd.kmp,$D17),"D",""),
if(countif(nap.kmp.sim,$D17),"A",""),
if(countif(var.kmp.sim,$D17),"V",""))</f>
        <v/>
      </c>
      <c r="AP17" s="34" t="str">
        <f>
CONCATENATE(if(countif(knap.lu2.sim,$D17),"K",""),
if(countif(np.lu2.sim,$D17),"P",""),
if(countif(imp.lu2.sim,$D17),"T",""),
if(countif(dd.lu2.sim,$D17),"D",""),
if(countif(nap.lu2.sim,$D17),"A",""),
if(countif(var.lu2.sim,$D17),"V",""))</f>
        <v/>
      </c>
      <c r="AQ17" s="34" t="str">
        <f>
CONCATENATE(if(countif(np.myc.sim,$D17),"P",""),
if(countif(imp.myc.sim,$D17),"T",""),
if(countif(nap.myc.sim,$D17),"A",""))
</f>
        <v/>
      </c>
      <c r="AR17" s="36" t="str">
        <f>
CONCATENATE(if(countif(knap.nar.sim,$D17),"K",""),
if(countif(np.nar.sim,$D17),"P",""),
if(countif(imp.nar.sim,$D17),"T",""),
if(countif(dd.nar.sim,$D17),"D",""),
if(countif(nap.nar.sim,$D17),"A",""),
if(countif(var.nar.sim,$D17),"V",""))</f>
        <v/>
      </c>
      <c r="AS17" s="34" t="str">
        <f>
CONCATENATE(if(countif(knap.que.sim,$D17),"K",""),
if(countif(np.que.sim,$D17),"P",""),
if(countif(imp.que.sim,$D17),"T",""),
if(countif(dd.que.sim,$D17),"D",""),
if(countif(nap.que.sim,$D17),"A",""),
if(countif(var.que.sim,$D17),"V",""))</f>
        <v/>
      </c>
      <c r="AT17" s="37"/>
      <c r="AU17" s="32" t="str">
        <f>IFERROR(__xludf.DUMMYFUNCTION("if(countif(kr.agi, CONCATENATE(regexextract($C17,""[\w]* [\w]*""), ""*"")),""X"","""")"),"")</f>
        <v/>
      </c>
      <c r="AV17" s="38" t="str">
        <f>IFERROR(__xludf.DUMMYFUNCTION("if(countif(kr.bun,CONCATENATE(regexextract($C17,""[\w]* [\w]*""), ""*"")),""X"","""")"),"X")</f>
        <v>X</v>
      </c>
      <c r="AW17" s="38" t="str">
        <f>IFERROR(__xludf.DUMMYFUNCTION("if(countif(kr.kxn,CONCATENATE(regexextract($C17,""[\w]* [\w]*""), ""*"")),""X"","""")"),"")</f>
        <v/>
      </c>
      <c r="AX17" s="38" t="str">
        <f>IFERROR(__xludf.DUMMYFUNCTION("if(countif(kr.hwb,CONCATENATE(regexextract($C17,""[\w]* [\w]*""), ""*"")),""X"","""")"),"X")</f>
        <v>X</v>
      </c>
      <c r="AY17" s="38" t="str">
        <f>IFERROR(__xludf.DUMMYFUNCTION("if(countif(kr.ec,CONCATENATE(regexextract($C17,""[\w]* [\w]*""), ""*"")),""X"","""")"),"X")</f>
        <v>X</v>
      </c>
      <c r="AZ17" s="38" t="str">
        <f>IFERROR(__xludf.DUMMYFUNCTION("if(countif(kr.egt,CONCATENATE(regexextract($C17,""[\w]* [\w]*""), ""*"")),""X"","""")"),"")</f>
        <v/>
      </c>
      <c r="BA17" s="38"/>
      <c r="BB17" s="38" t="str">
        <f>IFERROR(__xludf.DUMMYFUNCTION("if(countif(kr.erd,CONCATENATE(regexextract($C17,""[\w]* [\w]*""), ""*"")),""X"","""")"),"X")</f>
        <v>X</v>
      </c>
      <c r="BC17" s="38" t="str">
        <f>IFERROR(__xludf.DUMMYFUNCTION("if(countif(kr.gkxn,CONCATENATE(regexextract($C17,""[\w]* [\w]*""), ""*"")),""X"","""")"),"")</f>
        <v/>
      </c>
      <c r="BD17" s="38" t="str">
        <f>IFERROR(__xludf.DUMMYFUNCTION("if(countif(kr.gen,CONCATENATE(regexextract(C17,""[\w]* [\w]*""), ""*"")),""X"","""")"),"")</f>
        <v/>
      </c>
      <c r="BE17" s="38" t="str">
        <f>IFERROR(__xludf.DUMMYFUNCTION("if(countif(kr.hcc,CONCATENATE(regexextract($C17,""[\w]* [\w]*""), ""*"")),""X"","""")"),"X")</f>
        <v>X</v>
      </c>
      <c r="BF17" s="38" t="str">
        <f>IFERROR(__xludf.DUMMYFUNCTION("if(countif(kr.kmp,CONCATENATE(regexextract($C17,""[\w]* [\w]*""), ""*"")),""X"","""")"),"X")</f>
        <v>X</v>
      </c>
      <c r="BG17" s="38" t="str">
        <f>IFERROR(__xludf.DUMMYFUNCTION("if(countif(kr.lu2,CONCATENATE(regexextract($C17,""[\w]* [\w]*""), ""*"")),""X"","""")"),"")</f>
        <v/>
      </c>
      <c r="BH17" s="38" t="str">
        <f>IFERROR(__xludf.DUMMYFUNCTION("if(countif(kr.myc,CONCATENATE(regexextract($C17,""[\w]* [\w]*""), ""*"")),""X"","""")"),"")</f>
        <v/>
      </c>
      <c r="BI17" s="38" t="str">
        <f>IFERROR(__xludf.DUMMYFUNCTION("if(countif(kr.nar,CONCATENATE(regexextract($C17,""[\w]* [\w]*""), ""*"")),""X"","""")"),"X")</f>
        <v>X</v>
      </c>
      <c r="BJ17" s="38" t="str">
        <f>IFERROR(__xludf.DUMMYFUNCTION("if(countif(kr.que,CONCATENATE(regexextract($C17,""[\w]* [\w]*""), ""*"")),""X"","""")"),"X")</f>
        <v>X</v>
      </c>
      <c r="BK17" s="39"/>
      <c r="BL17" s="40" t="str">
        <f>IFERROR(__xludf.DUMMYFUNCTION(" CONCATENATE( 
if (regexmatch(I17, ""^[A-Za-z\.\_]+""), ""L"", 
if(regexmatch(AB17, ""^[A-Za-z\.\_]+""),""S"","""")),
if(AU17=""X"",""K"",""""))"),"")</f>
        <v/>
      </c>
      <c r="BM17" s="40" t="str">
        <f>IFERROR(__xludf.DUMMYFUNCTION(" CONCATENATE( 
if (regexmatch(J17, ""^[A-Za-z\.\_]+""), ""L"", 
if(regexmatch(AC17, ""^[A-Za-z\.\_]+""),""S"","""")),
if(AV17=""X"",""K"",""""))"),"K")</f>
        <v>K</v>
      </c>
      <c r="BN17" s="40" t="str">
        <f>IFERROR(__xludf.DUMMYFUNCTION(" CONCATENATE( 
if (regexmatch(K17, ""^[A-Za-z\.\_]+""), ""L"", 
if(regexmatch(AD17, ""^[A-Za-z\.\_]+""),""S"","""")),
if(AW17=""X"",""K"",""""))"),"L")</f>
        <v>L</v>
      </c>
      <c r="BO17" s="40" t="str">
        <f>IFERROR(__xludf.DUMMYFUNCTION(" CONCATENATE( 
if (regexmatch(L17, ""^[A-Za-z\.\_]+""), ""L"", 
if(regexmatch(AE17, ""^[A-Za-z\.\_]+""),""S"","""")),
if(AX17=""X"",""K"",""""))"),"K")</f>
        <v>K</v>
      </c>
      <c r="BP17" s="40" t="str">
        <f>IFERROR(__xludf.DUMMYFUNCTION(" CONCATENATE( 
if (regexmatch(M17, ""^[A-Za-z\.\_]+""), ""L"", 
if(regexmatch(AF17, ""^[A-Za-z\.\_]+""),""S"","""")),
if(AY17=""X"",""K"",""""))"),"K")</f>
        <v>K</v>
      </c>
      <c r="BQ17" s="40" t="str">
        <f>IFERROR(__xludf.DUMMYFUNCTION("CONCATENATE( 
if (regexmatch(O17, ""^[A-Za-z\.\_]+""), ""L"", 
if(regexmatch(AH17, ""^[A-Za-z\.\_]+""),""S"","""")),
if(AZ17=""X"",""K"",""""))"),"")</f>
        <v/>
      </c>
      <c r="BR17" s="40" t="str">
        <f>IFERROR(__xludf.DUMMYFUNCTION("CONCATENATE( 
if (regexmatch(Q17, ""^[A-Za-z\.\_]+""), ""L"", 
if(regexmatch(AJ17, ""^[A-Za-z\.\_]+""),""S"","""")),
if(BA17=""X"",""K"",""""))"),"")</f>
        <v/>
      </c>
      <c r="BS17" s="40" t="str">
        <f>IFERROR(__xludf.DUMMYFUNCTION(" CONCATENATE( 
if (regexmatch(R17, ""^[A-Za-z\.\_]+""), ""L"", 
if(regexmatch(AK17, ""^[A-Za-z\.\_]+""),""S"","""")),
if(BB17=""X"",""K"",""""))"),"K")</f>
        <v>K</v>
      </c>
      <c r="BT17" s="40" t="str">
        <f>IFERROR(__xludf.DUMMYFUNCTION("CONCATENATE( 
if (regexmatch(S17, ""^[A-Za-z\.\_]+""), ""L"", 
if(regexmatch(AL17, ""^[A-Za-z\.\_]+""),""S"","""")),
if(BC17=""X"",""K"",""""))"),"")</f>
        <v/>
      </c>
      <c r="BU17" s="40" t="str">
        <f>IFERROR(__xludf.DUMMYFUNCTION("CONCATENATE( 
if (regexmatch(T17, ""^[A-Za-z\.\_]+""), ""L"", 
if(regexmatch(AM17, ""^[A-Za-z\.\_]+""),""S"","""")),
if(BD17=""X"",""K"",""""))"),"")</f>
        <v/>
      </c>
      <c r="BV17" s="40" t="str">
        <f>IFERROR(__xludf.DUMMYFUNCTION("CONCATENATE( 
if (regexmatch(U17, ""^[A-Za-z\.\_]+""), ""L"", 
if(regexmatch(AN17, ""^[A-Za-z\.\_]+""),""S"","""")),
if(BE17=""X"",""K"",""""))"),"K")</f>
        <v>K</v>
      </c>
      <c r="BW17" s="40" t="str">
        <f>IFERROR(__xludf.DUMMYFUNCTION(" CONCATENATE( 
if (regexmatch(V17, ""^[A-Za-z\.\_]+""), ""L"", 
if(regexmatch(AO17, ""^[A-Za-z\.\_]+""),""S"","""")),
if(BF17=""X"",""K"",""""))"),"K")</f>
        <v>K</v>
      </c>
      <c r="BX17" s="40" t="str">
        <f>IFERROR(__xludf.DUMMYFUNCTION("CONCATENATE( 
if (regexmatch(W17, ""^[A-Za-z\.\_]+""), ""L"", 
if(regexmatch(AP17, ""^[A-Za-z\.\_]+""),""S"","""")),
if(BG17=""X"",""K"",""""))"),"")</f>
        <v/>
      </c>
      <c r="BY17" s="40" t="str">
        <f>IFERROR(__xludf.DUMMYFUNCTION("CONCATENATE( 
if (regexmatch(X17, ""^[A-Za-z\.\_]+""), ""L"", 
if(regexmatch(AQ17, ""^[A-Za-z\.\_]+""),""S"","""")),
if(BH17=""X"",""K"",""""))"),"")</f>
        <v/>
      </c>
      <c r="BZ17" s="40" t="str">
        <f>IFERROR(__xludf.DUMMYFUNCTION("CONCATENATE( 
if (regexmatch(Y17, ""^[A-Za-z\.\_]+""), ""L"", 
if(regexmatch(AR17, ""^[A-Za-z\.\_]+""),""S"","""")),
if(BI17=""X"",""K"",""""))"),"K")</f>
        <v>K</v>
      </c>
      <c r="CA17" s="40" t="str">
        <f>IFERROR(__xludf.DUMMYFUNCTION("CONCATENATE( 
if (regexmatch(Z17, ""^[A-Za-z\.\_]+""), ""L"", 
if(regexmatch(AS17, ""^[A-Za-z\.\_]+""),""S"","""")),
if(BJ17=""X"",""K"",""""))"),"LK")</f>
        <v>LK</v>
      </c>
      <c r="CB17" s="39"/>
      <c r="CC17" s="39"/>
      <c r="CD17" s="39"/>
      <c r="CE17" s="39"/>
      <c r="CF17" s="39"/>
      <c r="CG17" s="39"/>
      <c r="CH17" s="39"/>
      <c r="CI17" s="39"/>
      <c r="CJ17" s="39"/>
      <c r="CK17" s="39"/>
      <c r="CL17" s="39"/>
      <c r="CM17" s="39"/>
      <c r="CN17" s="39"/>
      <c r="CO17" s="39"/>
      <c r="CP17" s="39"/>
      <c r="CQ17" s="39"/>
      <c r="CR17" s="39"/>
    </row>
    <row r="18">
      <c r="A18" s="25">
        <v>7.0</v>
      </c>
      <c r="B18" s="44" t="s">
        <v>128</v>
      </c>
      <c r="C18" s="27" t="s">
        <v>129</v>
      </c>
      <c r="D18" s="27" t="str">
        <f>IFERROR(__xludf.DUMMYFUNCTION("CONCATENATE(regexextract($C18,""[\w]* [\w]*""), ""*"")"),"Capsella rubella*")</f>
        <v>Capsella rubella*</v>
      </c>
      <c r="E18" s="28" t="s">
        <v>130</v>
      </c>
      <c r="F18" s="54">
        <v>81985.0</v>
      </c>
      <c r="G18" s="53"/>
      <c r="H18" s="31"/>
      <c r="I18" s="32" t="str">
        <f>CONCATENATE(
if(countif(dd.agi,$D18),"D",""),
if(countif(knap.agi,$D18),"K",""),
if(countif(mic.agi,$D18),"M",""),
if(countif(nap.agi,$D18),"N",""),
if(countif(np.agi,$D18),"P",""),
if(countif(imp.agi,$D18),"T",""),
if(countif(us.agi,$D18),"U",""),
if(countif(var.agi,$D18),"V","")
)</f>
        <v/>
      </c>
      <c r="J18" s="32" t="str">
        <f>
CONCATENATE(
if(countif(nap.bun,$D18),"N",""),
if(countif(np.bun,$D18),"P","")
)
</f>
        <v/>
      </c>
      <c r="K18" s="32" t="str">
        <f>CONCATENATE(
if(countif(dd.kxn,$D18),"D",""),
if(countif(knap.kxn,$D18),"K",""),
if(countif(mic.kxn,$D18),"M",""),
if(countif(nap.kxn,$D18),"N",""),
if(countif(np.kxn,$D18),"P",""),
if(countif(us.kxn,$D18),"U",""),
if(countif(var.kxn,$D18),"V","")
)</f>
        <v/>
      </c>
      <c r="L18" s="32" t="str">
        <f>
CONCATENATE(
if(countif(dd.hwb,$D18),"D",""),
if(countif(knap.hwb,$D18),"K",""),
if(countif(mic.hwb,$D18),"M",""),
if(countif(nap.hwb,$D18),"N",""),
if(countif(np.hwb,$D18),"P",""),
if(countif(us.hwb,$D18),"U",""),
if(countif(imp.hwb,$D18),"T",""),
if(countif(var.hwb,$D18),"V","")
)</f>
        <v/>
      </c>
      <c r="M18" s="32" t="str">
        <f>CONCATENATE(
if(countif(dd.epc,$D18),"D",""),
if(countif(knap.ekxn,$D18),"K",""),
if(countif(mic.ekxn,$D18),"M",""),
if(countif(nap.ekxn,$D18),"N",""),
if(countif(np.ekxn,$D18),"P",""),
if(countif(imp.epc,$D18),"T",""),
if(countif(us.ekxn,$D18),"U",""),
if(countif(var.ekxn,$D18),"V","")
)</f>
        <v/>
      </c>
      <c r="N18" s="32" t="str">
        <f>
CONCATENATE(
if(countif(dd.ecg,$D18),"D",""),
if(countif(mic.ecg,$D18),"M",""),
if(countif(np.ecg,$D18),"P",""),
if(countif(imp.ecg,$D18),"T",""),
if(countif(us.ecg,$D18),"U","")
)</f>
        <v/>
      </c>
      <c r="O18" s="32" t="str">
        <f>
CONCATENATE(
if(countif(dd.egt,$D18),"D",""),
if(countif(mic.egt,$D18),"M",""),
if(countif(nap.egt,$D18),"N",""),
if(countif(us.egt,$D18),"U",""),
if(countif(var.egt,$D18),"V",""))
</f>
        <v/>
      </c>
      <c r="P18" s="32" t="str">
        <f>CONCATENATE(
if(countif(knap.egcg,$D18),"K",""),
if(countif(mic.egcg,$D18),"M",""),
if(countif(np.egcg,$D18),"P",""),
if(countif(us.egcg,$D18),"U","")
)</f>
        <v/>
      </c>
      <c r="Q18" s="32" t="str">
        <f>CONCATENATE(if(countif(np.ecit,$D18),"P",""),
if(countif(nap.ecit,$D18),"A",""))</f>
        <v/>
      </c>
      <c r="R18" s="32" t="str">
        <f>
CONCATENATE(
if(countif(nap.erd,$D18),"N",""),
if(countif(np.erd,$D18),"P",""),
if(countif(var.erd,$D18),"V",""))</f>
        <v/>
      </c>
      <c r="S18" s="32" t="str">
        <f>
CONCATENATE(
if(countif(dd.gkxn,$D18),"D",""),
if(countif(knap.gkxn,$D18),"K",""),
if(countif(nap.gkxn,$D18),"N",""),
if(countif(np.gkxn,$D18),"P",""),
if(countif(imp.gkxn,$D18),"T",""),
if(countif(var.gkxn,$D18),"V",""))</f>
        <v/>
      </c>
      <c r="T18" s="32" t="str">
        <f>
CONCATENATE(
if(countif(dd.gen,$C18),"D",""),
if(countif(knap.gen,$C18),"K",""),
if(countif(nap.gen,$C18),"N",""),
if(countif(np.gen,$C18),"P",""),
if(countif(imp.gen,$C18),"T",""),
if(countif(var.gen,$C18),"V",""))</f>
        <v/>
      </c>
      <c r="U18" s="32" t="str">
        <f>
CONCATENATE(
if(countif(dd.hcc,$D18),"D",""),
if(countif(knap.hcc,$D18),"K",""),
if(countif(np.hcc,$D18),"P","")
)
</f>
        <v/>
      </c>
      <c r="V18" s="32" t="str">
        <f>
CONCATENATE(
if(countif(dd.kmp,$D18),"D",""),
if(countif(knap.kmp,$D18),"K",""),
if(countif(mic.kmp,$D18),"M",""),
if(countif(nap.kmp,$D18),"N",""),
if(countif(np.kmp,$D18),"P",""),
if(countif(imp.kmp,$D18),"T",""),
if(countif(us.kmp,$D18),"U",""),
if(countif(var.kmp,$D18),"V",""))</f>
        <v/>
      </c>
      <c r="W18" s="32" t="str">
        <f>
CONCATENATE(
if(countif(dd.lu2,$D18),"D",""),
if(countif(knap.lu2,$D18),"K",""),
if(countif(mic.lu2,$D18),"M",""),
if(countif(nap.lu2,$D18),"N",""),
if(countif(np.lu2,$D18),"P",""),
if(countif(imp.lu2,$D18),"T",""),
if(countif(us.lu2,$D18),"U",""),
if(countif(var.lu2,$D18),"V",""))</f>
        <v/>
      </c>
      <c r="X18" s="32" t="str">
        <f>
CONCATENATE(
if(countif(dd.myc,$D18),"D",""),
if(countif(knap.myc,$D18),"K",""), 
if(countif(mic.myc,$D18),"M",""),
if(countif(nap.myc,$D18),"N",""),
if(countif(np.myc,$D18),"P",""),
if(countif(imp.myc,$D18),"T",""),
if(countif(us.myc,$D18),"U",""),
if(countif(var.myc,$D18),"V",""))</f>
        <v/>
      </c>
      <c r="Y18" s="32" t="str">
        <f>CONCATENATE(
if(countif(dd.nar,$D18),"D",""),
if(countif(knap.nar,$D18),"K",""),
if(countif(nap.nar,$D18),"N",""),
if(countif(np.nar,$D18),"P",""),
if(countif(imp.nar,$D18),"T",""),
if(countif(us.nar,$D18),"U",""),
if(countif(var.nar,$D18),"V",""))</f>
        <v/>
      </c>
      <c r="Z18" s="33" t="str">
        <f>
CONCATENATE(
if(countif(dd.que,$D18),"D",""),
if(countif(knap.que,$D18),"K",""),
if(countif(mic.que,$D18),"M",""),
if(countif(nap.que,$D18),"N",""),
if(countif(np.que,$D18),"P",""),
if(countif(imp.que,$D18),"T",""),
if(countif(us.que,$D18),"U",""),
if(countif(var.que,$D18),"V",""))</f>
        <v/>
      </c>
      <c r="AA18" s="32"/>
      <c r="AB18" s="34" t="str">
        <f>
CONCATENATE(if(countif(knap.agi.sim,$D18),"K",""),
if(countif(dd.agi.sim,$D18),"D",""),
if(countif(nap.agi.sim,$D18),"A",""),
if(countif(var.agi.sim,$D18),"V",""))</f>
        <v/>
      </c>
      <c r="AC18" s="34" t="str">
        <f>
if(countif(nap.bun.sim,$D18),"A","")</f>
        <v/>
      </c>
      <c r="AD18" s="34" t="str">
        <f>
CONCATENATE(if(countif(knap.kxn.sim,$D18),"K",""),
if(countif(np.kxn.sim,$D18),"P",""),
if(countif(dd.kxn.sim,$D18),"D",""),
if(countif(nap.kxn.sim,$D18),"A",""),
if(countif(var.kxn.sim,$D18),"V",""))</f>
        <v/>
      </c>
      <c r="AE18" s="34" t="str">
        <f>
CONCATENATE(if(countif(knap.hwb.sim,$D18),"K",""),
if(countif(np.hwb.sim,$D18),"P",""),
if(countif(mic.hwb.sim,$D18),"M",""),
if(countif(imp.hwb.sim,$D18),"T",""),
if(countif(dd.cyan.sim,$D18),"D",""),
if(countif(nap.hwb.sim,$D18),"A",""),
if(countif(var.hwb.sim,$D18),"V",""))</f>
        <v/>
      </c>
      <c r="AF18" s="34" t="str">
        <f>
CONCATENATE(if(countif(us.ekxn.sim,$D18),"U",""),
if(countif(knap.ekxn.sim,$D18),"K",""),
if(countif(np.ekxn.sim,$D18),"P",""),
if(countif(mic.ekxn.sim,$D18),"M",""),
if(countif(imp.epc.sim,$D18),"T",""),
if(countif(nap.ekxn.sim,$D18),"A",""))</f>
        <v/>
      </c>
      <c r="AG18" s="34"/>
      <c r="AH18" s="34" t="str">
        <f>
CONCATENATE(if(countif(us.egt.sim,$D18),"U",""),
if(countif(knap.egt.sim,$D18),"K",""),
if(countif(np.egt.sim,$D18),"P",""),
if(countif(mic.egt.sim,$D18),"M",""))</f>
        <v/>
      </c>
      <c r="AI18" s="34"/>
      <c r="AJ18" s="34" t="str">
        <f>if(countif(nap.ecit.sim,$D18),"A","")</f>
        <v/>
      </c>
      <c r="AK18" s="34" t="str">
        <f>
CONCATENATE(if(countif(nap.erd,$D18),"M",""),
if(countif(nap.erd.sim,$D18),"A",""),
if(countif(var.erd.sim,$D18),"V",""))</f>
        <v/>
      </c>
      <c r="AL18" s="34" t="str">
        <f>
CONCATENATE(if(countif(knap.gkxn.sim,$D18),"K",""),
if(countif(nap.gkxn.sim,$D18),"A",""))</f>
        <v/>
      </c>
      <c r="AM18" s="34" t="str">
        <f>
CONCATENATE(if(countif(knap.gen.sim,$C18),"K",""),
if(countif(imp.gen.sim,$C18),"T",""),
if(countif(dd.gen.sim,$C18),"D",""),
if(countif(nap.gen.sim,$C18),"A",""),
if(countif(var.gen.sim,$C18),"V",""))
</f>
        <v/>
      </c>
      <c r="AN18" s="34" t="str">
        <f>IFERROR(__xludf.DUMMYFUNCTION("
if(countif(#REF!,CONCATENATE(regexextract($C18,""[\w]* [\w]*""), ""*"")),""V"","""")"),"")</f>
        <v/>
      </c>
      <c r="AO18" s="34" t="str">
        <f>
CONCATENATE(if(countif(knap.kmp.sim,$D18),"K",""),
if(countif(np.kmp.sim,$D18),"P",""),
if(countif(imp.kmp.sim,$D18),"T",""),
if(countif(dd.kmp,$D18),"D",""),
if(countif(nap.kmp.sim,$D18),"A",""),
if(countif(var.kmp.sim,$D18),"V",""))</f>
        <v/>
      </c>
      <c r="AP18" s="34" t="str">
        <f>
CONCATENATE(if(countif(knap.lu2.sim,$D18),"K",""),
if(countif(np.lu2.sim,$D18),"P",""),
if(countif(imp.lu2.sim,$D18),"T",""),
if(countif(dd.lu2.sim,$D18),"D",""),
if(countif(nap.lu2.sim,$D18),"A",""),
if(countif(var.lu2.sim,$D18),"V",""))</f>
        <v/>
      </c>
      <c r="AQ18" s="34" t="str">
        <f>
CONCATENATE(if(countif(np.myc.sim,$D18),"P",""),
if(countif(imp.myc.sim,$D18),"T",""),
if(countif(nap.myc.sim,$D18),"A",""))
</f>
        <v/>
      </c>
      <c r="AR18" s="36" t="str">
        <f>
CONCATENATE(if(countif(knap.nar.sim,$D18),"K",""),
if(countif(np.nar.sim,$D18),"P",""),
if(countif(imp.nar.sim,$D18),"T",""),
if(countif(dd.nar.sim,$D18),"D",""),
if(countif(nap.nar.sim,$D18),"A",""),
if(countif(var.nar.sim,$D18),"V",""))</f>
        <v/>
      </c>
      <c r="AS18" s="34" t="str">
        <f>
CONCATENATE(if(countif(knap.que.sim,$D18),"K",""),
if(countif(np.que.sim,$D18),"P",""),
if(countif(imp.que.sim,$D18),"T",""),
if(countif(dd.que.sim,$D18),"D",""),
if(countif(nap.que.sim,$D18),"A",""),
if(countif(var.que.sim,$D18),"V",""))</f>
        <v/>
      </c>
      <c r="AT18" s="37"/>
      <c r="AU18" s="32" t="str">
        <f>IFERROR(__xludf.DUMMYFUNCTION("if(countif(kr.agi, CONCATENATE(regexextract($C18,""[\w]* [\w]*""), ""*"")),""X"","""")"),"")</f>
        <v/>
      </c>
      <c r="AV18" s="38" t="str">
        <f>IFERROR(__xludf.DUMMYFUNCTION("if(countif(kr.bun,CONCATENATE(regexextract($C18,""[\w]* [\w]*""), ""*"")),""X"","""")"),"")</f>
        <v/>
      </c>
      <c r="AW18" s="38" t="str">
        <f>IFERROR(__xludf.DUMMYFUNCTION("if(countif(kr.kxn,CONCATENATE(regexextract($C18,""[\w]* [\w]*""), ""*"")),""X"","""")"),"")</f>
        <v/>
      </c>
      <c r="AX18" s="38" t="str">
        <f>IFERROR(__xludf.DUMMYFUNCTION("if(countif(kr.hwb,CONCATENATE(regexextract($C18,""[\w]* [\w]*""), ""*"")),""X"","""")"),"")</f>
        <v/>
      </c>
      <c r="AY18" s="38" t="str">
        <f>IFERROR(__xludf.DUMMYFUNCTION("if(countif(kr.ec,CONCATENATE(regexextract($C18,""[\w]* [\w]*""), ""*"")),""X"","""")"),"")</f>
        <v/>
      </c>
      <c r="AZ18" s="38" t="str">
        <f>IFERROR(__xludf.DUMMYFUNCTION("if(countif(kr.egt,CONCATENATE(regexextract($C18,""[\w]* [\w]*""), ""*"")),""X"","""")"),"")</f>
        <v/>
      </c>
      <c r="BA18" s="38"/>
      <c r="BB18" s="38" t="str">
        <f>IFERROR(__xludf.DUMMYFUNCTION("if(countif(kr.erd,CONCATENATE(regexextract($C18,""[\w]* [\w]*""), ""*"")),""X"","""")"),"")</f>
        <v/>
      </c>
      <c r="BC18" s="38" t="str">
        <f>IFERROR(__xludf.DUMMYFUNCTION("if(countif(kr.gkxn,CONCATENATE(regexextract($C18,""[\w]* [\w]*""), ""*"")),""X"","""")"),"")</f>
        <v/>
      </c>
      <c r="BD18" s="38" t="str">
        <f>IFERROR(__xludf.DUMMYFUNCTION("if(countif(kr.gen,CONCATENATE(regexextract(C18,""[\w]* [\w]*""), ""*"")),""X"","""")"),"")</f>
        <v/>
      </c>
      <c r="BE18" s="38" t="str">
        <f>IFERROR(__xludf.DUMMYFUNCTION("if(countif(kr.hcc,CONCATENATE(regexextract($C18,""[\w]* [\w]*""), ""*"")),""X"","""")"),"")</f>
        <v/>
      </c>
      <c r="BF18" s="38" t="str">
        <f>IFERROR(__xludf.DUMMYFUNCTION("if(countif(kr.kmp,CONCATENATE(regexextract($C18,""[\w]* [\w]*""), ""*"")),""X"","""")"),"")</f>
        <v/>
      </c>
      <c r="BG18" s="38" t="str">
        <f>IFERROR(__xludf.DUMMYFUNCTION("if(countif(kr.lu2,CONCATENATE(regexextract($C18,""[\w]* [\w]*""), ""*"")),""X"","""")"),"")</f>
        <v/>
      </c>
      <c r="BH18" s="38" t="str">
        <f>IFERROR(__xludf.DUMMYFUNCTION("if(countif(kr.myc,CONCATENATE(regexextract($C18,""[\w]* [\w]*""), ""*"")),""X"","""")"),"")</f>
        <v/>
      </c>
      <c r="BI18" s="38" t="str">
        <f>IFERROR(__xludf.DUMMYFUNCTION("if(countif(kr.nar,CONCATENATE(regexextract($C18,""[\w]* [\w]*""), ""*"")),""X"","""")"),"")</f>
        <v/>
      </c>
      <c r="BJ18" s="38" t="str">
        <f>IFERROR(__xludf.DUMMYFUNCTION("if(countif(kr.que,CONCATENATE(regexextract($C18,""[\w]* [\w]*""), ""*"")),""X"","""")"),"")</f>
        <v/>
      </c>
      <c r="BK18" s="39"/>
      <c r="BL18" s="40" t="str">
        <f>IFERROR(__xludf.DUMMYFUNCTION(" CONCATENATE( 
if (regexmatch(I18, ""^[A-Za-z\.\_]+""), ""L"", 
if(regexmatch(AB18, ""^[A-Za-z\.\_]+""),""S"","""")),
if(AU18=""X"",""K"",""""))"),"")</f>
        <v/>
      </c>
      <c r="BM18" s="40" t="str">
        <f>IFERROR(__xludf.DUMMYFUNCTION(" CONCATENATE( 
if (regexmatch(J18, ""^[A-Za-z\.\_]+""), ""L"", 
if(regexmatch(AC18, ""^[A-Za-z\.\_]+""),""S"","""")),
if(AV18=""X"",""K"",""""))"),"")</f>
        <v/>
      </c>
      <c r="BN18" s="40" t="str">
        <f>IFERROR(__xludf.DUMMYFUNCTION(" CONCATENATE( 
if (regexmatch(K18, ""^[A-Za-z\.\_]+""), ""L"", 
if(regexmatch(AD18, ""^[A-Za-z\.\_]+""),""S"","""")),
if(AW18=""X"",""K"",""""))"),"")</f>
        <v/>
      </c>
      <c r="BO18" s="40" t="str">
        <f>IFERROR(__xludf.DUMMYFUNCTION(" CONCATENATE( 
if (regexmatch(L18, ""^[A-Za-z\.\_]+""), ""L"", 
if(regexmatch(AE18, ""^[A-Za-z\.\_]+""),""S"","""")),
if(AX18=""X"",""K"",""""))"),"")</f>
        <v/>
      </c>
      <c r="BP18" s="40" t="str">
        <f>IFERROR(__xludf.DUMMYFUNCTION(" CONCATENATE( 
if (regexmatch(M18, ""^[A-Za-z\.\_]+""), ""L"", 
if(regexmatch(AF18, ""^[A-Za-z\.\_]+""),""S"","""")),
if(AY18=""X"",""K"",""""))"),"")</f>
        <v/>
      </c>
      <c r="BQ18" s="40" t="str">
        <f>IFERROR(__xludf.DUMMYFUNCTION("CONCATENATE( 
if (regexmatch(O18, ""^[A-Za-z\.\_]+""), ""L"", 
if(regexmatch(AH18, ""^[A-Za-z\.\_]+""),""S"","""")),
if(AZ18=""X"",""K"",""""))"),"")</f>
        <v/>
      </c>
      <c r="BR18" s="40" t="str">
        <f>IFERROR(__xludf.DUMMYFUNCTION("CONCATENATE( 
if (regexmatch(Q18, ""^[A-Za-z\.\_]+""), ""L"", 
if(regexmatch(AJ18, ""^[A-Za-z\.\_]+""),""S"","""")),
if(BA18=""X"",""K"",""""))"),"")</f>
        <v/>
      </c>
      <c r="BS18" s="40" t="str">
        <f>IFERROR(__xludf.DUMMYFUNCTION(" CONCATENATE( 
if (regexmatch(R18, ""^[A-Za-z\.\_]+""), ""L"", 
if(regexmatch(AK18, ""^[A-Za-z\.\_]+""),""S"","""")),
if(BB18=""X"",""K"",""""))"),"")</f>
        <v/>
      </c>
      <c r="BT18" s="40" t="str">
        <f>IFERROR(__xludf.DUMMYFUNCTION("CONCATENATE( 
if (regexmatch(S18, ""^[A-Za-z\.\_]+""), ""L"", 
if(regexmatch(AL18, ""^[A-Za-z\.\_]+""),""S"","""")),
if(BC18=""X"",""K"",""""))"),"")</f>
        <v/>
      </c>
      <c r="BU18" s="40" t="str">
        <f>IFERROR(__xludf.DUMMYFUNCTION("CONCATENATE( 
if (regexmatch(T18, ""^[A-Za-z\.\_]+""), ""L"", 
if(regexmatch(AM18, ""^[A-Za-z\.\_]+""),""S"","""")),
if(BD18=""X"",""K"",""""))"),"")</f>
        <v/>
      </c>
      <c r="BV18" s="40" t="str">
        <f>IFERROR(__xludf.DUMMYFUNCTION("CONCATENATE( 
if (regexmatch(U18, ""^[A-Za-z\.\_]+""), ""L"", 
if(regexmatch(AN18, ""^[A-Za-z\.\_]+""),""S"","""")),
if(BE18=""X"",""K"",""""))"),"")</f>
        <v/>
      </c>
      <c r="BW18" s="40" t="str">
        <f>IFERROR(__xludf.DUMMYFUNCTION(" CONCATENATE( 
if (regexmatch(V18, ""^[A-Za-z\.\_]+""), ""L"", 
if(regexmatch(AO18, ""^[A-Za-z\.\_]+""),""S"","""")),
if(BF18=""X"",""K"",""""))"),"")</f>
        <v/>
      </c>
      <c r="BX18" s="40" t="str">
        <f>IFERROR(__xludf.DUMMYFUNCTION("CONCATENATE( 
if (regexmatch(W18, ""^[A-Za-z\.\_]+""), ""L"", 
if(regexmatch(AP18, ""^[A-Za-z\.\_]+""),""S"","""")),
if(BG18=""X"",""K"",""""))"),"")</f>
        <v/>
      </c>
      <c r="BY18" s="40" t="str">
        <f>IFERROR(__xludf.DUMMYFUNCTION("CONCATENATE( 
if (regexmatch(X18, ""^[A-Za-z\.\_]+""), ""L"", 
if(regexmatch(AQ18, ""^[A-Za-z\.\_]+""),""S"","""")),
if(BH18=""X"",""K"",""""))"),"")</f>
        <v/>
      </c>
      <c r="BZ18" s="40" t="str">
        <f>IFERROR(__xludf.DUMMYFUNCTION("CONCATENATE( 
if (regexmatch(Y18, ""^[A-Za-z\.\_]+""), ""L"", 
if(regexmatch(AR18, ""^[A-Za-z\.\_]+""),""S"","""")),
if(BI18=""X"",""K"",""""))"),"")</f>
        <v/>
      </c>
      <c r="CA18" s="40" t="str">
        <f>IFERROR(__xludf.DUMMYFUNCTION("CONCATENATE( 
if (regexmatch(Z18, ""^[A-Za-z\.\_]+""), ""L"", 
if(regexmatch(AS18, ""^[A-Za-z\.\_]+""),""S"","""")),
if(BJ18=""X"",""K"",""""))"),"")</f>
        <v/>
      </c>
      <c r="CB18" s="39"/>
      <c r="CC18" s="39"/>
      <c r="CD18" s="39"/>
      <c r="CE18" s="39"/>
      <c r="CF18" s="39"/>
      <c r="CG18" s="39"/>
      <c r="CH18" s="39"/>
      <c r="CI18" s="39"/>
      <c r="CJ18" s="39"/>
      <c r="CK18" s="39"/>
      <c r="CL18" s="39"/>
      <c r="CM18" s="39"/>
      <c r="CN18" s="39"/>
      <c r="CO18" s="39"/>
      <c r="CP18" s="39"/>
      <c r="CQ18" s="39"/>
      <c r="CR18" s="39"/>
    </row>
    <row r="19">
      <c r="A19" s="25">
        <v>71.0</v>
      </c>
      <c r="B19" s="26" t="s">
        <v>131</v>
      </c>
      <c r="C19" s="41" t="s">
        <v>132</v>
      </c>
      <c r="D19" s="27" t="str">
        <f>IFERROR(__xludf.DUMMYFUNCTION("CONCATENATE(regexextract($C19,""[\w]* [\w]*""), ""*"")"),"Capsicum annuum*")</f>
        <v>Capsicum annuum*</v>
      </c>
      <c r="E19" s="28" t="s">
        <v>133</v>
      </c>
      <c r="F19" s="55">
        <v>4072.0</v>
      </c>
      <c r="G19" s="53"/>
      <c r="H19" s="31"/>
      <c r="I19" s="32" t="str">
        <f>CONCATENATE(
if(countif(dd.agi,$D19),"D",""),
if(countif(knap.agi,$D19),"K",""),
if(countif(mic.agi,$D19),"M",""),
if(countif(nap.agi,$D19),"N",""),
if(countif(np.agi,$D19),"P",""),
if(countif(imp.agi,$D19),"T",""),
if(countif(us.agi,$D19),"U",""),
if(countif(var.agi,$D19),"V","")
)</f>
        <v>T</v>
      </c>
      <c r="J19" s="32" t="str">
        <f>
CONCATENATE(
if(countif(nap.bun,$D19),"N",""),
if(countif(np.bun,$D19),"P","")
)
</f>
        <v/>
      </c>
      <c r="K19" s="32" t="str">
        <f>CONCATENATE(
if(countif(dd.kxn,$D19),"D",""),
if(countif(knap.kxn,$D19),"K",""),
if(countif(mic.kxn,$D19),"M",""),
if(countif(nap.kxn,$D19),"N",""),
if(countif(np.kxn,$D19),"P",""),
if(countif(us.kxn,$D19),"U",""),
if(countif(var.kxn,$D19),"V","")
)</f>
        <v>V</v>
      </c>
      <c r="L19" s="32" t="str">
        <f>
CONCATENATE(
if(countif(dd.hwb,$D19),"D",""),
if(countif(knap.hwb,$D19),"K",""),
if(countif(mic.hwb,$D19),"M",""),
if(countif(nap.hwb,$D19),"N",""),
if(countif(np.hwb,$D19),"P",""),
if(countif(us.hwb,$D19),"U",""),
if(countif(imp.hwb,$D19),"T",""),
if(countif(var.hwb,$D19),"V","")
)</f>
        <v>K</v>
      </c>
      <c r="M19" s="32" t="str">
        <f>CONCATENATE(
if(countif(dd.epc,$D19),"D",""),
if(countif(knap.ekxn,$D19),"K",""),
if(countif(mic.ekxn,$D19),"M",""),
if(countif(nap.ekxn,$D19),"N",""),
if(countif(np.ekxn,$D19),"P",""),
if(countif(imp.epc,$D19),"T",""),
if(countif(us.ekxn,$D19),"U",""),
if(countif(var.ekxn,$D19),"V","")
)</f>
        <v>V</v>
      </c>
      <c r="N19" s="32" t="str">
        <f>
CONCATENATE(
if(countif(dd.ecg,$D19),"D",""),
if(countif(mic.ecg,$D19),"M",""),
if(countif(np.ecg,$D19),"P",""),
if(countif(imp.ecg,$D19),"T",""),
if(countif(us.ecg,$D19),"U","")
)</f>
        <v/>
      </c>
      <c r="O19" s="32" t="str">
        <f>
CONCATENATE(
if(countif(dd.egt,$D19),"D",""),
if(countif(mic.egt,$D19),"M",""),
if(countif(nap.egt,$D19),"N",""),
if(countif(us.egt,$D19),"U",""),
if(countif(var.egt,$D19),"V",""))
</f>
        <v/>
      </c>
      <c r="P19" s="32" t="str">
        <f>CONCATENATE(
if(countif(knap.egcg,$D19),"K",""),
if(countif(mic.egcg,$D19),"M",""),
if(countif(np.egcg,$D19),"P",""),
if(countif(us.egcg,$D19),"U","")
)</f>
        <v/>
      </c>
      <c r="Q19" s="32" t="str">
        <f>CONCATENATE(if(countif(np.ecit,$D19),"P",""),
if(countif(nap.ecit,$D19),"A",""))</f>
        <v/>
      </c>
      <c r="R19" s="32" t="str">
        <f>
CONCATENATE(
if(countif(nap.erd,$D19),"N",""),
if(countif(np.erd,$D19),"P",""),
if(countif(var.erd,$D19),"V",""))</f>
        <v/>
      </c>
      <c r="S19" s="32" t="str">
        <f>
CONCATENATE(
if(countif(dd.gkxn,$D19),"D",""),
if(countif(knap.gkxn,$D19),"K",""),
if(countif(nap.gkxn,$D19),"N",""),
if(countif(np.gkxn,$D19),"P",""),
if(countif(imp.gkxn,$D19),"T",""),
if(countif(var.gkxn,$D19),"V",""))</f>
        <v/>
      </c>
      <c r="T19" s="32" t="str">
        <f>
CONCATENATE(
if(countif(dd.gen,$C19),"D",""),
if(countif(knap.gen,$C19),"K",""),
if(countif(nap.gen,$C19),"N",""),
if(countif(np.gen,$C19),"P",""),
if(countif(imp.gen,$C19),"T",""),
if(countif(var.gen,$C19),"V",""))</f>
        <v/>
      </c>
      <c r="U19" s="32" t="str">
        <f>
CONCATENATE(
if(countif(dd.hcc,$D19),"D",""),
if(countif(knap.hcc,$D19),"K",""),
if(countif(np.hcc,$D19),"P","")
)
</f>
        <v/>
      </c>
      <c r="V19" s="32" t="str">
        <f>
CONCATENATE(
if(countif(dd.kmp,$D19),"D",""),
if(countif(knap.kmp,$D19),"K",""),
if(countif(mic.kmp,$D19),"M",""),
if(countif(nap.kmp,$D19),"N",""),
if(countif(np.kmp,$D19),"P",""),
if(countif(imp.kmp,$D19),"T",""),
if(countif(us.kmp,$D19),"U",""),
if(countif(var.kmp,$D19),"V",""))</f>
        <v>KMU</v>
      </c>
      <c r="W19" s="32" t="str">
        <f>
CONCATENATE(
if(countif(dd.lu2,$D19),"D",""),
if(countif(knap.lu2,$D19),"K",""),
if(countif(mic.lu2,$D19),"M",""),
if(countif(nap.lu2,$D19),"N",""),
if(countif(np.lu2,$D19),"P",""),
if(countif(imp.lu2,$D19),"T",""),
if(countif(us.lu2,$D19),"U",""),
if(countif(var.lu2,$D19),"V",""))</f>
        <v>DKMNPTU</v>
      </c>
      <c r="X19" s="32" t="str">
        <f>
CONCATENATE(
if(countif(dd.myc,$D19),"D",""),
if(countif(knap.myc,$D19),"K",""), 
if(countif(mic.myc,$D19),"M",""),
if(countif(nap.myc,$D19),"N",""),
if(countif(np.myc,$D19),"P",""),
if(countif(imp.myc,$D19),"T",""),
if(countif(us.myc,$D19),"U",""),
if(countif(var.myc,$D19),"V",""))</f>
        <v>DNU</v>
      </c>
      <c r="Y19" s="32" t="str">
        <f>CONCATENATE(
if(countif(dd.nar,$D19),"D",""),
if(countif(knap.nar,$D19),"K",""),
if(countif(nap.nar,$D19),"N",""),
if(countif(np.nar,$D19),"P",""),
if(countif(imp.nar,$D19),"T",""),
if(countif(us.nar,$D19),"U",""),
if(countif(var.nar,$D19),"V",""))</f>
        <v>K</v>
      </c>
      <c r="Z19" s="33" t="str">
        <f>
CONCATENATE(
if(countif(dd.que,$D19),"D",""),
if(countif(knap.que,$D19),"K",""),
if(countif(mic.que,$D19),"M",""),
if(countif(nap.que,$D19),"N",""),
if(countif(np.que,$D19),"P",""),
if(countif(imp.que,$D19),"T",""),
if(countif(us.que,$D19),"U",""),
if(countif(var.que,$D19),"V",""))</f>
        <v>DKMPU</v>
      </c>
      <c r="AA19" s="32"/>
      <c r="AB19" s="34" t="str">
        <f>
CONCATENATE(if(countif(knap.agi.sim,$D19),"K",""),
if(countif(dd.agi.sim,$D19),"D",""),
if(countif(nap.agi.sim,$D19),"A",""),
if(countif(var.agi.sim,$D19),"V",""))</f>
        <v>KDA</v>
      </c>
      <c r="AC19" s="34" t="str">
        <f>
if(countif(nap.bun.sim,$D19),"A","")</f>
        <v/>
      </c>
      <c r="AD19" s="34" t="str">
        <f>
CONCATENATE(if(countif(knap.kxn.sim,$D19),"K",""),
if(countif(np.kxn.sim,$D19),"P",""),
if(countif(dd.kxn.sim,$D19),"D",""),
if(countif(nap.kxn.sim,$D19),"A",""),
if(countif(var.kxn.sim,$D19),"V",""))</f>
        <v/>
      </c>
      <c r="AE19" s="34" t="str">
        <f>
CONCATENATE(if(countif(knap.hwb.sim,$D19),"K",""),
if(countif(np.hwb.sim,$D19),"P",""),
if(countif(mic.hwb.sim,$D19),"M",""),
if(countif(imp.hwb.sim,$D19),"T",""),
if(countif(dd.cyan.sim,$D19),"D",""),
if(countif(nap.hwb.sim,$D19),"A",""),
if(countif(var.hwb.sim,$D19),"V",""))</f>
        <v>K</v>
      </c>
      <c r="AF19" s="34" t="str">
        <f>
CONCATENATE(if(countif(us.ekxn.sim,$D19),"U",""),
if(countif(knap.ekxn.sim,$D19),"K",""),
if(countif(np.ekxn.sim,$D19),"P",""),
if(countif(mic.ekxn.sim,$D19),"M",""),
if(countif(imp.epc.sim,$D19),"T",""),
if(countif(nap.ekxn.sim,$D19),"A",""))</f>
        <v/>
      </c>
      <c r="AG19" s="34"/>
      <c r="AH19" s="34" t="str">
        <f>
CONCATENATE(if(countif(us.egt.sim,$D19),"U",""),
if(countif(knap.egt.sim,$D19),"K",""),
if(countif(np.egt.sim,$D19),"P",""),
if(countif(mic.egt.sim,$D19),"M",""))</f>
        <v/>
      </c>
      <c r="AI19" s="34"/>
      <c r="AJ19" s="34" t="str">
        <f>if(countif(nap.ecit.sim,$D19),"A","")</f>
        <v/>
      </c>
      <c r="AK19" s="34" t="str">
        <f>
CONCATENATE(if(countif(nap.erd,$D19),"M",""),
if(countif(nap.erd.sim,$D19),"A",""),
if(countif(var.erd.sim,$D19),"V",""))</f>
        <v/>
      </c>
      <c r="AL19" s="34" t="str">
        <f>
CONCATENATE(if(countif(knap.gkxn.sim,$D19),"K",""),
if(countif(nap.gkxn.sim,$D19),"A",""))</f>
        <v/>
      </c>
      <c r="AM19" s="34" t="str">
        <f>
CONCATENATE(if(countif(knap.gen.sim,$C19),"K",""),
if(countif(imp.gen.sim,$C19),"T",""),
if(countif(dd.gen.sim,$C19),"D",""),
if(countif(nap.gen.sim,$C19),"A",""),
if(countif(var.gen.sim,$C19),"V",""))
</f>
        <v/>
      </c>
      <c r="AN19" s="34" t="str">
        <f>IFERROR(__xludf.DUMMYFUNCTION("
if(countif(#REF!,CONCATENATE(regexextract($C19,""[\w]* [\w]*""), ""*"")),""V"","""")"),"")</f>
        <v/>
      </c>
      <c r="AO19" s="34" t="str">
        <f>
CONCATENATE(if(countif(knap.kmp.sim,$D19),"K",""),
if(countif(np.kmp.sim,$D19),"P",""),
if(countif(imp.kmp.sim,$D19),"T",""),
if(countif(dd.kmp,$D19),"D",""),
if(countif(nap.kmp.sim,$D19),"A",""),
if(countif(var.kmp.sim,$D19),"V",""))</f>
        <v/>
      </c>
      <c r="AP19" s="34" t="str">
        <f>
CONCATENATE(if(countif(knap.lu2.sim,$D19),"K",""),
if(countif(np.lu2.sim,$D19),"P",""),
if(countif(imp.lu2.sim,$D19),"T",""),
if(countif(dd.lu2.sim,$D19),"D",""),
if(countif(nap.lu2.sim,$D19),"A",""),
if(countif(var.lu2.sim,$D19),"V",""))</f>
        <v>KPD</v>
      </c>
      <c r="AQ19" s="34" t="str">
        <f>
CONCATENATE(if(countif(np.myc.sim,$D19),"P",""),
if(countif(imp.myc.sim,$D19),"T",""),
if(countif(nap.myc.sim,$D19),"A",""))
</f>
        <v/>
      </c>
      <c r="AR19" s="36" t="str">
        <f>
CONCATENATE(if(countif(knap.nar.sim,$D19),"K",""),
if(countif(np.nar.sim,$D19),"P",""),
if(countif(imp.nar.sim,$D19),"T",""),
if(countif(dd.nar.sim,$D19),"D",""),
if(countif(nap.nar.sim,$D19),"A",""),
if(countif(var.nar.sim,$D19),"V",""))</f>
        <v>K</v>
      </c>
      <c r="AS19" s="34" t="str">
        <f>
CONCATENATE(if(countif(knap.que.sim,$D19),"K",""),
if(countif(np.que.sim,$D19),"P",""),
if(countif(imp.que.sim,$D19),"T",""),
if(countif(dd.que.sim,$D19),"D",""),
if(countif(nap.que.sim,$D19),"A",""),
if(countif(var.que.sim,$D19),"V",""))</f>
        <v>KPA</v>
      </c>
      <c r="AT19" s="37"/>
      <c r="AU19" s="32" t="str">
        <f>IFERROR(__xludf.DUMMYFUNCTION("if(countif(kr.agi, CONCATENATE(regexextract($C19,""[\w]* [\w]*""), ""*"")),""X"","""")"),"")</f>
        <v/>
      </c>
      <c r="AV19" s="38" t="str">
        <f>IFERROR(__xludf.DUMMYFUNCTION("if(countif(kr.bun,CONCATENATE(regexextract($C19,""[\w]* [\w]*""), ""*"")),""X"","""")"),"X")</f>
        <v>X</v>
      </c>
      <c r="AW19" s="38" t="str">
        <f>IFERROR(__xludf.DUMMYFUNCTION("if(countif(kr.kxn,CONCATENATE(regexextract($C19,""[\w]* [\w]*""), ""*"")),""X"","""")"),"")</f>
        <v/>
      </c>
      <c r="AX19" s="38" t="str">
        <f>IFERROR(__xludf.DUMMYFUNCTION("if(countif(kr.hwb,CONCATENATE(regexextract($C19,""[\w]* [\w]*""), ""*"")),""X"","""")"),"X")</f>
        <v>X</v>
      </c>
      <c r="AY19" s="38" t="str">
        <f>IFERROR(__xludf.DUMMYFUNCTION("if(countif(kr.ec,CONCATENATE(regexextract($C19,""[\w]* [\w]*""), ""*"")),""X"","""")"),"")</f>
        <v/>
      </c>
      <c r="AZ19" s="38" t="str">
        <f>IFERROR(__xludf.DUMMYFUNCTION("if(countif(kr.egt,CONCATENATE(regexextract($C19,""[\w]* [\w]*""), ""*"")),""X"","""")"),"")</f>
        <v/>
      </c>
      <c r="BA19" s="38"/>
      <c r="BB19" s="38" t="str">
        <f>IFERROR(__xludf.DUMMYFUNCTION("if(countif(kr.erd,CONCATENATE(regexextract($C19,""[\w]* [\w]*""), ""*"")),""X"","""")"),"X")</f>
        <v>X</v>
      </c>
      <c r="BC19" s="38" t="str">
        <f>IFERROR(__xludf.DUMMYFUNCTION("if(countif(kr.gkxn,CONCATENATE(regexextract($C19,""[\w]* [\w]*""), ""*"")),""X"","""")"),"")</f>
        <v/>
      </c>
      <c r="BD19" s="38" t="str">
        <f>IFERROR(__xludf.DUMMYFUNCTION("if(countif(kr.gen,CONCATENATE(regexextract(C19,""[\w]* [\w]*""), ""*"")),""X"","""")"),"")</f>
        <v/>
      </c>
      <c r="BE19" s="38" t="str">
        <f>IFERROR(__xludf.DUMMYFUNCTION("if(countif(kr.hcc,CONCATENATE(regexextract($C19,""[\w]* [\w]*""), ""*"")),""X"","""")"),"X")</f>
        <v>X</v>
      </c>
      <c r="BF19" s="38" t="str">
        <f>IFERROR(__xludf.DUMMYFUNCTION("if(countif(kr.kmp,CONCATENATE(regexextract($C19,""[\w]* [\w]*""), ""*"")),""X"","""")"),"X")</f>
        <v>X</v>
      </c>
      <c r="BG19" s="38" t="str">
        <f>IFERROR(__xludf.DUMMYFUNCTION("if(countif(kr.lu2,CONCATENATE(regexextract($C19,""[\w]* [\w]*""), ""*"")),""X"","""")"),"")</f>
        <v/>
      </c>
      <c r="BH19" s="38" t="str">
        <f>IFERROR(__xludf.DUMMYFUNCTION("if(countif(kr.myc,CONCATENATE(regexextract($C19,""[\w]* [\w]*""), ""*"")),""X"","""")"),"X")</f>
        <v>X</v>
      </c>
      <c r="BI19" s="38" t="str">
        <f>IFERROR(__xludf.DUMMYFUNCTION("if(countif(kr.nar,CONCATENATE(regexextract($C19,""[\w]* [\w]*""), ""*"")),""X"","""")"),"X")</f>
        <v>X</v>
      </c>
      <c r="BJ19" s="38" t="str">
        <f>IFERROR(__xludf.DUMMYFUNCTION("if(countif(kr.que,CONCATENATE(regexextract($C19,""[\w]* [\w]*""), ""*"")),""X"","""")"),"X")</f>
        <v>X</v>
      </c>
      <c r="BK19" s="39"/>
      <c r="BL19" s="40" t="str">
        <f>IFERROR(__xludf.DUMMYFUNCTION(" CONCATENATE( 
if (regexmatch(I19, ""^[A-Za-z\.\_]+""), ""L"", 
if(regexmatch(AB19, ""^[A-Za-z\.\_]+""),""S"","""")),
if(AU19=""X"",""K"",""""))"),"L")</f>
        <v>L</v>
      </c>
      <c r="BM19" s="40" t="str">
        <f>IFERROR(__xludf.DUMMYFUNCTION(" CONCATENATE( 
if (regexmatch(J19, ""^[A-Za-z\.\_]+""), ""L"", 
if(regexmatch(AC19, ""^[A-Za-z\.\_]+""),""S"","""")),
if(AV19=""X"",""K"",""""))"),"K")</f>
        <v>K</v>
      </c>
      <c r="BN19" s="40" t="str">
        <f>IFERROR(__xludf.DUMMYFUNCTION(" CONCATENATE( 
if (regexmatch(K19, ""^[A-Za-z\.\_]+""), ""L"", 
if(regexmatch(AD19, ""^[A-Za-z\.\_]+""),""S"","""")),
if(AW19=""X"",""K"",""""))"),"L")</f>
        <v>L</v>
      </c>
      <c r="BO19" s="40" t="str">
        <f>IFERROR(__xludf.DUMMYFUNCTION(" CONCATENATE( 
if (regexmatch(L19, ""^[A-Za-z\.\_]+""), ""L"", 
if(regexmatch(AE19, ""^[A-Za-z\.\_]+""),""S"","""")),
if(AX19=""X"",""K"",""""))"),"LK")</f>
        <v>LK</v>
      </c>
      <c r="BP19" s="40" t="str">
        <f>IFERROR(__xludf.DUMMYFUNCTION(" CONCATENATE( 
if (regexmatch(M19, ""^[A-Za-z\.\_]+""), ""L"", 
if(regexmatch(AF19, ""^[A-Za-z\.\_]+""),""S"","""")),
if(AY19=""X"",""K"",""""))"),"L")</f>
        <v>L</v>
      </c>
      <c r="BQ19" s="40" t="str">
        <f>IFERROR(__xludf.DUMMYFUNCTION("CONCATENATE( 
if (regexmatch(O19, ""^[A-Za-z\.\_]+""), ""L"", 
if(regexmatch(AH19, ""^[A-Za-z\.\_]+""),""S"","""")),
if(AZ19=""X"",""K"",""""))"),"")</f>
        <v/>
      </c>
      <c r="BR19" s="40" t="str">
        <f>IFERROR(__xludf.DUMMYFUNCTION("CONCATENATE( 
if (regexmatch(Q19, ""^[A-Za-z\.\_]+""), ""L"", 
if(regexmatch(AJ19, ""^[A-Za-z\.\_]+""),""S"","""")),
if(BA19=""X"",""K"",""""))"),"")</f>
        <v/>
      </c>
      <c r="BS19" s="40" t="str">
        <f>IFERROR(__xludf.DUMMYFUNCTION(" CONCATENATE( 
if (regexmatch(R19, ""^[A-Za-z\.\_]+""), ""L"", 
if(regexmatch(AK19, ""^[A-Za-z\.\_]+""),""S"","""")),
if(BB19=""X"",""K"",""""))"),"K")</f>
        <v>K</v>
      </c>
      <c r="BT19" s="40" t="str">
        <f>IFERROR(__xludf.DUMMYFUNCTION("CONCATENATE( 
if (regexmatch(S19, ""^[A-Za-z\.\_]+""), ""L"", 
if(regexmatch(AL19, ""^[A-Za-z\.\_]+""),""S"","""")),
if(BC19=""X"",""K"",""""))"),"")</f>
        <v/>
      </c>
      <c r="BU19" s="40" t="str">
        <f>IFERROR(__xludf.DUMMYFUNCTION("CONCATENATE( 
if (regexmatch(T19, ""^[A-Za-z\.\_]+""), ""L"", 
if(regexmatch(AM19, ""^[A-Za-z\.\_]+""),""S"","""")),
if(BD19=""X"",""K"",""""))"),"")</f>
        <v/>
      </c>
      <c r="BV19" s="40" t="str">
        <f>IFERROR(__xludf.DUMMYFUNCTION("CONCATENATE( 
if (regexmatch(U19, ""^[A-Za-z\.\_]+""), ""L"", 
if(regexmatch(AN19, ""^[A-Za-z\.\_]+""),""S"","""")),
if(BE19=""X"",""K"",""""))"),"K")</f>
        <v>K</v>
      </c>
      <c r="BW19" s="40" t="str">
        <f>IFERROR(__xludf.DUMMYFUNCTION(" CONCATENATE( 
if (regexmatch(V19, ""^[A-Za-z\.\_]+""), ""L"", 
if(regexmatch(AO19, ""^[A-Za-z\.\_]+""),""S"","""")),
if(BF19=""X"",""K"",""""))"),"LK")</f>
        <v>LK</v>
      </c>
      <c r="BX19" s="40" t="str">
        <f>IFERROR(__xludf.DUMMYFUNCTION("CONCATENATE( 
if (regexmatch(W19, ""^[A-Za-z\.\_]+""), ""L"", 
if(regexmatch(AP19, ""^[A-Za-z\.\_]+""),""S"","""")),
if(BG19=""X"",""K"",""""))"),"L")</f>
        <v>L</v>
      </c>
      <c r="BY19" s="40" t="str">
        <f>IFERROR(__xludf.DUMMYFUNCTION("CONCATENATE( 
if (regexmatch(X19, ""^[A-Za-z\.\_]+""), ""L"", 
if(regexmatch(AQ19, ""^[A-Za-z\.\_]+""),""S"","""")),
if(BH19=""X"",""K"",""""))"),"LK")</f>
        <v>LK</v>
      </c>
      <c r="BZ19" s="40" t="str">
        <f>IFERROR(__xludf.DUMMYFUNCTION("CONCATENATE( 
if (regexmatch(Y19, ""^[A-Za-z\.\_]+""), ""L"", 
if(regexmatch(AR19, ""^[A-Za-z\.\_]+""),""S"","""")),
if(BI19=""X"",""K"",""""))"),"LK")</f>
        <v>LK</v>
      </c>
      <c r="CA19" s="40" t="str">
        <f>IFERROR(__xludf.DUMMYFUNCTION("CONCATENATE( 
if (regexmatch(Z19, ""^[A-Za-z\.\_]+""), ""L"", 
if(regexmatch(AS19, ""^[A-Za-z\.\_]+""),""S"","""")),
if(BJ19=""X"",""K"",""""))"),"LK")</f>
        <v>LK</v>
      </c>
      <c r="CB19" s="39"/>
      <c r="CC19" s="39"/>
      <c r="CD19" s="39"/>
      <c r="CE19" s="39"/>
      <c r="CF19" s="39"/>
      <c r="CG19" s="39"/>
      <c r="CH19" s="39"/>
      <c r="CI19" s="39"/>
      <c r="CJ19" s="39"/>
      <c r="CK19" s="39"/>
      <c r="CL19" s="39"/>
      <c r="CM19" s="39"/>
      <c r="CN19" s="39"/>
      <c r="CO19" s="39"/>
      <c r="CP19" s="39"/>
      <c r="CQ19" s="39"/>
      <c r="CR19" s="39"/>
    </row>
    <row r="20">
      <c r="A20" s="25">
        <v>13.0</v>
      </c>
      <c r="B20" s="26" t="s">
        <v>134</v>
      </c>
      <c r="C20" s="27" t="s">
        <v>135</v>
      </c>
      <c r="D20" s="27" t="str">
        <f>IFERROR(__xludf.DUMMYFUNCTION("CONCATENATE(regexextract($C20,""[\w]* [\w]*""), ""*"")"),"Carica papaya*")</f>
        <v>Carica papaya*</v>
      </c>
      <c r="E20" s="56" t="s">
        <v>136</v>
      </c>
      <c r="F20" s="54">
        <v>3649.0</v>
      </c>
      <c r="G20" s="53"/>
      <c r="H20" s="31"/>
      <c r="I20" s="32" t="str">
        <f>CONCATENATE(
if(countif(dd.agi,$D20),"D",""),
if(countif(knap.agi,$D20),"K",""),
if(countif(mic.agi,$D20),"M",""),
if(countif(nap.agi,$D20),"N",""),
if(countif(np.agi,$D20),"P",""),
if(countif(imp.agi,$D20),"T",""),
if(countif(us.agi,$D20),"U",""),
if(countif(var.agi,$D20),"V","")
)</f>
        <v>MU</v>
      </c>
      <c r="J20" s="32" t="str">
        <f>
CONCATENATE(
if(countif(nap.bun,$D20),"N",""),
if(countif(np.bun,$D20),"P","")
)
</f>
        <v/>
      </c>
      <c r="K20" s="32" t="str">
        <f>CONCATENATE(
if(countif(dd.kxn,$D20),"D",""),
if(countif(knap.kxn,$D20),"K",""),
if(countif(mic.kxn,$D20),"M",""),
if(countif(nap.kxn,$D20),"N",""),
if(countif(np.kxn,$D20),"P",""),
if(countif(us.kxn,$D20),"U",""),
if(countif(var.kxn,$D20),"V","")
)</f>
        <v>V</v>
      </c>
      <c r="L20" s="32" t="str">
        <f>
CONCATENATE(
if(countif(dd.hwb,$D20),"D",""),
if(countif(knap.hwb,$D20),"K",""),
if(countif(mic.hwb,$D20),"M",""),
if(countif(nap.hwb,$D20),"N",""),
if(countif(np.hwb,$D20),"P",""),
if(countif(us.hwb,$D20),"U",""),
if(countif(imp.hwb,$D20),"T",""),
if(countif(var.hwb,$D20),"V","")
)</f>
        <v>T</v>
      </c>
      <c r="M20" s="32" t="str">
        <f>CONCATENATE(
if(countif(dd.epc,$D20),"D",""),
if(countif(knap.ekxn,$D20),"K",""),
if(countif(mic.ekxn,$D20),"M",""),
if(countif(nap.ekxn,$D20),"N",""),
if(countif(np.ekxn,$D20),"P",""),
if(countif(imp.epc,$D20),"T",""),
if(countif(us.ekxn,$D20),"U",""),
if(countif(var.ekxn,$D20),"V","")
)</f>
        <v>V</v>
      </c>
      <c r="N20" s="32" t="str">
        <f>
CONCATENATE(
if(countif(dd.ecg,$D20),"D",""),
if(countif(mic.ecg,$D20),"M",""),
if(countif(np.ecg,$D20),"P",""),
if(countif(imp.ecg,$D20),"T",""),
if(countif(us.ecg,$D20),"U","")
)</f>
        <v/>
      </c>
      <c r="O20" s="32" t="str">
        <f>
CONCATENATE(
if(countif(dd.egt,$D20),"D",""),
if(countif(mic.egt,$D20),"M",""),
if(countif(nap.egt,$D20),"N",""),
if(countif(us.egt,$D20),"U",""),
if(countif(var.egt,$D20),"V",""))
</f>
        <v/>
      </c>
      <c r="P20" s="32" t="str">
        <f>CONCATENATE(
if(countif(knap.egcg,$D20),"K",""),
if(countif(mic.egcg,$D20),"M",""),
if(countif(np.egcg,$D20),"P",""),
if(countif(us.egcg,$D20),"U","")
)</f>
        <v/>
      </c>
      <c r="Q20" s="32" t="str">
        <f>CONCATENATE(if(countif(np.ecit,$D20),"P",""),
if(countif(nap.ecit,$D20),"A",""))</f>
        <v/>
      </c>
      <c r="R20" s="32" t="str">
        <f>
CONCATENATE(
if(countif(nap.erd,$D20),"N",""),
if(countif(np.erd,$D20),"P",""),
if(countif(var.erd,$D20),"V",""))</f>
        <v/>
      </c>
      <c r="S20" s="32" t="str">
        <f>
CONCATENATE(
if(countif(dd.gkxn,$D20),"D",""),
if(countif(knap.gkxn,$D20),"K",""),
if(countif(nap.gkxn,$D20),"N",""),
if(countif(np.gkxn,$D20),"P",""),
if(countif(imp.gkxn,$D20),"T",""),
if(countif(var.gkxn,$D20),"V",""))</f>
        <v/>
      </c>
      <c r="T20" s="32" t="str">
        <f>
CONCATENATE(
if(countif(dd.gen,$C20),"D",""),
if(countif(knap.gen,$C20),"K",""),
if(countif(nap.gen,$C20),"N",""),
if(countif(np.gen,$C20),"P",""),
if(countif(imp.gen,$C20),"T",""),
if(countif(var.gen,$C20),"V",""))</f>
        <v/>
      </c>
      <c r="U20" s="32" t="str">
        <f>
CONCATENATE(
if(countif(dd.hcc,$D20),"D",""),
if(countif(knap.hcc,$D20),"K",""),
if(countif(np.hcc,$D20),"P","")
)
</f>
        <v/>
      </c>
      <c r="V20" s="32" t="str">
        <f>
CONCATENATE(
if(countif(dd.kmp,$D20),"D",""),
if(countif(knap.kmp,$D20),"K",""),
if(countif(mic.kmp,$D20),"M",""),
if(countif(nap.kmp,$D20),"N",""),
if(countif(np.kmp,$D20),"P",""),
if(countif(imp.kmp,$D20),"T",""),
if(countif(us.kmp,$D20),"U",""),
if(countif(var.kmp,$D20),"V",""))</f>
        <v>KMU</v>
      </c>
      <c r="W20" s="32" t="str">
        <f>
CONCATENATE(
if(countif(dd.lu2,$D20),"D",""),
if(countif(knap.lu2,$D20),"K",""),
if(countif(mic.lu2,$D20),"M",""),
if(countif(nap.lu2,$D20),"N",""),
if(countif(np.lu2,$D20),"P",""),
if(countif(imp.lu2,$D20),"T",""),
if(countif(us.lu2,$D20),"U",""),
if(countif(var.lu2,$D20),"V",""))</f>
        <v>MU</v>
      </c>
      <c r="X20" s="32" t="str">
        <f>
CONCATENATE(
if(countif(dd.myc,$D20),"D",""),
if(countif(knap.myc,$D20),"K",""), 
if(countif(mic.myc,$D20),"M",""),
if(countif(nap.myc,$D20),"N",""),
if(countif(np.myc,$D20),"P",""),
if(countif(imp.myc,$D20),"T",""),
if(countif(us.myc,$D20),"U",""),
if(countif(var.myc,$D20),"V",""))</f>
        <v>MU</v>
      </c>
      <c r="Y20" s="32" t="str">
        <f>CONCATENATE(
if(countif(dd.nar,$D20),"D",""),
if(countif(knap.nar,$D20),"K",""),
if(countif(nap.nar,$D20),"N",""),
if(countif(np.nar,$D20),"P",""),
if(countif(imp.nar,$D20),"T",""),
if(countif(us.nar,$D20),"U",""),
if(countif(var.nar,$D20),"V",""))</f>
        <v>K</v>
      </c>
      <c r="Z20" s="33" t="str">
        <f>
CONCATENATE(
if(countif(dd.que,$D20),"D",""),
if(countif(knap.que,$D20),"K",""),
if(countif(mic.que,$D20),"M",""),
if(countif(nap.que,$D20),"N",""),
if(countif(np.que,$D20),"P",""),
if(countif(imp.que,$D20),"T",""),
if(countif(us.que,$D20),"U",""),
if(countif(var.que,$D20),"V",""))</f>
        <v>KN</v>
      </c>
      <c r="AA20" s="32"/>
      <c r="AB20" s="34" t="str">
        <f>
CONCATENATE(if(countif(knap.agi.sim,$D20),"K",""),
if(countif(dd.agi.sim,$D20),"D",""),
if(countif(nap.agi.sim,$D20),"A",""),
if(countif(var.agi.sim,$D20),"V",""))</f>
        <v/>
      </c>
      <c r="AC20" s="34" t="str">
        <f>
if(countif(nap.bun.sim,$D20),"A","")</f>
        <v/>
      </c>
      <c r="AD20" s="34" t="str">
        <f>
CONCATENATE(if(countif(knap.kxn.sim,$D20),"K",""),
if(countif(np.kxn.sim,$D20),"P",""),
if(countif(dd.kxn.sim,$D20),"D",""),
if(countif(nap.kxn.sim,$D20),"A",""),
if(countif(var.kxn.sim,$D20),"V",""))</f>
        <v/>
      </c>
      <c r="AE20" s="34" t="str">
        <f>
CONCATENATE(if(countif(knap.hwb.sim,$D20),"K",""),
if(countif(np.hwb.sim,$D20),"P",""),
if(countif(mic.hwb.sim,$D20),"M",""),
if(countif(imp.hwb.sim,$D20),"T",""),
if(countif(dd.cyan.sim,$D20),"D",""),
if(countif(nap.hwb.sim,$D20),"A",""),
if(countif(var.hwb.sim,$D20),"V",""))</f>
        <v/>
      </c>
      <c r="AF20" s="34" t="str">
        <f>
CONCATENATE(if(countif(us.ekxn.sim,$D20),"U",""),
if(countif(knap.ekxn.sim,$D20),"K",""),
if(countif(np.ekxn.sim,$D20),"P",""),
if(countif(mic.ekxn.sim,$D20),"M",""),
if(countif(imp.epc.sim,$D20),"T",""),
if(countif(nap.ekxn.sim,$D20),"A",""))</f>
        <v/>
      </c>
      <c r="AG20" s="34"/>
      <c r="AH20" s="34" t="str">
        <f>
CONCATENATE(if(countif(us.egt.sim,$D20),"U",""),
if(countif(knap.egt.sim,$D20),"K",""),
if(countif(np.egt.sim,$D20),"P",""),
if(countif(mic.egt.sim,$D20),"M",""))</f>
        <v/>
      </c>
      <c r="AI20" s="34"/>
      <c r="AJ20" s="34" t="str">
        <f>if(countif(nap.ecit.sim,$D20),"A","")</f>
        <v/>
      </c>
      <c r="AK20" s="34" t="str">
        <f>
CONCATENATE(if(countif(nap.erd,$D20),"M",""),
if(countif(nap.erd.sim,$D20),"A",""),
if(countif(var.erd.sim,$D20),"V",""))</f>
        <v/>
      </c>
      <c r="AL20" s="34" t="str">
        <f>
CONCATENATE(if(countif(knap.gkxn.sim,$D20),"K",""),
if(countif(nap.gkxn.sim,$D20),"A",""))</f>
        <v/>
      </c>
      <c r="AM20" s="34" t="str">
        <f>
CONCATENATE(if(countif(knap.gen.sim,$C20),"K",""),
if(countif(imp.gen.sim,$C20),"T",""),
if(countif(dd.gen.sim,$C20),"D",""),
if(countif(nap.gen.sim,$C20),"A",""),
if(countif(var.gen.sim,$C20),"V",""))
</f>
        <v/>
      </c>
      <c r="AN20" s="34" t="str">
        <f>IFERROR(__xludf.DUMMYFUNCTION("
if(countif(#REF!,CONCATENATE(regexextract($C20,""[\w]* [\w]*""), ""*"")),""V"","""")"),"")</f>
        <v/>
      </c>
      <c r="AO20" s="34" t="str">
        <f>
CONCATENATE(if(countif(knap.kmp.sim,$D20),"K",""),
if(countif(np.kmp.sim,$D20),"P",""),
if(countif(imp.kmp.sim,$D20),"T",""),
if(countif(dd.kmp,$D20),"D",""),
if(countif(nap.kmp.sim,$D20),"A",""),
if(countif(var.kmp.sim,$D20),"V",""))</f>
        <v/>
      </c>
      <c r="AP20" s="34" t="str">
        <f>
CONCATENATE(if(countif(knap.lu2.sim,$D20),"K",""),
if(countif(np.lu2.sim,$D20),"P",""),
if(countif(imp.lu2.sim,$D20),"T",""),
if(countif(dd.lu2.sim,$D20),"D",""),
if(countif(nap.lu2.sim,$D20),"A",""),
if(countif(var.lu2.sim,$D20),"V",""))</f>
        <v/>
      </c>
      <c r="AQ20" s="34" t="str">
        <f>
CONCATENATE(if(countif(np.myc.sim,$D20),"P",""),
if(countif(imp.myc.sim,$D20),"T",""),
if(countif(nap.myc.sim,$D20),"A",""))
</f>
        <v/>
      </c>
      <c r="AR20" s="36" t="str">
        <f>
CONCATENATE(if(countif(knap.nar.sim,$D20),"K",""),
if(countif(np.nar.sim,$D20),"P",""),
if(countif(imp.nar.sim,$D20),"T",""),
if(countif(dd.nar.sim,$D20),"D",""),
if(countif(nap.nar.sim,$D20),"A",""),
if(countif(var.nar.sim,$D20),"V",""))</f>
        <v/>
      </c>
      <c r="AS20" s="34" t="str">
        <f>
CONCATENATE(if(countif(knap.que.sim,$D20),"K",""),
if(countif(np.que.sim,$D20),"P",""),
if(countif(imp.que.sim,$D20),"T",""),
if(countif(dd.que.sim,$D20),"D",""),
if(countif(nap.que.sim,$D20),"A",""),
if(countif(var.que.sim,$D20),"V",""))</f>
        <v>KP</v>
      </c>
      <c r="AT20" s="37"/>
      <c r="AU20" s="32" t="str">
        <f>IFERROR(__xludf.DUMMYFUNCTION("if(countif(kr.agi, CONCATENATE(regexextract($C20,""[\w]* [\w]*""), ""*"")),""X"","""")"),"")</f>
        <v/>
      </c>
      <c r="AV20" s="38" t="str">
        <f>IFERROR(__xludf.DUMMYFUNCTION("if(countif(kr.bun,CONCATENATE(regexextract($C20,""[\w]* [\w]*""), ""*"")),""X"","""")"),"X")</f>
        <v>X</v>
      </c>
      <c r="AW20" s="38" t="str">
        <f>IFERROR(__xludf.DUMMYFUNCTION("if(countif(kr.kxn,CONCATENATE(regexextract($C20,""[\w]* [\w]*""), ""*"")),""X"","""")"),"X")</f>
        <v>X</v>
      </c>
      <c r="AX20" s="38" t="str">
        <f>IFERROR(__xludf.DUMMYFUNCTION("if(countif(kr.hwb,CONCATENATE(regexextract($C20,""[\w]* [\w]*""), ""*"")),""X"","""")"),"X")</f>
        <v>X</v>
      </c>
      <c r="AY20" s="38" t="str">
        <f>IFERROR(__xludf.DUMMYFUNCTION("if(countif(kr.ec,CONCATENATE(regexextract($C20,""[\w]* [\w]*""), ""*"")),""X"","""")"),"X")</f>
        <v>X</v>
      </c>
      <c r="AZ20" s="38" t="str">
        <f>IFERROR(__xludf.DUMMYFUNCTION("if(countif(kr.egt,CONCATENATE(regexextract($C20,""[\w]* [\w]*""), ""*"")),""X"","""")"),"X")</f>
        <v>X</v>
      </c>
      <c r="BA20" s="38"/>
      <c r="BB20" s="38" t="str">
        <f>IFERROR(__xludf.DUMMYFUNCTION("if(countif(kr.erd,CONCATENATE(regexextract($C20,""[\w]* [\w]*""), ""*"")),""X"","""")"),"X")</f>
        <v>X</v>
      </c>
      <c r="BC20" s="38" t="str">
        <f>IFERROR(__xludf.DUMMYFUNCTION("if(countif(kr.gkxn,CONCATENATE(regexextract($C20,""[\w]* [\w]*""), ""*"")),""X"","""")"),"X")</f>
        <v>X</v>
      </c>
      <c r="BD20" s="38" t="str">
        <f>IFERROR(__xludf.DUMMYFUNCTION("if(countif(kr.gen,CONCATENATE(regexextract(C20,""[\w]* [\w]*""), ""*"")),""X"","""")"),"")</f>
        <v/>
      </c>
      <c r="BE20" s="38" t="str">
        <f>IFERROR(__xludf.DUMMYFUNCTION("if(countif(kr.hcc,CONCATENATE(regexextract($C20,""[\w]* [\w]*""), ""*"")),""X"","""")"),"X")</f>
        <v>X</v>
      </c>
      <c r="BF20" s="38" t="str">
        <f>IFERROR(__xludf.DUMMYFUNCTION("if(countif(kr.kmp,CONCATENATE(regexextract($C20,""[\w]* [\w]*""), ""*"")),""X"","""")"),"X")</f>
        <v>X</v>
      </c>
      <c r="BG20" s="38" t="str">
        <f>IFERROR(__xludf.DUMMYFUNCTION("if(countif(kr.lu2,CONCATENATE(regexextract($C20,""[\w]* [\w]*""), ""*"")),""X"","""")"),"")</f>
        <v/>
      </c>
      <c r="BH20" s="38" t="str">
        <f>IFERROR(__xludf.DUMMYFUNCTION("if(countif(kr.myc,CONCATENATE(regexextract($C20,""[\w]* [\w]*""), ""*"")),""X"","""")"),"X")</f>
        <v>X</v>
      </c>
      <c r="BI20" s="38" t="str">
        <f>IFERROR(__xludf.DUMMYFUNCTION("if(countif(kr.nar,CONCATENATE(regexextract($C20,""[\w]* [\w]*""), ""*"")),""X"","""")"),"X")</f>
        <v>X</v>
      </c>
      <c r="BJ20" s="38" t="str">
        <f>IFERROR(__xludf.DUMMYFUNCTION("if(countif(kr.que,CONCATENATE(regexextract($C20,""[\w]* [\w]*""), ""*"")),""X"","""")"),"X")</f>
        <v>X</v>
      </c>
      <c r="BK20" s="39"/>
      <c r="BL20" s="40" t="str">
        <f>IFERROR(__xludf.DUMMYFUNCTION(" CONCATENATE( 
if (regexmatch(I20, ""^[A-Za-z\.\_]+""), ""L"", 
if(regexmatch(AB20, ""^[A-Za-z\.\_]+""),""S"","""")),
if(AU20=""X"",""K"",""""))"),"L")</f>
        <v>L</v>
      </c>
      <c r="BM20" s="40" t="str">
        <f>IFERROR(__xludf.DUMMYFUNCTION(" CONCATENATE( 
if (regexmatch(J20, ""^[A-Za-z\.\_]+""), ""L"", 
if(regexmatch(AC20, ""^[A-Za-z\.\_]+""),""S"","""")),
if(AV20=""X"",""K"",""""))"),"K")</f>
        <v>K</v>
      </c>
      <c r="BN20" s="40" t="str">
        <f>IFERROR(__xludf.DUMMYFUNCTION(" CONCATENATE( 
if (regexmatch(K20, ""^[A-Za-z\.\_]+""), ""L"", 
if(regexmatch(AD20, ""^[A-Za-z\.\_]+""),""S"","""")),
if(AW20=""X"",""K"",""""))"),"LK")</f>
        <v>LK</v>
      </c>
      <c r="BO20" s="40" t="str">
        <f>IFERROR(__xludf.DUMMYFUNCTION(" CONCATENATE( 
if (regexmatch(L20, ""^[A-Za-z\.\_]+""), ""L"", 
if(regexmatch(AE20, ""^[A-Za-z\.\_]+""),""S"","""")),
if(AX20=""X"",""K"",""""))"),"LK")</f>
        <v>LK</v>
      </c>
      <c r="BP20" s="40" t="str">
        <f>IFERROR(__xludf.DUMMYFUNCTION(" CONCATENATE( 
if (regexmatch(M20, ""^[A-Za-z\.\_]+""), ""L"", 
if(regexmatch(AF20, ""^[A-Za-z\.\_]+""),""S"","""")),
if(AY20=""X"",""K"",""""))"),"LK")</f>
        <v>LK</v>
      </c>
      <c r="BQ20" s="40" t="str">
        <f>IFERROR(__xludf.DUMMYFUNCTION("CONCATENATE( 
if (regexmatch(O20, ""^[A-Za-z\.\_]+""), ""L"", 
if(regexmatch(AH20, ""^[A-Za-z\.\_]+""),""S"","""")),
if(AZ20=""X"",""K"",""""))"),"K")</f>
        <v>K</v>
      </c>
      <c r="BR20" s="40" t="str">
        <f>IFERROR(__xludf.DUMMYFUNCTION("CONCATENATE( 
if (regexmatch(Q20, ""^[A-Za-z\.\_]+""), ""L"", 
if(regexmatch(AJ20, ""^[A-Za-z\.\_]+""),""S"","""")),
if(BA20=""X"",""K"",""""))"),"")</f>
        <v/>
      </c>
      <c r="BS20" s="40" t="str">
        <f>IFERROR(__xludf.DUMMYFUNCTION(" CONCATENATE( 
if (regexmatch(R20, ""^[A-Za-z\.\_]+""), ""L"", 
if(regexmatch(AK20, ""^[A-Za-z\.\_]+""),""S"","""")),
if(BB20=""X"",""K"",""""))"),"K")</f>
        <v>K</v>
      </c>
      <c r="BT20" s="40" t="str">
        <f>IFERROR(__xludf.DUMMYFUNCTION("CONCATENATE( 
if (regexmatch(S20, ""^[A-Za-z\.\_]+""), ""L"", 
if(regexmatch(AL20, ""^[A-Za-z\.\_]+""),""S"","""")),
if(BC20=""X"",""K"",""""))"),"K")</f>
        <v>K</v>
      </c>
      <c r="BU20" s="40" t="str">
        <f>IFERROR(__xludf.DUMMYFUNCTION("CONCATENATE( 
if (regexmatch(T20, ""^[A-Za-z\.\_]+""), ""L"", 
if(regexmatch(AM20, ""^[A-Za-z\.\_]+""),""S"","""")),
if(BD20=""X"",""K"",""""))"),"")</f>
        <v/>
      </c>
      <c r="BV20" s="40" t="str">
        <f>IFERROR(__xludf.DUMMYFUNCTION("CONCATENATE( 
if (regexmatch(U20, ""^[A-Za-z\.\_]+""), ""L"", 
if(regexmatch(AN20, ""^[A-Za-z\.\_]+""),""S"","""")),
if(BE20=""X"",""K"",""""))"),"K")</f>
        <v>K</v>
      </c>
      <c r="BW20" s="40" t="str">
        <f>IFERROR(__xludf.DUMMYFUNCTION(" CONCATENATE( 
if (regexmatch(V20, ""^[A-Za-z\.\_]+""), ""L"", 
if(regexmatch(AO20, ""^[A-Za-z\.\_]+""),""S"","""")),
if(BF20=""X"",""K"",""""))"),"LK")</f>
        <v>LK</v>
      </c>
      <c r="BX20" s="40" t="str">
        <f>IFERROR(__xludf.DUMMYFUNCTION("CONCATENATE( 
if (regexmatch(W20, ""^[A-Za-z\.\_]+""), ""L"", 
if(regexmatch(AP20, ""^[A-Za-z\.\_]+""),""S"","""")),
if(BG20=""X"",""K"",""""))"),"L")</f>
        <v>L</v>
      </c>
      <c r="BY20" s="40" t="str">
        <f>IFERROR(__xludf.DUMMYFUNCTION("CONCATENATE( 
if (regexmatch(X20, ""^[A-Za-z\.\_]+""), ""L"", 
if(regexmatch(AQ20, ""^[A-Za-z\.\_]+""),""S"","""")),
if(BH20=""X"",""K"",""""))"),"LK")</f>
        <v>LK</v>
      </c>
      <c r="BZ20" s="40" t="str">
        <f>IFERROR(__xludf.DUMMYFUNCTION("CONCATENATE( 
if (regexmatch(Y20, ""^[A-Za-z\.\_]+""), ""L"", 
if(regexmatch(AR20, ""^[A-Za-z\.\_]+""),""S"","""")),
if(BI20=""X"",""K"",""""))"),"LK")</f>
        <v>LK</v>
      </c>
      <c r="CA20" s="40" t="str">
        <f>IFERROR(__xludf.DUMMYFUNCTION("CONCATENATE( 
if (regexmatch(Z20, ""^[A-Za-z\.\_]+""), ""L"", 
if(regexmatch(AS20, ""^[A-Za-z\.\_]+""),""S"","""")),
if(BJ20=""X"",""K"",""""))"),"LK")</f>
        <v>LK</v>
      </c>
      <c r="CB20" s="39"/>
      <c r="CC20" s="39"/>
      <c r="CD20" s="39"/>
      <c r="CE20" s="39"/>
      <c r="CF20" s="39"/>
      <c r="CG20" s="39"/>
      <c r="CH20" s="39"/>
      <c r="CI20" s="39"/>
      <c r="CJ20" s="39"/>
      <c r="CK20" s="39"/>
      <c r="CL20" s="39"/>
      <c r="CM20" s="39"/>
      <c r="CN20" s="39"/>
      <c r="CO20" s="39"/>
      <c r="CP20" s="39"/>
      <c r="CQ20" s="39"/>
      <c r="CR20" s="39"/>
    </row>
    <row r="21" ht="15.75" customHeight="1">
      <c r="A21" s="25">
        <v>93.0</v>
      </c>
      <c r="B21" s="26" t="s">
        <v>137</v>
      </c>
      <c r="C21" s="27" t="s">
        <v>138</v>
      </c>
      <c r="D21" s="27" t="str">
        <f>IFERROR(__xludf.DUMMYFUNCTION("CONCATENATE(regexextract($C21,""[\w]* [\w]*""), ""*"")"),"Chenopodium quinoa*")</f>
        <v>Chenopodium quinoa*</v>
      </c>
      <c r="E21" s="56" t="s">
        <v>139</v>
      </c>
      <c r="F21" s="54">
        <v>63459.0</v>
      </c>
      <c r="G21" s="53"/>
      <c r="H21" s="31"/>
      <c r="I21" s="32" t="str">
        <f>CONCATENATE(
if(countif(dd.agi,$D21),"D",""),
if(countif(knap.agi,$D21),"K",""),
if(countif(mic.agi,$D21),"M",""),
if(countif(nap.agi,$D21),"N",""),
if(countif(np.agi,$D21),"P",""),
if(countif(imp.agi,$D21),"T",""),
if(countif(us.agi,$D21),"U",""),
if(countif(var.agi,$D21),"V","")
)</f>
        <v>V</v>
      </c>
      <c r="J21" s="32" t="str">
        <f>
CONCATENATE(
if(countif(nap.bun,$D21),"N",""),
if(countif(np.bun,$D21),"P","")
)
</f>
        <v/>
      </c>
      <c r="K21" s="32" t="str">
        <f>CONCATENATE(
if(countif(dd.kxn,$D21),"D",""),
if(countif(knap.kxn,$D21),"K",""),
if(countif(mic.kxn,$D21),"M",""),
if(countif(nap.kxn,$D21),"N",""),
if(countif(np.kxn,$D21),"P",""),
if(countif(us.kxn,$D21),"U",""),
if(countif(var.kxn,$D21),"V","")
)</f>
        <v>V</v>
      </c>
      <c r="L21" s="32" t="str">
        <f>
CONCATENATE(
if(countif(dd.hwb,$D21),"D",""),
if(countif(knap.hwb,$D21),"K",""),
if(countif(mic.hwb,$D21),"M",""),
if(countif(nap.hwb,$D21),"N",""),
if(countif(np.hwb,$D21),"P",""),
if(countif(us.hwb,$D21),"U",""),
if(countif(imp.hwb,$D21),"T",""),
if(countif(var.hwb,$D21),"V","")
)</f>
        <v/>
      </c>
      <c r="M21" s="32" t="str">
        <f>CONCATENATE(
if(countif(dd.epc,$D21),"D",""),
if(countif(knap.ekxn,$D21),"K",""),
if(countif(mic.ekxn,$D21),"M",""),
if(countif(nap.ekxn,$D21),"N",""),
if(countif(np.ekxn,$D21),"P",""),
if(countif(imp.epc,$D21),"T",""),
if(countif(us.ekxn,$D21),"U",""),
if(countif(var.ekxn,$D21),"V","")
)</f>
        <v/>
      </c>
      <c r="N21" s="32" t="str">
        <f>
CONCATENATE(
if(countif(dd.ecg,$D21),"D",""),
if(countif(mic.ecg,$D21),"M",""),
if(countif(np.ecg,$D21),"P",""),
if(countif(imp.ecg,$D21),"T",""),
if(countif(us.ecg,$D21),"U","")
)</f>
        <v/>
      </c>
      <c r="O21" s="32" t="str">
        <f>
CONCATENATE(
if(countif(dd.egt,$D21),"D",""),
if(countif(mic.egt,$D21),"M",""),
if(countif(nap.egt,$D21),"N",""),
if(countif(us.egt,$D21),"U",""),
if(countif(var.egt,$D21),"V",""))
</f>
        <v/>
      </c>
      <c r="P21" s="32" t="str">
        <f>CONCATENATE(
if(countif(knap.egcg,$D21),"K",""),
if(countif(mic.egcg,$D21),"M",""),
if(countif(np.egcg,$D21),"P",""),
if(countif(us.egcg,$D21),"U","")
)</f>
        <v/>
      </c>
      <c r="Q21" s="32" t="str">
        <f>CONCATENATE(if(countif(np.ecit,$D21),"P",""),
if(countif(nap.ecit,$D21),"A",""))</f>
        <v/>
      </c>
      <c r="R21" s="32" t="str">
        <f>
CONCATENATE(
if(countif(nap.erd,$D21),"N",""),
if(countif(np.erd,$D21),"P",""),
if(countif(var.erd,$D21),"V",""))</f>
        <v/>
      </c>
      <c r="S21" s="32" t="str">
        <f>
CONCATENATE(
if(countif(dd.gkxn,$D21),"D",""),
if(countif(knap.gkxn,$D21),"K",""),
if(countif(nap.gkxn,$D21),"N",""),
if(countif(np.gkxn,$D21),"P",""),
if(countif(imp.gkxn,$D21),"T",""),
if(countif(var.gkxn,$D21),"V",""))</f>
        <v/>
      </c>
      <c r="T21" s="32" t="str">
        <f>
CONCATENATE(
if(countif(dd.gen,$C21),"D",""),
if(countif(knap.gen,$C21),"K",""),
if(countif(nap.gen,$C21),"N",""),
if(countif(np.gen,$C21),"P",""),
if(countif(imp.gen,$C21),"T",""),
if(countif(var.gen,$C21),"V",""))</f>
        <v/>
      </c>
      <c r="U21" s="32" t="str">
        <f>
CONCATENATE(
if(countif(dd.hcc,$D21),"D",""),
if(countif(knap.hcc,$D21),"K",""),
if(countif(np.hcc,$D21),"P","")
)
</f>
        <v/>
      </c>
      <c r="V21" s="32" t="str">
        <f>
CONCATENATE(
if(countif(dd.kmp,$D21),"D",""),
if(countif(knap.kmp,$D21),"K",""),
if(countif(mic.kmp,$D21),"M",""),
if(countif(nap.kmp,$D21),"N",""),
if(countif(np.kmp,$D21),"P",""),
if(countif(imp.kmp,$D21),"T",""),
if(countif(us.kmp,$D21),"U",""),
if(countif(var.kmp,$D21),"V",""))</f>
        <v>N</v>
      </c>
      <c r="W21" s="32" t="str">
        <f>
CONCATENATE(
if(countif(dd.lu2,$D21),"D",""),
if(countif(knap.lu2,$D21),"K",""),
if(countif(mic.lu2,$D21),"M",""),
if(countif(nap.lu2,$D21),"N",""),
if(countif(np.lu2,$D21),"P",""),
if(countif(imp.lu2,$D21),"T",""),
if(countif(us.lu2,$D21),"U",""),
if(countif(var.lu2,$D21),"V",""))</f>
        <v>V</v>
      </c>
      <c r="X21" s="32" t="str">
        <f>
CONCATENATE(
if(countif(dd.myc,$D21),"D",""),
if(countif(knap.myc,$D21),"K",""), 
if(countif(mic.myc,$D21),"M",""),
if(countif(nap.myc,$D21),"N",""),
if(countif(np.myc,$D21),"P",""),
if(countif(imp.myc,$D21),"T",""),
if(countif(us.myc,$D21),"U",""),
if(countif(var.myc,$D21),"V",""))</f>
        <v/>
      </c>
      <c r="Y21" s="32" t="str">
        <f>CONCATENATE(
if(countif(dd.nar,$D21),"D",""),
if(countif(knap.nar,$D21),"K",""),
if(countif(nap.nar,$D21),"N",""),
if(countif(np.nar,$D21),"P",""),
if(countif(imp.nar,$D21),"T",""),
if(countif(us.nar,$D21),"U",""),
if(countif(var.nar,$D21),"V",""))</f>
        <v>V</v>
      </c>
      <c r="Z21" s="33" t="str">
        <f>
CONCATENATE(
if(countif(dd.que,$D21),"D",""),
if(countif(knap.que,$D21),"K",""),
if(countif(mic.que,$D21),"M",""),
if(countif(nap.que,$D21),"N",""),
if(countif(np.que,$D21),"P",""),
if(countif(imp.que,$D21),"T",""),
if(countif(us.que,$D21),"U",""),
if(countif(var.que,$D21),"V",""))</f>
        <v>N</v>
      </c>
      <c r="AA21" s="32"/>
      <c r="AB21" s="34" t="str">
        <f>
CONCATENATE(if(countif(knap.agi.sim,$D21),"K",""),
if(countif(dd.agi.sim,$D21),"D",""),
if(countif(nap.agi.sim,$D21),"A",""),
if(countif(var.agi.sim,$D21),"V",""))</f>
        <v/>
      </c>
      <c r="AC21" s="34" t="str">
        <f>
if(countif(nap.bun.sim,$D21),"A","")</f>
        <v/>
      </c>
      <c r="AD21" s="34" t="str">
        <f>
CONCATENATE(if(countif(knap.kxn.sim,$D21),"K",""),
if(countif(np.kxn.sim,$D21),"P",""),
if(countif(dd.kxn.sim,$D21),"D",""),
if(countif(nap.kxn.sim,$D21),"A",""),
if(countif(var.kxn.sim,$D21),"V",""))</f>
        <v/>
      </c>
      <c r="AE21" s="34" t="str">
        <f>
CONCATENATE(if(countif(knap.hwb.sim,$D21),"K",""),
if(countif(np.hwb.sim,$D21),"P",""),
if(countif(mic.hwb.sim,$D21),"M",""),
if(countif(imp.hwb.sim,$D21),"T",""),
if(countif(dd.cyan.sim,$D21),"D",""),
if(countif(nap.hwb.sim,$D21),"A",""),
if(countif(var.hwb.sim,$D21),"V",""))</f>
        <v/>
      </c>
      <c r="AF21" s="34" t="str">
        <f>
CONCATENATE(if(countif(us.ekxn.sim,$D21),"U",""),
if(countif(knap.ekxn.sim,$D21),"K",""),
if(countif(np.ekxn.sim,$D21),"P",""),
if(countif(mic.ekxn.sim,$D21),"M",""),
if(countif(imp.epc.sim,$D21),"T",""),
if(countif(nap.ekxn.sim,$D21),"A",""))</f>
        <v/>
      </c>
      <c r="AG21" s="34"/>
      <c r="AH21" s="34" t="str">
        <f>
CONCATENATE(if(countif(us.egt.sim,$D21),"U",""),
if(countif(knap.egt.sim,$D21),"K",""),
if(countif(np.egt.sim,$D21),"P",""),
if(countif(mic.egt.sim,$D21),"M",""))</f>
        <v/>
      </c>
      <c r="AI21" s="34"/>
      <c r="AJ21" s="34" t="str">
        <f>if(countif(nap.ecit.sim,$D21),"A","")</f>
        <v/>
      </c>
      <c r="AK21" s="34" t="str">
        <f>
CONCATENATE(if(countif(nap.erd,$D21),"M",""),
if(countif(nap.erd.sim,$D21),"A",""),
if(countif(var.erd.sim,$D21),"V",""))</f>
        <v/>
      </c>
      <c r="AL21" s="34" t="str">
        <f>
CONCATENATE(if(countif(knap.gkxn.sim,$D21),"K",""),
if(countif(nap.gkxn.sim,$D21),"A",""))</f>
        <v/>
      </c>
      <c r="AM21" s="34" t="str">
        <f>
CONCATENATE(if(countif(knap.gen.sim,$C21),"K",""),
if(countif(imp.gen.sim,$C21),"T",""),
if(countif(dd.gen.sim,$C21),"D",""),
if(countif(nap.gen.sim,$C21),"A",""),
if(countif(var.gen.sim,$C21),"V",""))
</f>
        <v/>
      </c>
      <c r="AN21" s="34" t="str">
        <f>IFERROR(__xludf.DUMMYFUNCTION("
if(countif(#REF!,CONCATENATE(regexextract($C21,""[\w]* [\w]*""), ""*"")),""V"","""")"),"")</f>
        <v/>
      </c>
      <c r="AO21" s="34" t="str">
        <f>
CONCATENATE(if(countif(knap.kmp.sim,$D21),"K",""),
if(countif(np.kmp.sim,$D21),"P",""),
if(countif(imp.kmp.sim,$D21),"T",""),
if(countif(dd.kmp,$D21),"D",""),
if(countif(nap.kmp.sim,$D21),"A",""),
if(countif(var.kmp.sim,$D21),"V",""))</f>
        <v>K</v>
      </c>
      <c r="AP21" s="34" t="str">
        <f>
CONCATENATE(if(countif(knap.lu2.sim,$D21),"K",""),
if(countif(np.lu2.sim,$D21),"P",""),
if(countif(imp.lu2.sim,$D21),"T",""),
if(countif(dd.lu2.sim,$D21),"D",""),
if(countif(nap.lu2.sim,$D21),"A",""),
if(countif(var.lu2.sim,$D21),"V",""))</f>
        <v/>
      </c>
      <c r="AQ21" s="34" t="str">
        <f>
CONCATENATE(if(countif(np.myc.sim,$D21),"P",""),
if(countif(imp.myc.sim,$D21),"T",""),
if(countif(nap.myc.sim,$D21),"A",""))
</f>
        <v/>
      </c>
      <c r="AR21" s="36" t="str">
        <f>
CONCATENATE(if(countif(knap.nar.sim,$D21),"K",""),
if(countif(np.nar.sim,$D21),"P",""),
if(countif(imp.nar.sim,$D21),"T",""),
if(countif(dd.nar.sim,$D21),"D",""),
if(countif(nap.nar.sim,$D21),"A",""),
if(countif(var.nar.sim,$D21),"V",""))</f>
        <v/>
      </c>
      <c r="AS21" s="34" t="str">
        <f>
CONCATENATE(if(countif(knap.que.sim,$D21),"K",""),
if(countif(np.que.sim,$D21),"P",""),
if(countif(imp.que.sim,$D21),"T",""),
if(countif(dd.que.sim,$D21),"D",""),
if(countif(nap.que.sim,$D21),"A",""),
if(countif(var.que.sim,$D21),"V",""))</f>
        <v>A</v>
      </c>
      <c r="AT21" s="37"/>
      <c r="AU21" s="32" t="str">
        <f>IFERROR(__xludf.DUMMYFUNCTION("if(countif(kr.agi, CONCATENATE(regexextract($C21,""[\w]* [\w]*""), ""*"")),""X"","""")"),"")</f>
        <v/>
      </c>
      <c r="AV21" s="38" t="str">
        <f>IFERROR(__xludf.DUMMYFUNCTION("if(countif(kr.bun,CONCATENATE(regexextract($C21,""[\w]* [\w]*""), ""*"")),""X"","""")"),"X")</f>
        <v>X</v>
      </c>
      <c r="AW21" s="38" t="str">
        <f>IFERROR(__xludf.DUMMYFUNCTION("if(countif(kr.kxn,CONCATENATE(regexextract($C21,""[\w]* [\w]*""), ""*"")),""X"","""")"),"X")</f>
        <v>X</v>
      </c>
      <c r="AX21" s="38" t="str">
        <f>IFERROR(__xludf.DUMMYFUNCTION("if(countif(kr.hwb,CONCATENATE(regexextract($C21,""[\w]* [\w]*""), ""*"")),""X"","""")"),"X")</f>
        <v>X</v>
      </c>
      <c r="AY21" s="38" t="str">
        <f>IFERROR(__xludf.DUMMYFUNCTION("if(countif(kr.ec,CONCATENATE(regexextract($C21,""[\w]* [\w]*""), ""*"")),""X"","""")"),"X")</f>
        <v>X</v>
      </c>
      <c r="AZ21" s="38" t="str">
        <f>IFERROR(__xludf.DUMMYFUNCTION("if(countif(kr.egt,CONCATENATE(regexextract($C21,""[\w]* [\w]*""), ""*"")),""X"","""")"),"")</f>
        <v/>
      </c>
      <c r="BA21" s="38"/>
      <c r="BB21" s="38" t="str">
        <f>IFERROR(__xludf.DUMMYFUNCTION("if(countif(kr.erd,CONCATENATE(regexextract($C21,""[\w]* [\w]*""), ""*"")),""X"","""")"),"X")</f>
        <v>X</v>
      </c>
      <c r="BC21" s="38" t="str">
        <f>IFERROR(__xludf.DUMMYFUNCTION("if(countif(kr.gkxn,CONCATENATE(regexextract($C21,""[\w]* [\w]*""), ""*"")),""X"","""")"),"")</f>
        <v/>
      </c>
      <c r="BD21" s="38" t="str">
        <f>IFERROR(__xludf.DUMMYFUNCTION("if(countif(kr.gen,CONCATENATE(regexextract(C21,""[\w]* [\w]*""), ""*"")),""X"","""")"),"")</f>
        <v/>
      </c>
      <c r="BE21" s="38" t="str">
        <f>IFERROR(__xludf.DUMMYFUNCTION("if(countif(kr.hcc,CONCATENATE(regexextract($C21,""[\w]* [\w]*""), ""*"")),""X"","""")"),"X")</f>
        <v>X</v>
      </c>
      <c r="BF21" s="38" t="str">
        <f>IFERROR(__xludf.DUMMYFUNCTION("if(countif(kr.kmp,CONCATENATE(regexextract($C21,""[\w]* [\w]*""), ""*"")),""X"","""")"),"X")</f>
        <v>X</v>
      </c>
      <c r="BG21" s="38" t="str">
        <f>IFERROR(__xludf.DUMMYFUNCTION("if(countif(kr.lu2,CONCATENATE(regexextract($C21,""[\w]* [\w]*""), ""*"")),""X"","""")"),"")</f>
        <v/>
      </c>
      <c r="BH21" s="38" t="str">
        <f>IFERROR(__xludf.DUMMYFUNCTION("if(countif(kr.myc,CONCATENATE(regexextract($C21,""[\w]* [\w]*""), ""*"")),""X"","""")"),"")</f>
        <v/>
      </c>
      <c r="BI21" s="38" t="str">
        <f>IFERROR(__xludf.DUMMYFUNCTION("if(countif(kr.nar,CONCATENATE(regexextract($C21,""[\w]* [\w]*""), ""*"")),""X"","""")"),"X")</f>
        <v>X</v>
      </c>
      <c r="BJ21" s="38" t="str">
        <f>IFERROR(__xludf.DUMMYFUNCTION("if(countif(kr.que,CONCATENATE(regexextract($C21,""[\w]* [\w]*""), ""*"")),""X"","""")"),"X")</f>
        <v>X</v>
      </c>
      <c r="BK21" s="39"/>
      <c r="BL21" s="40" t="str">
        <f>IFERROR(__xludf.DUMMYFUNCTION(" CONCATENATE( 
if (regexmatch(I21, ""^[A-Za-z\.\_]+""), ""L"", 
if(regexmatch(AB21, ""^[A-Za-z\.\_]+""),""S"","""")),
if(AU21=""X"",""K"",""""))"),"L")</f>
        <v>L</v>
      </c>
      <c r="BM21" s="40" t="str">
        <f>IFERROR(__xludf.DUMMYFUNCTION(" CONCATENATE( 
if (regexmatch(J21, ""^[A-Za-z\.\_]+""), ""L"", 
if(regexmatch(AC21, ""^[A-Za-z\.\_]+""),""S"","""")),
if(AV21=""X"",""K"",""""))"),"K")</f>
        <v>K</v>
      </c>
      <c r="BN21" s="40" t="str">
        <f>IFERROR(__xludf.DUMMYFUNCTION(" CONCATENATE( 
if (regexmatch(K21, ""^[A-Za-z\.\_]+""), ""L"", 
if(regexmatch(AD21, ""^[A-Za-z\.\_]+""),""S"","""")),
if(AW21=""X"",""K"",""""))"),"LK")</f>
        <v>LK</v>
      </c>
      <c r="BO21" s="40" t="str">
        <f>IFERROR(__xludf.DUMMYFUNCTION(" CONCATENATE( 
if (regexmatch(L21, ""^[A-Za-z\.\_]+""), ""L"", 
if(regexmatch(AE21, ""^[A-Za-z\.\_]+""),""S"","""")),
if(AX21=""X"",""K"",""""))"),"K")</f>
        <v>K</v>
      </c>
      <c r="BP21" s="40" t="str">
        <f>IFERROR(__xludf.DUMMYFUNCTION(" CONCATENATE( 
if (regexmatch(M21, ""^[A-Za-z\.\_]+""), ""L"", 
if(regexmatch(AF21, ""^[A-Za-z\.\_]+""),""S"","""")),
if(AY21=""X"",""K"",""""))"),"K")</f>
        <v>K</v>
      </c>
      <c r="BQ21" s="40" t="str">
        <f>IFERROR(__xludf.DUMMYFUNCTION("CONCATENATE( 
if (regexmatch(O21, ""^[A-Za-z\.\_]+""), ""L"", 
if(regexmatch(AH21, ""^[A-Za-z\.\_]+""),""S"","""")),
if(AZ21=""X"",""K"",""""))"),"")</f>
        <v/>
      </c>
      <c r="BR21" s="40" t="str">
        <f>IFERROR(__xludf.DUMMYFUNCTION("CONCATENATE( 
if (regexmatch(Q21, ""^[A-Za-z\.\_]+""), ""L"", 
if(regexmatch(AJ21, ""^[A-Za-z\.\_]+""),""S"","""")),
if(BA21=""X"",""K"",""""))"),"")</f>
        <v/>
      </c>
      <c r="BS21" s="40" t="str">
        <f>IFERROR(__xludf.DUMMYFUNCTION(" CONCATENATE( 
if (regexmatch(R21, ""^[A-Za-z\.\_]+""), ""L"", 
if(regexmatch(AK21, ""^[A-Za-z\.\_]+""),""S"","""")),
if(BB21=""X"",""K"",""""))"),"K")</f>
        <v>K</v>
      </c>
      <c r="BT21" s="40" t="str">
        <f>IFERROR(__xludf.DUMMYFUNCTION("CONCATENATE( 
if (regexmatch(S21, ""^[A-Za-z\.\_]+""), ""L"", 
if(regexmatch(AL21, ""^[A-Za-z\.\_]+""),""S"","""")),
if(BC21=""X"",""K"",""""))"),"")</f>
        <v/>
      </c>
      <c r="BU21" s="40" t="str">
        <f>IFERROR(__xludf.DUMMYFUNCTION("CONCATENATE( 
if (regexmatch(T21, ""^[A-Za-z\.\_]+""), ""L"", 
if(regexmatch(AM21, ""^[A-Za-z\.\_]+""),""S"","""")),
if(BD21=""X"",""K"",""""))"),"")</f>
        <v/>
      </c>
      <c r="BV21" s="40" t="str">
        <f>IFERROR(__xludf.DUMMYFUNCTION("CONCATENATE( 
if (regexmatch(U21, ""^[A-Za-z\.\_]+""), ""L"", 
if(regexmatch(AN21, ""^[A-Za-z\.\_]+""),""S"","""")),
if(BE21=""X"",""K"",""""))"),"K")</f>
        <v>K</v>
      </c>
      <c r="BW21" s="40" t="str">
        <f>IFERROR(__xludf.DUMMYFUNCTION(" CONCATENATE( 
if (regexmatch(V21, ""^[A-Za-z\.\_]+""), ""L"", 
if(regexmatch(AO21, ""^[A-Za-z\.\_]+""),""S"","""")),
if(BF21=""X"",""K"",""""))"),"LK")</f>
        <v>LK</v>
      </c>
      <c r="BX21" s="40" t="str">
        <f>IFERROR(__xludf.DUMMYFUNCTION("CONCATENATE( 
if (regexmatch(W21, ""^[A-Za-z\.\_]+""), ""L"", 
if(regexmatch(AP21, ""^[A-Za-z\.\_]+""),""S"","""")),
if(BG21=""X"",""K"",""""))"),"L")</f>
        <v>L</v>
      </c>
      <c r="BY21" s="40" t="str">
        <f>IFERROR(__xludf.DUMMYFUNCTION("CONCATENATE( 
if (regexmatch(X21, ""^[A-Za-z\.\_]+""), ""L"", 
if(regexmatch(AQ21, ""^[A-Za-z\.\_]+""),""S"","""")),
if(BH21=""X"",""K"",""""))"),"")</f>
        <v/>
      </c>
      <c r="BZ21" s="40" t="str">
        <f>IFERROR(__xludf.DUMMYFUNCTION("CONCATENATE( 
if (regexmatch(Y21, ""^[A-Za-z\.\_]+""), ""L"", 
if(regexmatch(AR21, ""^[A-Za-z\.\_]+""),""S"","""")),
if(BI21=""X"",""K"",""""))"),"LK")</f>
        <v>LK</v>
      </c>
      <c r="CA21" s="40" t="str">
        <f>IFERROR(__xludf.DUMMYFUNCTION("CONCATENATE( 
if (regexmatch(Z21, ""^[A-Za-z\.\_]+""), ""L"", 
if(regexmatch(AS21, ""^[A-Za-z\.\_]+""),""S"","""")),
if(BJ21=""X"",""K"",""""))"),"LK")</f>
        <v>LK</v>
      </c>
      <c r="CB21" s="39"/>
      <c r="CC21" s="39"/>
      <c r="CD21" s="39"/>
      <c r="CE21" s="39"/>
      <c r="CF21" s="39"/>
      <c r="CG21" s="39"/>
      <c r="CH21" s="39"/>
      <c r="CI21" s="39"/>
      <c r="CJ21" s="39"/>
      <c r="CK21" s="39"/>
      <c r="CL21" s="39"/>
      <c r="CM21" s="39"/>
      <c r="CN21" s="39"/>
      <c r="CO21" s="39"/>
      <c r="CP21" s="39"/>
      <c r="CQ21" s="39"/>
      <c r="CR21" s="39"/>
    </row>
    <row r="22" ht="15.75" customHeight="1">
      <c r="A22" s="25">
        <v>127.0</v>
      </c>
      <c r="B22" s="26" t="s">
        <v>140</v>
      </c>
      <c r="C22" s="27" t="s">
        <v>141</v>
      </c>
      <c r="D22" s="27" t="str">
        <f>IFERROR(__xludf.DUMMYFUNCTION("CONCATENATE(regexextract($C22,""[\w]* [\w]*""), ""*"")"),"Chlamydomonas reinhardtii*")</f>
        <v>Chlamydomonas reinhardtii*</v>
      </c>
      <c r="E22" s="26" t="s">
        <v>142</v>
      </c>
      <c r="F22" s="57">
        <v>3055.0</v>
      </c>
      <c r="G22" s="53"/>
      <c r="H22" s="31"/>
      <c r="I22" s="32" t="str">
        <f>CONCATENATE(
if(countif(dd.agi,$D22),"D",""),
if(countif(knap.agi,$D22),"K",""),
if(countif(mic.agi,$D22),"M",""),
if(countif(nap.agi,$D22),"N",""),
if(countif(np.agi,$D22),"P",""),
if(countif(imp.agi,$D22),"T",""),
if(countif(us.agi,$D22),"U",""),
if(countif(var.agi,$D22),"V","")
)</f>
        <v/>
      </c>
      <c r="J22" s="32" t="str">
        <f>
CONCATENATE(
if(countif(nap.bun,$D22),"N",""),
if(countif(np.bun,$D22),"P","")
)
</f>
        <v/>
      </c>
      <c r="K22" s="32" t="str">
        <f>CONCATENATE(
if(countif(dd.kxn,$D22),"D",""),
if(countif(knap.kxn,$D22),"K",""),
if(countif(mic.kxn,$D22),"M",""),
if(countif(nap.kxn,$D22),"N",""),
if(countif(np.kxn,$D22),"P",""),
if(countif(us.kxn,$D22),"U",""),
if(countif(var.kxn,$D22),"V","")
)</f>
        <v/>
      </c>
      <c r="L22" s="32" t="str">
        <f>
CONCATENATE(
if(countif(dd.hwb,$D22),"D",""),
if(countif(knap.hwb,$D22),"K",""),
if(countif(mic.hwb,$D22),"M",""),
if(countif(nap.hwb,$D22),"N",""),
if(countif(np.hwb,$D22),"P",""),
if(countif(us.hwb,$D22),"U",""),
if(countif(imp.hwb,$D22),"T",""),
if(countif(var.hwb,$D22),"V","")
)</f>
        <v/>
      </c>
      <c r="M22" s="32" t="str">
        <f>CONCATENATE(
if(countif(dd.epc,$D22),"D",""),
if(countif(knap.ekxn,$D22),"K",""),
if(countif(mic.ekxn,$D22),"M",""),
if(countif(nap.ekxn,$D22),"N",""),
if(countif(np.ekxn,$D22),"P",""),
if(countif(imp.epc,$D22),"T",""),
if(countif(us.ekxn,$D22),"U",""),
if(countif(var.ekxn,$D22),"V","")
)</f>
        <v/>
      </c>
      <c r="N22" s="32" t="str">
        <f>
CONCATENATE(
if(countif(dd.ecg,$D22),"D",""),
if(countif(mic.ecg,$D22),"M",""),
if(countif(np.ecg,$D22),"P",""),
if(countif(imp.ecg,$D22),"T",""),
if(countif(us.ecg,$D22),"U","")
)</f>
        <v/>
      </c>
      <c r="O22" s="32" t="str">
        <f>
CONCATENATE(
if(countif(dd.egt,$D22),"D",""),
if(countif(mic.egt,$D22),"M",""),
if(countif(nap.egt,$D22),"N",""),
if(countif(us.egt,$D22),"U",""),
if(countif(var.egt,$D22),"V",""))
</f>
        <v/>
      </c>
      <c r="P22" s="32" t="str">
        <f>CONCATENATE(
if(countif(knap.egcg,$D22),"K",""),
if(countif(mic.egcg,$D22),"M",""),
if(countif(np.egcg,$D22),"P",""),
if(countif(us.egcg,$D22),"U","")
)</f>
        <v/>
      </c>
      <c r="Q22" s="32" t="str">
        <f>CONCATENATE(if(countif(np.ecit,$D22),"P",""),
if(countif(nap.ecit,$D22),"A",""))</f>
        <v/>
      </c>
      <c r="R22" s="32" t="str">
        <f>
CONCATENATE(
if(countif(nap.erd,$D22),"N",""),
if(countif(np.erd,$D22),"P",""),
if(countif(var.erd,$D22),"V",""))</f>
        <v/>
      </c>
      <c r="S22" s="32" t="str">
        <f>
CONCATENATE(
if(countif(dd.gkxn,$D22),"D",""),
if(countif(knap.gkxn,$D22),"K",""),
if(countif(nap.gkxn,$D22),"N",""),
if(countif(np.gkxn,$D22),"P",""),
if(countif(imp.gkxn,$D22),"T",""),
if(countif(var.gkxn,$D22),"V",""))</f>
        <v/>
      </c>
      <c r="T22" s="32" t="str">
        <f>
CONCATENATE(
if(countif(dd.gen,$C22),"D",""),
if(countif(knap.gen,$C22),"K",""),
if(countif(nap.gen,$C22),"N",""),
if(countif(np.gen,$C22),"P",""),
if(countif(imp.gen,$C22),"T",""),
if(countif(var.gen,$C22),"V",""))</f>
        <v/>
      </c>
      <c r="U22" s="32" t="str">
        <f>
CONCATENATE(
if(countif(dd.hcc,$D22),"D",""),
if(countif(knap.hcc,$D22),"K",""),
if(countif(np.hcc,$D22),"P","")
)
</f>
        <v/>
      </c>
      <c r="V22" s="32" t="str">
        <f>
CONCATENATE(
if(countif(dd.kmp,$D22),"D",""),
if(countif(knap.kmp,$D22),"K",""),
if(countif(mic.kmp,$D22),"M",""),
if(countif(nap.kmp,$D22),"N",""),
if(countif(np.kmp,$D22),"P",""),
if(countif(imp.kmp,$D22),"T",""),
if(countif(us.kmp,$D22),"U",""),
if(countif(var.kmp,$D22),"V",""))</f>
        <v/>
      </c>
      <c r="W22" s="32" t="str">
        <f>
CONCATENATE(
if(countif(dd.lu2,$D22),"D",""),
if(countif(knap.lu2,$D22),"K",""),
if(countif(mic.lu2,$D22),"M",""),
if(countif(nap.lu2,$D22),"N",""),
if(countif(np.lu2,$D22),"P",""),
if(countif(imp.lu2,$D22),"T",""),
if(countif(us.lu2,$D22),"U",""),
if(countif(var.lu2,$D22),"V",""))</f>
        <v/>
      </c>
      <c r="X22" s="32" t="str">
        <f>
CONCATENATE(
if(countif(dd.myc,$D22),"D",""),
if(countif(knap.myc,$D22),"K",""), 
if(countif(mic.myc,$D22),"M",""),
if(countif(nap.myc,$D22),"N",""),
if(countif(np.myc,$D22),"P",""),
if(countif(imp.myc,$D22),"T",""),
if(countif(us.myc,$D22),"U",""),
if(countif(var.myc,$D22),"V",""))</f>
        <v/>
      </c>
      <c r="Y22" s="32" t="str">
        <f>CONCATENATE(
if(countif(dd.nar,$D22),"D",""),
if(countif(knap.nar,$D22),"K",""),
if(countif(nap.nar,$D22),"N",""),
if(countif(np.nar,$D22),"P",""),
if(countif(imp.nar,$D22),"T",""),
if(countif(us.nar,$D22),"U",""),
if(countif(var.nar,$D22),"V",""))</f>
        <v/>
      </c>
      <c r="Z22" s="33" t="str">
        <f>
CONCATENATE(
if(countif(dd.que,$D22),"D",""),
if(countif(knap.que,$D22),"K",""),
if(countif(mic.que,$D22),"M",""),
if(countif(nap.que,$D22),"N",""),
if(countif(np.que,$D22),"P",""),
if(countif(imp.que,$D22),"T",""),
if(countif(us.que,$D22),"U",""),
if(countif(var.que,$D22),"V",""))</f>
        <v/>
      </c>
      <c r="AA22" s="32"/>
      <c r="AB22" s="34" t="str">
        <f>
CONCATENATE(if(countif(knap.agi.sim,$D22),"K",""),
if(countif(dd.agi.sim,$D22),"D",""),
if(countif(nap.agi.sim,$D22),"A",""),
if(countif(var.agi.sim,$D22),"V",""))</f>
        <v/>
      </c>
      <c r="AC22" s="34" t="str">
        <f>
if(countif(nap.bun.sim,$D22),"A","")</f>
        <v/>
      </c>
      <c r="AD22" s="34" t="str">
        <f>
CONCATENATE(if(countif(knap.kxn.sim,$D22),"K",""),
if(countif(np.kxn.sim,$D22),"P",""),
if(countif(dd.kxn.sim,$D22),"D",""),
if(countif(nap.kxn.sim,$D22),"A",""),
if(countif(var.kxn.sim,$D22),"V",""))</f>
        <v/>
      </c>
      <c r="AE22" s="34" t="str">
        <f>
CONCATENATE(if(countif(knap.hwb.sim,$D22),"K",""),
if(countif(np.hwb.sim,$D22),"P",""),
if(countif(mic.hwb.sim,$D22),"M",""),
if(countif(imp.hwb.sim,$D22),"T",""),
if(countif(dd.cyan.sim,$D22),"D",""),
if(countif(nap.hwb.sim,$D22),"A",""),
if(countif(var.hwb.sim,$D22),"V",""))</f>
        <v/>
      </c>
      <c r="AF22" s="34" t="str">
        <f>
CONCATENATE(if(countif(us.ekxn.sim,$D22),"U",""),
if(countif(knap.ekxn.sim,$D22),"K",""),
if(countif(np.ekxn.sim,$D22),"P",""),
if(countif(mic.ekxn.sim,$D22),"M",""),
if(countif(imp.epc.sim,$D22),"T",""),
if(countif(nap.ekxn.sim,$D22),"A",""))</f>
        <v/>
      </c>
      <c r="AG22" s="34"/>
      <c r="AH22" s="34" t="str">
        <f>
CONCATENATE(if(countif(us.egt.sim,$D22),"U",""),
if(countif(knap.egt.sim,$D22),"K",""),
if(countif(np.egt.sim,$D22),"P",""),
if(countif(mic.egt.sim,$D22),"M",""))</f>
        <v/>
      </c>
      <c r="AI22" s="34"/>
      <c r="AJ22" s="34" t="str">
        <f>if(countif(nap.ecit.sim,$D22),"A","")</f>
        <v/>
      </c>
      <c r="AK22" s="34" t="str">
        <f>
CONCATENATE(if(countif(nap.erd,$D22),"M",""),
if(countif(nap.erd.sim,$D22),"A",""),
if(countif(var.erd.sim,$D22),"V",""))</f>
        <v/>
      </c>
      <c r="AL22" s="34" t="str">
        <f>
CONCATENATE(if(countif(knap.gkxn.sim,$D22),"K",""),
if(countif(nap.gkxn.sim,$D22),"A",""))</f>
        <v/>
      </c>
      <c r="AM22" s="34" t="str">
        <f>
CONCATENATE(if(countif(knap.gen.sim,$C22),"K",""),
if(countif(imp.gen.sim,$C22),"T",""),
if(countif(dd.gen.sim,$C22),"D",""),
if(countif(nap.gen.sim,$C22),"A",""),
if(countif(var.gen.sim,$C22),"V",""))
</f>
        <v/>
      </c>
      <c r="AN22" s="34" t="str">
        <f>IFERROR(__xludf.DUMMYFUNCTION("
if(countif(#REF!,CONCATENATE(regexextract($C22,""[\w]* [\w]*""), ""*"")),""V"","""")"),"")</f>
        <v/>
      </c>
      <c r="AO22" s="34" t="str">
        <f>
CONCATENATE(if(countif(knap.kmp.sim,$D22),"K",""),
if(countif(np.kmp.sim,$D22),"P",""),
if(countif(imp.kmp.sim,$D22),"T",""),
if(countif(dd.kmp,$D22),"D",""),
if(countif(nap.kmp.sim,$D22),"A",""),
if(countif(var.kmp.sim,$D22),"V",""))</f>
        <v/>
      </c>
      <c r="AP22" s="34" t="str">
        <f>
CONCATENATE(if(countif(knap.lu2.sim,$D22),"K",""),
if(countif(np.lu2.sim,$D22),"P",""),
if(countif(imp.lu2.sim,$D22),"T",""),
if(countif(dd.lu2.sim,$D22),"D",""),
if(countif(nap.lu2.sim,$D22),"A",""),
if(countif(var.lu2.sim,$D22),"V",""))</f>
        <v/>
      </c>
      <c r="AQ22" s="34" t="str">
        <f>
CONCATENATE(if(countif(np.myc.sim,$D22),"P",""),
if(countif(imp.myc.sim,$D22),"T",""),
if(countif(nap.myc.sim,$D22),"A",""))
</f>
        <v/>
      </c>
      <c r="AR22" s="36" t="str">
        <f>
CONCATENATE(if(countif(knap.nar.sim,$D22),"K",""),
if(countif(np.nar.sim,$D22),"P",""),
if(countif(imp.nar.sim,$D22),"T",""),
if(countif(dd.nar.sim,$D22),"D",""),
if(countif(nap.nar.sim,$D22),"A",""),
if(countif(var.nar.sim,$D22),"V",""))</f>
        <v/>
      </c>
      <c r="AS22" s="34" t="str">
        <f>
CONCATENATE(if(countif(knap.que.sim,$D22),"K",""),
if(countif(np.que.sim,$D22),"P",""),
if(countif(imp.que.sim,$D22),"T",""),
if(countif(dd.que.sim,$D22),"D",""),
if(countif(nap.que.sim,$D22),"A",""),
if(countif(var.que.sim,$D22),"V",""))</f>
        <v/>
      </c>
      <c r="AT22" s="37"/>
      <c r="AU22" s="32" t="str">
        <f>IFERROR(__xludf.DUMMYFUNCTION("if(countif(kr.agi, CONCATENATE(regexextract($C22,""[\w]* [\w]*""), ""*"")),""X"","""")"),"")</f>
        <v/>
      </c>
      <c r="AV22" s="38" t="str">
        <f>IFERROR(__xludf.DUMMYFUNCTION("if(countif(kr.bun,CONCATENATE(regexextract($C22,""[\w]* [\w]*""), ""*"")),""X"","""")"),"")</f>
        <v/>
      </c>
      <c r="AW22" s="38" t="str">
        <f>IFERROR(__xludf.DUMMYFUNCTION("if(countif(kr.kxn,CONCATENATE(regexextract($C22,""[\w]* [\w]*""), ""*"")),""X"","""")"),"")</f>
        <v/>
      </c>
      <c r="AX22" s="38" t="str">
        <f>IFERROR(__xludf.DUMMYFUNCTION("if(countif(kr.hwb,CONCATENATE(regexextract($C22,""[\w]* [\w]*""), ""*"")),""X"","""")"),"")</f>
        <v/>
      </c>
      <c r="AY22" s="38" t="str">
        <f>IFERROR(__xludf.DUMMYFUNCTION("if(countif(kr.ec,CONCATENATE(regexextract($C22,""[\w]* [\w]*""), ""*"")),""X"","""")"),"")</f>
        <v/>
      </c>
      <c r="AZ22" s="38" t="str">
        <f>IFERROR(__xludf.DUMMYFUNCTION("if(countif(kr.egt,CONCATENATE(regexextract($C22,""[\w]* [\w]*""), ""*"")),""X"","""")"),"")</f>
        <v/>
      </c>
      <c r="BA22" s="38"/>
      <c r="BB22" s="38" t="str">
        <f>IFERROR(__xludf.DUMMYFUNCTION("if(countif(kr.erd,CONCATENATE(regexextract($C22,""[\w]* [\w]*""), ""*"")),""X"","""")"),"")</f>
        <v/>
      </c>
      <c r="BC22" s="38" t="str">
        <f>IFERROR(__xludf.DUMMYFUNCTION("if(countif(kr.gkxn,CONCATENATE(regexextract($C22,""[\w]* [\w]*""), ""*"")),""X"","""")"),"")</f>
        <v/>
      </c>
      <c r="BD22" s="38" t="str">
        <f>IFERROR(__xludf.DUMMYFUNCTION("if(countif(kr.gen,CONCATENATE(regexextract(C22,""[\w]* [\w]*""), ""*"")),""X"","""")"),"")</f>
        <v/>
      </c>
      <c r="BE22" s="38" t="str">
        <f>IFERROR(__xludf.DUMMYFUNCTION("if(countif(kr.hcc,CONCATENATE(regexextract($C22,""[\w]* [\w]*""), ""*"")),""X"","""")"),"")</f>
        <v/>
      </c>
      <c r="BF22" s="38" t="str">
        <f>IFERROR(__xludf.DUMMYFUNCTION("if(countif(kr.kmp,CONCATENATE(regexextract($C22,""[\w]* [\w]*""), ""*"")),""X"","""")"),"")</f>
        <v/>
      </c>
      <c r="BG22" s="38" t="str">
        <f>IFERROR(__xludf.DUMMYFUNCTION("if(countif(kr.lu2,CONCATENATE(regexextract($C22,""[\w]* [\w]*""), ""*"")),""X"","""")"),"")</f>
        <v/>
      </c>
      <c r="BH22" s="38" t="str">
        <f>IFERROR(__xludf.DUMMYFUNCTION("if(countif(kr.myc,CONCATENATE(regexextract($C22,""[\w]* [\w]*""), ""*"")),""X"","""")"),"")</f>
        <v/>
      </c>
      <c r="BI22" s="38" t="str">
        <f>IFERROR(__xludf.DUMMYFUNCTION("if(countif(kr.nar,CONCATENATE(regexextract($C22,""[\w]* [\w]*""), ""*"")),""X"","""")"),"")</f>
        <v/>
      </c>
      <c r="BJ22" s="38" t="str">
        <f>IFERROR(__xludf.DUMMYFUNCTION("if(countif(kr.que,CONCATENATE(regexextract($C22,""[\w]* [\w]*""), ""*"")),""X"","""")"),"")</f>
        <v/>
      </c>
      <c r="BK22" s="39"/>
      <c r="BL22" s="40" t="str">
        <f>IFERROR(__xludf.DUMMYFUNCTION(" CONCATENATE( 
if (regexmatch(I22, ""^[A-Za-z\.\_]+""), ""L"", 
if(regexmatch(AB22, ""^[A-Za-z\.\_]+""),""S"","""")),
if(AU22=""X"",""K"",""""))"),"")</f>
        <v/>
      </c>
      <c r="BM22" s="40" t="str">
        <f>IFERROR(__xludf.DUMMYFUNCTION(" CONCATENATE( 
if (regexmatch(J22, ""^[A-Za-z\.\_]+""), ""L"", 
if(regexmatch(AC22, ""^[A-Za-z\.\_]+""),""S"","""")),
if(AV22=""X"",""K"",""""))"),"")</f>
        <v/>
      </c>
      <c r="BN22" s="40" t="str">
        <f>IFERROR(__xludf.DUMMYFUNCTION(" CONCATENATE( 
if (regexmatch(K22, ""^[A-Za-z\.\_]+""), ""L"", 
if(regexmatch(AD22, ""^[A-Za-z\.\_]+""),""S"","""")),
if(AW22=""X"",""K"",""""))"),"")</f>
        <v/>
      </c>
      <c r="BO22" s="40" t="str">
        <f>IFERROR(__xludf.DUMMYFUNCTION(" CONCATENATE( 
if (regexmatch(L22, ""^[A-Za-z\.\_]+""), ""L"", 
if(regexmatch(AE22, ""^[A-Za-z\.\_]+""),""S"","""")),
if(AX22=""X"",""K"",""""))"),"")</f>
        <v/>
      </c>
      <c r="BP22" s="40" t="str">
        <f>IFERROR(__xludf.DUMMYFUNCTION(" CONCATENATE( 
if (regexmatch(M22, ""^[A-Za-z\.\_]+""), ""L"", 
if(regexmatch(AF22, ""^[A-Za-z\.\_]+""),""S"","""")),
if(AY22=""X"",""K"",""""))"),"")</f>
        <v/>
      </c>
      <c r="BQ22" s="40" t="str">
        <f>IFERROR(__xludf.DUMMYFUNCTION("CONCATENATE( 
if (regexmatch(O22, ""^[A-Za-z\.\_]+""), ""L"", 
if(regexmatch(AH22, ""^[A-Za-z\.\_]+""),""S"","""")),
if(AZ22=""X"",""K"",""""))"),"")</f>
        <v/>
      </c>
      <c r="BR22" s="40" t="str">
        <f>IFERROR(__xludf.DUMMYFUNCTION("CONCATENATE( 
if (regexmatch(Q22, ""^[A-Za-z\.\_]+""), ""L"", 
if(regexmatch(AJ22, ""^[A-Za-z\.\_]+""),""S"","""")),
if(BA22=""X"",""K"",""""))"),"")</f>
        <v/>
      </c>
      <c r="BS22" s="40" t="str">
        <f>IFERROR(__xludf.DUMMYFUNCTION(" CONCATENATE( 
if (regexmatch(R22, ""^[A-Za-z\.\_]+""), ""L"", 
if(regexmatch(AK22, ""^[A-Za-z\.\_]+""),""S"","""")),
if(BB22=""X"",""K"",""""))"),"")</f>
        <v/>
      </c>
      <c r="BT22" s="40" t="str">
        <f>IFERROR(__xludf.DUMMYFUNCTION("CONCATENATE( 
if (regexmatch(S22, ""^[A-Za-z\.\_]+""), ""L"", 
if(regexmatch(AL22, ""^[A-Za-z\.\_]+""),""S"","""")),
if(BC22=""X"",""K"",""""))"),"")</f>
        <v/>
      </c>
      <c r="BU22" s="40" t="str">
        <f>IFERROR(__xludf.DUMMYFUNCTION("CONCATENATE( 
if (regexmatch(T22, ""^[A-Za-z\.\_]+""), ""L"", 
if(regexmatch(AM22, ""^[A-Za-z\.\_]+""),""S"","""")),
if(BD22=""X"",""K"",""""))"),"")</f>
        <v/>
      </c>
      <c r="BV22" s="40" t="str">
        <f>IFERROR(__xludf.DUMMYFUNCTION("CONCATENATE( 
if (regexmatch(U22, ""^[A-Za-z\.\_]+""), ""L"", 
if(regexmatch(AN22, ""^[A-Za-z\.\_]+""),""S"","""")),
if(BE22=""X"",""K"",""""))"),"")</f>
        <v/>
      </c>
      <c r="BW22" s="40" t="str">
        <f>IFERROR(__xludf.DUMMYFUNCTION(" CONCATENATE( 
if (regexmatch(V22, ""^[A-Za-z\.\_]+""), ""L"", 
if(regexmatch(AO22, ""^[A-Za-z\.\_]+""),""S"","""")),
if(BF22=""X"",""K"",""""))"),"")</f>
        <v/>
      </c>
      <c r="BX22" s="40" t="str">
        <f>IFERROR(__xludf.DUMMYFUNCTION("CONCATENATE( 
if (regexmatch(W22, ""^[A-Za-z\.\_]+""), ""L"", 
if(regexmatch(AP22, ""^[A-Za-z\.\_]+""),""S"","""")),
if(BG22=""X"",""K"",""""))"),"")</f>
        <v/>
      </c>
      <c r="BY22" s="40" t="str">
        <f>IFERROR(__xludf.DUMMYFUNCTION("CONCATENATE( 
if (regexmatch(X22, ""^[A-Za-z\.\_]+""), ""L"", 
if(regexmatch(AQ22, ""^[A-Za-z\.\_]+""),""S"","""")),
if(BH22=""X"",""K"",""""))"),"")</f>
        <v/>
      </c>
      <c r="BZ22" s="40" t="str">
        <f>IFERROR(__xludf.DUMMYFUNCTION("CONCATENATE( 
if (regexmatch(Y22, ""^[A-Za-z\.\_]+""), ""L"", 
if(regexmatch(AR22, ""^[A-Za-z\.\_]+""),""S"","""")),
if(BI22=""X"",""K"",""""))"),"")</f>
        <v/>
      </c>
      <c r="CA22" s="40" t="str">
        <f>IFERROR(__xludf.DUMMYFUNCTION("CONCATENATE( 
if (regexmatch(Z22, ""^[A-Za-z\.\_]+""), ""L"", 
if(regexmatch(AS22, ""^[A-Za-z\.\_]+""),""S"","""")),
if(BJ22=""X"",""K"",""""))"),"")</f>
        <v/>
      </c>
      <c r="CB22" s="39"/>
      <c r="CC22" s="39"/>
      <c r="CD22" s="39"/>
      <c r="CE22" s="39"/>
      <c r="CF22" s="39"/>
      <c r="CG22" s="39"/>
      <c r="CH22" s="39"/>
      <c r="CI22" s="39"/>
      <c r="CJ22" s="39"/>
      <c r="CK22" s="39"/>
      <c r="CL22" s="39"/>
      <c r="CM22" s="39"/>
      <c r="CN22" s="39"/>
      <c r="CO22" s="39"/>
      <c r="CP22" s="39"/>
      <c r="CQ22" s="39"/>
      <c r="CR22" s="39"/>
    </row>
    <row r="23" ht="15.75" customHeight="1">
      <c r="A23" s="25">
        <v>128.0</v>
      </c>
      <c r="B23" s="26" t="s">
        <v>143</v>
      </c>
      <c r="C23" s="27" t="s">
        <v>144</v>
      </c>
      <c r="D23" s="27" t="str">
        <f>IFERROR(__xludf.DUMMYFUNCTION("CONCATENATE(regexextract($C23,""[\w]* [\w]*""), ""*"")"),"Chlorella variabilis*")</f>
        <v>Chlorella variabilis*</v>
      </c>
      <c r="E23" s="26" t="s">
        <v>145</v>
      </c>
      <c r="F23" s="57">
        <v>554065.0</v>
      </c>
      <c r="G23" s="53"/>
      <c r="H23" s="31"/>
      <c r="I23" s="32" t="str">
        <f>CONCATENATE(
if(countif(dd.agi,$D23),"D",""),
if(countif(knap.agi,$D23),"K",""),
if(countif(mic.agi,$D23),"M",""),
if(countif(nap.agi,$D23),"N",""),
if(countif(np.agi,$D23),"P",""),
if(countif(imp.agi,$D23),"T",""),
if(countif(us.agi,$D23),"U",""),
if(countif(var.agi,$D23),"V","")
)</f>
        <v/>
      </c>
      <c r="J23" s="32" t="str">
        <f>
CONCATENATE(
if(countif(nap.bun,$D23),"N",""),
if(countif(np.bun,$D23),"P","")
)
</f>
        <v/>
      </c>
      <c r="K23" s="32" t="str">
        <f>CONCATENATE(
if(countif(dd.kxn,$D23),"D",""),
if(countif(knap.kxn,$D23),"K",""),
if(countif(mic.kxn,$D23),"M",""),
if(countif(nap.kxn,$D23),"N",""),
if(countif(np.kxn,$D23),"P",""),
if(countif(us.kxn,$D23),"U",""),
if(countif(var.kxn,$D23),"V","")
)</f>
        <v/>
      </c>
      <c r="L23" s="32" t="str">
        <f>
CONCATENATE(
if(countif(dd.hwb,$D23),"D",""),
if(countif(knap.hwb,$D23),"K",""),
if(countif(mic.hwb,$D23),"M",""),
if(countif(nap.hwb,$D23),"N",""),
if(countif(np.hwb,$D23),"P",""),
if(countif(us.hwb,$D23),"U",""),
if(countif(imp.hwb,$D23),"T",""),
if(countif(var.hwb,$D23),"V","")
)</f>
        <v/>
      </c>
      <c r="M23" s="32" t="str">
        <f>CONCATENATE(
if(countif(dd.epc,$D23),"D",""),
if(countif(knap.ekxn,$D23),"K",""),
if(countif(mic.ekxn,$D23),"M",""),
if(countif(nap.ekxn,$D23),"N",""),
if(countif(np.ekxn,$D23),"P",""),
if(countif(imp.epc,$D23),"T",""),
if(countif(us.ekxn,$D23),"U",""),
if(countif(var.ekxn,$D23),"V","")
)</f>
        <v/>
      </c>
      <c r="N23" s="32" t="str">
        <f>
CONCATENATE(
if(countif(dd.ecg,$D23),"D",""),
if(countif(mic.ecg,$D23),"M",""),
if(countif(np.ecg,$D23),"P",""),
if(countif(imp.ecg,$D23),"T",""),
if(countif(us.ecg,$D23),"U","")
)</f>
        <v/>
      </c>
      <c r="O23" s="32" t="str">
        <f>
CONCATENATE(
if(countif(dd.egt,$D23),"D",""),
if(countif(mic.egt,$D23),"M",""),
if(countif(nap.egt,$D23),"N",""),
if(countif(us.egt,$D23),"U",""),
if(countif(var.egt,$D23),"V",""))
</f>
        <v/>
      </c>
      <c r="P23" s="32" t="str">
        <f>CONCATENATE(
if(countif(knap.egcg,$D23),"K",""),
if(countif(mic.egcg,$D23),"M",""),
if(countif(np.egcg,$D23),"P",""),
if(countif(us.egcg,$D23),"U","")
)</f>
        <v/>
      </c>
      <c r="Q23" s="32" t="str">
        <f>CONCATENATE(if(countif(np.ecit,$D23),"P",""),
if(countif(nap.ecit,$D23),"A",""))</f>
        <v/>
      </c>
      <c r="R23" s="32" t="str">
        <f>
CONCATENATE(
if(countif(nap.erd,$D23),"N",""),
if(countif(np.erd,$D23),"P",""),
if(countif(var.erd,$D23),"V",""))</f>
        <v/>
      </c>
      <c r="S23" s="32" t="str">
        <f>
CONCATENATE(
if(countif(dd.gkxn,$D23),"D",""),
if(countif(knap.gkxn,$D23),"K",""),
if(countif(nap.gkxn,$D23),"N",""),
if(countif(np.gkxn,$D23),"P",""),
if(countif(imp.gkxn,$D23),"T",""),
if(countif(var.gkxn,$D23),"V",""))</f>
        <v/>
      </c>
      <c r="T23" s="32" t="str">
        <f>
CONCATENATE(
if(countif(dd.gen,$C23),"D",""),
if(countif(knap.gen,$C23),"K",""),
if(countif(nap.gen,$C23),"N",""),
if(countif(np.gen,$C23),"P",""),
if(countif(imp.gen,$C23),"T",""),
if(countif(var.gen,$C23),"V",""))</f>
        <v/>
      </c>
      <c r="U23" s="32" t="str">
        <f>
CONCATENATE(
if(countif(dd.hcc,$D23),"D",""),
if(countif(knap.hcc,$D23),"K",""),
if(countif(np.hcc,$D23),"P","")
)
</f>
        <v/>
      </c>
      <c r="V23" s="32" t="str">
        <f>
CONCATENATE(
if(countif(dd.kmp,$D23),"D",""),
if(countif(knap.kmp,$D23),"K",""),
if(countif(mic.kmp,$D23),"M",""),
if(countif(nap.kmp,$D23),"N",""),
if(countif(np.kmp,$D23),"P",""),
if(countif(imp.kmp,$D23),"T",""),
if(countif(us.kmp,$D23),"U",""),
if(countif(var.kmp,$D23),"V",""))</f>
        <v/>
      </c>
      <c r="W23" s="32" t="str">
        <f>
CONCATENATE(
if(countif(dd.lu2,$D23),"D",""),
if(countif(knap.lu2,$D23),"K",""),
if(countif(mic.lu2,$D23),"M",""),
if(countif(nap.lu2,$D23),"N",""),
if(countif(np.lu2,$D23),"P",""),
if(countif(imp.lu2,$D23),"T",""),
if(countif(us.lu2,$D23),"U",""),
if(countif(var.lu2,$D23),"V",""))</f>
        <v/>
      </c>
      <c r="X23" s="32" t="str">
        <f>
CONCATENATE(
if(countif(dd.myc,$D23),"D",""),
if(countif(knap.myc,$D23),"K",""), 
if(countif(mic.myc,$D23),"M",""),
if(countif(nap.myc,$D23),"N",""),
if(countif(np.myc,$D23),"P",""),
if(countif(imp.myc,$D23),"T",""),
if(countif(us.myc,$D23),"U",""),
if(countif(var.myc,$D23),"V",""))</f>
        <v/>
      </c>
      <c r="Y23" s="32" t="str">
        <f>CONCATENATE(
if(countif(dd.nar,$D23),"D",""),
if(countif(knap.nar,$D23),"K",""),
if(countif(nap.nar,$D23),"N",""),
if(countif(np.nar,$D23),"P",""),
if(countif(imp.nar,$D23),"T",""),
if(countif(us.nar,$D23),"U",""),
if(countif(var.nar,$D23),"V",""))</f>
        <v/>
      </c>
      <c r="Z23" s="33" t="str">
        <f>
CONCATENATE(
if(countif(dd.que,$D23),"D",""),
if(countif(knap.que,$D23),"K",""),
if(countif(mic.que,$D23),"M",""),
if(countif(nap.que,$D23),"N",""),
if(countif(np.que,$D23),"P",""),
if(countif(imp.que,$D23),"T",""),
if(countif(us.que,$D23),"U",""),
if(countif(var.que,$D23),"V",""))</f>
        <v/>
      </c>
      <c r="AA23" s="32"/>
      <c r="AB23" s="34" t="str">
        <f>
CONCATENATE(if(countif(knap.agi.sim,$D23),"K",""),
if(countif(dd.agi.sim,$D23),"D",""),
if(countif(nap.agi.sim,$D23),"A",""),
if(countif(var.agi.sim,$D23),"V",""))</f>
        <v/>
      </c>
      <c r="AC23" s="34" t="str">
        <f>
if(countif(nap.bun.sim,$D23),"A","")</f>
        <v/>
      </c>
      <c r="AD23" s="34" t="str">
        <f>
CONCATENATE(if(countif(knap.kxn.sim,$D23),"K",""),
if(countif(np.kxn.sim,$D23),"P",""),
if(countif(dd.kxn.sim,$D23),"D",""),
if(countif(nap.kxn.sim,$D23),"A",""),
if(countif(var.kxn.sim,$D23),"V",""))</f>
        <v/>
      </c>
      <c r="AE23" s="34" t="str">
        <f>
CONCATENATE(if(countif(knap.hwb.sim,$D23),"K",""),
if(countif(np.hwb.sim,$D23),"P",""),
if(countif(mic.hwb.sim,$D23),"M",""),
if(countif(imp.hwb.sim,$D23),"T",""),
if(countif(dd.cyan.sim,$D23),"D",""),
if(countif(nap.hwb.sim,$D23),"A",""),
if(countif(var.hwb.sim,$D23),"V",""))</f>
        <v/>
      </c>
      <c r="AF23" s="34" t="str">
        <f>
CONCATENATE(if(countif(us.ekxn.sim,$D23),"U",""),
if(countif(knap.ekxn.sim,$D23),"K",""),
if(countif(np.ekxn.sim,$D23),"P",""),
if(countif(mic.ekxn.sim,$D23),"M",""),
if(countif(imp.epc.sim,$D23),"T",""),
if(countif(nap.ekxn.sim,$D23),"A",""))</f>
        <v/>
      </c>
      <c r="AG23" s="34"/>
      <c r="AH23" s="34" t="str">
        <f>
CONCATENATE(if(countif(us.egt.sim,$D23),"U",""),
if(countif(knap.egt.sim,$D23),"K",""),
if(countif(np.egt.sim,$D23),"P",""),
if(countif(mic.egt.sim,$D23),"M",""))</f>
        <v/>
      </c>
      <c r="AI23" s="34"/>
      <c r="AJ23" s="34" t="str">
        <f>if(countif(nap.ecit.sim,$D23),"A","")</f>
        <v/>
      </c>
      <c r="AK23" s="34" t="str">
        <f>
CONCATENATE(if(countif(nap.erd,$D23),"M",""),
if(countif(nap.erd.sim,$D23),"A",""),
if(countif(var.erd.sim,$D23),"V",""))</f>
        <v/>
      </c>
      <c r="AL23" s="34" t="str">
        <f>
CONCATENATE(if(countif(knap.gkxn.sim,$D23),"K",""),
if(countif(nap.gkxn.sim,$D23),"A",""))</f>
        <v/>
      </c>
      <c r="AM23" s="34" t="str">
        <f>
CONCATENATE(if(countif(knap.gen.sim,$C23),"K",""),
if(countif(imp.gen.sim,$C23),"T",""),
if(countif(dd.gen.sim,$C23),"D",""),
if(countif(nap.gen.sim,$C23),"A",""),
if(countif(var.gen.sim,$C23),"V",""))
</f>
        <v/>
      </c>
      <c r="AN23" s="34" t="str">
        <f>IFERROR(__xludf.DUMMYFUNCTION("
if(countif(#REF!,CONCATENATE(regexextract($C23,""[\w]* [\w]*""), ""*"")),""V"","""")"),"")</f>
        <v/>
      </c>
      <c r="AO23" s="34" t="str">
        <f>
CONCATENATE(if(countif(knap.kmp.sim,$D23),"K",""),
if(countif(np.kmp.sim,$D23),"P",""),
if(countif(imp.kmp.sim,$D23),"T",""),
if(countif(dd.kmp,$D23),"D",""),
if(countif(nap.kmp.sim,$D23),"A",""),
if(countif(var.kmp.sim,$D23),"V",""))</f>
        <v/>
      </c>
      <c r="AP23" s="34" t="str">
        <f>
CONCATENATE(if(countif(knap.lu2.sim,$D23),"K",""),
if(countif(np.lu2.sim,$D23),"P",""),
if(countif(imp.lu2.sim,$D23),"T",""),
if(countif(dd.lu2.sim,$D23),"D",""),
if(countif(nap.lu2.sim,$D23),"A",""),
if(countif(var.lu2.sim,$D23),"V",""))</f>
        <v/>
      </c>
      <c r="AQ23" s="34" t="str">
        <f>
CONCATENATE(if(countif(np.myc.sim,$D23),"P",""),
if(countif(imp.myc.sim,$D23),"T",""),
if(countif(nap.myc.sim,$D23),"A",""))
</f>
        <v/>
      </c>
      <c r="AR23" s="36" t="str">
        <f>
CONCATENATE(if(countif(knap.nar.sim,$D23),"K",""),
if(countif(np.nar.sim,$D23),"P",""),
if(countif(imp.nar.sim,$D23),"T",""),
if(countif(dd.nar.sim,$D23),"D",""),
if(countif(nap.nar.sim,$D23),"A",""),
if(countif(var.nar.sim,$D23),"V",""))</f>
        <v/>
      </c>
      <c r="AS23" s="34" t="str">
        <f>
CONCATENATE(if(countif(knap.que.sim,$D23),"K",""),
if(countif(np.que.sim,$D23),"P",""),
if(countif(imp.que.sim,$D23),"T",""),
if(countif(dd.que.sim,$D23),"D",""),
if(countif(nap.que.sim,$D23),"A",""),
if(countif(var.que.sim,$D23),"V",""))</f>
        <v/>
      </c>
      <c r="AT23" s="37"/>
      <c r="AU23" s="32" t="str">
        <f>IFERROR(__xludf.DUMMYFUNCTION("if(countif(kr.agi, CONCATENATE(regexextract($C23,""[\w]* [\w]*""), ""*"")),""X"","""")"),"")</f>
        <v/>
      </c>
      <c r="AV23" s="38" t="str">
        <f>IFERROR(__xludf.DUMMYFUNCTION("if(countif(kr.bun,CONCATENATE(regexextract($C23,""[\w]* [\w]*""), ""*"")),""X"","""")"),"")</f>
        <v/>
      </c>
      <c r="AW23" s="38" t="str">
        <f>IFERROR(__xludf.DUMMYFUNCTION("if(countif(kr.kxn,CONCATENATE(regexextract($C23,""[\w]* [\w]*""), ""*"")),""X"","""")"),"")</f>
        <v/>
      </c>
      <c r="AX23" s="38" t="str">
        <f>IFERROR(__xludf.DUMMYFUNCTION("if(countif(kr.hwb,CONCATENATE(regexextract($C23,""[\w]* [\w]*""), ""*"")),""X"","""")"),"")</f>
        <v/>
      </c>
      <c r="AY23" s="38" t="str">
        <f>IFERROR(__xludf.DUMMYFUNCTION("if(countif(kr.ec,CONCATENATE(regexextract($C23,""[\w]* [\w]*""), ""*"")),""X"","""")"),"")</f>
        <v/>
      </c>
      <c r="AZ23" s="38" t="str">
        <f>IFERROR(__xludf.DUMMYFUNCTION("if(countif(kr.egt,CONCATENATE(regexextract($C23,""[\w]* [\w]*""), ""*"")),""X"","""")"),"")</f>
        <v/>
      </c>
      <c r="BA23" s="38"/>
      <c r="BB23" s="38" t="str">
        <f>IFERROR(__xludf.DUMMYFUNCTION("if(countif(kr.erd,CONCATENATE(regexextract($C23,""[\w]* [\w]*""), ""*"")),""X"","""")"),"")</f>
        <v/>
      </c>
      <c r="BC23" s="38" t="str">
        <f>IFERROR(__xludf.DUMMYFUNCTION("if(countif(kr.gkxn,CONCATENATE(regexextract($C23,""[\w]* [\w]*""), ""*"")),""X"","""")"),"")</f>
        <v/>
      </c>
      <c r="BD23" s="38" t="str">
        <f>IFERROR(__xludf.DUMMYFUNCTION("if(countif(kr.gen,CONCATENATE(regexextract(C23,""[\w]* [\w]*""), ""*"")),""X"","""")"),"")</f>
        <v/>
      </c>
      <c r="BE23" s="38" t="str">
        <f>IFERROR(__xludf.DUMMYFUNCTION("if(countif(kr.hcc,CONCATENATE(regexextract($C23,""[\w]* [\w]*""), ""*"")),""X"","""")"),"")</f>
        <v/>
      </c>
      <c r="BF23" s="38" t="str">
        <f>IFERROR(__xludf.DUMMYFUNCTION("if(countif(kr.kmp,CONCATENATE(regexextract($C23,""[\w]* [\w]*""), ""*"")),""X"","""")"),"")</f>
        <v/>
      </c>
      <c r="BG23" s="38" t="str">
        <f>IFERROR(__xludf.DUMMYFUNCTION("if(countif(kr.lu2,CONCATENATE(regexextract($C23,""[\w]* [\w]*""), ""*"")),""X"","""")"),"")</f>
        <v/>
      </c>
      <c r="BH23" s="38" t="str">
        <f>IFERROR(__xludf.DUMMYFUNCTION("if(countif(kr.myc,CONCATENATE(regexextract($C23,""[\w]* [\w]*""), ""*"")),""X"","""")"),"")</f>
        <v/>
      </c>
      <c r="BI23" s="38" t="str">
        <f>IFERROR(__xludf.DUMMYFUNCTION("if(countif(kr.nar,CONCATENATE(regexextract($C23,""[\w]* [\w]*""), ""*"")),""X"","""")"),"")</f>
        <v/>
      </c>
      <c r="BJ23" s="38" t="str">
        <f>IFERROR(__xludf.DUMMYFUNCTION("if(countif(kr.que,CONCATENATE(regexextract($C23,""[\w]* [\w]*""), ""*"")),""X"","""")"),"")</f>
        <v/>
      </c>
      <c r="BK23" s="39"/>
      <c r="BL23" s="40" t="str">
        <f>IFERROR(__xludf.DUMMYFUNCTION(" CONCATENATE( 
if (regexmatch(I23, ""^[A-Za-z\.\_]+""), ""L"", 
if(regexmatch(AB23, ""^[A-Za-z\.\_]+""),""S"","""")),
if(AU23=""X"",""K"",""""))"),"")</f>
        <v/>
      </c>
      <c r="BM23" s="40" t="str">
        <f>IFERROR(__xludf.DUMMYFUNCTION(" CONCATENATE( 
if (regexmatch(J23, ""^[A-Za-z\.\_]+""), ""L"", 
if(regexmatch(AC23, ""^[A-Za-z\.\_]+""),""S"","""")),
if(AV23=""X"",""K"",""""))"),"")</f>
        <v/>
      </c>
      <c r="BN23" s="40" t="str">
        <f>IFERROR(__xludf.DUMMYFUNCTION(" CONCATENATE( 
if (regexmatch(K23, ""^[A-Za-z\.\_]+""), ""L"", 
if(regexmatch(AD23, ""^[A-Za-z\.\_]+""),""S"","""")),
if(AW23=""X"",""K"",""""))"),"")</f>
        <v/>
      </c>
      <c r="BO23" s="40" t="str">
        <f>IFERROR(__xludf.DUMMYFUNCTION(" CONCATENATE( 
if (regexmatch(L23, ""^[A-Za-z\.\_]+""), ""L"", 
if(regexmatch(AE23, ""^[A-Za-z\.\_]+""),""S"","""")),
if(AX23=""X"",""K"",""""))"),"")</f>
        <v/>
      </c>
      <c r="BP23" s="40" t="str">
        <f>IFERROR(__xludf.DUMMYFUNCTION(" CONCATENATE( 
if (regexmatch(M23, ""^[A-Za-z\.\_]+""), ""L"", 
if(regexmatch(AF23, ""^[A-Za-z\.\_]+""),""S"","""")),
if(AY23=""X"",""K"",""""))"),"")</f>
        <v/>
      </c>
      <c r="BQ23" s="40" t="str">
        <f>IFERROR(__xludf.DUMMYFUNCTION("CONCATENATE( 
if (regexmatch(O23, ""^[A-Za-z\.\_]+""), ""L"", 
if(regexmatch(AH23, ""^[A-Za-z\.\_]+""),""S"","""")),
if(AZ23=""X"",""K"",""""))"),"")</f>
        <v/>
      </c>
      <c r="BR23" s="40" t="str">
        <f>IFERROR(__xludf.DUMMYFUNCTION("CONCATENATE( 
if (regexmatch(Q23, ""^[A-Za-z\.\_]+""), ""L"", 
if(regexmatch(AJ23, ""^[A-Za-z\.\_]+""),""S"","""")),
if(BA23=""X"",""K"",""""))"),"")</f>
        <v/>
      </c>
      <c r="BS23" s="40" t="str">
        <f>IFERROR(__xludf.DUMMYFUNCTION(" CONCATENATE( 
if (regexmatch(R23, ""^[A-Za-z\.\_]+""), ""L"", 
if(regexmatch(AK23, ""^[A-Za-z\.\_]+""),""S"","""")),
if(BB23=""X"",""K"",""""))"),"")</f>
        <v/>
      </c>
      <c r="BT23" s="40" t="str">
        <f>IFERROR(__xludf.DUMMYFUNCTION("CONCATENATE( 
if (regexmatch(S23, ""^[A-Za-z\.\_]+""), ""L"", 
if(regexmatch(AL23, ""^[A-Za-z\.\_]+""),""S"","""")),
if(BC23=""X"",""K"",""""))"),"")</f>
        <v/>
      </c>
      <c r="BU23" s="40" t="str">
        <f>IFERROR(__xludf.DUMMYFUNCTION("CONCATENATE( 
if (regexmatch(T23, ""^[A-Za-z\.\_]+""), ""L"", 
if(regexmatch(AM23, ""^[A-Za-z\.\_]+""),""S"","""")),
if(BD23=""X"",""K"",""""))"),"")</f>
        <v/>
      </c>
      <c r="BV23" s="40" t="str">
        <f>IFERROR(__xludf.DUMMYFUNCTION("CONCATENATE( 
if (regexmatch(U23, ""^[A-Za-z\.\_]+""), ""L"", 
if(regexmatch(AN23, ""^[A-Za-z\.\_]+""),""S"","""")),
if(BE23=""X"",""K"",""""))"),"")</f>
        <v/>
      </c>
      <c r="BW23" s="40" t="str">
        <f>IFERROR(__xludf.DUMMYFUNCTION(" CONCATENATE( 
if (regexmatch(V23, ""^[A-Za-z\.\_]+""), ""L"", 
if(regexmatch(AO23, ""^[A-Za-z\.\_]+""),""S"","""")),
if(BF23=""X"",""K"",""""))"),"")</f>
        <v/>
      </c>
      <c r="BX23" s="40" t="str">
        <f>IFERROR(__xludf.DUMMYFUNCTION("CONCATENATE( 
if (regexmatch(W23, ""^[A-Za-z\.\_]+""), ""L"", 
if(regexmatch(AP23, ""^[A-Za-z\.\_]+""),""S"","""")),
if(BG23=""X"",""K"",""""))"),"")</f>
        <v/>
      </c>
      <c r="BY23" s="40" t="str">
        <f>IFERROR(__xludf.DUMMYFUNCTION("CONCATENATE( 
if (regexmatch(X23, ""^[A-Za-z\.\_]+""), ""L"", 
if(regexmatch(AQ23, ""^[A-Za-z\.\_]+""),""S"","""")),
if(BH23=""X"",""K"",""""))"),"")</f>
        <v/>
      </c>
      <c r="BZ23" s="40" t="str">
        <f>IFERROR(__xludf.DUMMYFUNCTION("CONCATENATE( 
if (regexmatch(Y23, ""^[A-Za-z\.\_]+""), ""L"", 
if(regexmatch(AR23, ""^[A-Za-z\.\_]+""),""S"","""")),
if(BI23=""X"",""K"",""""))"),"")</f>
        <v/>
      </c>
      <c r="CA23" s="40" t="str">
        <f>IFERROR(__xludf.DUMMYFUNCTION("CONCATENATE( 
if (regexmatch(Z23, ""^[A-Za-z\.\_]+""), ""L"", 
if(regexmatch(AS23, ""^[A-Za-z\.\_]+""),""S"","""")),
if(BJ23=""X"",""K"",""""))"),"")</f>
        <v/>
      </c>
      <c r="CB23" s="39"/>
      <c r="CC23" s="39"/>
      <c r="CD23" s="39"/>
      <c r="CE23" s="39"/>
      <c r="CF23" s="39"/>
      <c r="CG23" s="39"/>
      <c r="CH23" s="39"/>
      <c r="CI23" s="39"/>
      <c r="CJ23" s="39"/>
      <c r="CK23" s="39"/>
      <c r="CL23" s="39"/>
      <c r="CM23" s="39"/>
      <c r="CN23" s="39"/>
      <c r="CO23" s="39"/>
      <c r="CP23" s="39"/>
      <c r="CQ23" s="39"/>
      <c r="CR23" s="39"/>
    </row>
    <row r="24" ht="15.75" customHeight="1">
      <c r="A24" s="25">
        <v>137.0</v>
      </c>
      <c r="B24" s="26" t="s">
        <v>146</v>
      </c>
      <c r="C24" s="27" t="s">
        <v>147</v>
      </c>
      <c r="D24" s="27" t="str">
        <f>IFERROR(__xludf.DUMMYFUNCTION("CONCATENATE(regexextract($C24,""[\w]* [\w]*""), ""*"")"),"Chondrus crispus*")</f>
        <v>Chondrus crispus*</v>
      </c>
      <c r="E24" s="28" t="s">
        <v>148</v>
      </c>
      <c r="F24" s="54">
        <v>2769.0</v>
      </c>
      <c r="G24" s="53"/>
      <c r="H24" s="31"/>
      <c r="I24" s="32" t="str">
        <f>CONCATENATE(
if(countif(dd.agi,$D24),"D",""),
if(countif(knap.agi,$D24),"K",""),
if(countif(mic.agi,$D24),"M",""),
if(countif(nap.agi,$D24),"N",""),
if(countif(np.agi,$D24),"P",""),
if(countif(imp.agi,$D24),"T",""),
if(countif(us.agi,$D24),"U",""),
if(countif(var.agi,$D24),"V","")
)</f>
        <v/>
      </c>
      <c r="J24" s="32" t="str">
        <f>
CONCATENATE(
if(countif(nap.bun,$D24),"N",""),
if(countif(np.bun,$D24),"P","")
)
</f>
        <v/>
      </c>
      <c r="K24" s="32" t="str">
        <f>CONCATENATE(
if(countif(dd.kxn,$D24),"D",""),
if(countif(knap.kxn,$D24),"K",""),
if(countif(mic.kxn,$D24),"M",""),
if(countif(nap.kxn,$D24),"N",""),
if(countif(np.kxn,$D24),"P",""),
if(countif(us.kxn,$D24),"U",""),
if(countif(var.kxn,$D24),"V","")
)</f>
        <v/>
      </c>
      <c r="L24" s="32" t="str">
        <f>
CONCATENATE(
if(countif(dd.hwb,$D24),"D",""),
if(countif(knap.hwb,$D24),"K",""),
if(countif(mic.hwb,$D24),"M",""),
if(countif(nap.hwb,$D24),"N",""),
if(countif(np.hwb,$D24),"P",""),
if(countif(us.hwb,$D24),"U",""),
if(countif(imp.hwb,$D24),"T",""),
if(countif(var.hwb,$D24),"V","")
)</f>
        <v/>
      </c>
      <c r="M24" s="32" t="str">
        <f>CONCATENATE(
if(countif(dd.epc,$D24),"D",""),
if(countif(knap.ekxn,$D24),"K",""),
if(countif(mic.ekxn,$D24),"M",""),
if(countif(nap.ekxn,$D24),"N",""),
if(countif(np.ekxn,$D24),"P",""),
if(countif(imp.epc,$D24),"T",""),
if(countif(us.ekxn,$D24),"U",""),
if(countif(var.ekxn,$D24),"V","")
)</f>
        <v/>
      </c>
      <c r="N24" s="32" t="str">
        <f>
CONCATENATE(
if(countif(dd.ecg,$D24),"D",""),
if(countif(mic.ecg,$D24),"M",""),
if(countif(np.ecg,$D24),"P",""),
if(countif(imp.ecg,$D24),"T",""),
if(countif(us.ecg,$D24),"U","")
)</f>
        <v/>
      </c>
      <c r="O24" s="32" t="str">
        <f>
CONCATENATE(
if(countif(dd.egt,$D24),"D",""),
if(countif(mic.egt,$D24),"M",""),
if(countif(nap.egt,$D24),"N",""),
if(countif(us.egt,$D24),"U",""),
if(countif(var.egt,$D24),"V",""))
</f>
        <v/>
      </c>
      <c r="P24" s="32" t="str">
        <f>CONCATENATE(
if(countif(knap.egcg,$D24),"K",""),
if(countif(mic.egcg,$D24),"M",""),
if(countif(np.egcg,$D24),"P",""),
if(countif(us.egcg,$D24),"U","")
)</f>
        <v/>
      </c>
      <c r="Q24" s="32" t="str">
        <f>CONCATENATE(if(countif(np.ecit,$D24),"P",""),
if(countif(nap.ecit,$D24),"A",""))</f>
        <v/>
      </c>
      <c r="R24" s="32" t="str">
        <f>
CONCATENATE(
if(countif(nap.erd,$D24),"N",""),
if(countif(np.erd,$D24),"P",""),
if(countif(var.erd,$D24),"V",""))</f>
        <v/>
      </c>
      <c r="S24" s="32" t="str">
        <f>
CONCATENATE(
if(countif(dd.gkxn,$D24),"D",""),
if(countif(knap.gkxn,$D24),"K",""),
if(countif(nap.gkxn,$D24),"N",""),
if(countif(np.gkxn,$D24),"P",""),
if(countif(imp.gkxn,$D24),"T",""),
if(countif(var.gkxn,$D24),"V",""))</f>
        <v/>
      </c>
      <c r="T24" s="32" t="str">
        <f>
CONCATENATE(
if(countif(dd.gen,$C24),"D",""),
if(countif(knap.gen,$C24),"K",""),
if(countif(nap.gen,$C24),"N",""),
if(countif(np.gen,$C24),"P",""),
if(countif(imp.gen,$C24),"T",""),
if(countif(var.gen,$C24),"V",""))</f>
        <v/>
      </c>
      <c r="U24" s="32" t="str">
        <f>
CONCATENATE(
if(countif(dd.hcc,$D24),"D",""),
if(countif(knap.hcc,$D24),"K",""),
if(countif(np.hcc,$D24),"P","")
)
</f>
        <v/>
      </c>
      <c r="V24" s="32" t="str">
        <f>
CONCATENATE(
if(countif(dd.kmp,$D24),"D",""),
if(countif(knap.kmp,$D24),"K",""),
if(countif(mic.kmp,$D24),"M",""),
if(countif(nap.kmp,$D24),"N",""),
if(countif(np.kmp,$D24),"P",""),
if(countif(imp.kmp,$D24),"T",""),
if(countif(us.kmp,$D24),"U",""),
if(countif(var.kmp,$D24),"V",""))</f>
        <v/>
      </c>
      <c r="W24" s="32" t="str">
        <f>
CONCATENATE(
if(countif(dd.lu2,$D24),"D",""),
if(countif(knap.lu2,$D24),"K",""),
if(countif(mic.lu2,$D24),"M",""),
if(countif(nap.lu2,$D24),"N",""),
if(countif(np.lu2,$D24),"P",""),
if(countif(imp.lu2,$D24),"T",""),
if(countif(us.lu2,$D24),"U",""),
if(countif(var.lu2,$D24),"V",""))</f>
        <v/>
      </c>
      <c r="X24" s="32" t="str">
        <f>
CONCATENATE(
if(countif(dd.myc,$D24),"D",""),
if(countif(knap.myc,$D24),"K",""), 
if(countif(mic.myc,$D24),"M",""),
if(countif(nap.myc,$D24),"N",""),
if(countif(np.myc,$D24),"P",""),
if(countif(imp.myc,$D24),"T",""),
if(countif(us.myc,$D24),"U",""),
if(countif(var.myc,$D24),"V",""))</f>
        <v/>
      </c>
      <c r="Y24" s="32" t="str">
        <f>CONCATENATE(
if(countif(dd.nar,$D24),"D",""),
if(countif(knap.nar,$D24),"K",""),
if(countif(nap.nar,$D24),"N",""),
if(countif(np.nar,$D24),"P",""),
if(countif(imp.nar,$D24),"T",""),
if(countif(us.nar,$D24),"U",""),
if(countif(var.nar,$D24),"V",""))</f>
        <v/>
      </c>
      <c r="Z24" s="33" t="str">
        <f>
CONCATENATE(
if(countif(dd.que,$D24),"D",""),
if(countif(knap.que,$D24),"K",""),
if(countif(mic.que,$D24),"M",""),
if(countif(nap.que,$D24),"N",""),
if(countif(np.que,$D24),"P",""),
if(countif(imp.que,$D24),"T",""),
if(countif(us.que,$D24),"U",""),
if(countif(var.que,$D24),"V",""))</f>
        <v/>
      </c>
      <c r="AA24" s="32"/>
      <c r="AB24" s="34" t="str">
        <f>
CONCATENATE(if(countif(knap.agi.sim,$D24),"K",""),
if(countif(dd.agi.sim,$D24),"D",""),
if(countif(nap.agi.sim,$D24),"A",""),
if(countif(var.agi.sim,$D24),"V",""))</f>
        <v/>
      </c>
      <c r="AC24" s="34" t="str">
        <f>
if(countif(nap.bun.sim,$D24),"A","")</f>
        <v/>
      </c>
      <c r="AD24" s="34" t="str">
        <f>
CONCATENATE(if(countif(knap.kxn.sim,$D24),"K",""),
if(countif(np.kxn.sim,$D24),"P",""),
if(countif(dd.kxn.sim,$D24),"D",""),
if(countif(nap.kxn.sim,$D24),"A",""),
if(countif(var.kxn.sim,$D24),"V",""))</f>
        <v/>
      </c>
      <c r="AE24" s="34" t="str">
        <f>
CONCATENATE(if(countif(knap.hwb.sim,$D24),"K",""),
if(countif(np.hwb.sim,$D24),"P",""),
if(countif(mic.hwb.sim,$D24),"M",""),
if(countif(imp.hwb.sim,$D24),"T",""),
if(countif(dd.cyan.sim,$D24),"D",""),
if(countif(nap.hwb.sim,$D24),"A",""),
if(countif(var.hwb.sim,$D24),"V",""))</f>
        <v/>
      </c>
      <c r="AF24" s="34" t="str">
        <f>
CONCATENATE(if(countif(us.ekxn.sim,$D24),"U",""),
if(countif(knap.ekxn.sim,$D24),"K",""),
if(countif(np.ekxn.sim,$D24),"P",""),
if(countif(mic.ekxn.sim,$D24),"M",""),
if(countif(imp.epc.sim,$D24),"T",""),
if(countif(nap.ekxn.sim,$D24),"A",""))</f>
        <v/>
      </c>
      <c r="AG24" s="34"/>
      <c r="AH24" s="34" t="str">
        <f>
CONCATENATE(if(countif(us.egt.sim,$D24),"U",""),
if(countif(knap.egt.sim,$D24),"K",""),
if(countif(np.egt.sim,$D24),"P",""),
if(countif(mic.egt.sim,$D24),"M",""))</f>
        <v/>
      </c>
      <c r="AI24" s="34"/>
      <c r="AJ24" s="34" t="str">
        <f>if(countif(nap.ecit.sim,$D24),"A","")</f>
        <v/>
      </c>
      <c r="AK24" s="34" t="str">
        <f>
CONCATENATE(if(countif(nap.erd,$D24),"M",""),
if(countif(nap.erd.sim,$D24),"A",""),
if(countif(var.erd.sim,$D24),"V",""))</f>
        <v/>
      </c>
      <c r="AL24" s="34" t="str">
        <f>
CONCATENATE(if(countif(knap.gkxn.sim,$D24),"K",""),
if(countif(nap.gkxn.sim,$D24),"A",""))</f>
        <v/>
      </c>
      <c r="AM24" s="34" t="str">
        <f>
CONCATENATE(if(countif(knap.gen.sim,$C24),"K",""),
if(countif(imp.gen.sim,$C24),"T",""),
if(countif(dd.gen.sim,$C24),"D",""),
if(countif(nap.gen.sim,$C24),"A",""),
if(countif(var.gen.sim,$C24),"V",""))
</f>
        <v/>
      </c>
      <c r="AN24" s="34" t="str">
        <f>IFERROR(__xludf.DUMMYFUNCTION("
if(countif(#REF!,CONCATENATE(regexextract($C24,""[\w]* [\w]*""), ""*"")),""V"","""")"),"")</f>
        <v/>
      </c>
      <c r="AO24" s="34" t="str">
        <f>
CONCATENATE(if(countif(knap.kmp.sim,$D24),"K",""),
if(countif(np.kmp.sim,$D24),"P",""),
if(countif(imp.kmp.sim,$D24),"T",""),
if(countif(dd.kmp,$D24),"D",""),
if(countif(nap.kmp.sim,$D24),"A",""),
if(countif(var.kmp.sim,$D24),"V",""))</f>
        <v/>
      </c>
      <c r="AP24" s="34" t="str">
        <f>
CONCATENATE(if(countif(knap.lu2.sim,$D24),"K",""),
if(countif(np.lu2.sim,$D24),"P",""),
if(countif(imp.lu2.sim,$D24),"T",""),
if(countif(dd.lu2.sim,$D24),"D",""),
if(countif(nap.lu2.sim,$D24),"A",""),
if(countif(var.lu2.sim,$D24),"V",""))</f>
        <v/>
      </c>
      <c r="AQ24" s="34" t="str">
        <f>
CONCATENATE(if(countif(np.myc.sim,$D24),"P",""),
if(countif(imp.myc.sim,$D24),"T",""),
if(countif(nap.myc.sim,$D24),"A",""))
</f>
        <v/>
      </c>
      <c r="AR24" s="36" t="str">
        <f>
CONCATENATE(if(countif(knap.nar.sim,$D24),"K",""),
if(countif(np.nar.sim,$D24),"P",""),
if(countif(imp.nar.sim,$D24),"T",""),
if(countif(dd.nar.sim,$D24),"D",""),
if(countif(nap.nar.sim,$D24),"A",""),
if(countif(var.nar.sim,$D24),"V",""))</f>
        <v/>
      </c>
      <c r="AS24" s="34" t="str">
        <f>
CONCATENATE(if(countif(knap.que.sim,$D24),"K",""),
if(countif(np.que.sim,$D24),"P",""),
if(countif(imp.que.sim,$D24),"T",""),
if(countif(dd.que.sim,$D24),"D",""),
if(countif(nap.que.sim,$D24),"A",""),
if(countif(var.que.sim,$D24),"V",""))</f>
        <v/>
      </c>
      <c r="AT24" s="37"/>
      <c r="AU24" s="32" t="str">
        <f>IFERROR(__xludf.DUMMYFUNCTION("if(countif(kr.agi, CONCATENATE(regexextract($C24,""[\w]* [\w]*""), ""*"")),""X"","""")"),"")</f>
        <v/>
      </c>
      <c r="AV24" s="38" t="str">
        <f>IFERROR(__xludf.DUMMYFUNCTION("if(countif(kr.bun,CONCATENATE(regexextract($C24,""[\w]* [\w]*""), ""*"")),""X"","""")"),"")</f>
        <v/>
      </c>
      <c r="AW24" s="38" t="str">
        <f>IFERROR(__xludf.DUMMYFUNCTION("if(countif(kr.kxn,CONCATENATE(regexextract($C24,""[\w]* [\w]*""), ""*"")),""X"","""")"),"")</f>
        <v/>
      </c>
      <c r="AX24" s="38" t="str">
        <f>IFERROR(__xludf.DUMMYFUNCTION("if(countif(kr.hwb,CONCATENATE(regexextract($C24,""[\w]* [\w]*""), ""*"")),""X"","""")"),"")</f>
        <v/>
      </c>
      <c r="AY24" s="38" t="str">
        <f>IFERROR(__xludf.DUMMYFUNCTION("if(countif(kr.ec,CONCATENATE(regexextract($C24,""[\w]* [\w]*""), ""*"")),""X"","""")"),"")</f>
        <v/>
      </c>
      <c r="AZ24" s="38" t="str">
        <f>IFERROR(__xludf.DUMMYFUNCTION("if(countif(kr.egt,CONCATENATE(regexextract($C24,""[\w]* [\w]*""), ""*"")),""X"","""")"),"")</f>
        <v/>
      </c>
      <c r="BA24" s="38"/>
      <c r="BB24" s="38" t="str">
        <f>IFERROR(__xludf.DUMMYFUNCTION("if(countif(kr.erd,CONCATENATE(regexextract($C24,""[\w]* [\w]*""), ""*"")),""X"","""")"),"")</f>
        <v/>
      </c>
      <c r="BC24" s="38" t="str">
        <f>IFERROR(__xludf.DUMMYFUNCTION("if(countif(kr.gkxn,CONCATENATE(regexextract($C24,""[\w]* [\w]*""), ""*"")),""X"","""")"),"")</f>
        <v/>
      </c>
      <c r="BD24" s="38" t="str">
        <f>IFERROR(__xludf.DUMMYFUNCTION("if(countif(kr.gen,CONCATENATE(regexextract(C24,""[\w]* [\w]*""), ""*"")),""X"","""")"),"")</f>
        <v/>
      </c>
      <c r="BE24" s="38" t="str">
        <f>IFERROR(__xludf.DUMMYFUNCTION("if(countif(kr.hcc,CONCATENATE(regexextract($C24,""[\w]* [\w]*""), ""*"")),""X"","""")"),"")</f>
        <v/>
      </c>
      <c r="BF24" s="38" t="str">
        <f>IFERROR(__xludf.DUMMYFUNCTION("if(countif(kr.kmp,CONCATENATE(regexextract($C24,""[\w]* [\w]*""), ""*"")),""X"","""")"),"")</f>
        <v/>
      </c>
      <c r="BG24" s="38" t="str">
        <f>IFERROR(__xludf.DUMMYFUNCTION("if(countif(kr.lu2,CONCATENATE(regexextract($C24,""[\w]* [\w]*""), ""*"")),""X"","""")"),"")</f>
        <v/>
      </c>
      <c r="BH24" s="38" t="str">
        <f>IFERROR(__xludf.DUMMYFUNCTION("if(countif(kr.myc,CONCATENATE(regexextract($C24,""[\w]* [\w]*""), ""*"")),""X"","""")"),"")</f>
        <v/>
      </c>
      <c r="BI24" s="38" t="str">
        <f>IFERROR(__xludf.DUMMYFUNCTION("if(countif(kr.nar,CONCATENATE(regexextract($C24,""[\w]* [\w]*""), ""*"")),""X"","""")"),"")</f>
        <v/>
      </c>
      <c r="BJ24" s="38" t="str">
        <f>IFERROR(__xludf.DUMMYFUNCTION("if(countif(kr.que,CONCATENATE(regexextract($C24,""[\w]* [\w]*""), ""*"")),""X"","""")"),"")</f>
        <v/>
      </c>
      <c r="BK24" s="39"/>
      <c r="BL24" s="40" t="str">
        <f>IFERROR(__xludf.DUMMYFUNCTION(" CONCATENATE( 
if (regexmatch(I24, ""^[A-Za-z\.\_]+""), ""L"", 
if(regexmatch(AB24, ""^[A-Za-z\.\_]+""),""S"","""")),
if(AU24=""X"",""K"",""""))"),"")</f>
        <v/>
      </c>
      <c r="BM24" s="40" t="str">
        <f>IFERROR(__xludf.DUMMYFUNCTION(" CONCATENATE( 
if (regexmatch(J24, ""^[A-Za-z\.\_]+""), ""L"", 
if(regexmatch(AC24, ""^[A-Za-z\.\_]+""),""S"","""")),
if(AV24=""X"",""K"",""""))"),"")</f>
        <v/>
      </c>
      <c r="BN24" s="40" t="str">
        <f>IFERROR(__xludf.DUMMYFUNCTION(" CONCATENATE( 
if (regexmatch(K24, ""^[A-Za-z\.\_]+""), ""L"", 
if(regexmatch(AD24, ""^[A-Za-z\.\_]+""),""S"","""")),
if(AW24=""X"",""K"",""""))"),"")</f>
        <v/>
      </c>
      <c r="BO24" s="40" t="str">
        <f>IFERROR(__xludf.DUMMYFUNCTION(" CONCATENATE( 
if (regexmatch(L24, ""^[A-Za-z\.\_]+""), ""L"", 
if(regexmatch(AE24, ""^[A-Za-z\.\_]+""),""S"","""")),
if(AX24=""X"",""K"",""""))"),"")</f>
        <v/>
      </c>
      <c r="BP24" s="40" t="str">
        <f>IFERROR(__xludf.DUMMYFUNCTION(" CONCATENATE( 
if (regexmatch(M24, ""^[A-Za-z\.\_]+""), ""L"", 
if(regexmatch(AF24, ""^[A-Za-z\.\_]+""),""S"","""")),
if(AY24=""X"",""K"",""""))"),"")</f>
        <v/>
      </c>
      <c r="BQ24" s="40" t="str">
        <f>IFERROR(__xludf.DUMMYFUNCTION("CONCATENATE( 
if (regexmatch(O24, ""^[A-Za-z\.\_]+""), ""L"", 
if(regexmatch(AH24, ""^[A-Za-z\.\_]+""),""S"","""")),
if(AZ24=""X"",""K"",""""))"),"")</f>
        <v/>
      </c>
      <c r="BR24" s="40" t="str">
        <f>IFERROR(__xludf.DUMMYFUNCTION("CONCATENATE( 
if (regexmatch(Q24, ""^[A-Za-z\.\_]+""), ""L"", 
if(regexmatch(AJ24, ""^[A-Za-z\.\_]+""),""S"","""")),
if(BA24=""X"",""K"",""""))"),"")</f>
        <v/>
      </c>
      <c r="BS24" s="40" t="str">
        <f>IFERROR(__xludf.DUMMYFUNCTION(" CONCATENATE( 
if (regexmatch(R24, ""^[A-Za-z\.\_]+""), ""L"", 
if(regexmatch(AK24, ""^[A-Za-z\.\_]+""),""S"","""")),
if(BB24=""X"",""K"",""""))"),"")</f>
        <v/>
      </c>
      <c r="BT24" s="40" t="str">
        <f>IFERROR(__xludf.DUMMYFUNCTION("CONCATENATE( 
if (regexmatch(S24, ""^[A-Za-z\.\_]+""), ""L"", 
if(regexmatch(AL24, ""^[A-Za-z\.\_]+""),""S"","""")),
if(BC24=""X"",""K"",""""))"),"")</f>
        <v/>
      </c>
      <c r="BU24" s="40" t="str">
        <f>IFERROR(__xludf.DUMMYFUNCTION("CONCATENATE( 
if (regexmatch(T24, ""^[A-Za-z\.\_]+""), ""L"", 
if(regexmatch(AM24, ""^[A-Za-z\.\_]+""),""S"","""")),
if(BD24=""X"",""K"",""""))"),"")</f>
        <v/>
      </c>
      <c r="BV24" s="40" t="str">
        <f>IFERROR(__xludf.DUMMYFUNCTION("CONCATENATE( 
if (regexmatch(U24, ""^[A-Za-z\.\_]+""), ""L"", 
if(regexmatch(AN24, ""^[A-Za-z\.\_]+""),""S"","""")),
if(BE24=""X"",""K"",""""))"),"")</f>
        <v/>
      </c>
      <c r="BW24" s="40" t="str">
        <f>IFERROR(__xludf.DUMMYFUNCTION(" CONCATENATE( 
if (regexmatch(V24, ""^[A-Za-z\.\_]+""), ""L"", 
if(regexmatch(AO24, ""^[A-Za-z\.\_]+""),""S"","""")),
if(BF24=""X"",""K"",""""))"),"")</f>
        <v/>
      </c>
      <c r="BX24" s="40" t="str">
        <f>IFERROR(__xludf.DUMMYFUNCTION("CONCATENATE( 
if (regexmatch(W24, ""^[A-Za-z\.\_]+""), ""L"", 
if(regexmatch(AP24, ""^[A-Za-z\.\_]+""),""S"","""")),
if(BG24=""X"",""K"",""""))"),"")</f>
        <v/>
      </c>
      <c r="BY24" s="40" t="str">
        <f>IFERROR(__xludf.DUMMYFUNCTION("CONCATENATE( 
if (regexmatch(X24, ""^[A-Za-z\.\_]+""), ""L"", 
if(regexmatch(AQ24, ""^[A-Za-z\.\_]+""),""S"","""")),
if(BH24=""X"",""K"",""""))"),"")</f>
        <v/>
      </c>
      <c r="BZ24" s="40" t="str">
        <f>IFERROR(__xludf.DUMMYFUNCTION("CONCATENATE( 
if (regexmatch(Y24, ""^[A-Za-z\.\_]+""), ""L"", 
if(regexmatch(AR24, ""^[A-Za-z\.\_]+""),""S"","""")),
if(BI24=""X"",""K"",""""))"),"")</f>
        <v/>
      </c>
      <c r="CA24" s="40" t="str">
        <f>IFERROR(__xludf.DUMMYFUNCTION("CONCATENATE( 
if (regexmatch(Z24, ""^[A-Za-z\.\_]+""), ""L"", 
if(regexmatch(AS24, ""^[A-Za-z\.\_]+""),""S"","""")),
if(BJ24=""X"",""K"",""""))"),"")</f>
        <v/>
      </c>
      <c r="CB24" s="39"/>
      <c r="CC24" s="39"/>
      <c r="CD24" s="39"/>
      <c r="CE24" s="39"/>
      <c r="CF24" s="39"/>
      <c r="CG24" s="39"/>
      <c r="CH24" s="39"/>
      <c r="CI24" s="39"/>
      <c r="CJ24" s="39"/>
      <c r="CK24" s="39"/>
      <c r="CL24" s="39"/>
      <c r="CM24" s="39"/>
      <c r="CN24" s="39"/>
      <c r="CO24" s="39"/>
      <c r="CP24" s="39"/>
      <c r="CQ24" s="39"/>
      <c r="CR24" s="39"/>
    </row>
    <row r="25" ht="15.75" customHeight="1">
      <c r="A25" s="25">
        <v>29.0</v>
      </c>
      <c r="B25" s="26" t="s">
        <v>149</v>
      </c>
      <c r="C25" s="27" t="s">
        <v>150</v>
      </c>
      <c r="D25" s="27" t="str">
        <f>IFERROR(__xludf.DUMMYFUNCTION("CONCATENATE(regexextract($C25,""[\w]* [\w]*""), ""*"")"),"Cicer arietinum*")</f>
        <v>Cicer arietinum*</v>
      </c>
      <c r="E25" s="28" t="s">
        <v>151</v>
      </c>
      <c r="F25" s="54">
        <v>3827.0</v>
      </c>
      <c r="G25" s="53"/>
      <c r="H25" s="31"/>
      <c r="I25" s="32" t="str">
        <f>CONCATENATE(
if(countif(dd.agi,$D25),"D",""),
if(countif(knap.agi,$D25),"K",""),
if(countif(mic.agi,$D25),"M",""),
if(countif(nap.agi,$D25),"N",""),
if(countif(np.agi,$D25),"P",""),
if(countif(imp.agi,$D25),"T",""),
if(countif(us.agi,$D25),"U",""),
if(countif(var.agi,$D25),"V","")
)</f>
        <v/>
      </c>
      <c r="J25" s="32" t="str">
        <f>
CONCATENATE(
if(countif(nap.bun,$D25),"N",""),
if(countif(np.bun,$D25),"P","")
)
</f>
        <v/>
      </c>
      <c r="K25" s="32" t="str">
        <f>CONCATENATE(
if(countif(dd.kxn,$D25),"D",""),
if(countif(knap.kxn,$D25),"K",""),
if(countif(mic.kxn,$D25),"M",""),
if(countif(nap.kxn,$D25),"N",""),
if(countif(np.kxn,$D25),"P",""),
if(countif(us.kxn,$D25),"U",""),
if(countif(var.kxn,$D25),"V","")
)</f>
        <v>V</v>
      </c>
      <c r="L25" s="32" t="str">
        <f>
CONCATENATE(
if(countif(dd.hwb,$D25),"D",""),
if(countif(knap.hwb,$D25),"K",""),
if(countif(mic.hwb,$D25),"M",""),
if(countif(nap.hwb,$D25),"N",""),
if(countif(np.hwb,$D25),"P",""),
if(countif(us.hwb,$D25),"U",""),
if(countif(imp.hwb,$D25),"T",""),
if(countif(var.hwb,$D25),"V","")
)</f>
        <v/>
      </c>
      <c r="M25" s="32" t="str">
        <f>CONCATENATE(
if(countif(dd.epc,$D25),"D",""),
if(countif(knap.ekxn,$D25),"K",""),
if(countif(mic.ekxn,$D25),"M",""),
if(countif(nap.ekxn,$D25),"N",""),
if(countif(np.ekxn,$D25),"P",""),
if(countif(imp.epc,$D25),"T",""),
if(countif(us.ekxn,$D25),"U",""),
if(countif(var.ekxn,$D25),"V","")
)</f>
        <v/>
      </c>
      <c r="N25" s="32" t="str">
        <f>
CONCATENATE(
if(countif(dd.ecg,$D25),"D",""),
if(countif(mic.ecg,$D25),"M",""),
if(countif(np.ecg,$D25),"P",""),
if(countif(imp.ecg,$D25),"T",""),
if(countif(us.ecg,$D25),"U","")
)</f>
        <v/>
      </c>
      <c r="O25" s="32" t="str">
        <f>
CONCATENATE(
if(countif(dd.egt,$D25),"D",""),
if(countif(mic.egt,$D25),"M",""),
if(countif(nap.egt,$D25),"N",""),
if(countif(us.egt,$D25),"U",""),
if(countif(var.egt,$D25),"V",""))
</f>
        <v/>
      </c>
      <c r="P25" s="32" t="str">
        <f>CONCATENATE(
if(countif(knap.egcg,$D25),"K",""),
if(countif(mic.egcg,$D25),"M",""),
if(countif(np.egcg,$D25),"P",""),
if(countif(us.egcg,$D25),"U","")
)</f>
        <v/>
      </c>
      <c r="Q25" s="32" t="str">
        <f>CONCATENATE(if(countif(np.ecit,$D25),"P",""),
if(countif(nap.ecit,$D25),"A",""))</f>
        <v/>
      </c>
      <c r="R25" s="32" t="str">
        <f>
CONCATENATE(
if(countif(nap.erd,$D25),"N",""),
if(countif(np.erd,$D25),"P",""),
if(countif(var.erd,$D25),"V",""))</f>
        <v/>
      </c>
      <c r="S25" s="32" t="str">
        <f>
CONCATENATE(
if(countif(dd.gkxn,$D25),"D",""),
if(countif(knap.gkxn,$D25),"K",""),
if(countif(nap.gkxn,$D25),"N",""),
if(countif(np.gkxn,$D25),"P",""),
if(countif(imp.gkxn,$D25),"T",""),
if(countif(var.gkxn,$D25),"V",""))</f>
        <v/>
      </c>
      <c r="T25" s="32" t="str">
        <f>
CONCATENATE(
if(countif(dd.gen,$C25),"D",""),
if(countif(knap.gen,$C25),"K",""),
if(countif(nap.gen,$C25),"N",""),
if(countif(np.gen,$C25),"P",""),
if(countif(imp.gen,$C25),"T",""),
if(countif(var.gen,$C25),"V",""))</f>
        <v>DKN</v>
      </c>
      <c r="U25" s="32" t="str">
        <f>
CONCATENATE(
if(countif(dd.hcc,$D25),"D",""),
if(countif(knap.hcc,$D25),"K",""),
if(countif(np.hcc,$D25),"P","")
)
</f>
        <v>KP</v>
      </c>
      <c r="V25" s="32" t="str">
        <f>
CONCATENATE(
if(countif(dd.kmp,$D25),"D",""),
if(countif(knap.kmp,$D25),"K",""),
if(countif(mic.kmp,$D25),"M",""),
if(countif(nap.kmp,$D25),"N",""),
if(countif(np.kmp,$D25),"P",""),
if(countif(imp.kmp,$D25),"T",""),
if(countif(us.kmp,$D25),"U",""),
if(countif(var.kmp,$D25),"V",""))</f>
        <v>NT</v>
      </c>
      <c r="W25" s="32" t="str">
        <f>
CONCATENATE(
if(countif(dd.lu2,$D25),"D",""),
if(countif(knap.lu2,$D25),"K",""),
if(countif(mic.lu2,$D25),"M",""),
if(countif(nap.lu2,$D25),"N",""),
if(countif(np.lu2,$D25),"P",""),
if(countif(imp.lu2,$D25),"T",""),
if(countif(us.lu2,$D25),"U",""),
if(countif(var.lu2,$D25),"V",""))</f>
        <v/>
      </c>
      <c r="X25" s="32" t="str">
        <f>
CONCATENATE(
if(countif(dd.myc,$D25),"D",""),
if(countif(knap.myc,$D25),"K",""), 
if(countif(mic.myc,$D25),"M",""),
if(countif(nap.myc,$D25),"N",""),
if(countif(np.myc,$D25),"P",""),
if(countif(imp.myc,$D25),"T",""),
if(countif(us.myc,$D25),"U",""),
if(countif(var.myc,$D25),"V",""))</f>
        <v/>
      </c>
      <c r="Y25" s="32" t="str">
        <f>CONCATENATE(
if(countif(dd.nar,$D25),"D",""),
if(countif(knap.nar,$D25),"K",""),
if(countif(nap.nar,$D25),"N",""),
if(countif(np.nar,$D25),"P",""),
if(countif(imp.nar,$D25),"T",""),
if(countif(us.nar,$D25),"U",""),
if(countif(var.nar,$D25),"V",""))</f>
        <v>N</v>
      </c>
      <c r="Z25" s="33" t="str">
        <f>
CONCATENATE(
if(countif(dd.que,$D25),"D",""),
if(countif(knap.que,$D25),"K",""),
if(countif(mic.que,$D25),"M",""),
if(countif(nap.que,$D25),"N",""),
if(countif(np.que,$D25),"P",""),
if(countif(imp.que,$D25),"T",""),
if(countif(us.que,$D25),"U",""),
if(countif(var.que,$D25),"V",""))</f>
        <v>NT</v>
      </c>
      <c r="AA25" s="32"/>
      <c r="AB25" s="34" t="str">
        <f>
CONCATENATE(if(countif(knap.agi.sim,$D25),"K",""),
if(countif(dd.agi.sim,$D25),"D",""),
if(countif(nap.agi.sim,$D25),"A",""),
if(countif(var.agi.sim,$D25),"V",""))</f>
        <v/>
      </c>
      <c r="AC25" s="34" t="str">
        <f>
if(countif(nap.bun.sim,$D25),"A","")</f>
        <v/>
      </c>
      <c r="AD25" s="34" t="str">
        <f>
CONCATENATE(if(countif(knap.kxn.sim,$D25),"K",""),
if(countif(np.kxn.sim,$D25),"P",""),
if(countif(dd.kxn.sim,$D25),"D",""),
if(countif(nap.kxn.sim,$D25),"A",""),
if(countif(var.kxn.sim,$D25),"V",""))</f>
        <v/>
      </c>
      <c r="AE25" s="34" t="str">
        <f>
CONCATENATE(if(countif(knap.hwb.sim,$D25),"K",""),
if(countif(np.hwb.sim,$D25),"P",""),
if(countif(mic.hwb.sim,$D25),"M",""),
if(countif(imp.hwb.sim,$D25),"T",""),
if(countif(dd.cyan.sim,$D25),"D",""),
if(countif(nap.hwb.sim,$D25),"A",""),
if(countif(var.hwb.sim,$D25),"V",""))</f>
        <v/>
      </c>
      <c r="AF25" s="34" t="str">
        <f>
CONCATENATE(if(countif(us.ekxn.sim,$D25),"U",""),
if(countif(knap.ekxn.sim,$D25),"K",""),
if(countif(np.ekxn.sim,$D25),"P",""),
if(countif(mic.ekxn.sim,$D25),"M",""),
if(countif(imp.epc.sim,$D25),"T",""),
if(countif(nap.ekxn.sim,$D25),"A",""))</f>
        <v/>
      </c>
      <c r="AG25" s="34"/>
      <c r="AH25" s="34" t="str">
        <f>
CONCATENATE(if(countif(us.egt.sim,$D25),"U",""),
if(countif(knap.egt.sim,$D25),"K",""),
if(countif(np.egt.sim,$D25),"P",""),
if(countif(mic.egt.sim,$D25),"M",""))</f>
        <v/>
      </c>
      <c r="AI25" s="34"/>
      <c r="AJ25" s="34" t="str">
        <f>if(countif(nap.ecit.sim,$D25),"A","")</f>
        <v/>
      </c>
      <c r="AK25" s="34" t="str">
        <f>
CONCATENATE(if(countif(nap.erd,$D25),"M",""),
if(countif(nap.erd.sim,$D25),"A",""),
if(countif(var.erd.sim,$D25),"V",""))</f>
        <v/>
      </c>
      <c r="AL25" s="34" t="str">
        <f>
CONCATENATE(if(countif(knap.gkxn.sim,$D25),"K",""),
if(countif(nap.gkxn.sim,$D25),"A",""))</f>
        <v/>
      </c>
      <c r="AM25" s="34" t="str">
        <f>
CONCATENATE(if(countif(knap.gen.sim,$C25),"K",""),
if(countif(imp.gen.sim,$C25),"T",""),
if(countif(dd.gen.sim,$C25),"D",""),
if(countif(nap.gen.sim,$C25),"A",""),
if(countif(var.gen.sim,$C25),"V",""))
</f>
        <v>K</v>
      </c>
      <c r="AN25" s="34" t="str">
        <f>IFERROR(__xludf.DUMMYFUNCTION("
if(countif(#REF!,CONCATENATE(regexextract($C25,""[\w]* [\w]*""), ""*"")),""V"","""")"),"")</f>
        <v/>
      </c>
      <c r="AO25" s="34" t="str">
        <f>
CONCATENATE(if(countif(knap.kmp.sim,$D25),"K",""),
if(countif(np.kmp.sim,$D25),"P",""),
if(countif(imp.kmp.sim,$D25),"T",""),
if(countif(dd.kmp,$D25),"D",""),
if(countif(nap.kmp.sim,$D25),"A",""),
if(countif(var.kmp.sim,$D25),"V",""))</f>
        <v>KT</v>
      </c>
      <c r="AP25" s="34" t="str">
        <f>
CONCATENATE(if(countif(knap.lu2.sim,$D25),"K",""),
if(countif(np.lu2.sim,$D25),"P",""),
if(countif(imp.lu2.sim,$D25),"T",""),
if(countif(dd.lu2.sim,$D25),"D",""),
if(countif(nap.lu2.sim,$D25),"A",""),
if(countif(var.lu2.sim,$D25),"V",""))</f>
        <v/>
      </c>
      <c r="AQ25" s="34" t="str">
        <f>
CONCATENATE(if(countif(np.myc.sim,$D25),"P",""),
if(countif(imp.myc.sim,$D25),"T",""),
if(countif(nap.myc.sim,$D25),"A",""))
</f>
        <v/>
      </c>
      <c r="AR25" s="36" t="str">
        <f>
CONCATENATE(if(countif(knap.nar.sim,$D25),"K",""),
if(countif(np.nar.sim,$D25),"P",""),
if(countif(imp.nar.sim,$D25),"T",""),
if(countif(dd.nar.sim,$D25),"D",""),
if(countif(nap.nar.sim,$D25),"A",""),
if(countif(var.nar.sim,$D25),"V",""))</f>
        <v/>
      </c>
      <c r="AS25" s="34" t="str">
        <f>
CONCATENATE(if(countif(knap.que.sim,$D25),"K",""),
if(countif(np.que.sim,$D25),"P",""),
if(countif(imp.que.sim,$D25),"T",""),
if(countif(dd.que.sim,$D25),"D",""),
if(countif(nap.que.sim,$D25),"A",""),
if(countif(var.que.sim,$D25),"V",""))</f>
        <v>KT</v>
      </c>
      <c r="AT25" s="37"/>
      <c r="AU25" s="32" t="str">
        <f>IFERROR(__xludf.DUMMYFUNCTION("if(countif(kr.agi, CONCATENATE(regexextract($C25,""[\w]* [\w]*""), ""*"")),""X"","""")"),"X")</f>
        <v>X</v>
      </c>
      <c r="AV25" s="38" t="str">
        <f>IFERROR(__xludf.DUMMYFUNCTION("if(countif(kr.bun,CONCATENATE(regexextract($C25,""[\w]* [\w]*""), ""*"")),""X"","""")"),"X")</f>
        <v>X</v>
      </c>
      <c r="AW25" s="38" t="str">
        <f>IFERROR(__xludf.DUMMYFUNCTION("if(countif(kr.kxn,CONCATENATE(regexextract($C25,""[\w]* [\w]*""), ""*"")),""X"","""")"),"X")</f>
        <v>X</v>
      </c>
      <c r="AX25" s="38" t="str">
        <f>IFERROR(__xludf.DUMMYFUNCTION("if(countif(kr.hwb,CONCATENATE(regexextract($C25,""[\w]* [\w]*""), ""*"")),""X"","""")"),"X")</f>
        <v>X</v>
      </c>
      <c r="AY25" s="38" t="str">
        <f>IFERROR(__xludf.DUMMYFUNCTION("if(countif(kr.ec,CONCATENATE(regexextract($C25,""[\w]* [\w]*""), ""*"")),""X"","""")"),"X")</f>
        <v>X</v>
      </c>
      <c r="AZ25" s="38" t="str">
        <f>IFERROR(__xludf.DUMMYFUNCTION("if(countif(kr.egt,CONCATENATE(regexextract($C25,""[\w]* [\w]*""), ""*"")),""X"","""")"),"X")</f>
        <v>X</v>
      </c>
      <c r="BA25" s="38"/>
      <c r="BB25" s="38" t="str">
        <f>IFERROR(__xludf.DUMMYFUNCTION("if(countif(kr.erd,CONCATENATE(regexextract($C25,""[\w]* [\w]*""), ""*"")),""X"","""")"),"X")</f>
        <v>X</v>
      </c>
      <c r="BC25" s="38" t="str">
        <f>IFERROR(__xludf.DUMMYFUNCTION("if(countif(kr.gkxn,CONCATENATE(regexextract($C25,""[\w]* [\w]*""), ""*"")),""X"","""")"),"X")</f>
        <v>X</v>
      </c>
      <c r="BD25" s="38" t="str">
        <f>IFERROR(__xludf.DUMMYFUNCTION("if(countif(kr.gen,CONCATENATE(regexextract(C25,""[\w]* [\w]*""), ""*"")),""X"","""")"),"X")</f>
        <v>X</v>
      </c>
      <c r="BE25" s="38" t="str">
        <f>IFERROR(__xludf.DUMMYFUNCTION("if(countif(kr.hcc,CONCATENATE(regexextract($C25,""[\w]* [\w]*""), ""*"")),""X"","""")"),"X")</f>
        <v>X</v>
      </c>
      <c r="BF25" s="38" t="str">
        <f>IFERROR(__xludf.DUMMYFUNCTION("if(countif(kr.kmp,CONCATENATE(regexextract($C25,""[\w]* [\w]*""), ""*"")),""X"","""")"),"X")</f>
        <v>X</v>
      </c>
      <c r="BG25" s="38" t="str">
        <f>IFERROR(__xludf.DUMMYFUNCTION("if(countif(kr.lu2,CONCATENATE(regexextract($C25,""[\w]* [\w]*""), ""*"")),""X"","""")"),"X")</f>
        <v>X</v>
      </c>
      <c r="BH25" s="38" t="str">
        <f>IFERROR(__xludf.DUMMYFUNCTION("if(countif(kr.myc,CONCATENATE(regexextract($C25,""[\w]* [\w]*""), ""*"")),""X"","""")"),"X")</f>
        <v>X</v>
      </c>
      <c r="BI25" s="38" t="str">
        <f>IFERROR(__xludf.DUMMYFUNCTION("if(countif(kr.nar,CONCATENATE(regexextract($C25,""[\w]* [\w]*""), ""*"")),""X"","""")"),"X")</f>
        <v>X</v>
      </c>
      <c r="BJ25" s="38" t="str">
        <f>IFERROR(__xludf.DUMMYFUNCTION("if(countif(kr.que,CONCATENATE(regexextract($C25,""[\w]* [\w]*""), ""*"")),""X"","""")"),"X")</f>
        <v>X</v>
      </c>
      <c r="BK25" s="39"/>
      <c r="BL25" s="40" t="str">
        <f>IFERROR(__xludf.DUMMYFUNCTION(" CONCATENATE( 
if (regexmatch(I25, ""^[A-Za-z\.\_]+""), ""L"", 
if(regexmatch(AB25, ""^[A-Za-z\.\_]+""),""S"","""")),
if(AU25=""X"",""K"",""""))"),"K")</f>
        <v>K</v>
      </c>
      <c r="BM25" s="40" t="str">
        <f>IFERROR(__xludf.DUMMYFUNCTION(" CONCATENATE( 
if (regexmatch(J25, ""^[A-Za-z\.\_]+""), ""L"", 
if(regexmatch(AC25, ""^[A-Za-z\.\_]+""),""S"","""")),
if(AV25=""X"",""K"",""""))"),"K")</f>
        <v>K</v>
      </c>
      <c r="BN25" s="40" t="str">
        <f>IFERROR(__xludf.DUMMYFUNCTION(" CONCATENATE( 
if (regexmatch(K25, ""^[A-Za-z\.\_]+""), ""L"", 
if(regexmatch(AD25, ""^[A-Za-z\.\_]+""),""S"","""")),
if(AW25=""X"",""K"",""""))"),"LK")</f>
        <v>LK</v>
      </c>
      <c r="BO25" s="40" t="str">
        <f>IFERROR(__xludf.DUMMYFUNCTION(" CONCATENATE( 
if (regexmatch(L25, ""^[A-Za-z\.\_]+""), ""L"", 
if(regexmatch(AE25, ""^[A-Za-z\.\_]+""),""S"","""")),
if(AX25=""X"",""K"",""""))"),"K")</f>
        <v>K</v>
      </c>
      <c r="BP25" s="40" t="str">
        <f>IFERROR(__xludf.DUMMYFUNCTION(" CONCATENATE( 
if (regexmatch(M25, ""^[A-Za-z\.\_]+""), ""L"", 
if(regexmatch(AF25, ""^[A-Za-z\.\_]+""),""S"","""")),
if(AY25=""X"",""K"",""""))"),"K")</f>
        <v>K</v>
      </c>
      <c r="BQ25" s="40" t="str">
        <f>IFERROR(__xludf.DUMMYFUNCTION("CONCATENATE( 
if (regexmatch(O25, ""^[A-Za-z\.\_]+""), ""L"", 
if(regexmatch(AH25, ""^[A-Za-z\.\_]+""),""S"","""")),
if(AZ25=""X"",""K"",""""))"),"K")</f>
        <v>K</v>
      </c>
      <c r="BR25" s="40" t="str">
        <f>IFERROR(__xludf.DUMMYFUNCTION("CONCATENATE( 
if (regexmatch(Q25, ""^[A-Za-z\.\_]+""), ""L"", 
if(regexmatch(AJ25, ""^[A-Za-z\.\_]+""),""S"","""")),
if(BA25=""X"",""K"",""""))"),"")</f>
        <v/>
      </c>
      <c r="BS25" s="40" t="str">
        <f>IFERROR(__xludf.DUMMYFUNCTION(" CONCATENATE( 
if (regexmatch(R25, ""^[A-Za-z\.\_]+""), ""L"", 
if(regexmatch(AK25, ""^[A-Za-z\.\_]+""),""S"","""")),
if(BB25=""X"",""K"",""""))"),"K")</f>
        <v>K</v>
      </c>
      <c r="BT25" s="40" t="str">
        <f>IFERROR(__xludf.DUMMYFUNCTION("CONCATENATE( 
if (regexmatch(S25, ""^[A-Za-z\.\_]+""), ""L"", 
if(regexmatch(AL25, ""^[A-Za-z\.\_]+""),""S"","""")),
if(BC25=""X"",""K"",""""))"),"K")</f>
        <v>K</v>
      </c>
      <c r="BU25" s="40" t="str">
        <f>IFERROR(__xludf.DUMMYFUNCTION("CONCATENATE( 
if (regexmatch(T25, ""^[A-Za-z\.\_]+""), ""L"", 
if(regexmatch(AM25, ""^[A-Za-z\.\_]+""),""S"","""")),
if(BD25=""X"",""K"",""""))"),"LK")</f>
        <v>LK</v>
      </c>
      <c r="BV25" s="40" t="str">
        <f>IFERROR(__xludf.DUMMYFUNCTION("CONCATENATE( 
if (regexmatch(U25, ""^[A-Za-z\.\_]+""), ""L"", 
if(regexmatch(AN25, ""^[A-Za-z\.\_]+""),""S"","""")),
if(BE25=""X"",""K"",""""))"),"LK")</f>
        <v>LK</v>
      </c>
      <c r="BW25" s="40" t="str">
        <f>IFERROR(__xludf.DUMMYFUNCTION(" CONCATENATE( 
if (regexmatch(V25, ""^[A-Za-z\.\_]+""), ""L"", 
if(regexmatch(AO25, ""^[A-Za-z\.\_]+""),""S"","""")),
if(BF25=""X"",""K"",""""))"),"LK")</f>
        <v>LK</v>
      </c>
      <c r="BX25" s="40" t="str">
        <f>IFERROR(__xludf.DUMMYFUNCTION("CONCATENATE( 
if (regexmatch(W25, ""^[A-Za-z\.\_]+""), ""L"", 
if(regexmatch(AP25, ""^[A-Za-z\.\_]+""),""S"","""")),
if(BG25=""X"",""K"",""""))"),"K")</f>
        <v>K</v>
      </c>
      <c r="BY25" s="40" t="str">
        <f>IFERROR(__xludf.DUMMYFUNCTION("CONCATENATE( 
if (regexmatch(X25, ""^[A-Za-z\.\_]+""), ""L"", 
if(regexmatch(AQ25, ""^[A-Za-z\.\_]+""),""S"","""")),
if(BH25=""X"",""K"",""""))"),"K")</f>
        <v>K</v>
      </c>
      <c r="BZ25" s="40" t="str">
        <f>IFERROR(__xludf.DUMMYFUNCTION("CONCATENATE( 
if (regexmatch(Y25, ""^[A-Za-z\.\_]+""), ""L"", 
if(regexmatch(AR25, ""^[A-Za-z\.\_]+""),""S"","""")),
if(BI25=""X"",""K"",""""))"),"LK")</f>
        <v>LK</v>
      </c>
      <c r="CA25" s="40" t="str">
        <f>IFERROR(__xludf.DUMMYFUNCTION("CONCATENATE( 
if (regexmatch(Z25, ""^[A-Za-z\.\_]+""), ""L"", 
if(regexmatch(AS25, ""^[A-Za-z\.\_]+""),""S"","""")),
if(BJ25=""X"",""K"",""""))"),"LK")</f>
        <v>LK</v>
      </c>
      <c r="CB25" s="39"/>
      <c r="CC25" s="39"/>
      <c r="CD25" s="39"/>
      <c r="CE25" s="39"/>
      <c r="CF25" s="39"/>
      <c r="CG25" s="39"/>
      <c r="CH25" s="39"/>
      <c r="CI25" s="39"/>
      <c r="CJ25" s="39"/>
      <c r="CK25" s="39"/>
      <c r="CL25" s="39"/>
      <c r="CM25" s="39"/>
      <c r="CN25" s="39"/>
      <c r="CO25" s="39"/>
      <c r="CP25" s="39"/>
      <c r="CQ25" s="39"/>
      <c r="CR25" s="39"/>
    </row>
    <row r="26" ht="15.75" customHeight="1">
      <c r="A26" s="25">
        <v>16.0</v>
      </c>
      <c r="B26" s="26" t="s">
        <v>152</v>
      </c>
      <c r="C26" s="41" t="s">
        <v>153</v>
      </c>
      <c r="D26" s="27" t="str">
        <f>IFERROR(__xludf.DUMMYFUNCTION("CONCATENATE(regexextract($C26,""[\w]* [\w]*""), ""*"")"),"Citrus clementina*")</f>
        <v>Citrus clementina*</v>
      </c>
      <c r="E26" s="56" t="s">
        <v>154</v>
      </c>
      <c r="F26" s="55">
        <v>85681.0</v>
      </c>
      <c r="G26" s="53"/>
      <c r="H26" s="31"/>
      <c r="I26" s="32" t="str">
        <f>CONCATENATE(
if(countif(dd.agi,$D26),"D",""),
if(countif(knap.agi,$D26),"K",""),
if(countif(mic.agi,$D26),"M",""),
if(countif(nap.agi,$D26),"N",""),
if(countif(np.agi,$D26),"P",""),
if(countif(imp.agi,$D26),"T",""),
if(countif(us.agi,$D26),"U",""),
if(countif(var.agi,$D26),"V","")
)</f>
        <v/>
      </c>
      <c r="J26" s="32" t="str">
        <f>
CONCATENATE(
if(countif(nap.bun,$D26),"N",""),
if(countif(np.bun,$D26),"P","")
)
</f>
        <v/>
      </c>
      <c r="K26" s="32" t="str">
        <f>CONCATENATE(
if(countif(dd.kxn,$D26),"D",""),
if(countif(knap.kxn,$D26),"K",""),
if(countif(mic.kxn,$D26),"M",""),
if(countif(nap.kxn,$D26),"N",""),
if(countif(np.kxn,$D26),"P",""),
if(countif(us.kxn,$D26),"U",""),
if(countif(var.kxn,$D26),"V","")
)</f>
        <v/>
      </c>
      <c r="L26" s="32" t="str">
        <f>
CONCATENATE(
if(countif(dd.hwb,$D26),"D",""),
if(countif(knap.hwb,$D26),"K",""),
if(countif(mic.hwb,$D26),"M",""),
if(countif(nap.hwb,$D26),"N",""),
if(countif(np.hwb,$D26),"P",""),
if(countif(us.hwb,$D26),"U",""),
if(countif(imp.hwb,$D26),"T",""),
if(countif(var.hwb,$D26),"V","")
)</f>
        <v/>
      </c>
      <c r="M26" s="32" t="str">
        <f>CONCATENATE(
if(countif(dd.epc,$D26),"D",""),
if(countif(knap.ekxn,$D26),"K",""),
if(countif(mic.ekxn,$D26),"M",""),
if(countif(nap.ekxn,$D26),"N",""),
if(countif(np.ekxn,$D26),"P",""),
if(countif(imp.epc,$D26),"T",""),
if(countif(us.ekxn,$D26),"U",""),
if(countif(var.ekxn,$D26),"V","")
)</f>
        <v/>
      </c>
      <c r="N26" s="32" t="str">
        <f>
CONCATENATE(
if(countif(dd.ecg,$D26),"D",""),
if(countif(mic.ecg,$D26),"M",""),
if(countif(np.ecg,$D26),"P",""),
if(countif(imp.ecg,$D26),"T",""),
if(countif(us.ecg,$D26),"U","")
)</f>
        <v/>
      </c>
      <c r="O26" s="32" t="str">
        <f>
CONCATENATE(
if(countif(dd.egt,$D26),"D",""),
if(countif(mic.egt,$D26),"M",""),
if(countif(nap.egt,$D26),"N",""),
if(countif(us.egt,$D26),"U",""),
if(countif(var.egt,$D26),"V",""))
</f>
        <v/>
      </c>
      <c r="P26" s="32" t="str">
        <f>CONCATENATE(
if(countif(knap.egcg,$D26),"K",""),
if(countif(mic.egcg,$D26),"M",""),
if(countif(np.egcg,$D26),"P",""),
if(countif(us.egcg,$D26),"U","")
)</f>
        <v/>
      </c>
      <c r="Q26" s="32" t="str">
        <f>CONCATENATE(if(countif(np.ecit,$D26),"P",""),
if(countif(nap.ecit,$D26),"A",""))</f>
        <v/>
      </c>
      <c r="R26" s="32" t="str">
        <f>
CONCATENATE(
if(countif(nap.erd,$D26),"N",""),
if(countif(np.erd,$D26),"P",""),
if(countif(var.erd,$D26),"V",""))</f>
        <v/>
      </c>
      <c r="S26" s="32" t="str">
        <f>
CONCATENATE(
if(countif(dd.gkxn,$D26),"D",""),
if(countif(knap.gkxn,$D26),"K",""),
if(countif(nap.gkxn,$D26),"N",""),
if(countif(np.gkxn,$D26),"P",""),
if(countif(imp.gkxn,$D26),"T",""),
if(countif(var.gkxn,$D26),"V",""))</f>
        <v/>
      </c>
      <c r="T26" s="32" t="str">
        <f>
CONCATENATE(
if(countif(dd.gen,$C26),"D",""),
if(countif(knap.gen,$C26),"K",""),
if(countif(nap.gen,$C26),"N",""),
if(countif(np.gen,$C26),"P",""),
if(countif(imp.gen,$C26),"T",""),
if(countif(var.gen,$C26),"V",""))</f>
        <v/>
      </c>
      <c r="U26" s="32" t="str">
        <f>
CONCATENATE(
if(countif(dd.hcc,$D26),"D",""),
if(countif(knap.hcc,$D26),"K",""),
if(countif(np.hcc,$D26),"P","")
)
</f>
        <v/>
      </c>
      <c r="V26" s="32" t="str">
        <f>
CONCATENATE(
if(countif(dd.kmp,$D26),"D",""),
if(countif(knap.kmp,$D26),"K",""),
if(countif(mic.kmp,$D26),"M",""),
if(countif(nap.kmp,$D26),"N",""),
if(countif(np.kmp,$D26),"P",""),
if(countif(imp.kmp,$D26),"T",""),
if(countif(us.kmp,$D26),"U",""),
if(countif(var.kmp,$D26),"V",""))</f>
        <v/>
      </c>
      <c r="W26" s="32" t="str">
        <f>
CONCATENATE(
if(countif(dd.lu2,$D26),"D",""),
if(countif(knap.lu2,$D26),"K",""),
if(countif(mic.lu2,$D26),"M",""),
if(countif(nap.lu2,$D26),"N",""),
if(countif(np.lu2,$D26),"P",""),
if(countif(imp.lu2,$D26),"T",""),
if(countif(us.lu2,$D26),"U",""),
if(countif(var.lu2,$D26),"V",""))</f>
        <v/>
      </c>
      <c r="X26" s="32" t="str">
        <f>
CONCATENATE(
if(countif(dd.myc,$D26),"D",""),
if(countif(knap.myc,$D26),"K",""), 
if(countif(mic.myc,$D26),"M",""),
if(countif(nap.myc,$D26),"N",""),
if(countif(np.myc,$D26),"P",""),
if(countif(imp.myc,$D26),"T",""),
if(countif(us.myc,$D26),"U",""),
if(countif(var.myc,$D26),"V",""))</f>
        <v/>
      </c>
      <c r="Y26" s="32" t="str">
        <f>CONCATENATE(
if(countif(dd.nar,$D26),"D",""),
if(countif(knap.nar,$D26),"K",""),
if(countif(nap.nar,$D26),"N",""),
if(countif(np.nar,$D26),"P",""),
if(countif(imp.nar,$D26),"T",""),
if(countif(us.nar,$D26),"U",""),
if(countif(var.nar,$D26),"V",""))</f>
        <v/>
      </c>
      <c r="Z26" s="33" t="str">
        <f>
CONCATENATE(
if(countif(dd.que,$D26),"D",""),
if(countif(knap.que,$D26),"K",""),
if(countif(mic.que,$D26),"M",""),
if(countif(nap.que,$D26),"N",""),
if(countif(np.que,$D26),"P",""),
if(countif(imp.que,$D26),"T",""),
if(countif(us.que,$D26),"U",""),
if(countif(var.que,$D26),"V",""))</f>
        <v/>
      </c>
      <c r="AA26" s="32"/>
      <c r="AB26" s="34" t="str">
        <f>
CONCATENATE(if(countif(knap.agi.sim,$D26),"K",""),
if(countif(dd.agi.sim,$D26),"D",""),
if(countif(nap.agi.sim,$D26),"A",""),
if(countif(var.agi.sim,$D26),"V",""))</f>
        <v/>
      </c>
      <c r="AC26" s="34" t="str">
        <f>
if(countif(nap.bun.sim,$D26),"A","")</f>
        <v/>
      </c>
      <c r="AD26" s="34" t="str">
        <f>
CONCATENATE(if(countif(knap.kxn.sim,$D26),"K",""),
if(countif(np.kxn.sim,$D26),"P",""),
if(countif(dd.kxn.sim,$D26),"D",""),
if(countif(nap.kxn.sim,$D26),"A",""),
if(countif(var.kxn.sim,$D26),"V",""))</f>
        <v/>
      </c>
      <c r="AE26" s="34" t="str">
        <f>
CONCATENATE(if(countif(knap.hwb.sim,$D26),"K",""),
if(countif(np.hwb.sim,$D26),"P",""),
if(countif(mic.hwb.sim,$D26),"M",""),
if(countif(imp.hwb.sim,$D26),"T",""),
if(countif(dd.cyan.sim,$D26),"D",""),
if(countif(nap.hwb.sim,$D26),"A",""),
if(countif(var.hwb.sim,$D26),"V",""))</f>
        <v/>
      </c>
      <c r="AF26" s="34" t="str">
        <f>
CONCATENATE(if(countif(us.ekxn.sim,$D26),"U",""),
if(countif(knap.ekxn.sim,$D26),"K",""),
if(countif(np.ekxn.sim,$D26),"P",""),
if(countif(mic.ekxn.sim,$D26),"M",""),
if(countif(imp.epc.sim,$D26),"T",""),
if(countif(nap.ekxn.sim,$D26),"A",""))</f>
        <v/>
      </c>
      <c r="AG26" s="34"/>
      <c r="AH26" s="34" t="str">
        <f>
CONCATENATE(if(countif(us.egt.sim,$D26),"U",""),
if(countif(knap.egt.sim,$D26),"K",""),
if(countif(np.egt.sim,$D26),"P",""),
if(countif(mic.egt.sim,$D26),"M",""))</f>
        <v/>
      </c>
      <c r="AI26" s="34"/>
      <c r="AJ26" s="34" t="str">
        <f>if(countif(nap.ecit.sim,$D26),"A","")</f>
        <v/>
      </c>
      <c r="AK26" s="34" t="str">
        <f>
CONCATENATE(if(countif(nap.erd,$D26),"M",""),
if(countif(nap.erd.sim,$D26),"A",""),
if(countif(var.erd.sim,$D26),"V",""))</f>
        <v/>
      </c>
      <c r="AL26" s="34" t="str">
        <f>
CONCATENATE(if(countif(knap.gkxn.sim,$D26),"K",""),
if(countif(nap.gkxn.sim,$D26),"A",""))</f>
        <v/>
      </c>
      <c r="AM26" s="34" t="str">
        <f>
CONCATENATE(if(countif(knap.gen.sim,$C26),"K",""),
if(countif(imp.gen.sim,$C26),"T",""),
if(countif(dd.gen.sim,$C26),"D",""),
if(countif(nap.gen.sim,$C26),"A",""),
if(countif(var.gen.sim,$C26),"V",""))
</f>
        <v/>
      </c>
      <c r="AN26" s="34" t="str">
        <f>IFERROR(__xludf.DUMMYFUNCTION("
if(countif(#REF!,CONCATENATE(regexextract($C26,""[\w]* [\w]*""), ""*"")),""V"","""")"),"")</f>
        <v/>
      </c>
      <c r="AO26" s="34" t="str">
        <f>
CONCATENATE(if(countif(knap.kmp.sim,$D26),"K",""),
if(countif(np.kmp.sim,$D26),"P",""),
if(countif(imp.kmp.sim,$D26),"T",""),
if(countif(dd.kmp,$D26),"D",""),
if(countif(nap.kmp.sim,$D26),"A",""),
if(countif(var.kmp.sim,$D26),"V",""))</f>
        <v/>
      </c>
      <c r="AP26" s="34" t="str">
        <f>
CONCATENATE(if(countif(knap.lu2.sim,$D26),"K",""),
if(countif(np.lu2.sim,$D26),"P",""),
if(countif(imp.lu2.sim,$D26),"T",""),
if(countif(dd.lu2.sim,$D26),"D",""),
if(countif(nap.lu2.sim,$D26),"A",""),
if(countif(var.lu2.sim,$D26),"V",""))</f>
        <v/>
      </c>
      <c r="AQ26" s="34" t="str">
        <f>
CONCATENATE(if(countif(np.myc.sim,$D26),"P",""),
if(countif(imp.myc.sim,$D26),"T",""),
if(countif(nap.myc.sim,$D26),"A",""))
</f>
        <v/>
      </c>
      <c r="AR26" s="36" t="str">
        <f>
CONCATENATE(if(countif(knap.nar.sim,$D26),"K",""),
if(countif(np.nar.sim,$D26),"P",""),
if(countif(imp.nar.sim,$D26),"T",""),
if(countif(dd.nar.sim,$D26),"D",""),
if(countif(nap.nar.sim,$D26),"A",""),
if(countif(var.nar.sim,$D26),"V",""))</f>
        <v/>
      </c>
      <c r="AS26" s="34" t="str">
        <f>
CONCATENATE(if(countif(knap.que.sim,$D26),"K",""),
if(countif(np.que.sim,$D26),"P",""),
if(countif(imp.que.sim,$D26),"T",""),
if(countif(dd.que.sim,$D26),"D",""),
if(countif(nap.que.sim,$D26),"A",""),
if(countif(var.que.sim,$D26),"V",""))</f>
        <v/>
      </c>
      <c r="AT26" s="37"/>
      <c r="AU26" s="32" t="str">
        <f>IFERROR(__xludf.DUMMYFUNCTION("if(countif(kr.agi, CONCATENATE(regexextract($C26,""[\w]* [\w]*""), ""*"")),""X"","""")"),"X")</f>
        <v>X</v>
      </c>
      <c r="AV26" s="38" t="str">
        <f>IFERROR(__xludf.DUMMYFUNCTION("if(countif(kr.bun,CONCATENATE(regexextract($C26,""[\w]* [\w]*""), ""*"")),""X"","""")"),"X")</f>
        <v>X</v>
      </c>
      <c r="AW26" s="38" t="str">
        <f>IFERROR(__xludf.DUMMYFUNCTION("if(countif(kr.kxn,CONCATENATE(regexextract($C26,""[\w]* [\w]*""), ""*"")),""X"","""")"),"X")</f>
        <v>X</v>
      </c>
      <c r="AX26" s="38" t="str">
        <f>IFERROR(__xludf.DUMMYFUNCTION("if(countif(kr.hwb,CONCATENATE(regexextract($C26,""[\w]* [\w]*""), ""*"")),""X"","""")"),"X")</f>
        <v>X</v>
      </c>
      <c r="AY26" s="38" t="str">
        <f>IFERROR(__xludf.DUMMYFUNCTION("if(countif(kr.ec,CONCATENATE(regexextract($C26,""[\w]* [\w]*""), ""*"")),""X"","""")"),"X")</f>
        <v>X</v>
      </c>
      <c r="AZ26" s="38" t="str">
        <f>IFERROR(__xludf.DUMMYFUNCTION("if(countif(kr.egt,CONCATENATE(regexextract($C26,""[\w]* [\w]*""), ""*"")),""X"","""")"),"X")</f>
        <v>X</v>
      </c>
      <c r="BA26" s="38"/>
      <c r="BB26" s="38" t="str">
        <f>IFERROR(__xludf.DUMMYFUNCTION("if(countif(kr.erd,CONCATENATE(regexextract($C26,""[\w]* [\w]*""), ""*"")),""X"","""")"),"X")</f>
        <v>X</v>
      </c>
      <c r="BC26" s="38" t="str">
        <f>IFERROR(__xludf.DUMMYFUNCTION("if(countif(kr.gkxn,CONCATENATE(regexextract($C26,""[\w]* [\w]*""), ""*"")),""X"","""")"),"X")</f>
        <v>X</v>
      </c>
      <c r="BD26" s="38" t="str">
        <f>IFERROR(__xludf.DUMMYFUNCTION("if(countif(kr.gen,CONCATENATE(regexextract(C26,""[\w]* [\w]*""), ""*"")),""X"","""")"),"")</f>
        <v/>
      </c>
      <c r="BE26" s="38" t="str">
        <f>IFERROR(__xludf.DUMMYFUNCTION("if(countif(kr.hcc,CONCATENATE(regexextract($C26,""[\w]* [\w]*""), ""*"")),""X"","""")"),"X")</f>
        <v>X</v>
      </c>
      <c r="BF26" s="38" t="str">
        <f>IFERROR(__xludf.DUMMYFUNCTION("if(countif(kr.kmp,CONCATENATE(regexextract($C26,""[\w]* [\w]*""), ""*"")),""X"","""")"),"X")</f>
        <v>X</v>
      </c>
      <c r="BG26" s="38" t="str">
        <f>IFERROR(__xludf.DUMMYFUNCTION("if(countif(kr.lu2,CONCATENATE(regexextract($C26,""[\w]* [\w]*""), ""*"")),""X"","""")"),"X")</f>
        <v>X</v>
      </c>
      <c r="BH26" s="38" t="str">
        <f>IFERROR(__xludf.DUMMYFUNCTION("if(countif(kr.myc,CONCATENATE(regexextract($C26,""[\w]* [\w]*""), ""*"")),""X"","""")"),"X")</f>
        <v>X</v>
      </c>
      <c r="BI26" s="38" t="str">
        <f>IFERROR(__xludf.DUMMYFUNCTION("if(countif(kr.nar,CONCATENATE(regexextract($C26,""[\w]* [\w]*""), ""*"")),""X"","""")"),"X")</f>
        <v>X</v>
      </c>
      <c r="BJ26" s="38" t="str">
        <f>IFERROR(__xludf.DUMMYFUNCTION("if(countif(kr.que,CONCATENATE(regexextract($C26,""[\w]* [\w]*""), ""*"")),""X"","""")"),"X")</f>
        <v>X</v>
      </c>
      <c r="BK26" s="39"/>
      <c r="BL26" s="40" t="str">
        <f>IFERROR(__xludf.DUMMYFUNCTION(" CONCATENATE( 
if (regexmatch(I26, ""^[A-Za-z\.\_]+""), ""L"", 
if(regexmatch(AB26, ""^[A-Za-z\.\_]+""),""S"","""")),
if(AU26=""X"",""K"",""""))"),"K")</f>
        <v>K</v>
      </c>
      <c r="BM26" s="40" t="str">
        <f>IFERROR(__xludf.DUMMYFUNCTION(" CONCATENATE( 
if (regexmatch(J26, ""^[A-Za-z\.\_]+""), ""L"", 
if(regexmatch(AC26, ""^[A-Za-z\.\_]+""),""S"","""")),
if(AV26=""X"",""K"",""""))"),"K")</f>
        <v>K</v>
      </c>
      <c r="BN26" s="40" t="str">
        <f>IFERROR(__xludf.DUMMYFUNCTION(" CONCATENATE( 
if (regexmatch(K26, ""^[A-Za-z\.\_]+""), ""L"", 
if(regexmatch(AD26, ""^[A-Za-z\.\_]+""),""S"","""")),
if(AW26=""X"",""K"",""""))"),"K")</f>
        <v>K</v>
      </c>
      <c r="BO26" s="40" t="str">
        <f>IFERROR(__xludf.DUMMYFUNCTION(" CONCATENATE( 
if (regexmatch(L26, ""^[A-Za-z\.\_]+""), ""L"", 
if(regexmatch(AE26, ""^[A-Za-z\.\_]+""),""S"","""")),
if(AX26=""X"",""K"",""""))"),"K")</f>
        <v>K</v>
      </c>
      <c r="BP26" s="40" t="str">
        <f>IFERROR(__xludf.DUMMYFUNCTION(" CONCATENATE( 
if (regexmatch(M26, ""^[A-Za-z\.\_]+""), ""L"", 
if(regexmatch(AF26, ""^[A-Za-z\.\_]+""),""S"","""")),
if(AY26=""X"",""K"",""""))"),"K")</f>
        <v>K</v>
      </c>
      <c r="BQ26" s="40" t="str">
        <f>IFERROR(__xludf.DUMMYFUNCTION("CONCATENATE( 
if (regexmatch(O26, ""^[A-Za-z\.\_]+""), ""L"", 
if(regexmatch(AH26, ""^[A-Za-z\.\_]+""),""S"","""")),
if(AZ26=""X"",""K"",""""))"),"K")</f>
        <v>K</v>
      </c>
      <c r="BR26" s="40" t="str">
        <f>IFERROR(__xludf.DUMMYFUNCTION("CONCATENATE( 
if (regexmatch(Q26, ""^[A-Za-z\.\_]+""), ""L"", 
if(regexmatch(AJ26, ""^[A-Za-z\.\_]+""),""S"","""")),
if(BA26=""X"",""K"",""""))"),"")</f>
        <v/>
      </c>
      <c r="BS26" s="40" t="str">
        <f>IFERROR(__xludf.DUMMYFUNCTION(" CONCATENATE( 
if (regexmatch(R26, ""^[A-Za-z\.\_]+""), ""L"", 
if(regexmatch(AK26, ""^[A-Za-z\.\_]+""),""S"","""")),
if(BB26=""X"",""K"",""""))"),"K")</f>
        <v>K</v>
      </c>
      <c r="BT26" s="40" t="str">
        <f>IFERROR(__xludf.DUMMYFUNCTION("CONCATENATE( 
if (regexmatch(S26, ""^[A-Za-z\.\_]+""), ""L"", 
if(regexmatch(AL26, ""^[A-Za-z\.\_]+""),""S"","""")),
if(BC26=""X"",""K"",""""))"),"K")</f>
        <v>K</v>
      </c>
      <c r="BU26" s="40" t="str">
        <f>IFERROR(__xludf.DUMMYFUNCTION("CONCATENATE( 
if (regexmatch(T26, ""^[A-Za-z\.\_]+""), ""L"", 
if(regexmatch(AM26, ""^[A-Za-z\.\_]+""),""S"","""")),
if(BD26=""X"",""K"",""""))"),"")</f>
        <v/>
      </c>
      <c r="BV26" s="40" t="str">
        <f>IFERROR(__xludf.DUMMYFUNCTION("CONCATENATE( 
if (regexmatch(U26, ""^[A-Za-z\.\_]+""), ""L"", 
if(regexmatch(AN26, ""^[A-Za-z\.\_]+""),""S"","""")),
if(BE26=""X"",""K"",""""))"),"K")</f>
        <v>K</v>
      </c>
      <c r="BW26" s="40" t="str">
        <f>IFERROR(__xludf.DUMMYFUNCTION(" CONCATENATE( 
if (regexmatch(V26, ""^[A-Za-z\.\_]+""), ""L"", 
if(regexmatch(AO26, ""^[A-Za-z\.\_]+""),""S"","""")),
if(BF26=""X"",""K"",""""))"),"K")</f>
        <v>K</v>
      </c>
      <c r="BX26" s="40" t="str">
        <f>IFERROR(__xludf.DUMMYFUNCTION("CONCATENATE( 
if (regexmatch(W26, ""^[A-Za-z\.\_]+""), ""L"", 
if(regexmatch(AP26, ""^[A-Za-z\.\_]+""),""S"","""")),
if(BG26=""X"",""K"",""""))"),"K")</f>
        <v>K</v>
      </c>
      <c r="BY26" s="40" t="str">
        <f>IFERROR(__xludf.DUMMYFUNCTION("CONCATENATE( 
if (regexmatch(X26, ""^[A-Za-z\.\_]+""), ""L"", 
if(regexmatch(AQ26, ""^[A-Za-z\.\_]+""),""S"","""")),
if(BH26=""X"",""K"",""""))"),"K")</f>
        <v>K</v>
      </c>
      <c r="BZ26" s="40" t="str">
        <f>IFERROR(__xludf.DUMMYFUNCTION("CONCATENATE( 
if (regexmatch(Y26, ""^[A-Za-z\.\_]+""), ""L"", 
if(regexmatch(AR26, ""^[A-Za-z\.\_]+""),""S"","""")),
if(BI26=""X"",""K"",""""))"),"K")</f>
        <v>K</v>
      </c>
      <c r="CA26" s="40" t="str">
        <f>IFERROR(__xludf.DUMMYFUNCTION("CONCATENATE( 
if (regexmatch(Z26, ""^[A-Za-z\.\_]+""), ""L"", 
if(regexmatch(AS26, ""^[A-Za-z\.\_]+""),""S"","""")),
if(BJ26=""X"",""K"",""""))"),"K")</f>
        <v>K</v>
      </c>
      <c r="CB26" s="39"/>
      <c r="CC26" s="39"/>
      <c r="CD26" s="39"/>
      <c r="CE26" s="39"/>
      <c r="CF26" s="39"/>
      <c r="CG26" s="39"/>
      <c r="CH26" s="39"/>
      <c r="CI26" s="39"/>
      <c r="CJ26" s="39"/>
      <c r="CK26" s="39"/>
      <c r="CL26" s="39"/>
      <c r="CM26" s="39"/>
      <c r="CN26" s="39"/>
      <c r="CO26" s="39"/>
      <c r="CP26" s="39"/>
      <c r="CQ26" s="39"/>
      <c r="CR26" s="39"/>
    </row>
    <row r="27" ht="15.75" customHeight="1">
      <c r="A27" s="25">
        <v>15.0</v>
      </c>
      <c r="B27" s="26" t="s">
        <v>155</v>
      </c>
      <c r="C27" s="41" t="s">
        <v>156</v>
      </c>
      <c r="D27" s="27" t="str">
        <f>IFERROR(__xludf.DUMMYFUNCTION("CONCATENATE(regexextract($C27,""[\w]* [\w]*""), ""*"")"),"Citrus sinensis*")</f>
        <v>Citrus sinensis*</v>
      </c>
      <c r="E27" s="56" t="s">
        <v>157</v>
      </c>
      <c r="F27" s="55">
        <v>2711.0</v>
      </c>
      <c r="G27" s="53"/>
      <c r="H27" s="31"/>
      <c r="I27" s="32" t="str">
        <f>CONCATENATE(
if(countif(dd.agi,$D27),"D",""),
if(countif(knap.agi,$D27),"K",""),
if(countif(mic.agi,$D27),"M",""),
if(countif(nap.agi,$D27),"N",""),
if(countif(np.agi,$D27),"P",""),
if(countif(imp.agi,$D27),"T",""),
if(countif(us.agi,$D27),"U",""),
if(countif(var.agi,$D27),"V","")
)</f>
        <v>V</v>
      </c>
      <c r="J27" s="32" t="str">
        <f>
CONCATENATE(
if(countif(nap.bun,$D27),"N",""),
if(countif(np.bun,$D27),"P","")
)
</f>
        <v/>
      </c>
      <c r="K27" s="32" t="str">
        <f>CONCATENATE(
if(countif(dd.kxn,$D27),"D",""),
if(countif(knap.kxn,$D27),"K",""),
if(countif(mic.kxn,$D27),"M",""),
if(countif(nap.kxn,$D27),"N",""),
if(countif(np.kxn,$D27),"P",""),
if(countif(us.kxn,$D27),"U",""),
if(countif(var.kxn,$D27),"V","")
)</f>
        <v>V</v>
      </c>
      <c r="L27" s="32" t="str">
        <f>
CONCATENATE(
if(countif(dd.hwb,$D27),"D",""),
if(countif(knap.hwb,$D27),"K",""),
if(countif(mic.hwb,$D27),"M",""),
if(countif(nap.hwb,$D27),"N",""),
if(countif(np.hwb,$D27),"P",""),
if(countif(us.hwb,$D27),"U",""),
if(countif(imp.hwb,$D27),"T",""),
if(countif(var.hwb,$D27),"V","")
)</f>
        <v/>
      </c>
      <c r="M27" s="32" t="str">
        <f>CONCATENATE(
if(countif(dd.epc,$D27),"D",""),
if(countif(knap.ekxn,$D27),"K",""),
if(countif(mic.ekxn,$D27),"M",""),
if(countif(nap.ekxn,$D27),"N",""),
if(countif(np.ekxn,$D27),"P",""),
if(countif(imp.epc,$D27),"T",""),
if(countif(us.ekxn,$D27),"U",""),
if(countif(var.ekxn,$D27),"V","")
)</f>
        <v/>
      </c>
      <c r="N27" s="32" t="str">
        <f>
CONCATENATE(
if(countif(dd.ecg,$D27),"D",""),
if(countif(mic.ecg,$D27),"M",""),
if(countif(np.ecg,$D27),"P",""),
if(countif(imp.ecg,$D27),"T",""),
if(countif(us.ecg,$D27),"U","")
)</f>
        <v/>
      </c>
      <c r="O27" s="32" t="str">
        <f>
CONCATENATE(
if(countif(dd.egt,$D27),"D",""),
if(countif(mic.egt,$D27),"M",""),
if(countif(nap.egt,$D27),"N",""),
if(countif(us.egt,$D27),"U",""),
if(countif(var.egt,$D27),"V",""))
</f>
        <v>V</v>
      </c>
      <c r="P27" s="32" t="str">
        <f>CONCATENATE(
if(countif(knap.egcg,$D27),"K",""),
if(countif(mic.egcg,$D27),"M",""),
if(countif(np.egcg,$D27),"P",""),
if(countif(us.egcg,$D27),"U","")
)</f>
        <v/>
      </c>
      <c r="Q27" s="32" t="str">
        <f>CONCATENATE(if(countif(np.ecit,$D27),"P",""),
if(countif(nap.ecit,$D27),"A",""))</f>
        <v>P</v>
      </c>
      <c r="R27" s="32" t="str">
        <f>
CONCATENATE(
if(countif(nap.erd,$D27),"N",""),
if(countif(np.erd,$D27),"P",""),
if(countif(var.erd,$D27),"V",""))</f>
        <v/>
      </c>
      <c r="S27" s="32" t="str">
        <f>
CONCATENATE(
if(countif(dd.gkxn,$D27),"D",""),
if(countif(knap.gkxn,$D27),"K",""),
if(countif(nap.gkxn,$D27),"N",""),
if(countif(np.gkxn,$D27),"P",""),
if(countif(imp.gkxn,$D27),"T",""),
if(countif(var.gkxn,$D27),"V",""))</f>
        <v/>
      </c>
      <c r="T27" s="32" t="str">
        <f>
CONCATENATE(
if(countif(dd.gen,$C27),"D",""),
if(countif(knap.gen,$C27),"K",""),
if(countif(nap.gen,$C27),"N",""),
if(countif(np.gen,$C27),"P",""),
if(countif(imp.gen,$C27),"T",""),
if(countif(var.gen,$C27),"V",""))</f>
        <v/>
      </c>
      <c r="U27" s="32" t="str">
        <f>
CONCATENATE(
if(countif(dd.hcc,$D27),"D",""),
if(countif(knap.hcc,$D27),"K",""),
if(countif(np.hcc,$D27),"P","")
)
</f>
        <v/>
      </c>
      <c r="V27" s="32" t="str">
        <f>
CONCATENATE(
if(countif(dd.kmp,$D27),"D",""),
if(countif(knap.kmp,$D27),"K",""),
if(countif(mic.kmp,$D27),"M",""),
if(countif(nap.kmp,$D27),"N",""),
if(countif(np.kmp,$D27),"P",""),
if(countif(imp.kmp,$D27),"T",""),
if(countif(us.kmp,$D27),"U",""),
if(countif(var.kmp,$D27),"V",""))</f>
        <v>MNU</v>
      </c>
      <c r="W27" s="32" t="str">
        <f>
CONCATENATE(
if(countif(dd.lu2,$D27),"D",""),
if(countif(knap.lu2,$D27),"K",""),
if(countif(mic.lu2,$D27),"M",""),
if(countif(nap.lu2,$D27),"N",""),
if(countif(np.lu2,$D27),"P",""),
if(countif(imp.lu2,$D27),"T",""),
if(countif(us.lu2,$D27),"U",""),
if(countif(var.lu2,$D27),"V",""))</f>
        <v>MNU</v>
      </c>
      <c r="X27" s="32" t="str">
        <f>
CONCATENATE(
if(countif(dd.myc,$D27),"D",""),
if(countif(knap.myc,$D27),"K",""), 
if(countif(mic.myc,$D27),"M",""),
if(countif(nap.myc,$D27),"N",""),
if(countif(np.myc,$D27),"P",""),
if(countif(imp.myc,$D27),"T",""),
if(countif(us.myc,$D27),"U",""),
if(countif(var.myc,$D27),"V",""))</f>
        <v>DMNU</v>
      </c>
      <c r="Y27" s="32" t="str">
        <f>CONCATENATE(
if(countif(dd.nar,$D27),"D",""),
if(countif(knap.nar,$D27),"K",""),
if(countif(nap.nar,$D27),"N",""),
if(countif(np.nar,$D27),"P",""),
if(countif(imp.nar,$D27),"T",""),
if(countif(us.nar,$D27),"U",""),
if(countif(var.nar,$D27),"V",""))</f>
        <v>DNPU</v>
      </c>
      <c r="Z27" s="33" t="str">
        <f>
CONCATENATE(
if(countif(dd.que,$D27),"D",""),
if(countif(knap.que,$D27),"K",""),
if(countif(mic.que,$D27),"M",""),
if(countif(nap.que,$D27),"N",""),
if(countif(np.que,$D27),"P",""),
if(countif(imp.que,$D27),"T",""),
if(countif(us.que,$D27),"U",""),
if(countif(var.que,$D27),"V",""))</f>
        <v>DMNPU</v>
      </c>
      <c r="AA27" s="32"/>
      <c r="AB27" s="34" t="str">
        <f>
CONCATENATE(if(countif(knap.agi.sim,$D27),"K",""),
if(countif(dd.agi.sim,$D27),"D",""),
if(countif(nap.agi.sim,$D27),"A",""),
if(countif(var.agi.sim,$D27),"V",""))</f>
        <v>A</v>
      </c>
      <c r="AC27" s="34" t="str">
        <f>
if(countif(nap.bun.sim,$D27),"A","")</f>
        <v/>
      </c>
      <c r="AD27" s="34" t="str">
        <f>
CONCATENATE(if(countif(knap.kxn.sim,$D27),"K",""),
if(countif(np.kxn.sim,$D27),"P",""),
if(countif(dd.kxn.sim,$D27),"D",""),
if(countif(nap.kxn.sim,$D27),"A",""),
if(countif(var.kxn.sim,$D27),"V",""))</f>
        <v/>
      </c>
      <c r="AE27" s="34" t="str">
        <f>
CONCATENATE(if(countif(knap.hwb.sim,$D27),"K",""),
if(countif(np.hwb.sim,$D27),"P",""),
if(countif(mic.hwb.sim,$D27),"M",""),
if(countif(imp.hwb.sim,$D27),"T",""),
if(countif(dd.cyan.sim,$D27),"D",""),
if(countif(nap.hwb.sim,$D27),"A",""),
if(countif(var.hwb.sim,$D27),"V",""))</f>
        <v>K</v>
      </c>
      <c r="AF27" s="34" t="str">
        <f>
CONCATENATE(if(countif(us.ekxn.sim,$D27),"U",""),
if(countif(knap.ekxn.sim,$D27),"K",""),
if(countif(np.ekxn.sim,$D27),"P",""),
if(countif(mic.ekxn.sim,$D27),"M",""),
if(countif(imp.epc.sim,$D27),"T",""),
if(countif(nap.ekxn.sim,$D27),"A",""))</f>
        <v>M</v>
      </c>
      <c r="AG27" s="34"/>
      <c r="AH27" s="34" t="str">
        <f>
CONCATENATE(if(countif(us.egt.sim,$D27),"U",""),
if(countif(knap.egt.sim,$D27),"K",""),
if(countif(np.egt.sim,$D27),"P",""),
if(countif(mic.egt.sim,$D27),"M",""))</f>
        <v>M</v>
      </c>
      <c r="AI27" s="34"/>
      <c r="AJ27" s="34" t="str">
        <f>if(countif(nap.ecit.sim,$D27),"A","")</f>
        <v/>
      </c>
      <c r="AK27" s="34" t="str">
        <f>
CONCATENATE(if(countif(nap.erd,$D27),"M",""),
if(countif(nap.erd.sim,$D27),"A",""),
if(countif(var.erd.sim,$D27),"V",""))</f>
        <v/>
      </c>
      <c r="AL27" s="34" t="str">
        <f>
CONCATENATE(if(countif(knap.gkxn.sim,$D27),"K",""),
if(countif(nap.gkxn.sim,$D27),"A",""))</f>
        <v/>
      </c>
      <c r="AM27" s="34" t="str">
        <f>
CONCATENATE(if(countif(knap.gen.sim,$C27),"K",""),
if(countif(imp.gen.sim,$C27),"T",""),
if(countif(dd.gen.sim,$C27),"D",""),
if(countif(nap.gen.sim,$C27),"A",""),
if(countif(var.gen.sim,$C27),"V",""))
</f>
        <v/>
      </c>
      <c r="AN27" s="34" t="str">
        <f>IFERROR(__xludf.DUMMYFUNCTION("
if(countif(#REF!,CONCATENATE(regexextract($C27,""[\w]* [\w]*""), ""*"")),""V"","""")"),"")</f>
        <v/>
      </c>
      <c r="AO27" s="34" t="str">
        <f>
CONCATENATE(if(countif(knap.kmp.sim,$D27),"K",""),
if(countif(np.kmp.sim,$D27),"P",""),
if(countif(imp.kmp.sim,$D27),"T",""),
if(countif(dd.kmp,$D27),"D",""),
if(countif(nap.kmp.sim,$D27),"A",""),
if(countif(var.kmp.sim,$D27),"V",""))</f>
        <v/>
      </c>
      <c r="AP27" s="34" t="str">
        <f>
CONCATENATE(if(countif(knap.lu2.sim,$D27),"K",""),
if(countif(np.lu2.sim,$D27),"P",""),
if(countif(imp.lu2.sim,$D27),"T",""),
if(countif(dd.lu2.sim,$D27),"D",""),
if(countif(nap.lu2.sim,$D27),"A",""),
if(countif(var.lu2.sim,$D27),"V",""))</f>
        <v/>
      </c>
      <c r="AQ27" s="34" t="str">
        <f>
CONCATENATE(if(countif(np.myc.sim,$D27),"P",""),
if(countif(imp.myc.sim,$D27),"T",""),
if(countif(nap.myc.sim,$D27),"A",""))
</f>
        <v/>
      </c>
      <c r="AR27" s="36" t="str">
        <f>
CONCATENATE(if(countif(knap.nar.sim,$D27),"K",""),
if(countif(np.nar.sim,$D27),"P",""),
if(countif(imp.nar.sim,$D27),"T",""),
if(countif(dd.nar.sim,$D27),"D",""),
if(countif(nap.nar.sim,$D27),"A",""),
if(countif(var.nar.sim,$D27),"V",""))</f>
        <v>KPTD</v>
      </c>
      <c r="AS27" s="34" t="str">
        <f>
CONCATENATE(if(countif(knap.que.sim,$D27),"K",""),
if(countif(np.que.sim,$D27),"P",""),
if(countif(imp.que.sim,$D27),"T",""),
if(countif(dd.que.sim,$D27),"D",""),
if(countif(nap.que.sim,$D27),"A",""),
if(countif(var.que.sim,$D27),"V",""))</f>
        <v>D</v>
      </c>
      <c r="AT27" s="37"/>
      <c r="AU27" s="32" t="str">
        <f>IFERROR(__xludf.DUMMYFUNCTION("if(countif(kr.agi, CONCATENATE(regexextract($C27,""[\w]* [\w]*""), ""*"")),""X"","""")"),"X")</f>
        <v>X</v>
      </c>
      <c r="AV27" s="38" t="str">
        <f>IFERROR(__xludf.DUMMYFUNCTION("if(countif(kr.bun,CONCATENATE(regexextract($C27,""[\w]* [\w]*""), ""*"")),""X"","""")"),"X")</f>
        <v>X</v>
      </c>
      <c r="AW27" s="38" t="str">
        <f>IFERROR(__xludf.DUMMYFUNCTION("if(countif(kr.kxn,CONCATENATE(regexextract($C27,""[\w]* [\w]*""), ""*"")),""X"","""")"),"X")</f>
        <v>X</v>
      </c>
      <c r="AX27" s="38" t="str">
        <f>IFERROR(__xludf.DUMMYFUNCTION("if(countif(kr.hwb,CONCATENATE(regexextract($C27,""[\w]* [\w]*""), ""*"")),""X"","""")"),"X")</f>
        <v>X</v>
      </c>
      <c r="AY27" s="38" t="str">
        <f>IFERROR(__xludf.DUMMYFUNCTION("if(countif(kr.ec,CONCATENATE(regexextract($C27,""[\w]* [\w]*""), ""*"")),""X"","""")"),"X")</f>
        <v>X</v>
      </c>
      <c r="AZ27" s="38" t="str">
        <f>IFERROR(__xludf.DUMMYFUNCTION("if(countif(kr.egt,CONCATENATE(regexextract($C27,""[\w]* [\w]*""), ""*"")),""X"","""")"),"X")</f>
        <v>X</v>
      </c>
      <c r="BA27" s="38"/>
      <c r="BB27" s="38" t="str">
        <f>IFERROR(__xludf.DUMMYFUNCTION("if(countif(kr.erd,CONCATENATE(regexextract($C27,""[\w]* [\w]*""), ""*"")),""X"","""")"),"X")</f>
        <v>X</v>
      </c>
      <c r="BC27" s="38" t="str">
        <f>IFERROR(__xludf.DUMMYFUNCTION("if(countif(kr.gkxn,CONCATENATE(regexextract($C27,""[\w]* [\w]*""), ""*"")),""X"","""")"),"X")</f>
        <v>X</v>
      </c>
      <c r="BD27" s="38" t="str">
        <f>IFERROR(__xludf.DUMMYFUNCTION("if(countif(kr.gen,CONCATENATE(regexextract(C27,""[\w]* [\w]*""), ""*"")),""X"","""")"),"")</f>
        <v/>
      </c>
      <c r="BE27" s="38" t="str">
        <f>IFERROR(__xludf.DUMMYFUNCTION("if(countif(kr.hcc,CONCATENATE(regexextract($C27,""[\w]* [\w]*""), ""*"")),""X"","""")"),"X")</f>
        <v>X</v>
      </c>
      <c r="BF27" s="38" t="str">
        <f>IFERROR(__xludf.DUMMYFUNCTION("if(countif(kr.kmp,CONCATENATE(regexextract($C27,""[\w]* [\w]*""), ""*"")),""X"","""")"),"X")</f>
        <v>X</v>
      </c>
      <c r="BG27" s="38" t="str">
        <f>IFERROR(__xludf.DUMMYFUNCTION("if(countif(kr.lu2,CONCATENATE(regexextract($C27,""[\w]* [\w]*""), ""*"")),""X"","""")"),"X")</f>
        <v>X</v>
      </c>
      <c r="BH27" s="38" t="str">
        <f>IFERROR(__xludf.DUMMYFUNCTION("if(countif(kr.myc,CONCATENATE(regexextract($C27,""[\w]* [\w]*""), ""*"")),""X"","""")"),"X")</f>
        <v>X</v>
      </c>
      <c r="BI27" s="38" t="str">
        <f>IFERROR(__xludf.DUMMYFUNCTION("if(countif(kr.nar,CONCATENATE(regexextract($C27,""[\w]* [\w]*""), ""*"")),""X"","""")"),"X")</f>
        <v>X</v>
      </c>
      <c r="BJ27" s="38" t="str">
        <f>IFERROR(__xludf.DUMMYFUNCTION("if(countif(kr.que,CONCATENATE(regexextract($C27,""[\w]* [\w]*""), ""*"")),""X"","""")"),"X")</f>
        <v>X</v>
      </c>
      <c r="BK27" s="39"/>
      <c r="BL27" s="40" t="str">
        <f>IFERROR(__xludf.DUMMYFUNCTION(" CONCATENATE( 
if (regexmatch(I27, ""^[A-Za-z\.\_]+""), ""L"", 
if(regexmatch(AB27, ""^[A-Za-z\.\_]+""),""S"","""")),
if(AU27=""X"",""K"",""""))"),"LK")</f>
        <v>LK</v>
      </c>
      <c r="BM27" s="40" t="str">
        <f>IFERROR(__xludf.DUMMYFUNCTION(" CONCATENATE( 
if (regexmatch(J27, ""^[A-Za-z\.\_]+""), ""L"", 
if(regexmatch(AC27, ""^[A-Za-z\.\_]+""),""S"","""")),
if(AV27=""X"",""K"",""""))"),"K")</f>
        <v>K</v>
      </c>
      <c r="BN27" s="40" t="str">
        <f>IFERROR(__xludf.DUMMYFUNCTION(" CONCATENATE( 
if (regexmatch(K27, ""^[A-Za-z\.\_]+""), ""L"", 
if(regexmatch(AD27, ""^[A-Za-z\.\_]+""),""S"","""")),
if(AW27=""X"",""K"",""""))"),"LK")</f>
        <v>LK</v>
      </c>
      <c r="BO27" s="40" t="str">
        <f>IFERROR(__xludf.DUMMYFUNCTION(" CONCATENATE( 
if (regexmatch(L27, ""^[A-Za-z\.\_]+""), ""L"", 
if(regexmatch(AE27, ""^[A-Za-z\.\_]+""),""S"","""")),
if(AX27=""X"",""K"",""""))"),"SK")</f>
        <v>SK</v>
      </c>
      <c r="BP27" s="40" t="str">
        <f>IFERROR(__xludf.DUMMYFUNCTION(" CONCATENATE( 
if (regexmatch(M27, ""^[A-Za-z\.\_]+""), ""L"", 
if(regexmatch(AF27, ""^[A-Za-z\.\_]+""),""S"","""")),
if(AY27=""X"",""K"",""""))"),"SK")</f>
        <v>SK</v>
      </c>
      <c r="BQ27" s="40" t="str">
        <f>IFERROR(__xludf.DUMMYFUNCTION("CONCATENATE( 
if (regexmatch(O27, ""^[A-Za-z\.\_]+""), ""L"", 
if(regexmatch(AH27, ""^[A-Za-z\.\_]+""),""S"","""")),
if(AZ27=""X"",""K"",""""))"),"LK")</f>
        <v>LK</v>
      </c>
      <c r="BR27" s="40" t="str">
        <f>IFERROR(__xludf.DUMMYFUNCTION("CONCATENATE( 
if (regexmatch(Q27, ""^[A-Za-z\.\_]+""), ""L"", 
if(regexmatch(AJ27, ""^[A-Za-z\.\_]+""),""S"","""")),
if(BA27=""X"",""K"",""""))"),"L")</f>
        <v>L</v>
      </c>
      <c r="BS27" s="40" t="str">
        <f>IFERROR(__xludf.DUMMYFUNCTION(" CONCATENATE( 
if (regexmatch(R27, ""^[A-Za-z\.\_]+""), ""L"", 
if(regexmatch(AK27, ""^[A-Za-z\.\_]+""),""S"","""")),
if(BB27=""X"",""K"",""""))"),"K")</f>
        <v>K</v>
      </c>
      <c r="BT27" s="40" t="str">
        <f>IFERROR(__xludf.DUMMYFUNCTION("CONCATENATE( 
if (regexmatch(S27, ""^[A-Za-z\.\_]+""), ""L"", 
if(regexmatch(AL27, ""^[A-Za-z\.\_]+""),""S"","""")),
if(BC27=""X"",""K"",""""))"),"K")</f>
        <v>K</v>
      </c>
      <c r="BU27" s="40" t="str">
        <f>IFERROR(__xludf.DUMMYFUNCTION("CONCATENATE( 
if (regexmatch(T27, ""^[A-Za-z\.\_]+""), ""L"", 
if(regexmatch(AM27, ""^[A-Za-z\.\_]+""),""S"","""")),
if(BD27=""X"",""K"",""""))"),"")</f>
        <v/>
      </c>
      <c r="BV27" s="40" t="str">
        <f>IFERROR(__xludf.DUMMYFUNCTION("CONCATENATE( 
if (regexmatch(U27, ""^[A-Za-z\.\_]+""), ""L"", 
if(regexmatch(AN27, ""^[A-Za-z\.\_]+""),""S"","""")),
if(BE27=""X"",""K"",""""))"),"K")</f>
        <v>K</v>
      </c>
      <c r="BW27" s="40" t="str">
        <f>IFERROR(__xludf.DUMMYFUNCTION(" CONCATENATE( 
if (regexmatch(V27, ""^[A-Za-z\.\_]+""), ""L"", 
if(regexmatch(AO27, ""^[A-Za-z\.\_]+""),""S"","""")),
if(BF27=""X"",""K"",""""))"),"LK")</f>
        <v>LK</v>
      </c>
      <c r="BX27" s="40" t="str">
        <f>IFERROR(__xludf.DUMMYFUNCTION("CONCATENATE( 
if (regexmatch(W27, ""^[A-Za-z\.\_]+""), ""L"", 
if(regexmatch(AP27, ""^[A-Za-z\.\_]+""),""S"","""")),
if(BG27=""X"",""K"",""""))"),"LK")</f>
        <v>LK</v>
      </c>
      <c r="BY27" s="40" t="str">
        <f>IFERROR(__xludf.DUMMYFUNCTION("CONCATENATE( 
if (regexmatch(X27, ""^[A-Za-z\.\_]+""), ""L"", 
if(regexmatch(AQ27, ""^[A-Za-z\.\_]+""),""S"","""")),
if(BH27=""X"",""K"",""""))"),"LK")</f>
        <v>LK</v>
      </c>
      <c r="BZ27" s="40" t="str">
        <f>IFERROR(__xludf.DUMMYFUNCTION("CONCATENATE( 
if (regexmatch(Y27, ""^[A-Za-z\.\_]+""), ""L"", 
if(regexmatch(AR27, ""^[A-Za-z\.\_]+""),""S"","""")),
if(BI27=""X"",""K"",""""))"),"LK")</f>
        <v>LK</v>
      </c>
      <c r="CA27" s="40" t="str">
        <f>IFERROR(__xludf.DUMMYFUNCTION("CONCATENATE( 
if (regexmatch(Z27, ""^[A-Za-z\.\_]+""), ""L"", 
if(regexmatch(AS27, ""^[A-Za-z\.\_]+""),""S"","""")),
if(BJ27=""X"",""K"",""""))"),"LK")</f>
        <v>LK</v>
      </c>
      <c r="CB27" s="39"/>
      <c r="CC27" s="39"/>
      <c r="CD27" s="39"/>
      <c r="CE27" s="39"/>
      <c r="CF27" s="39"/>
      <c r="CG27" s="39"/>
      <c r="CH27" s="39"/>
      <c r="CI27" s="39"/>
      <c r="CJ27" s="39"/>
      <c r="CK27" s="39"/>
      <c r="CL27" s="39"/>
      <c r="CM27" s="39"/>
      <c r="CN27" s="39"/>
      <c r="CO27" s="39"/>
      <c r="CP27" s="39"/>
      <c r="CQ27" s="39"/>
      <c r="CR27" s="39"/>
    </row>
    <row r="28" ht="15.75" customHeight="1">
      <c r="A28" s="25">
        <v>129.0</v>
      </c>
      <c r="B28" s="26" t="s">
        <v>158</v>
      </c>
      <c r="C28" s="27" t="s">
        <v>159</v>
      </c>
      <c r="D28" s="27" t="str">
        <f>IFERROR(__xludf.DUMMYFUNCTION("CONCATENATE(regexextract($C28,""[\w]* [\w]*""), ""*"")"),"Coccomyxa subellipsoidea*")</f>
        <v>Coccomyxa subellipsoidea*</v>
      </c>
      <c r="E28" s="26" t="s">
        <v>160</v>
      </c>
      <c r="F28" s="57">
        <v>248742.0</v>
      </c>
      <c r="G28" s="53"/>
      <c r="H28" s="31"/>
      <c r="I28" s="32" t="str">
        <f>CONCATENATE(
if(countif(dd.agi,$D28),"D",""),
if(countif(knap.agi,$D28),"K",""),
if(countif(mic.agi,$D28),"M",""),
if(countif(nap.agi,$D28),"N",""),
if(countif(np.agi,$D28),"P",""),
if(countif(imp.agi,$D28),"T",""),
if(countif(us.agi,$D28),"U",""),
if(countif(var.agi,$D28),"V","")
)</f>
        <v/>
      </c>
      <c r="J28" s="32" t="str">
        <f>
CONCATENATE(
if(countif(nap.bun,$D28),"N",""),
if(countif(np.bun,$D28),"P","")
)
</f>
        <v/>
      </c>
      <c r="K28" s="32" t="str">
        <f>CONCATENATE(
if(countif(dd.kxn,$D28),"D",""),
if(countif(knap.kxn,$D28),"K",""),
if(countif(mic.kxn,$D28),"M",""),
if(countif(nap.kxn,$D28),"N",""),
if(countif(np.kxn,$D28),"P",""),
if(countif(us.kxn,$D28),"U",""),
if(countif(var.kxn,$D28),"V","")
)</f>
        <v/>
      </c>
      <c r="L28" s="32" t="str">
        <f>
CONCATENATE(
if(countif(dd.hwb,$D28),"D",""),
if(countif(knap.hwb,$D28),"K",""),
if(countif(mic.hwb,$D28),"M",""),
if(countif(nap.hwb,$D28),"N",""),
if(countif(np.hwb,$D28),"P",""),
if(countif(us.hwb,$D28),"U",""),
if(countif(imp.hwb,$D28),"T",""),
if(countif(var.hwb,$D28),"V","")
)</f>
        <v/>
      </c>
      <c r="M28" s="32" t="str">
        <f>CONCATENATE(
if(countif(dd.epc,$D28),"D",""),
if(countif(knap.ekxn,$D28),"K",""),
if(countif(mic.ekxn,$D28),"M",""),
if(countif(nap.ekxn,$D28),"N",""),
if(countif(np.ekxn,$D28),"P",""),
if(countif(imp.epc,$D28),"T",""),
if(countif(us.ekxn,$D28),"U",""),
if(countif(var.ekxn,$D28),"V","")
)</f>
        <v/>
      </c>
      <c r="N28" s="32" t="str">
        <f>
CONCATENATE(
if(countif(dd.ecg,$D28),"D",""),
if(countif(mic.ecg,$D28),"M",""),
if(countif(np.ecg,$D28),"P",""),
if(countif(imp.ecg,$D28),"T",""),
if(countif(us.ecg,$D28),"U","")
)</f>
        <v/>
      </c>
      <c r="O28" s="32" t="str">
        <f>
CONCATENATE(
if(countif(dd.egt,$D28),"D",""),
if(countif(mic.egt,$D28),"M",""),
if(countif(nap.egt,$D28),"N",""),
if(countif(us.egt,$D28),"U",""),
if(countif(var.egt,$D28),"V",""))
</f>
        <v/>
      </c>
      <c r="P28" s="32" t="str">
        <f>CONCATENATE(
if(countif(knap.egcg,$D28),"K",""),
if(countif(mic.egcg,$D28),"M",""),
if(countif(np.egcg,$D28),"P",""),
if(countif(us.egcg,$D28),"U","")
)</f>
        <v/>
      </c>
      <c r="Q28" s="32" t="str">
        <f>CONCATENATE(if(countif(np.ecit,$D28),"P",""),
if(countif(nap.ecit,$D28),"A",""))</f>
        <v/>
      </c>
      <c r="R28" s="32" t="str">
        <f>
CONCATENATE(
if(countif(nap.erd,$D28),"N",""),
if(countif(np.erd,$D28),"P",""),
if(countif(var.erd,$D28),"V",""))</f>
        <v/>
      </c>
      <c r="S28" s="32" t="str">
        <f>
CONCATENATE(
if(countif(dd.gkxn,$D28),"D",""),
if(countif(knap.gkxn,$D28),"K",""),
if(countif(nap.gkxn,$D28),"N",""),
if(countif(np.gkxn,$D28),"P",""),
if(countif(imp.gkxn,$D28),"T",""),
if(countif(var.gkxn,$D28),"V",""))</f>
        <v/>
      </c>
      <c r="T28" s="32" t="str">
        <f>
CONCATENATE(
if(countif(dd.gen,$C28),"D",""),
if(countif(knap.gen,$C28),"K",""),
if(countif(nap.gen,$C28),"N",""),
if(countif(np.gen,$C28),"P",""),
if(countif(imp.gen,$C28),"T",""),
if(countif(var.gen,$C28),"V",""))</f>
        <v/>
      </c>
      <c r="U28" s="32" t="str">
        <f>
CONCATENATE(
if(countif(dd.hcc,$D28),"D",""),
if(countif(knap.hcc,$D28),"K",""),
if(countif(np.hcc,$D28),"P","")
)
</f>
        <v/>
      </c>
      <c r="V28" s="32" t="str">
        <f>
CONCATENATE(
if(countif(dd.kmp,$D28),"D",""),
if(countif(knap.kmp,$D28),"K",""),
if(countif(mic.kmp,$D28),"M",""),
if(countif(nap.kmp,$D28),"N",""),
if(countif(np.kmp,$D28),"P",""),
if(countif(imp.kmp,$D28),"T",""),
if(countif(us.kmp,$D28),"U",""),
if(countif(var.kmp,$D28),"V",""))</f>
        <v/>
      </c>
      <c r="W28" s="32" t="str">
        <f>
CONCATENATE(
if(countif(dd.lu2,$D28),"D",""),
if(countif(knap.lu2,$D28),"K",""),
if(countif(mic.lu2,$D28),"M",""),
if(countif(nap.lu2,$D28),"N",""),
if(countif(np.lu2,$D28),"P",""),
if(countif(imp.lu2,$D28),"T",""),
if(countif(us.lu2,$D28),"U",""),
if(countif(var.lu2,$D28),"V",""))</f>
        <v/>
      </c>
      <c r="X28" s="32" t="str">
        <f>
CONCATENATE(
if(countif(dd.myc,$D28),"D",""),
if(countif(knap.myc,$D28),"K",""), 
if(countif(mic.myc,$D28),"M",""),
if(countif(nap.myc,$D28),"N",""),
if(countif(np.myc,$D28),"P",""),
if(countif(imp.myc,$D28),"T",""),
if(countif(us.myc,$D28),"U",""),
if(countif(var.myc,$D28),"V",""))</f>
        <v/>
      </c>
      <c r="Y28" s="32" t="str">
        <f>CONCATENATE(
if(countif(dd.nar,$D28),"D",""),
if(countif(knap.nar,$D28),"K",""),
if(countif(nap.nar,$D28),"N",""),
if(countif(np.nar,$D28),"P",""),
if(countif(imp.nar,$D28),"T",""),
if(countif(us.nar,$D28),"U",""),
if(countif(var.nar,$D28),"V",""))</f>
        <v/>
      </c>
      <c r="Z28" s="33" t="str">
        <f>
CONCATENATE(
if(countif(dd.que,$D28),"D",""),
if(countif(knap.que,$D28),"K",""),
if(countif(mic.que,$D28),"M",""),
if(countif(nap.que,$D28),"N",""),
if(countif(np.que,$D28),"P",""),
if(countif(imp.que,$D28),"T",""),
if(countif(us.que,$D28),"U",""),
if(countif(var.que,$D28),"V",""))</f>
        <v/>
      </c>
      <c r="AA28" s="32"/>
      <c r="AB28" s="34" t="str">
        <f>
CONCATENATE(if(countif(knap.agi.sim,$D28),"K",""),
if(countif(dd.agi.sim,$D28),"D",""),
if(countif(nap.agi.sim,$D28),"A",""),
if(countif(var.agi.sim,$D28),"V",""))</f>
        <v/>
      </c>
      <c r="AC28" s="34" t="str">
        <f>
if(countif(nap.bun.sim,$D28),"A","")</f>
        <v/>
      </c>
      <c r="AD28" s="34" t="str">
        <f>
CONCATENATE(if(countif(knap.kxn.sim,$D28),"K",""),
if(countif(np.kxn.sim,$D28),"P",""),
if(countif(dd.kxn.sim,$D28),"D",""),
if(countif(nap.kxn.sim,$D28),"A",""),
if(countif(var.kxn.sim,$D28),"V",""))</f>
        <v/>
      </c>
      <c r="AE28" s="34" t="str">
        <f>
CONCATENATE(if(countif(knap.hwb.sim,$D28),"K",""),
if(countif(np.hwb.sim,$D28),"P",""),
if(countif(mic.hwb.sim,$D28),"M",""),
if(countif(imp.hwb.sim,$D28),"T",""),
if(countif(dd.cyan.sim,$D28),"D",""),
if(countif(nap.hwb.sim,$D28),"A",""),
if(countif(var.hwb.sim,$D28),"V",""))</f>
        <v/>
      </c>
      <c r="AF28" s="34" t="str">
        <f>
CONCATENATE(if(countif(us.ekxn.sim,$D28),"U",""),
if(countif(knap.ekxn.sim,$D28),"K",""),
if(countif(np.ekxn.sim,$D28),"P",""),
if(countif(mic.ekxn.sim,$D28),"M",""),
if(countif(imp.epc.sim,$D28),"T",""),
if(countif(nap.ekxn.sim,$D28),"A",""))</f>
        <v/>
      </c>
      <c r="AG28" s="34"/>
      <c r="AH28" s="34" t="str">
        <f>
CONCATENATE(if(countif(us.egt.sim,$D28),"U",""),
if(countif(knap.egt.sim,$D28),"K",""),
if(countif(np.egt.sim,$D28),"P",""),
if(countif(mic.egt.sim,$D28),"M",""))</f>
        <v/>
      </c>
      <c r="AI28" s="34"/>
      <c r="AJ28" s="34" t="str">
        <f>if(countif(nap.ecit.sim,$D28),"A","")</f>
        <v/>
      </c>
      <c r="AK28" s="34" t="str">
        <f>
CONCATENATE(if(countif(nap.erd,$D28),"M",""),
if(countif(nap.erd.sim,$D28),"A",""),
if(countif(var.erd.sim,$D28),"V",""))</f>
        <v/>
      </c>
      <c r="AL28" s="34" t="str">
        <f>
CONCATENATE(if(countif(knap.gkxn.sim,$D28),"K",""),
if(countif(nap.gkxn.sim,$D28),"A",""))</f>
        <v/>
      </c>
      <c r="AM28" s="34" t="str">
        <f>
CONCATENATE(if(countif(knap.gen.sim,$C28),"K",""),
if(countif(imp.gen.sim,$C28),"T",""),
if(countif(dd.gen.sim,$C28),"D",""),
if(countif(nap.gen.sim,$C28),"A",""),
if(countif(var.gen.sim,$C28),"V",""))
</f>
        <v/>
      </c>
      <c r="AN28" s="34" t="str">
        <f>IFERROR(__xludf.DUMMYFUNCTION("
if(countif(#REF!,CONCATENATE(regexextract($C28,""[\w]* [\w]*""), ""*"")),""V"","""")"),"")</f>
        <v/>
      </c>
      <c r="AO28" s="34" t="str">
        <f>
CONCATENATE(if(countif(knap.kmp.sim,$D28),"K",""),
if(countif(np.kmp.sim,$D28),"P",""),
if(countif(imp.kmp.sim,$D28),"T",""),
if(countif(dd.kmp,$D28),"D",""),
if(countif(nap.kmp.sim,$D28),"A",""),
if(countif(var.kmp.sim,$D28),"V",""))</f>
        <v/>
      </c>
      <c r="AP28" s="34" t="str">
        <f>
CONCATENATE(if(countif(knap.lu2.sim,$D28),"K",""),
if(countif(np.lu2.sim,$D28),"P",""),
if(countif(imp.lu2.sim,$D28),"T",""),
if(countif(dd.lu2.sim,$D28),"D",""),
if(countif(nap.lu2.sim,$D28),"A",""),
if(countif(var.lu2.sim,$D28),"V",""))</f>
        <v/>
      </c>
      <c r="AQ28" s="34" t="str">
        <f>
CONCATENATE(if(countif(np.myc.sim,$D28),"P",""),
if(countif(imp.myc.sim,$D28),"T",""),
if(countif(nap.myc.sim,$D28),"A",""))
</f>
        <v/>
      </c>
      <c r="AR28" s="36" t="str">
        <f>
CONCATENATE(if(countif(knap.nar.sim,$D28),"K",""),
if(countif(np.nar.sim,$D28),"P",""),
if(countif(imp.nar.sim,$D28),"T",""),
if(countif(dd.nar.sim,$D28),"D",""),
if(countif(nap.nar.sim,$D28),"A",""),
if(countif(var.nar.sim,$D28),"V",""))</f>
        <v/>
      </c>
      <c r="AS28" s="34" t="str">
        <f>
CONCATENATE(if(countif(knap.que.sim,$D28),"K",""),
if(countif(np.que.sim,$D28),"P",""),
if(countif(imp.que.sim,$D28),"T",""),
if(countif(dd.que.sim,$D28),"D",""),
if(countif(nap.que.sim,$D28),"A",""),
if(countif(var.que.sim,$D28),"V",""))</f>
        <v/>
      </c>
      <c r="AT28" s="37"/>
      <c r="AU28" s="32" t="str">
        <f>IFERROR(__xludf.DUMMYFUNCTION("if(countif(kr.agi, CONCATENATE(regexextract($C28,""[\w]* [\w]*""), ""*"")),""X"","""")"),"")</f>
        <v/>
      </c>
      <c r="AV28" s="38" t="str">
        <f>IFERROR(__xludf.DUMMYFUNCTION("if(countif(kr.bun,CONCATENATE(regexextract($C28,""[\w]* [\w]*""), ""*"")),""X"","""")"),"")</f>
        <v/>
      </c>
      <c r="AW28" s="38" t="str">
        <f>IFERROR(__xludf.DUMMYFUNCTION("if(countif(kr.kxn,CONCATENATE(regexextract($C28,""[\w]* [\w]*""), ""*"")),""X"","""")"),"")</f>
        <v/>
      </c>
      <c r="AX28" s="38" t="str">
        <f>IFERROR(__xludf.DUMMYFUNCTION("if(countif(kr.hwb,CONCATENATE(regexextract($C28,""[\w]* [\w]*""), ""*"")),""X"","""")"),"")</f>
        <v/>
      </c>
      <c r="AY28" s="38" t="str">
        <f>IFERROR(__xludf.DUMMYFUNCTION("if(countif(kr.ec,CONCATENATE(regexextract($C28,""[\w]* [\w]*""), ""*"")),""X"","""")"),"")</f>
        <v/>
      </c>
      <c r="AZ28" s="38" t="str">
        <f>IFERROR(__xludf.DUMMYFUNCTION("if(countif(kr.egt,CONCATENATE(regexextract($C28,""[\w]* [\w]*""), ""*"")),""X"","""")"),"")</f>
        <v/>
      </c>
      <c r="BA28" s="38"/>
      <c r="BB28" s="38" t="str">
        <f>IFERROR(__xludf.DUMMYFUNCTION("if(countif(kr.erd,CONCATENATE(regexextract($C28,""[\w]* [\w]*""), ""*"")),""X"","""")"),"")</f>
        <v/>
      </c>
      <c r="BC28" s="38" t="str">
        <f>IFERROR(__xludf.DUMMYFUNCTION("if(countif(kr.gkxn,CONCATENATE(regexextract($C28,""[\w]* [\w]*""), ""*"")),""X"","""")"),"")</f>
        <v/>
      </c>
      <c r="BD28" s="38" t="str">
        <f>IFERROR(__xludf.DUMMYFUNCTION("if(countif(kr.gen,CONCATENATE(regexextract(C28,""[\w]* [\w]*""), ""*"")),""X"","""")"),"")</f>
        <v/>
      </c>
      <c r="BE28" s="38" t="str">
        <f>IFERROR(__xludf.DUMMYFUNCTION("if(countif(kr.hcc,CONCATENATE(regexextract($C28,""[\w]* [\w]*""), ""*"")),""X"","""")"),"")</f>
        <v/>
      </c>
      <c r="BF28" s="38" t="str">
        <f>IFERROR(__xludf.DUMMYFUNCTION("if(countif(kr.kmp,CONCATENATE(regexextract($C28,""[\w]* [\w]*""), ""*"")),""X"","""")"),"")</f>
        <v/>
      </c>
      <c r="BG28" s="38" t="str">
        <f>IFERROR(__xludf.DUMMYFUNCTION("if(countif(kr.lu2,CONCATENATE(regexextract($C28,""[\w]* [\w]*""), ""*"")),""X"","""")"),"")</f>
        <v/>
      </c>
      <c r="BH28" s="38" t="str">
        <f>IFERROR(__xludf.DUMMYFUNCTION("if(countif(kr.myc,CONCATENATE(regexextract($C28,""[\w]* [\w]*""), ""*"")),""X"","""")"),"")</f>
        <v/>
      </c>
      <c r="BI28" s="38" t="str">
        <f>IFERROR(__xludf.DUMMYFUNCTION("if(countif(kr.nar,CONCATENATE(regexextract($C28,""[\w]* [\w]*""), ""*"")),""X"","""")"),"")</f>
        <v/>
      </c>
      <c r="BJ28" s="38" t="str">
        <f>IFERROR(__xludf.DUMMYFUNCTION("if(countif(kr.que,CONCATENATE(regexextract($C28,""[\w]* [\w]*""), ""*"")),""X"","""")"),"")</f>
        <v/>
      </c>
      <c r="BK28" s="39"/>
      <c r="BL28" s="40" t="str">
        <f>IFERROR(__xludf.DUMMYFUNCTION(" CONCATENATE( 
if (regexmatch(I28, ""^[A-Za-z\.\_]+""), ""L"", 
if(regexmatch(AB28, ""^[A-Za-z\.\_]+""),""S"","""")),
if(AU28=""X"",""K"",""""))"),"")</f>
        <v/>
      </c>
      <c r="BM28" s="40" t="str">
        <f>IFERROR(__xludf.DUMMYFUNCTION(" CONCATENATE( 
if (regexmatch(J28, ""^[A-Za-z\.\_]+""), ""L"", 
if(regexmatch(AC28, ""^[A-Za-z\.\_]+""),""S"","""")),
if(AV28=""X"",""K"",""""))"),"")</f>
        <v/>
      </c>
      <c r="BN28" s="40" t="str">
        <f>IFERROR(__xludf.DUMMYFUNCTION(" CONCATENATE( 
if (regexmatch(K28, ""^[A-Za-z\.\_]+""), ""L"", 
if(regexmatch(AD28, ""^[A-Za-z\.\_]+""),""S"","""")),
if(AW28=""X"",""K"",""""))"),"")</f>
        <v/>
      </c>
      <c r="BO28" s="40" t="str">
        <f>IFERROR(__xludf.DUMMYFUNCTION(" CONCATENATE( 
if (regexmatch(L28, ""^[A-Za-z\.\_]+""), ""L"", 
if(regexmatch(AE28, ""^[A-Za-z\.\_]+""),""S"","""")),
if(AX28=""X"",""K"",""""))"),"")</f>
        <v/>
      </c>
      <c r="BP28" s="40" t="str">
        <f>IFERROR(__xludf.DUMMYFUNCTION(" CONCATENATE( 
if (regexmatch(M28, ""^[A-Za-z\.\_]+""), ""L"", 
if(regexmatch(AF28, ""^[A-Za-z\.\_]+""),""S"","""")),
if(AY28=""X"",""K"",""""))"),"")</f>
        <v/>
      </c>
      <c r="BQ28" s="40" t="str">
        <f>IFERROR(__xludf.DUMMYFUNCTION("CONCATENATE( 
if (regexmatch(O28, ""^[A-Za-z\.\_]+""), ""L"", 
if(regexmatch(AH28, ""^[A-Za-z\.\_]+""),""S"","""")),
if(AZ28=""X"",""K"",""""))"),"")</f>
        <v/>
      </c>
      <c r="BR28" s="40" t="str">
        <f>IFERROR(__xludf.DUMMYFUNCTION("CONCATENATE( 
if (regexmatch(Q28, ""^[A-Za-z\.\_]+""), ""L"", 
if(regexmatch(AJ28, ""^[A-Za-z\.\_]+""),""S"","""")),
if(BA28=""X"",""K"",""""))"),"")</f>
        <v/>
      </c>
      <c r="BS28" s="40" t="str">
        <f>IFERROR(__xludf.DUMMYFUNCTION(" CONCATENATE( 
if (regexmatch(R28, ""^[A-Za-z\.\_]+""), ""L"", 
if(regexmatch(AK28, ""^[A-Za-z\.\_]+""),""S"","""")),
if(BB28=""X"",""K"",""""))"),"")</f>
        <v/>
      </c>
      <c r="BT28" s="40" t="str">
        <f>IFERROR(__xludf.DUMMYFUNCTION("CONCATENATE( 
if (regexmatch(S28, ""^[A-Za-z\.\_]+""), ""L"", 
if(regexmatch(AL28, ""^[A-Za-z\.\_]+""),""S"","""")),
if(BC28=""X"",""K"",""""))"),"")</f>
        <v/>
      </c>
      <c r="BU28" s="40" t="str">
        <f>IFERROR(__xludf.DUMMYFUNCTION("CONCATENATE( 
if (regexmatch(T28, ""^[A-Za-z\.\_]+""), ""L"", 
if(regexmatch(AM28, ""^[A-Za-z\.\_]+""),""S"","""")),
if(BD28=""X"",""K"",""""))"),"")</f>
        <v/>
      </c>
      <c r="BV28" s="40" t="str">
        <f>IFERROR(__xludf.DUMMYFUNCTION("CONCATENATE( 
if (regexmatch(U28, ""^[A-Za-z\.\_]+""), ""L"", 
if(regexmatch(AN28, ""^[A-Za-z\.\_]+""),""S"","""")),
if(BE28=""X"",""K"",""""))"),"")</f>
        <v/>
      </c>
      <c r="BW28" s="40" t="str">
        <f>IFERROR(__xludf.DUMMYFUNCTION(" CONCATENATE( 
if (regexmatch(V28, ""^[A-Za-z\.\_]+""), ""L"", 
if(regexmatch(AO28, ""^[A-Za-z\.\_]+""),""S"","""")),
if(BF28=""X"",""K"",""""))"),"")</f>
        <v/>
      </c>
      <c r="BX28" s="40" t="str">
        <f>IFERROR(__xludf.DUMMYFUNCTION("CONCATENATE( 
if (regexmatch(W28, ""^[A-Za-z\.\_]+""), ""L"", 
if(regexmatch(AP28, ""^[A-Za-z\.\_]+""),""S"","""")),
if(BG28=""X"",""K"",""""))"),"")</f>
        <v/>
      </c>
      <c r="BY28" s="40" t="str">
        <f>IFERROR(__xludf.DUMMYFUNCTION("CONCATENATE( 
if (regexmatch(X28, ""^[A-Za-z\.\_]+""), ""L"", 
if(regexmatch(AQ28, ""^[A-Za-z\.\_]+""),""S"","""")),
if(BH28=""X"",""K"",""""))"),"")</f>
        <v/>
      </c>
      <c r="BZ28" s="40" t="str">
        <f>IFERROR(__xludf.DUMMYFUNCTION("CONCATENATE( 
if (regexmatch(Y28, ""^[A-Za-z\.\_]+""), ""L"", 
if(regexmatch(AR28, ""^[A-Za-z\.\_]+""),""S"","""")),
if(BI28=""X"",""K"",""""))"),"")</f>
        <v/>
      </c>
      <c r="CA28" s="40" t="str">
        <f>IFERROR(__xludf.DUMMYFUNCTION("CONCATENATE( 
if (regexmatch(Z28, ""^[A-Za-z\.\_]+""), ""L"", 
if(regexmatch(AS28, ""^[A-Za-z\.\_]+""),""S"","""")),
if(BJ28=""X"",""K"",""""))"),"")</f>
        <v/>
      </c>
      <c r="CB28" s="39"/>
      <c r="CC28" s="39"/>
      <c r="CD28" s="39"/>
      <c r="CE28" s="39"/>
      <c r="CF28" s="39"/>
      <c r="CG28" s="39"/>
      <c r="CH28" s="39"/>
      <c r="CI28" s="39"/>
      <c r="CJ28" s="39"/>
      <c r="CK28" s="39"/>
      <c r="CL28" s="39"/>
      <c r="CM28" s="39"/>
      <c r="CN28" s="39"/>
      <c r="CO28" s="39"/>
      <c r="CP28" s="39"/>
      <c r="CQ28" s="39"/>
      <c r="CR28" s="39"/>
    </row>
    <row r="29" ht="15.75" customHeight="1">
      <c r="A29" s="25">
        <v>50.0</v>
      </c>
      <c r="B29" s="26" t="s">
        <v>161</v>
      </c>
      <c r="C29" s="41" t="s">
        <v>162</v>
      </c>
      <c r="D29" s="27" t="str">
        <f>IFERROR(__xludf.DUMMYFUNCTION("CONCATENATE(regexextract($C29,""[\w]* [\w]*""), ""*"")"),"Cucumis melo*")</f>
        <v>Cucumis melo*</v>
      </c>
      <c r="E29" s="26" t="s">
        <v>163</v>
      </c>
      <c r="F29" s="58">
        <v>3656.0</v>
      </c>
      <c r="G29" s="53"/>
      <c r="H29" s="31"/>
      <c r="I29" s="32" t="str">
        <f>CONCATENATE(
if(countif(dd.agi,$D29),"D",""),
if(countif(knap.agi,$D29),"K",""),
if(countif(mic.agi,$D29),"M",""),
if(countif(nap.agi,$D29),"N",""),
if(countif(np.agi,$D29),"P",""),
if(countif(imp.agi,$D29),"T",""),
if(countif(us.agi,$D29),"U",""),
if(countif(var.agi,$D29),"V","")
)</f>
        <v/>
      </c>
      <c r="J29" s="32" t="str">
        <f>
CONCATENATE(
if(countif(nap.bun,$D29),"N",""),
if(countif(np.bun,$D29),"P","")
)
</f>
        <v/>
      </c>
      <c r="K29" s="32" t="str">
        <f>CONCATENATE(
if(countif(dd.kxn,$D29),"D",""),
if(countif(knap.kxn,$D29),"K",""),
if(countif(mic.kxn,$D29),"M",""),
if(countif(nap.kxn,$D29),"N",""),
if(countif(np.kxn,$D29),"P",""),
if(countif(us.kxn,$D29),"U",""),
if(countif(var.kxn,$D29),"V","")
)</f>
        <v>V</v>
      </c>
      <c r="L29" s="32" t="str">
        <f>
CONCATENATE(
if(countif(dd.hwb,$D29),"D",""),
if(countif(knap.hwb,$D29),"K",""),
if(countif(mic.hwb,$D29),"M",""),
if(countif(nap.hwb,$D29),"N",""),
if(countif(np.hwb,$D29),"P",""),
if(countif(us.hwb,$D29),"U",""),
if(countif(imp.hwb,$D29),"T",""),
if(countif(var.hwb,$D29),"V","")
)</f>
        <v/>
      </c>
      <c r="M29" s="32" t="str">
        <f>CONCATENATE(
if(countif(dd.epc,$D29),"D",""),
if(countif(knap.ekxn,$D29),"K",""),
if(countif(mic.ekxn,$D29),"M",""),
if(countif(nap.ekxn,$D29),"N",""),
if(countif(np.ekxn,$D29),"P",""),
if(countif(imp.epc,$D29),"T",""),
if(countif(us.ekxn,$D29),"U",""),
if(countif(var.ekxn,$D29),"V","")
)</f>
        <v>MU</v>
      </c>
      <c r="N29" s="32" t="str">
        <f>
CONCATENATE(
if(countif(dd.ecg,$D29),"D",""),
if(countif(mic.ecg,$D29),"M",""),
if(countif(np.ecg,$D29),"P",""),
if(countif(imp.ecg,$D29),"T",""),
if(countif(us.ecg,$D29),"U","")
)</f>
        <v/>
      </c>
      <c r="O29" s="32" t="str">
        <f>
CONCATENATE(
if(countif(dd.egt,$D29),"D",""),
if(countif(mic.egt,$D29),"M",""),
if(countif(nap.egt,$D29),"N",""),
if(countif(us.egt,$D29),"U",""),
if(countif(var.egt,$D29),"V",""))
</f>
        <v>MU</v>
      </c>
      <c r="P29" s="32" t="str">
        <f>CONCATENATE(
if(countif(knap.egcg,$D29),"K",""),
if(countif(mic.egcg,$D29),"M",""),
if(countif(np.egcg,$D29),"P",""),
if(countif(us.egcg,$D29),"U","")
)</f>
        <v/>
      </c>
      <c r="Q29" s="32" t="str">
        <f>CONCATENATE(if(countif(np.ecit,$D29),"P",""),
if(countif(nap.ecit,$D29),"A",""))</f>
        <v/>
      </c>
      <c r="R29" s="32" t="str">
        <f>
CONCATENATE(
if(countif(nap.erd,$D29),"N",""),
if(countif(np.erd,$D29),"P",""),
if(countif(var.erd,$D29),"V",""))</f>
        <v/>
      </c>
      <c r="S29" s="32" t="str">
        <f>
CONCATENATE(
if(countif(dd.gkxn,$D29),"D",""),
if(countif(knap.gkxn,$D29),"K",""),
if(countif(nap.gkxn,$D29),"N",""),
if(countif(np.gkxn,$D29),"P",""),
if(countif(imp.gkxn,$D29),"T",""),
if(countif(var.gkxn,$D29),"V",""))</f>
        <v/>
      </c>
      <c r="T29" s="32" t="str">
        <f>
CONCATENATE(
if(countif(dd.gen,$C29),"D",""),
if(countif(knap.gen,$C29),"K",""),
if(countif(nap.gen,$C29),"N",""),
if(countif(np.gen,$C29),"P",""),
if(countif(imp.gen,$C29),"T",""),
if(countif(var.gen,$C29),"V",""))</f>
        <v/>
      </c>
      <c r="U29" s="32" t="str">
        <f>
CONCATENATE(
if(countif(dd.hcc,$D29),"D",""),
if(countif(knap.hcc,$D29),"K",""),
if(countif(np.hcc,$D29),"P","")
)
</f>
        <v/>
      </c>
      <c r="V29" s="32" t="str">
        <f>
CONCATENATE(
if(countif(dd.kmp,$D29),"D",""),
if(countif(knap.kmp,$D29),"K",""),
if(countif(mic.kmp,$D29),"M",""),
if(countif(nap.kmp,$D29),"N",""),
if(countif(np.kmp,$D29),"P",""),
if(countif(imp.kmp,$D29),"T",""),
if(countif(us.kmp,$D29),"U",""),
if(countif(var.kmp,$D29),"V",""))</f>
        <v>MU</v>
      </c>
      <c r="W29" s="32" t="str">
        <f>
CONCATENATE(
if(countif(dd.lu2,$D29),"D",""),
if(countif(knap.lu2,$D29),"K",""),
if(countif(mic.lu2,$D29),"M",""),
if(countif(nap.lu2,$D29),"N",""),
if(countif(np.lu2,$D29),"P",""),
if(countif(imp.lu2,$D29),"T",""),
if(countif(us.lu2,$D29),"U",""),
if(countif(var.lu2,$D29),"V",""))</f>
        <v>MU</v>
      </c>
      <c r="X29" s="32" t="str">
        <f>
CONCATENATE(
if(countif(dd.myc,$D29),"D",""),
if(countif(knap.myc,$D29),"K",""), 
if(countif(mic.myc,$D29),"M",""),
if(countif(nap.myc,$D29),"N",""),
if(countif(np.myc,$D29),"P",""),
if(countif(imp.myc,$D29),"T",""),
if(countif(us.myc,$D29),"U",""),
if(countif(var.myc,$D29),"V",""))</f>
        <v/>
      </c>
      <c r="Y29" s="32" t="str">
        <f>CONCATENATE(
if(countif(dd.nar,$D29),"D",""),
if(countif(knap.nar,$D29),"K",""),
if(countif(nap.nar,$D29),"N",""),
if(countif(np.nar,$D29),"P",""),
if(countif(imp.nar,$D29),"T",""),
if(countif(us.nar,$D29),"U",""),
if(countif(var.nar,$D29),"V",""))</f>
        <v>V</v>
      </c>
      <c r="Z29" s="33" t="str">
        <f>
CONCATENATE(
if(countif(dd.que,$D29),"D",""),
if(countif(knap.que,$D29),"K",""),
if(countif(mic.que,$D29),"M",""),
if(countif(nap.que,$D29),"N",""),
if(countif(np.que,$D29),"P",""),
if(countif(imp.que,$D29),"T",""),
if(countif(us.que,$D29),"U",""),
if(countif(var.que,$D29),"V",""))</f>
        <v>MU</v>
      </c>
      <c r="AA29" s="32"/>
      <c r="AB29" s="34" t="str">
        <f>
CONCATENATE(if(countif(knap.agi.sim,$D29),"K",""),
if(countif(dd.agi.sim,$D29),"D",""),
if(countif(nap.agi.sim,$D29),"A",""),
if(countif(var.agi.sim,$D29),"V",""))</f>
        <v>V</v>
      </c>
      <c r="AC29" s="34" t="str">
        <f>
if(countif(nap.bun.sim,$D29),"A","")</f>
        <v/>
      </c>
      <c r="AD29" s="34" t="str">
        <f>
CONCATENATE(if(countif(knap.kxn.sim,$D29),"K",""),
if(countif(np.kxn.sim,$D29),"P",""),
if(countif(dd.kxn.sim,$D29),"D",""),
if(countif(nap.kxn.sim,$D29),"A",""),
if(countif(var.kxn.sim,$D29),"V",""))</f>
        <v/>
      </c>
      <c r="AE29" s="34" t="str">
        <f>
CONCATENATE(if(countif(knap.hwb.sim,$D29),"K",""),
if(countif(np.hwb.sim,$D29),"P",""),
if(countif(mic.hwb.sim,$D29),"M",""),
if(countif(imp.hwb.sim,$D29),"T",""),
if(countif(dd.cyan.sim,$D29),"D",""),
if(countif(nap.hwb.sim,$D29),"A",""),
if(countif(var.hwb.sim,$D29),"V",""))</f>
        <v/>
      </c>
      <c r="AF29" s="34" t="str">
        <f>
CONCATENATE(if(countif(us.ekxn.sim,$D29),"U",""),
if(countif(knap.ekxn.sim,$D29),"K",""),
if(countif(np.ekxn.sim,$D29),"P",""),
if(countif(mic.ekxn.sim,$D29),"M",""),
if(countif(imp.epc.sim,$D29),"T",""),
if(countif(nap.ekxn.sim,$D29),"A",""))</f>
        <v/>
      </c>
      <c r="AG29" s="34"/>
      <c r="AH29" s="34" t="str">
        <f>
CONCATENATE(if(countif(us.egt.sim,$D29),"U",""),
if(countif(knap.egt.sim,$D29),"K",""),
if(countif(np.egt.sim,$D29),"P",""),
if(countif(mic.egt.sim,$D29),"M",""))</f>
        <v/>
      </c>
      <c r="AI29" s="34"/>
      <c r="AJ29" s="34" t="str">
        <f>if(countif(nap.ecit.sim,$D29),"A","")</f>
        <v/>
      </c>
      <c r="AK29" s="34" t="str">
        <f>
CONCATENATE(if(countif(nap.erd,$D29),"M",""),
if(countif(nap.erd.sim,$D29),"A",""),
if(countif(var.erd.sim,$D29),"V",""))</f>
        <v/>
      </c>
      <c r="AL29" s="34" t="str">
        <f>
CONCATENATE(if(countif(knap.gkxn.sim,$D29),"K",""),
if(countif(nap.gkxn.sim,$D29),"A",""))</f>
        <v/>
      </c>
      <c r="AM29" s="34" t="str">
        <f>
CONCATENATE(if(countif(knap.gen.sim,$C29),"K",""),
if(countif(imp.gen.sim,$C29),"T",""),
if(countif(dd.gen.sim,$C29),"D",""),
if(countif(nap.gen.sim,$C29),"A",""),
if(countif(var.gen.sim,$C29),"V",""))
</f>
        <v/>
      </c>
      <c r="AN29" s="34" t="str">
        <f>IFERROR(__xludf.DUMMYFUNCTION("
if(countif(#REF!,CONCATENATE(regexextract($C29,""[\w]* [\w]*""), ""*"")),""V"","""")"),"")</f>
        <v/>
      </c>
      <c r="AO29" s="34" t="str">
        <f>
CONCATENATE(if(countif(knap.kmp.sim,$D29),"K",""),
if(countif(np.kmp.sim,$D29),"P",""),
if(countif(imp.kmp.sim,$D29),"T",""),
if(countif(dd.kmp,$D29),"D",""),
if(countif(nap.kmp.sim,$D29),"A",""),
if(countif(var.kmp.sim,$D29),"V",""))</f>
        <v/>
      </c>
      <c r="AP29" s="34" t="str">
        <f>
CONCATENATE(if(countif(knap.lu2.sim,$D29),"K",""),
if(countif(np.lu2.sim,$D29),"P",""),
if(countif(imp.lu2.sim,$D29),"T",""),
if(countif(dd.lu2.sim,$D29),"D",""),
if(countif(nap.lu2.sim,$D29),"A",""),
if(countif(var.lu2.sim,$D29),"V",""))</f>
        <v>KV</v>
      </c>
      <c r="AQ29" s="34" t="str">
        <f>
CONCATENATE(if(countif(np.myc.sim,$D29),"P",""),
if(countif(imp.myc.sim,$D29),"T",""),
if(countif(nap.myc.sim,$D29),"A",""))
</f>
        <v/>
      </c>
      <c r="AR29" s="36" t="str">
        <f>
CONCATENATE(if(countif(knap.nar.sim,$D29),"K",""),
if(countif(np.nar.sim,$D29),"P",""),
if(countif(imp.nar.sim,$D29),"T",""),
if(countif(dd.nar.sim,$D29),"D",""),
if(countif(nap.nar.sim,$D29),"A",""),
if(countif(var.nar.sim,$D29),"V",""))</f>
        <v/>
      </c>
      <c r="AS29" s="34" t="str">
        <f>
CONCATENATE(if(countif(knap.que.sim,$D29),"K",""),
if(countif(np.que.sim,$D29),"P",""),
if(countif(imp.que.sim,$D29),"T",""),
if(countif(dd.que.sim,$D29),"D",""),
if(countif(nap.que.sim,$D29),"A",""),
if(countif(var.que.sim,$D29),"V",""))</f>
        <v>D</v>
      </c>
      <c r="AT29" s="37"/>
      <c r="AU29" s="32" t="str">
        <f>IFERROR(__xludf.DUMMYFUNCTION("if(countif(kr.agi, CONCATENATE(regexextract($C29,""[\w]* [\w]*""), ""*"")),""X"","""")"),"")</f>
        <v/>
      </c>
      <c r="AV29" s="38" t="str">
        <f>IFERROR(__xludf.DUMMYFUNCTION("if(countif(kr.bun,CONCATENATE(regexextract($C29,""[\w]* [\w]*""), ""*"")),""X"","""")"),"X")</f>
        <v>X</v>
      </c>
      <c r="AW29" s="38" t="str">
        <f>IFERROR(__xludf.DUMMYFUNCTION("if(countif(kr.kxn,CONCATENATE(regexextract($C29,""[\w]* [\w]*""), ""*"")),""X"","""")"),"")</f>
        <v/>
      </c>
      <c r="AX29" s="38" t="str">
        <f>IFERROR(__xludf.DUMMYFUNCTION("if(countif(kr.hwb,CONCATENATE(regexextract($C29,""[\w]* [\w]*""), ""*"")),""X"","""")"),"")</f>
        <v/>
      </c>
      <c r="AY29" s="38" t="str">
        <f>IFERROR(__xludf.DUMMYFUNCTION("if(countif(kr.ec,CONCATENATE(regexextract($C29,""[\w]* [\w]*""), ""*"")),""X"","""")"),"")</f>
        <v/>
      </c>
      <c r="AZ29" s="38" t="str">
        <f>IFERROR(__xludf.DUMMYFUNCTION("if(countif(kr.egt,CONCATENATE(regexextract($C29,""[\w]* [\w]*""), ""*"")),""X"","""")"),"")</f>
        <v/>
      </c>
      <c r="BA29" s="38"/>
      <c r="BB29" s="38" t="str">
        <f>IFERROR(__xludf.DUMMYFUNCTION("if(countif(kr.erd,CONCATENATE(regexextract($C29,""[\w]* [\w]*""), ""*"")),""X"","""")"),"X")</f>
        <v>X</v>
      </c>
      <c r="BC29" s="38" t="str">
        <f>IFERROR(__xludf.DUMMYFUNCTION("if(countif(kr.gkxn,CONCATENATE(regexextract($C29,""[\w]* [\w]*""), ""*"")),""X"","""")"),"")</f>
        <v/>
      </c>
      <c r="BD29" s="38" t="str">
        <f>IFERROR(__xludf.DUMMYFUNCTION("if(countif(kr.gen,CONCATENATE(regexextract(C29,""[\w]* [\w]*""), ""*"")),""X"","""")"),"")</f>
        <v/>
      </c>
      <c r="BE29" s="38" t="str">
        <f>IFERROR(__xludf.DUMMYFUNCTION("if(countif(kr.hcc,CONCATENATE(regexextract($C29,""[\w]* [\w]*""), ""*"")),""X"","""")"),"X")</f>
        <v>X</v>
      </c>
      <c r="BF29" s="38" t="str">
        <f>IFERROR(__xludf.DUMMYFUNCTION("if(countif(kr.kmp,CONCATENATE(regexextract($C29,""[\w]* [\w]*""), ""*"")),""X"","""")"),"X")</f>
        <v>X</v>
      </c>
      <c r="BG29" s="38" t="str">
        <f>IFERROR(__xludf.DUMMYFUNCTION("if(countif(kr.lu2,CONCATENATE(regexextract($C29,""[\w]* [\w]*""), ""*"")),""X"","""")"),"")</f>
        <v/>
      </c>
      <c r="BH29" s="38" t="str">
        <f>IFERROR(__xludf.DUMMYFUNCTION("if(countif(kr.myc,CONCATENATE(regexextract($C29,""[\w]* [\w]*""), ""*"")),""X"","""")"),"")</f>
        <v/>
      </c>
      <c r="BI29" s="38" t="str">
        <f>IFERROR(__xludf.DUMMYFUNCTION("if(countif(kr.nar,CONCATENATE(regexextract($C29,""[\w]* [\w]*""), ""*"")),""X"","""")"),"X")</f>
        <v>X</v>
      </c>
      <c r="BJ29" s="38" t="str">
        <f>IFERROR(__xludf.DUMMYFUNCTION("if(countif(kr.que,CONCATENATE(regexextract($C29,""[\w]* [\w]*""), ""*"")),""X"","""")"),"X")</f>
        <v>X</v>
      </c>
      <c r="BK29" s="39"/>
      <c r="BL29" s="40" t="str">
        <f>IFERROR(__xludf.DUMMYFUNCTION(" CONCATENATE( 
if (regexmatch(I29, ""^[A-Za-z\.\_]+""), ""L"", 
if(regexmatch(AB29, ""^[A-Za-z\.\_]+""),""S"","""")),
if(AU29=""X"",""K"",""""))"),"S")</f>
        <v>S</v>
      </c>
      <c r="BM29" s="40" t="str">
        <f>IFERROR(__xludf.DUMMYFUNCTION(" CONCATENATE( 
if (regexmatch(J29, ""^[A-Za-z\.\_]+""), ""L"", 
if(regexmatch(AC29, ""^[A-Za-z\.\_]+""),""S"","""")),
if(AV29=""X"",""K"",""""))"),"K")</f>
        <v>K</v>
      </c>
      <c r="BN29" s="40" t="str">
        <f>IFERROR(__xludf.DUMMYFUNCTION(" CONCATENATE( 
if (regexmatch(K29, ""^[A-Za-z\.\_]+""), ""L"", 
if(regexmatch(AD29, ""^[A-Za-z\.\_]+""),""S"","""")),
if(AW29=""X"",""K"",""""))"),"L")</f>
        <v>L</v>
      </c>
      <c r="BO29" s="40" t="str">
        <f>IFERROR(__xludf.DUMMYFUNCTION(" CONCATENATE( 
if (regexmatch(L29, ""^[A-Za-z\.\_]+""), ""L"", 
if(regexmatch(AE29, ""^[A-Za-z\.\_]+""),""S"","""")),
if(AX29=""X"",""K"",""""))"),"")</f>
        <v/>
      </c>
      <c r="BP29" s="40" t="str">
        <f>IFERROR(__xludf.DUMMYFUNCTION(" CONCATENATE( 
if (regexmatch(M29, ""^[A-Za-z\.\_]+""), ""L"", 
if(regexmatch(AF29, ""^[A-Za-z\.\_]+""),""S"","""")),
if(AY29=""X"",""K"",""""))"),"L")</f>
        <v>L</v>
      </c>
      <c r="BQ29" s="40" t="str">
        <f>IFERROR(__xludf.DUMMYFUNCTION("CONCATENATE( 
if (regexmatch(O29, ""^[A-Za-z\.\_]+""), ""L"", 
if(regexmatch(AH29, ""^[A-Za-z\.\_]+""),""S"","""")),
if(AZ29=""X"",""K"",""""))"),"L")</f>
        <v>L</v>
      </c>
      <c r="BR29" s="40" t="str">
        <f>IFERROR(__xludf.DUMMYFUNCTION("CONCATENATE( 
if (regexmatch(Q29, ""^[A-Za-z\.\_]+""), ""L"", 
if(regexmatch(AJ29, ""^[A-Za-z\.\_]+""),""S"","""")),
if(BA29=""X"",""K"",""""))"),"")</f>
        <v/>
      </c>
      <c r="BS29" s="40" t="str">
        <f>IFERROR(__xludf.DUMMYFUNCTION(" CONCATENATE( 
if (regexmatch(R29, ""^[A-Za-z\.\_]+""), ""L"", 
if(regexmatch(AK29, ""^[A-Za-z\.\_]+""),""S"","""")),
if(BB29=""X"",""K"",""""))"),"K")</f>
        <v>K</v>
      </c>
      <c r="BT29" s="40" t="str">
        <f>IFERROR(__xludf.DUMMYFUNCTION("CONCATENATE( 
if (regexmatch(S29, ""^[A-Za-z\.\_]+""), ""L"", 
if(regexmatch(AL29, ""^[A-Za-z\.\_]+""),""S"","""")),
if(BC29=""X"",""K"",""""))"),"")</f>
        <v/>
      </c>
      <c r="BU29" s="40" t="str">
        <f>IFERROR(__xludf.DUMMYFUNCTION("CONCATENATE( 
if (regexmatch(T29, ""^[A-Za-z\.\_]+""), ""L"", 
if(regexmatch(AM29, ""^[A-Za-z\.\_]+""),""S"","""")),
if(BD29=""X"",""K"",""""))"),"")</f>
        <v/>
      </c>
      <c r="BV29" s="40" t="str">
        <f>IFERROR(__xludf.DUMMYFUNCTION("CONCATENATE( 
if (regexmatch(U29, ""^[A-Za-z\.\_]+""), ""L"", 
if(regexmatch(AN29, ""^[A-Za-z\.\_]+""),""S"","""")),
if(BE29=""X"",""K"",""""))"),"K")</f>
        <v>K</v>
      </c>
      <c r="BW29" s="40" t="str">
        <f>IFERROR(__xludf.DUMMYFUNCTION(" CONCATENATE( 
if (regexmatch(V29, ""^[A-Za-z\.\_]+""), ""L"", 
if(regexmatch(AO29, ""^[A-Za-z\.\_]+""),""S"","""")),
if(BF29=""X"",""K"",""""))"),"LK")</f>
        <v>LK</v>
      </c>
      <c r="BX29" s="40" t="str">
        <f>IFERROR(__xludf.DUMMYFUNCTION("CONCATENATE( 
if (regexmatch(W29, ""^[A-Za-z\.\_]+""), ""L"", 
if(regexmatch(AP29, ""^[A-Za-z\.\_]+""),""S"","""")),
if(BG29=""X"",""K"",""""))"),"L")</f>
        <v>L</v>
      </c>
      <c r="BY29" s="40" t="str">
        <f>IFERROR(__xludf.DUMMYFUNCTION("CONCATENATE( 
if (regexmatch(X29, ""^[A-Za-z\.\_]+""), ""L"", 
if(regexmatch(AQ29, ""^[A-Za-z\.\_]+""),""S"","""")),
if(BH29=""X"",""K"",""""))"),"")</f>
        <v/>
      </c>
      <c r="BZ29" s="40" t="str">
        <f>IFERROR(__xludf.DUMMYFUNCTION("CONCATENATE( 
if (regexmatch(Y29, ""^[A-Za-z\.\_]+""), ""L"", 
if(regexmatch(AR29, ""^[A-Za-z\.\_]+""),""S"","""")),
if(BI29=""X"",""K"",""""))"),"LK")</f>
        <v>LK</v>
      </c>
      <c r="CA29" s="40" t="str">
        <f>IFERROR(__xludf.DUMMYFUNCTION("CONCATENATE( 
if (regexmatch(Z29, ""^[A-Za-z\.\_]+""), ""L"", 
if(regexmatch(AS29, ""^[A-Za-z\.\_]+""),""S"","""")),
if(BJ29=""X"",""K"",""""))"),"LK")</f>
        <v>LK</v>
      </c>
      <c r="CB29" s="39"/>
      <c r="CC29" s="39"/>
      <c r="CD29" s="39"/>
      <c r="CE29" s="39"/>
      <c r="CF29" s="39"/>
      <c r="CG29" s="39"/>
      <c r="CH29" s="39"/>
      <c r="CI29" s="39"/>
      <c r="CJ29" s="39"/>
      <c r="CK29" s="39"/>
      <c r="CL29" s="39"/>
      <c r="CM29" s="39"/>
      <c r="CN29" s="39"/>
      <c r="CO29" s="39"/>
      <c r="CP29" s="39"/>
      <c r="CQ29" s="39"/>
      <c r="CR29" s="39"/>
    </row>
    <row r="30" ht="15.75" customHeight="1">
      <c r="A30" s="25">
        <v>51.0</v>
      </c>
      <c r="B30" s="26" t="s">
        <v>164</v>
      </c>
      <c r="C30" s="27" t="s">
        <v>165</v>
      </c>
      <c r="D30" s="27" t="str">
        <f>IFERROR(__xludf.DUMMYFUNCTION("CONCATENATE(regexextract($C30,""[\w]* [\w]*""), ""*"")"),"Cucumis sativus*")</f>
        <v>Cucumis sativus*</v>
      </c>
      <c r="E30" s="26" t="s">
        <v>166</v>
      </c>
      <c r="F30" s="57">
        <v>3659.0</v>
      </c>
      <c r="G30" s="53"/>
      <c r="H30" s="31"/>
      <c r="I30" s="32" t="str">
        <f>CONCATENATE(
if(countif(dd.agi,$D30),"D",""),
if(countif(knap.agi,$D30),"K",""),
if(countif(mic.agi,$D30),"M",""),
if(countif(nap.agi,$D30),"N",""),
if(countif(np.agi,$D30),"P",""),
if(countif(imp.agi,$D30),"T",""),
if(countif(us.agi,$D30),"U",""),
if(countif(var.agi,$D30),"V","")
)</f>
        <v/>
      </c>
      <c r="J30" s="32" t="str">
        <f>
CONCATENATE(
if(countif(nap.bun,$D30),"N",""),
if(countif(np.bun,$D30),"P","")
)
</f>
        <v/>
      </c>
      <c r="K30" s="32" t="str">
        <f>CONCATENATE(
if(countif(dd.kxn,$D30),"D",""),
if(countif(knap.kxn,$D30),"K",""),
if(countif(mic.kxn,$D30),"M",""),
if(countif(nap.kxn,$D30),"N",""),
if(countif(np.kxn,$D30),"P",""),
if(countif(us.kxn,$D30),"U",""),
if(countif(var.kxn,$D30),"V","")
)</f>
        <v>V</v>
      </c>
      <c r="L30" s="32" t="str">
        <f>
CONCATENATE(
if(countif(dd.hwb,$D30),"D",""),
if(countif(knap.hwb,$D30),"K",""),
if(countif(mic.hwb,$D30),"M",""),
if(countif(nap.hwb,$D30),"N",""),
if(countif(np.hwb,$D30),"P",""),
if(countif(us.hwb,$D30),"U",""),
if(countif(imp.hwb,$D30),"T",""),
if(countif(var.hwb,$D30),"V","")
)</f>
        <v/>
      </c>
      <c r="M30" s="32" t="str">
        <f>CONCATENATE(
if(countif(dd.epc,$D30),"D",""),
if(countif(knap.ekxn,$D30),"K",""),
if(countif(mic.ekxn,$D30),"M",""),
if(countif(nap.ekxn,$D30),"N",""),
if(countif(np.ekxn,$D30),"P",""),
if(countif(imp.epc,$D30),"T",""),
if(countif(us.ekxn,$D30),"U",""),
if(countif(var.ekxn,$D30),"V","")
)</f>
        <v/>
      </c>
      <c r="N30" s="32" t="str">
        <f>
CONCATENATE(
if(countif(dd.ecg,$D30),"D",""),
if(countif(mic.ecg,$D30),"M",""),
if(countif(np.ecg,$D30),"P",""),
if(countif(imp.ecg,$D30),"T",""),
if(countif(us.ecg,$D30),"U","")
)</f>
        <v/>
      </c>
      <c r="O30" s="32" t="str">
        <f>
CONCATENATE(
if(countif(dd.egt,$D30),"D",""),
if(countif(mic.egt,$D30),"M",""),
if(countif(nap.egt,$D30),"N",""),
if(countif(us.egt,$D30),"U",""),
if(countif(var.egt,$D30),"V",""))
</f>
        <v/>
      </c>
      <c r="P30" s="32" t="str">
        <f>CONCATENATE(
if(countif(knap.egcg,$D30),"K",""),
if(countif(mic.egcg,$D30),"M",""),
if(countif(np.egcg,$D30),"P",""),
if(countif(us.egcg,$D30),"U","")
)</f>
        <v/>
      </c>
      <c r="Q30" s="32" t="str">
        <f>CONCATENATE(if(countif(np.ecit,$D30),"P",""),
if(countif(nap.ecit,$D30),"A",""))</f>
        <v/>
      </c>
      <c r="R30" s="32" t="str">
        <f>
CONCATENATE(
if(countif(nap.erd,$D30),"N",""),
if(countif(np.erd,$D30),"P",""),
if(countif(var.erd,$D30),"V",""))</f>
        <v/>
      </c>
      <c r="S30" s="32" t="str">
        <f>
CONCATENATE(
if(countif(dd.gkxn,$D30),"D",""),
if(countif(knap.gkxn,$D30),"K",""),
if(countif(nap.gkxn,$D30),"N",""),
if(countif(np.gkxn,$D30),"P",""),
if(countif(imp.gkxn,$D30),"T",""),
if(countif(var.gkxn,$D30),"V",""))</f>
        <v/>
      </c>
      <c r="T30" s="32" t="str">
        <f>
CONCATENATE(
if(countif(dd.gen,$C30),"D",""),
if(countif(knap.gen,$C30),"K",""),
if(countif(nap.gen,$C30),"N",""),
if(countif(np.gen,$C30),"P",""),
if(countif(imp.gen,$C30),"T",""),
if(countif(var.gen,$C30),"V",""))</f>
        <v/>
      </c>
      <c r="U30" s="32" t="str">
        <f>
CONCATENATE(
if(countif(dd.hcc,$D30),"D",""),
if(countif(knap.hcc,$D30),"K",""),
if(countif(np.hcc,$D30),"P","")
)
</f>
        <v/>
      </c>
      <c r="V30" s="32" t="str">
        <f>
CONCATENATE(
if(countif(dd.kmp,$D30),"D",""),
if(countif(knap.kmp,$D30),"K",""),
if(countif(mic.kmp,$D30),"M",""),
if(countif(nap.kmp,$D30),"N",""),
if(countif(np.kmp,$D30),"P",""),
if(countif(imp.kmp,$D30),"T",""),
if(countif(us.kmp,$D30),"U",""),
if(countif(var.kmp,$D30),"V",""))</f>
        <v>MNTU</v>
      </c>
      <c r="W30" s="32" t="str">
        <f>
CONCATENATE(
if(countif(dd.lu2,$D30),"D",""),
if(countif(knap.lu2,$D30),"K",""),
if(countif(mic.lu2,$D30),"M",""),
if(countif(nap.lu2,$D30),"N",""),
if(countif(np.lu2,$D30),"P",""),
if(countif(imp.lu2,$D30),"T",""),
if(countif(us.lu2,$D30),"U",""),
if(countif(var.lu2,$D30),"V",""))</f>
        <v/>
      </c>
      <c r="X30" s="32" t="str">
        <f>
CONCATENATE(
if(countif(dd.myc,$D30),"D",""),
if(countif(knap.myc,$D30),"K",""), 
if(countif(mic.myc,$D30),"M",""),
if(countif(nap.myc,$D30),"N",""),
if(countif(np.myc,$D30),"P",""),
if(countif(imp.myc,$D30),"T",""),
if(countif(us.myc,$D30),"U",""),
if(countif(var.myc,$D30),"V",""))</f>
        <v/>
      </c>
      <c r="Y30" s="32" t="str">
        <f>CONCATENATE(
if(countif(dd.nar,$D30),"D",""),
if(countif(knap.nar,$D30),"K",""),
if(countif(nap.nar,$D30),"N",""),
if(countif(np.nar,$D30),"P",""),
if(countif(imp.nar,$D30),"T",""),
if(countif(us.nar,$D30),"U",""),
if(countif(var.nar,$D30),"V",""))</f>
        <v/>
      </c>
      <c r="Z30" s="33" t="str">
        <f>
CONCATENATE(
if(countif(dd.que,$D30),"D",""),
if(countif(knap.que,$D30),"K",""),
if(countif(mic.que,$D30),"M",""),
if(countif(nap.que,$D30),"N",""),
if(countif(np.que,$D30),"P",""),
if(countif(imp.que,$D30),"T",""),
if(countif(us.que,$D30),"U",""),
if(countif(var.que,$D30),"V",""))</f>
        <v>MNU</v>
      </c>
      <c r="AA30" s="32"/>
      <c r="AB30" s="34" t="str">
        <f>
CONCATENATE(if(countif(knap.agi.sim,$D30),"K",""),
if(countif(dd.agi.sim,$D30),"D",""),
if(countif(nap.agi.sim,$D30),"A",""),
if(countif(var.agi.sim,$D30),"V",""))</f>
        <v>KA</v>
      </c>
      <c r="AC30" s="34" t="str">
        <f>
if(countif(nap.bun.sim,$D30),"A","")</f>
        <v/>
      </c>
      <c r="AD30" s="34" t="str">
        <f>
CONCATENATE(if(countif(knap.kxn.sim,$D30),"K",""),
if(countif(np.kxn.sim,$D30),"P",""),
if(countif(dd.kxn.sim,$D30),"D",""),
if(countif(nap.kxn.sim,$D30),"A",""),
if(countif(var.kxn.sim,$D30),"V",""))</f>
        <v/>
      </c>
      <c r="AE30" s="34" t="str">
        <f>
CONCATENATE(if(countif(knap.hwb.sim,$D30),"K",""),
if(countif(np.hwb.sim,$D30),"P",""),
if(countif(mic.hwb.sim,$D30),"M",""),
if(countif(imp.hwb.sim,$D30),"T",""),
if(countif(dd.cyan.sim,$D30),"D",""),
if(countif(nap.hwb.sim,$D30),"A",""),
if(countif(var.hwb.sim,$D30),"V",""))</f>
        <v/>
      </c>
      <c r="AF30" s="34" t="str">
        <f>
CONCATENATE(if(countif(us.ekxn.sim,$D30),"U",""),
if(countif(knap.ekxn.sim,$D30),"K",""),
if(countif(np.ekxn.sim,$D30),"P",""),
if(countif(mic.ekxn.sim,$D30),"M",""),
if(countif(imp.epc.sim,$D30),"T",""),
if(countif(nap.ekxn.sim,$D30),"A",""))</f>
        <v/>
      </c>
      <c r="AG30" s="34"/>
      <c r="AH30" s="34" t="str">
        <f>
CONCATENATE(if(countif(us.egt.sim,$D30),"U",""),
if(countif(knap.egt.sim,$D30),"K",""),
if(countif(np.egt.sim,$D30),"P",""),
if(countif(mic.egt.sim,$D30),"M",""))</f>
        <v/>
      </c>
      <c r="AI30" s="34"/>
      <c r="AJ30" s="34" t="str">
        <f>if(countif(nap.ecit.sim,$D30),"A","")</f>
        <v/>
      </c>
      <c r="AK30" s="34" t="str">
        <f>
CONCATENATE(if(countif(nap.erd,$D30),"M",""),
if(countif(nap.erd.sim,$D30),"A",""),
if(countif(var.erd.sim,$D30),"V",""))</f>
        <v/>
      </c>
      <c r="AL30" s="34" t="str">
        <f>
CONCATENATE(if(countif(knap.gkxn.sim,$D30),"K",""),
if(countif(nap.gkxn.sim,$D30),"A",""))</f>
        <v/>
      </c>
      <c r="AM30" s="34" t="str">
        <f>
CONCATENATE(if(countif(knap.gen.sim,$C30),"K",""),
if(countif(imp.gen.sim,$C30),"T",""),
if(countif(dd.gen.sim,$C30),"D",""),
if(countif(nap.gen.sim,$C30),"A",""),
if(countif(var.gen.sim,$C30),"V",""))
</f>
        <v/>
      </c>
      <c r="AN30" s="34" t="str">
        <f>IFERROR(__xludf.DUMMYFUNCTION("
if(countif(#REF!,CONCATENATE(regexextract($C30,""[\w]* [\w]*""), ""*"")),""V"","""")"),"")</f>
        <v/>
      </c>
      <c r="AO30" s="34" t="str">
        <f>
CONCATENATE(if(countif(knap.kmp.sim,$D30),"K",""),
if(countif(np.kmp.sim,$D30),"P",""),
if(countif(imp.kmp.sim,$D30),"T",""),
if(countif(dd.kmp,$D30),"D",""),
if(countif(nap.kmp.sim,$D30),"A",""),
if(countif(var.kmp.sim,$D30),"V",""))</f>
        <v/>
      </c>
      <c r="AP30" s="34" t="str">
        <f>
CONCATENATE(if(countif(knap.lu2.sim,$D30),"K",""),
if(countif(np.lu2.sim,$D30),"P",""),
if(countif(imp.lu2.sim,$D30),"T",""),
if(countif(dd.lu2.sim,$D30),"D",""),
if(countif(nap.lu2.sim,$D30),"A",""),
if(countif(var.lu2.sim,$D30),"V",""))</f>
        <v/>
      </c>
      <c r="AQ30" s="34" t="str">
        <f>
CONCATENATE(if(countif(np.myc.sim,$D30),"P",""),
if(countif(imp.myc.sim,$D30),"T",""),
if(countif(nap.myc.sim,$D30),"A",""))
</f>
        <v/>
      </c>
      <c r="AR30" s="36" t="str">
        <f>
CONCATENATE(if(countif(knap.nar.sim,$D30),"K",""),
if(countif(np.nar.sim,$D30),"P",""),
if(countif(imp.nar.sim,$D30),"T",""),
if(countif(dd.nar.sim,$D30),"D",""),
if(countif(nap.nar.sim,$D30),"A",""),
if(countif(var.nar.sim,$D30),"V",""))</f>
        <v/>
      </c>
      <c r="AS30" s="34" t="str">
        <f>
CONCATENATE(if(countif(knap.que.sim,$D30),"K",""),
if(countif(np.que.sim,$D30),"P",""),
if(countif(imp.que.sim,$D30),"T",""),
if(countif(dd.que.sim,$D30),"D",""),
if(countif(nap.que.sim,$D30),"A",""),
if(countif(var.que.sim,$D30),"V",""))</f>
        <v>K</v>
      </c>
      <c r="AT30" s="37"/>
      <c r="AU30" s="32" t="str">
        <f>IFERROR(__xludf.DUMMYFUNCTION("if(countif(kr.agi, CONCATENATE(regexextract($C30,""[\w]* [\w]*""), ""*"")),""X"","""")"),"")</f>
        <v/>
      </c>
      <c r="AV30" s="38" t="str">
        <f>IFERROR(__xludf.DUMMYFUNCTION("if(countif(kr.bun,CONCATENATE(regexextract($C30,""[\w]* [\w]*""), ""*"")),""X"","""")"),"X")</f>
        <v>X</v>
      </c>
      <c r="AW30" s="38" t="str">
        <f>IFERROR(__xludf.DUMMYFUNCTION("if(countif(kr.kxn,CONCATENATE(regexextract($C30,""[\w]* [\w]*""), ""*"")),""X"","""")"),"")</f>
        <v/>
      </c>
      <c r="AX30" s="38" t="str">
        <f>IFERROR(__xludf.DUMMYFUNCTION("if(countif(kr.hwb,CONCATENATE(regexextract($C30,""[\w]* [\w]*""), ""*"")),""X"","""")"),"")</f>
        <v/>
      </c>
      <c r="AY30" s="38" t="str">
        <f>IFERROR(__xludf.DUMMYFUNCTION("if(countif(kr.ec,CONCATENATE(regexextract($C30,""[\w]* [\w]*""), ""*"")),""X"","""")"),"")</f>
        <v/>
      </c>
      <c r="AZ30" s="38" t="str">
        <f>IFERROR(__xludf.DUMMYFUNCTION("if(countif(kr.egt,CONCATENATE(regexextract($C30,""[\w]* [\w]*""), ""*"")),""X"","""")"),"")</f>
        <v/>
      </c>
      <c r="BA30" s="38"/>
      <c r="BB30" s="38" t="str">
        <f>IFERROR(__xludf.DUMMYFUNCTION("if(countif(kr.erd,CONCATENATE(regexextract($C30,""[\w]* [\w]*""), ""*"")),""X"","""")"),"X")</f>
        <v>X</v>
      </c>
      <c r="BC30" s="38" t="str">
        <f>IFERROR(__xludf.DUMMYFUNCTION("if(countif(kr.gkxn,CONCATENATE(regexextract($C30,""[\w]* [\w]*""), ""*"")),""X"","""")"),"")</f>
        <v/>
      </c>
      <c r="BD30" s="38" t="str">
        <f>IFERROR(__xludf.DUMMYFUNCTION("if(countif(kr.gen,CONCATENATE(regexextract(C30,""[\w]* [\w]*""), ""*"")),""X"","""")"),"")</f>
        <v/>
      </c>
      <c r="BE30" s="38" t="str">
        <f>IFERROR(__xludf.DUMMYFUNCTION("if(countif(kr.hcc,CONCATENATE(regexextract($C30,""[\w]* [\w]*""), ""*"")),""X"","""")"),"X")</f>
        <v>X</v>
      </c>
      <c r="BF30" s="38" t="str">
        <f>IFERROR(__xludf.DUMMYFUNCTION("if(countif(kr.kmp,CONCATENATE(regexextract($C30,""[\w]* [\w]*""), ""*"")),""X"","""")"),"X")</f>
        <v>X</v>
      </c>
      <c r="BG30" s="38" t="str">
        <f>IFERROR(__xludf.DUMMYFUNCTION("if(countif(kr.lu2,CONCATENATE(regexextract($C30,""[\w]* [\w]*""), ""*"")),""X"","""")"),"")</f>
        <v/>
      </c>
      <c r="BH30" s="38" t="str">
        <f>IFERROR(__xludf.DUMMYFUNCTION("if(countif(kr.myc,CONCATENATE(regexextract($C30,""[\w]* [\w]*""), ""*"")),""X"","""")"),"")</f>
        <v/>
      </c>
      <c r="BI30" s="38" t="str">
        <f>IFERROR(__xludf.DUMMYFUNCTION("if(countif(kr.nar,CONCATENATE(regexextract($C30,""[\w]* [\w]*""), ""*"")),""X"","""")"),"X")</f>
        <v>X</v>
      </c>
      <c r="BJ30" s="38" t="str">
        <f>IFERROR(__xludf.DUMMYFUNCTION("if(countif(kr.que,CONCATENATE(regexextract($C30,""[\w]* [\w]*""), ""*"")),""X"","""")"),"X")</f>
        <v>X</v>
      </c>
      <c r="BK30" s="39"/>
      <c r="BL30" s="40" t="str">
        <f>IFERROR(__xludf.DUMMYFUNCTION(" CONCATENATE( 
if (regexmatch(I30, ""^[A-Za-z\.\_]+""), ""L"", 
if(regexmatch(AB30, ""^[A-Za-z\.\_]+""),""S"","""")),
if(AU30=""X"",""K"",""""))"),"S")</f>
        <v>S</v>
      </c>
      <c r="BM30" s="40" t="str">
        <f>IFERROR(__xludf.DUMMYFUNCTION(" CONCATENATE( 
if (regexmatch(J30, ""^[A-Za-z\.\_]+""), ""L"", 
if(regexmatch(AC30, ""^[A-Za-z\.\_]+""),""S"","""")),
if(AV30=""X"",""K"",""""))"),"K")</f>
        <v>K</v>
      </c>
      <c r="BN30" s="40" t="str">
        <f>IFERROR(__xludf.DUMMYFUNCTION(" CONCATENATE( 
if (regexmatch(K30, ""^[A-Za-z\.\_]+""), ""L"", 
if(regexmatch(AD30, ""^[A-Za-z\.\_]+""),""S"","""")),
if(AW30=""X"",""K"",""""))"),"L")</f>
        <v>L</v>
      </c>
      <c r="BO30" s="40" t="str">
        <f>IFERROR(__xludf.DUMMYFUNCTION(" CONCATENATE( 
if (regexmatch(L30, ""^[A-Za-z\.\_]+""), ""L"", 
if(regexmatch(AE30, ""^[A-Za-z\.\_]+""),""S"","""")),
if(AX30=""X"",""K"",""""))"),"")</f>
        <v/>
      </c>
      <c r="BP30" s="40" t="str">
        <f>IFERROR(__xludf.DUMMYFUNCTION(" CONCATENATE( 
if (regexmatch(M30, ""^[A-Za-z\.\_]+""), ""L"", 
if(regexmatch(AF30, ""^[A-Za-z\.\_]+""),""S"","""")),
if(AY30=""X"",""K"",""""))"),"")</f>
        <v/>
      </c>
      <c r="BQ30" s="40" t="str">
        <f>IFERROR(__xludf.DUMMYFUNCTION("CONCATENATE( 
if (regexmatch(O30, ""^[A-Za-z\.\_]+""), ""L"", 
if(regexmatch(AH30, ""^[A-Za-z\.\_]+""),""S"","""")),
if(AZ30=""X"",""K"",""""))"),"")</f>
        <v/>
      </c>
      <c r="BR30" s="40" t="str">
        <f>IFERROR(__xludf.DUMMYFUNCTION("CONCATENATE( 
if (regexmatch(Q30, ""^[A-Za-z\.\_]+""), ""L"", 
if(regexmatch(AJ30, ""^[A-Za-z\.\_]+""),""S"","""")),
if(BA30=""X"",""K"",""""))"),"")</f>
        <v/>
      </c>
      <c r="BS30" s="40" t="str">
        <f>IFERROR(__xludf.DUMMYFUNCTION(" CONCATENATE( 
if (regexmatch(R30, ""^[A-Za-z\.\_]+""), ""L"", 
if(regexmatch(AK30, ""^[A-Za-z\.\_]+""),""S"","""")),
if(BB30=""X"",""K"",""""))"),"K")</f>
        <v>K</v>
      </c>
      <c r="BT30" s="40" t="str">
        <f>IFERROR(__xludf.DUMMYFUNCTION("CONCATENATE( 
if (regexmatch(S30, ""^[A-Za-z\.\_]+""), ""L"", 
if(regexmatch(AL30, ""^[A-Za-z\.\_]+""),""S"","""")),
if(BC30=""X"",""K"",""""))"),"")</f>
        <v/>
      </c>
      <c r="BU30" s="40" t="str">
        <f>IFERROR(__xludf.DUMMYFUNCTION("CONCATENATE( 
if (regexmatch(T30, ""^[A-Za-z\.\_]+""), ""L"", 
if(regexmatch(AM30, ""^[A-Za-z\.\_]+""),""S"","""")),
if(BD30=""X"",""K"",""""))"),"")</f>
        <v/>
      </c>
      <c r="BV30" s="40" t="str">
        <f>IFERROR(__xludf.DUMMYFUNCTION("CONCATENATE( 
if (regexmatch(U30, ""^[A-Za-z\.\_]+""), ""L"", 
if(regexmatch(AN30, ""^[A-Za-z\.\_]+""),""S"","""")),
if(BE30=""X"",""K"",""""))"),"K")</f>
        <v>K</v>
      </c>
      <c r="BW30" s="40" t="str">
        <f>IFERROR(__xludf.DUMMYFUNCTION(" CONCATENATE( 
if (regexmatch(V30, ""^[A-Za-z\.\_]+""), ""L"", 
if(regexmatch(AO30, ""^[A-Za-z\.\_]+""),""S"","""")),
if(BF30=""X"",""K"",""""))"),"LK")</f>
        <v>LK</v>
      </c>
      <c r="BX30" s="40" t="str">
        <f>IFERROR(__xludf.DUMMYFUNCTION("CONCATENATE( 
if (regexmatch(W30, ""^[A-Za-z\.\_]+""), ""L"", 
if(regexmatch(AP30, ""^[A-Za-z\.\_]+""),""S"","""")),
if(BG30=""X"",""K"",""""))"),"")</f>
        <v/>
      </c>
      <c r="BY30" s="40" t="str">
        <f>IFERROR(__xludf.DUMMYFUNCTION("CONCATENATE( 
if (regexmatch(X30, ""^[A-Za-z\.\_]+""), ""L"", 
if(regexmatch(AQ30, ""^[A-Za-z\.\_]+""),""S"","""")),
if(BH30=""X"",""K"",""""))"),"")</f>
        <v/>
      </c>
      <c r="BZ30" s="40" t="str">
        <f>IFERROR(__xludf.DUMMYFUNCTION("CONCATENATE( 
if (regexmatch(Y30, ""^[A-Za-z\.\_]+""), ""L"", 
if(regexmatch(AR30, ""^[A-Za-z\.\_]+""),""S"","""")),
if(BI30=""X"",""K"",""""))"),"K")</f>
        <v>K</v>
      </c>
      <c r="CA30" s="40" t="str">
        <f>IFERROR(__xludf.DUMMYFUNCTION("CONCATENATE( 
if (regexmatch(Z30, ""^[A-Za-z\.\_]+""), ""L"", 
if(regexmatch(AS30, ""^[A-Za-z\.\_]+""),""S"","""")),
if(BJ30=""X"",""K"",""""))"),"LK")</f>
        <v>LK</v>
      </c>
      <c r="CB30" s="39"/>
      <c r="CC30" s="39"/>
      <c r="CD30" s="39"/>
      <c r="CE30" s="39"/>
      <c r="CF30" s="39"/>
      <c r="CG30" s="39"/>
      <c r="CH30" s="39"/>
      <c r="CI30" s="39"/>
      <c r="CJ30" s="39"/>
      <c r="CK30" s="39"/>
      <c r="CL30" s="39"/>
      <c r="CM30" s="39"/>
      <c r="CN30" s="39"/>
      <c r="CO30" s="39"/>
      <c r="CP30" s="39"/>
      <c r="CQ30" s="39"/>
      <c r="CR30" s="39"/>
    </row>
    <row r="31" ht="15.75" customHeight="1">
      <c r="A31" s="25">
        <v>52.0</v>
      </c>
      <c r="B31" s="26" t="s">
        <v>167</v>
      </c>
      <c r="C31" s="27" t="s">
        <v>168</v>
      </c>
      <c r="D31" s="27" t="str">
        <f>IFERROR(__xludf.DUMMYFUNCTION("CONCATENATE(regexextract($C31,""[\w]* [\w]*""), ""*"")"),"Cucurbita maxima*")</f>
        <v>Cucurbita maxima*</v>
      </c>
      <c r="E31" s="26" t="s">
        <v>169</v>
      </c>
      <c r="F31" s="57">
        <v>3661.0</v>
      </c>
      <c r="G31" s="53"/>
      <c r="H31" s="31"/>
      <c r="I31" s="32" t="str">
        <f>CONCATENATE(
if(countif(dd.agi,$D31),"D",""),
if(countif(knap.agi,$D31),"K",""),
if(countif(mic.agi,$D31),"M",""),
if(countif(nap.agi,$D31),"N",""),
if(countif(np.agi,$D31),"P",""),
if(countif(imp.agi,$D31),"T",""),
if(countif(us.agi,$D31),"U",""),
if(countif(var.agi,$D31),"V","")
)</f>
        <v/>
      </c>
      <c r="J31" s="32" t="str">
        <f>
CONCATENATE(
if(countif(nap.bun,$D31),"N",""),
if(countif(np.bun,$D31),"P","")
)
</f>
        <v/>
      </c>
      <c r="K31" s="32" t="str">
        <f>CONCATENATE(
if(countif(dd.kxn,$D31),"D",""),
if(countif(knap.kxn,$D31),"K",""),
if(countif(mic.kxn,$D31),"M",""),
if(countif(nap.kxn,$D31),"N",""),
if(countif(np.kxn,$D31),"P",""),
if(countif(us.kxn,$D31),"U",""),
if(countif(var.kxn,$D31),"V","")
)</f>
        <v/>
      </c>
      <c r="L31" s="32" t="str">
        <f>
CONCATENATE(
if(countif(dd.hwb,$D31),"D",""),
if(countif(knap.hwb,$D31),"K",""),
if(countif(mic.hwb,$D31),"M",""),
if(countif(nap.hwb,$D31),"N",""),
if(countif(np.hwb,$D31),"P",""),
if(countif(us.hwb,$D31),"U",""),
if(countif(imp.hwb,$D31),"T",""),
if(countif(var.hwb,$D31),"V","")
)</f>
        <v/>
      </c>
      <c r="M31" s="32" t="str">
        <f>CONCATENATE(
if(countif(dd.epc,$D31),"D",""),
if(countif(knap.ekxn,$D31),"K",""),
if(countif(mic.ekxn,$D31),"M",""),
if(countif(nap.ekxn,$D31),"N",""),
if(countif(np.ekxn,$D31),"P",""),
if(countif(imp.epc,$D31),"T",""),
if(countif(us.ekxn,$D31),"U",""),
if(countif(var.ekxn,$D31),"V","")
)</f>
        <v/>
      </c>
      <c r="N31" s="32" t="str">
        <f>
CONCATENATE(
if(countif(dd.ecg,$D31),"D",""),
if(countif(mic.ecg,$D31),"M",""),
if(countif(np.ecg,$D31),"P",""),
if(countif(imp.ecg,$D31),"T",""),
if(countif(us.ecg,$D31),"U","")
)</f>
        <v/>
      </c>
      <c r="O31" s="32" t="str">
        <f>
CONCATENATE(
if(countif(dd.egt,$D31),"D",""),
if(countif(mic.egt,$D31),"M",""),
if(countif(nap.egt,$D31),"N",""),
if(countif(us.egt,$D31),"U",""),
if(countif(var.egt,$D31),"V",""))
</f>
        <v/>
      </c>
      <c r="P31" s="32" t="str">
        <f>CONCATENATE(
if(countif(knap.egcg,$D31),"K",""),
if(countif(mic.egcg,$D31),"M",""),
if(countif(np.egcg,$D31),"P",""),
if(countif(us.egcg,$D31),"U","")
)</f>
        <v/>
      </c>
      <c r="Q31" s="32" t="str">
        <f>CONCATENATE(if(countif(np.ecit,$D31),"P",""),
if(countif(nap.ecit,$D31),"A",""))</f>
        <v/>
      </c>
      <c r="R31" s="32" t="str">
        <f>
CONCATENATE(
if(countif(nap.erd,$D31),"N",""),
if(countif(np.erd,$D31),"P",""),
if(countif(var.erd,$D31),"V",""))</f>
        <v/>
      </c>
      <c r="S31" s="32" t="str">
        <f>
CONCATENATE(
if(countif(dd.gkxn,$D31),"D",""),
if(countif(knap.gkxn,$D31),"K",""),
if(countif(nap.gkxn,$D31),"N",""),
if(countif(np.gkxn,$D31),"P",""),
if(countif(imp.gkxn,$D31),"T",""),
if(countif(var.gkxn,$D31),"V",""))</f>
        <v/>
      </c>
      <c r="T31" s="32" t="str">
        <f>
CONCATENATE(
if(countif(dd.gen,$C31),"D",""),
if(countif(knap.gen,$C31),"K",""),
if(countif(nap.gen,$C31),"N",""),
if(countif(np.gen,$C31),"P",""),
if(countif(imp.gen,$C31),"T",""),
if(countif(var.gen,$C31),"V",""))</f>
        <v/>
      </c>
      <c r="U31" s="32" t="str">
        <f>
CONCATENATE(
if(countif(dd.hcc,$D31),"D",""),
if(countif(knap.hcc,$D31),"K",""),
if(countif(np.hcc,$D31),"P","")
)
</f>
        <v/>
      </c>
      <c r="V31" s="32" t="str">
        <f>
CONCATENATE(
if(countif(dd.kmp,$D31),"D",""),
if(countif(knap.kmp,$D31),"K",""),
if(countif(mic.kmp,$D31),"M",""),
if(countif(nap.kmp,$D31),"N",""),
if(countif(np.kmp,$D31),"P",""),
if(countif(imp.kmp,$D31),"T",""),
if(countif(us.kmp,$D31),"U",""),
if(countif(var.kmp,$D31),"V",""))</f>
        <v>N</v>
      </c>
      <c r="W31" s="32" t="str">
        <f>
CONCATENATE(
if(countif(dd.lu2,$D31),"D",""),
if(countif(knap.lu2,$D31),"K",""),
if(countif(mic.lu2,$D31),"M",""),
if(countif(nap.lu2,$D31),"N",""),
if(countif(np.lu2,$D31),"P",""),
if(countif(imp.lu2,$D31),"T",""),
if(countif(us.lu2,$D31),"U",""),
if(countif(var.lu2,$D31),"V",""))</f>
        <v/>
      </c>
      <c r="X31" s="32" t="str">
        <f>
CONCATENATE(
if(countif(dd.myc,$D31),"D",""),
if(countif(knap.myc,$D31),"K",""), 
if(countif(mic.myc,$D31),"M",""),
if(countif(nap.myc,$D31),"N",""),
if(countif(np.myc,$D31),"P",""),
if(countif(imp.myc,$D31),"T",""),
if(countif(us.myc,$D31),"U",""),
if(countif(var.myc,$D31),"V",""))</f>
        <v/>
      </c>
      <c r="Y31" s="32" t="str">
        <f>CONCATENATE(
if(countif(dd.nar,$D31),"D",""),
if(countif(knap.nar,$D31),"K",""),
if(countif(nap.nar,$D31),"N",""),
if(countif(np.nar,$D31),"P",""),
if(countif(imp.nar,$D31),"T",""),
if(countif(us.nar,$D31),"U",""),
if(countif(var.nar,$D31),"V",""))</f>
        <v/>
      </c>
      <c r="Z31" s="33" t="str">
        <f>
CONCATENATE(
if(countif(dd.que,$D31),"D",""),
if(countif(knap.que,$D31),"K",""),
if(countif(mic.que,$D31),"M",""),
if(countif(nap.que,$D31),"N",""),
if(countif(np.que,$D31),"P",""),
if(countif(imp.que,$D31),"T",""),
if(countif(us.que,$D31),"U",""),
if(countif(var.que,$D31),"V",""))</f>
        <v>N</v>
      </c>
      <c r="AA31" s="32"/>
      <c r="AB31" s="34" t="str">
        <f>
CONCATENATE(if(countif(knap.agi.sim,$D31),"K",""),
if(countif(dd.agi.sim,$D31),"D",""),
if(countif(nap.agi.sim,$D31),"A",""),
if(countif(var.agi.sim,$D31),"V",""))</f>
        <v/>
      </c>
      <c r="AC31" s="34" t="str">
        <f>
if(countif(nap.bun.sim,$D31),"A","")</f>
        <v/>
      </c>
      <c r="AD31" s="34" t="str">
        <f>
CONCATENATE(if(countif(knap.kxn.sim,$D31),"K",""),
if(countif(np.kxn.sim,$D31),"P",""),
if(countif(dd.kxn.sim,$D31),"D",""),
if(countif(nap.kxn.sim,$D31),"A",""),
if(countif(var.kxn.sim,$D31),"V",""))</f>
        <v/>
      </c>
      <c r="AE31" s="34" t="str">
        <f>
CONCATENATE(if(countif(knap.hwb.sim,$D31),"K",""),
if(countif(np.hwb.sim,$D31),"P",""),
if(countif(mic.hwb.sim,$D31),"M",""),
if(countif(imp.hwb.sim,$D31),"T",""),
if(countif(dd.cyan.sim,$D31),"D",""),
if(countif(nap.hwb.sim,$D31),"A",""),
if(countif(var.hwb.sim,$D31),"V",""))</f>
        <v/>
      </c>
      <c r="AF31" s="34" t="str">
        <f>
CONCATENATE(if(countif(us.ekxn.sim,$D31),"U",""),
if(countif(knap.ekxn.sim,$D31),"K",""),
if(countif(np.ekxn.sim,$D31),"P",""),
if(countif(mic.ekxn.sim,$D31),"M",""),
if(countif(imp.epc.sim,$D31),"T",""),
if(countif(nap.ekxn.sim,$D31),"A",""))</f>
        <v/>
      </c>
      <c r="AG31" s="34"/>
      <c r="AH31" s="34" t="str">
        <f>
CONCATENATE(if(countif(us.egt.sim,$D31),"U",""),
if(countif(knap.egt.sim,$D31),"K",""),
if(countif(np.egt.sim,$D31),"P",""),
if(countif(mic.egt.sim,$D31),"M",""))</f>
        <v/>
      </c>
      <c r="AI31" s="34"/>
      <c r="AJ31" s="34" t="str">
        <f>if(countif(nap.ecit.sim,$D31),"A","")</f>
        <v/>
      </c>
      <c r="AK31" s="34" t="str">
        <f>
CONCATENATE(if(countif(nap.erd,$D31),"M",""),
if(countif(nap.erd.sim,$D31),"A",""),
if(countif(var.erd.sim,$D31),"V",""))</f>
        <v/>
      </c>
      <c r="AL31" s="34" t="str">
        <f>
CONCATENATE(if(countif(knap.gkxn.sim,$D31),"K",""),
if(countif(nap.gkxn.sim,$D31),"A",""))</f>
        <v/>
      </c>
      <c r="AM31" s="34" t="str">
        <f>
CONCATENATE(if(countif(knap.gen.sim,$C31),"K",""),
if(countif(imp.gen.sim,$C31),"T",""),
if(countif(dd.gen.sim,$C31),"D",""),
if(countif(nap.gen.sim,$C31),"A",""),
if(countif(var.gen.sim,$C31),"V",""))
</f>
        <v/>
      </c>
      <c r="AN31" s="34" t="str">
        <f>IFERROR(__xludf.DUMMYFUNCTION("
if(countif(#REF!,CONCATENATE(regexextract($C31,""[\w]* [\w]*""), ""*"")),""V"","""")"),"")</f>
        <v/>
      </c>
      <c r="AO31" s="34" t="str">
        <f>
CONCATENATE(if(countif(knap.kmp.sim,$D31),"K",""),
if(countif(np.kmp.sim,$D31),"P",""),
if(countif(imp.kmp.sim,$D31),"T",""),
if(countif(dd.kmp,$D31),"D",""),
if(countif(nap.kmp.sim,$D31),"A",""),
if(countif(var.kmp.sim,$D31),"V",""))</f>
        <v/>
      </c>
      <c r="AP31" s="34" t="str">
        <f>
CONCATENATE(if(countif(knap.lu2.sim,$D31),"K",""),
if(countif(np.lu2.sim,$D31),"P",""),
if(countif(imp.lu2.sim,$D31),"T",""),
if(countif(dd.lu2.sim,$D31),"D",""),
if(countif(nap.lu2.sim,$D31),"A",""),
if(countif(var.lu2.sim,$D31),"V",""))</f>
        <v/>
      </c>
      <c r="AQ31" s="34" t="str">
        <f>
CONCATENATE(if(countif(np.myc.sim,$D31),"P",""),
if(countif(imp.myc.sim,$D31),"T",""),
if(countif(nap.myc.sim,$D31),"A",""))
</f>
        <v/>
      </c>
      <c r="AR31" s="36" t="str">
        <f>
CONCATENATE(if(countif(knap.nar.sim,$D31),"K",""),
if(countif(np.nar.sim,$D31),"P",""),
if(countif(imp.nar.sim,$D31),"T",""),
if(countif(dd.nar.sim,$D31),"D",""),
if(countif(nap.nar.sim,$D31),"A",""),
if(countif(var.nar.sim,$D31),"V",""))</f>
        <v/>
      </c>
      <c r="AS31" s="34" t="str">
        <f>
CONCATENATE(if(countif(knap.que.sim,$D31),"K",""),
if(countif(np.que.sim,$D31),"P",""),
if(countif(imp.que.sim,$D31),"T",""),
if(countif(dd.que.sim,$D31),"D",""),
if(countif(nap.que.sim,$D31),"A",""),
if(countif(var.que.sim,$D31),"V",""))</f>
        <v/>
      </c>
      <c r="AT31" s="37"/>
      <c r="AU31" s="32" t="str">
        <f>IFERROR(__xludf.DUMMYFUNCTION("if(countif(kr.agi, CONCATENATE(regexextract($C31,""[\w]* [\w]*""), ""*"")),""X"","""")"),"")</f>
        <v/>
      </c>
      <c r="AV31" s="38" t="str">
        <f>IFERROR(__xludf.DUMMYFUNCTION("if(countif(kr.bun,CONCATENATE(regexextract($C31,""[\w]* [\w]*""), ""*"")),""X"","""")"),"X")</f>
        <v>X</v>
      </c>
      <c r="AW31" s="38" t="str">
        <f>IFERROR(__xludf.DUMMYFUNCTION("if(countif(kr.kxn,CONCATENATE(regexextract($C31,""[\w]* [\w]*""), ""*"")),""X"","""")"),"")</f>
        <v/>
      </c>
      <c r="AX31" s="38" t="str">
        <f>IFERROR(__xludf.DUMMYFUNCTION("if(countif(kr.hwb,CONCATENATE(regexextract($C31,""[\w]* [\w]*""), ""*"")),""X"","""")"),"")</f>
        <v/>
      </c>
      <c r="AY31" s="38" t="str">
        <f>IFERROR(__xludf.DUMMYFUNCTION("if(countif(kr.ec,CONCATENATE(regexextract($C31,""[\w]* [\w]*""), ""*"")),""X"","""")"),"")</f>
        <v/>
      </c>
      <c r="AZ31" s="38" t="str">
        <f>IFERROR(__xludf.DUMMYFUNCTION("if(countif(kr.egt,CONCATENATE(regexextract($C31,""[\w]* [\w]*""), ""*"")),""X"","""")"),"")</f>
        <v/>
      </c>
      <c r="BA31" s="38"/>
      <c r="BB31" s="38" t="str">
        <f>IFERROR(__xludf.DUMMYFUNCTION("if(countif(kr.erd,CONCATENATE(regexextract($C31,""[\w]* [\w]*""), ""*"")),""X"","""")"),"X")</f>
        <v>X</v>
      </c>
      <c r="BC31" s="38" t="str">
        <f>IFERROR(__xludf.DUMMYFUNCTION("if(countif(kr.gkxn,CONCATENATE(regexextract($C31,""[\w]* [\w]*""), ""*"")),""X"","""")"),"")</f>
        <v/>
      </c>
      <c r="BD31" s="38" t="str">
        <f>IFERROR(__xludf.DUMMYFUNCTION("if(countif(kr.gen,CONCATENATE(regexextract(C31,""[\w]* [\w]*""), ""*"")),""X"","""")"),"")</f>
        <v/>
      </c>
      <c r="BE31" s="38" t="str">
        <f>IFERROR(__xludf.DUMMYFUNCTION("if(countif(kr.hcc,CONCATENATE(regexextract($C31,""[\w]* [\w]*""), ""*"")),""X"","""")"),"X")</f>
        <v>X</v>
      </c>
      <c r="BF31" s="38" t="str">
        <f>IFERROR(__xludf.DUMMYFUNCTION("if(countif(kr.kmp,CONCATENATE(regexextract($C31,""[\w]* [\w]*""), ""*"")),""X"","""")"),"X")</f>
        <v>X</v>
      </c>
      <c r="BG31" s="38" t="str">
        <f>IFERROR(__xludf.DUMMYFUNCTION("if(countif(kr.lu2,CONCATENATE(regexextract($C31,""[\w]* [\w]*""), ""*"")),""X"","""")"),"")</f>
        <v/>
      </c>
      <c r="BH31" s="38" t="str">
        <f>IFERROR(__xludf.DUMMYFUNCTION("if(countif(kr.myc,CONCATENATE(regexextract($C31,""[\w]* [\w]*""), ""*"")),""X"","""")"),"")</f>
        <v/>
      </c>
      <c r="BI31" s="38" t="str">
        <f>IFERROR(__xludf.DUMMYFUNCTION("if(countif(kr.nar,CONCATENATE(regexextract($C31,""[\w]* [\w]*""), ""*"")),""X"","""")"),"X")</f>
        <v>X</v>
      </c>
      <c r="BJ31" s="38" t="str">
        <f>IFERROR(__xludf.DUMMYFUNCTION("if(countif(kr.que,CONCATENATE(regexextract($C31,""[\w]* [\w]*""), ""*"")),""X"","""")"),"X")</f>
        <v>X</v>
      </c>
      <c r="BK31" s="39"/>
      <c r="BL31" s="40" t="str">
        <f>IFERROR(__xludf.DUMMYFUNCTION(" CONCATENATE( 
if (regexmatch(I31, ""^[A-Za-z\.\_]+""), ""L"", 
if(regexmatch(AB31, ""^[A-Za-z\.\_]+""),""S"","""")),
if(AU31=""X"",""K"",""""))"),"")</f>
        <v/>
      </c>
      <c r="BM31" s="40" t="str">
        <f>IFERROR(__xludf.DUMMYFUNCTION(" CONCATENATE( 
if (regexmatch(J31, ""^[A-Za-z\.\_]+""), ""L"", 
if(regexmatch(AC31, ""^[A-Za-z\.\_]+""),""S"","""")),
if(AV31=""X"",""K"",""""))"),"K")</f>
        <v>K</v>
      </c>
      <c r="BN31" s="40" t="str">
        <f>IFERROR(__xludf.DUMMYFUNCTION(" CONCATENATE( 
if (regexmatch(K31, ""^[A-Za-z\.\_]+""), ""L"", 
if(regexmatch(AD31, ""^[A-Za-z\.\_]+""),""S"","""")),
if(AW31=""X"",""K"",""""))"),"")</f>
        <v/>
      </c>
      <c r="BO31" s="40" t="str">
        <f>IFERROR(__xludf.DUMMYFUNCTION(" CONCATENATE( 
if (regexmatch(L31, ""^[A-Za-z\.\_]+""), ""L"", 
if(regexmatch(AE31, ""^[A-Za-z\.\_]+""),""S"","""")),
if(AX31=""X"",""K"",""""))"),"")</f>
        <v/>
      </c>
      <c r="BP31" s="40" t="str">
        <f>IFERROR(__xludf.DUMMYFUNCTION(" CONCATENATE( 
if (regexmatch(M31, ""^[A-Za-z\.\_]+""), ""L"", 
if(regexmatch(AF31, ""^[A-Za-z\.\_]+""),""S"","""")),
if(AY31=""X"",""K"",""""))"),"")</f>
        <v/>
      </c>
      <c r="BQ31" s="40" t="str">
        <f>IFERROR(__xludf.DUMMYFUNCTION("CONCATENATE( 
if (regexmatch(O31, ""^[A-Za-z\.\_]+""), ""L"", 
if(regexmatch(AH31, ""^[A-Za-z\.\_]+""),""S"","""")),
if(AZ31=""X"",""K"",""""))"),"")</f>
        <v/>
      </c>
      <c r="BR31" s="40" t="str">
        <f>IFERROR(__xludf.DUMMYFUNCTION("CONCATENATE( 
if (regexmatch(Q31, ""^[A-Za-z\.\_]+""), ""L"", 
if(regexmatch(AJ31, ""^[A-Za-z\.\_]+""),""S"","""")),
if(BA31=""X"",""K"",""""))"),"")</f>
        <v/>
      </c>
      <c r="BS31" s="40" t="str">
        <f>IFERROR(__xludf.DUMMYFUNCTION(" CONCATENATE( 
if (regexmatch(R31, ""^[A-Za-z\.\_]+""), ""L"", 
if(regexmatch(AK31, ""^[A-Za-z\.\_]+""),""S"","""")),
if(BB31=""X"",""K"",""""))"),"K")</f>
        <v>K</v>
      </c>
      <c r="BT31" s="40" t="str">
        <f>IFERROR(__xludf.DUMMYFUNCTION("CONCATENATE( 
if (regexmatch(S31, ""^[A-Za-z\.\_]+""), ""L"", 
if(regexmatch(AL31, ""^[A-Za-z\.\_]+""),""S"","""")),
if(BC31=""X"",""K"",""""))"),"")</f>
        <v/>
      </c>
      <c r="BU31" s="40" t="str">
        <f>IFERROR(__xludf.DUMMYFUNCTION("CONCATENATE( 
if (regexmatch(T31, ""^[A-Za-z\.\_]+""), ""L"", 
if(regexmatch(AM31, ""^[A-Za-z\.\_]+""),""S"","""")),
if(BD31=""X"",""K"",""""))"),"")</f>
        <v/>
      </c>
      <c r="BV31" s="40" t="str">
        <f>IFERROR(__xludf.DUMMYFUNCTION("CONCATENATE( 
if (regexmatch(U31, ""^[A-Za-z\.\_]+""), ""L"", 
if(regexmatch(AN31, ""^[A-Za-z\.\_]+""),""S"","""")),
if(BE31=""X"",""K"",""""))"),"K")</f>
        <v>K</v>
      </c>
      <c r="BW31" s="40" t="str">
        <f>IFERROR(__xludf.DUMMYFUNCTION(" CONCATENATE( 
if (regexmatch(V31, ""^[A-Za-z\.\_]+""), ""L"", 
if(regexmatch(AO31, ""^[A-Za-z\.\_]+""),""S"","""")),
if(BF31=""X"",""K"",""""))"),"LK")</f>
        <v>LK</v>
      </c>
      <c r="BX31" s="40" t="str">
        <f>IFERROR(__xludf.DUMMYFUNCTION("CONCATENATE( 
if (regexmatch(W31, ""^[A-Za-z\.\_]+""), ""L"", 
if(regexmatch(AP31, ""^[A-Za-z\.\_]+""),""S"","""")),
if(BG31=""X"",""K"",""""))"),"")</f>
        <v/>
      </c>
      <c r="BY31" s="40" t="str">
        <f>IFERROR(__xludf.DUMMYFUNCTION("CONCATENATE( 
if (regexmatch(X31, ""^[A-Za-z\.\_]+""), ""L"", 
if(regexmatch(AQ31, ""^[A-Za-z\.\_]+""),""S"","""")),
if(BH31=""X"",""K"",""""))"),"")</f>
        <v/>
      </c>
      <c r="BZ31" s="40" t="str">
        <f>IFERROR(__xludf.DUMMYFUNCTION("CONCATENATE( 
if (regexmatch(Y31, ""^[A-Za-z\.\_]+""), ""L"", 
if(regexmatch(AR31, ""^[A-Za-z\.\_]+""),""S"","""")),
if(BI31=""X"",""K"",""""))"),"K")</f>
        <v>K</v>
      </c>
      <c r="CA31" s="40" t="str">
        <f>IFERROR(__xludf.DUMMYFUNCTION("CONCATENATE( 
if (regexmatch(Z31, ""^[A-Za-z\.\_]+""), ""L"", 
if(regexmatch(AS31, ""^[A-Za-z\.\_]+""),""S"","""")),
if(BJ31=""X"",""K"",""""))"),"LK")</f>
        <v>LK</v>
      </c>
      <c r="CB31" s="39"/>
      <c r="CC31" s="39"/>
      <c r="CD31" s="39"/>
      <c r="CE31" s="39"/>
      <c r="CF31" s="39"/>
      <c r="CG31" s="39"/>
      <c r="CH31" s="39"/>
      <c r="CI31" s="39"/>
      <c r="CJ31" s="39"/>
      <c r="CK31" s="39"/>
      <c r="CL31" s="39"/>
      <c r="CM31" s="39"/>
      <c r="CN31" s="39"/>
      <c r="CO31" s="39"/>
      <c r="CP31" s="39"/>
      <c r="CQ31" s="39"/>
      <c r="CR31" s="39"/>
    </row>
    <row r="32" ht="15.75" customHeight="1">
      <c r="A32" s="25">
        <v>53.0</v>
      </c>
      <c r="B32" s="26" t="s">
        <v>170</v>
      </c>
      <c r="C32" s="27" t="s">
        <v>171</v>
      </c>
      <c r="D32" s="27" t="str">
        <f>IFERROR(__xludf.DUMMYFUNCTION("CONCATENATE(regexextract($C32,""[\w]* [\w]*""), ""*"")"),"Cucurbita moschata*")</f>
        <v>Cucurbita moschata*</v>
      </c>
      <c r="E32" s="26" t="s">
        <v>172</v>
      </c>
      <c r="F32" s="57">
        <v>3662.0</v>
      </c>
      <c r="G32" s="53"/>
      <c r="H32" s="31"/>
      <c r="I32" s="32" t="str">
        <f>CONCATENATE(
if(countif(dd.agi,$D32),"D",""),
if(countif(knap.agi,$D32),"K",""),
if(countif(mic.agi,$D32),"M",""),
if(countif(nap.agi,$D32),"N",""),
if(countif(np.agi,$D32),"P",""),
if(countif(imp.agi,$D32),"T",""),
if(countif(us.agi,$D32),"U",""),
if(countif(var.agi,$D32),"V","")
)</f>
        <v>P</v>
      </c>
      <c r="J32" s="32" t="str">
        <f>
CONCATENATE(
if(countif(nap.bun,$D32),"N",""),
if(countif(np.bun,$D32),"P","")
)
</f>
        <v/>
      </c>
      <c r="K32" s="32" t="str">
        <f>CONCATENATE(
if(countif(dd.kxn,$D32),"D",""),
if(countif(knap.kxn,$D32),"K",""),
if(countif(mic.kxn,$D32),"M",""),
if(countif(nap.kxn,$D32),"N",""),
if(countif(np.kxn,$D32),"P",""),
if(countif(us.kxn,$D32),"U",""),
if(countif(var.kxn,$D32),"V","")
)</f>
        <v/>
      </c>
      <c r="L32" s="32" t="str">
        <f>
CONCATENATE(
if(countif(dd.hwb,$D32),"D",""),
if(countif(knap.hwb,$D32),"K",""),
if(countif(mic.hwb,$D32),"M",""),
if(countif(nap.hwb,$D32),"N",""),
if(countif(np.hwb,$D32),"P",""),
if(countif(us.hwb,$D32),"U",""),
if(countif(imp.hwb,$D32),"T",""),
if(countif(var.hwb,$D32),"V","")
)</f>
        <v/>
      </c>
      <c r="M32" s="32" t="str">
        <f>CONCATENATE(
if(countif(dd.epc,$D32),"D",""),
if(countif(knap.ekxn,$D32),"K",""),
if(countif(mic.ekxn,$D32),"M",""),
if(countif(nap.ekxn,$D32),"N",""),
if(countif(np.ekxn,$D32),"P",""),
if(countif(imp.epc,$D32),"T",""),
if(countif(us.ekxn,$D32),"U",""),
if(countif(var.ekxn,$D32),"V","")
)</f>
        <v/>
      </c>
      <c r="N32" s="32" t="str">
        <f>
CONCATENATE(
if(countif(dd.ecg,$D32),"D",""),
if(countif(mic.ecg,$D32),"M",""),
if(countif(np.ecg,$D32),"P",""),
if(countif(imp.ecg,$D32),"T",""),
if(countif(us.ecg,$D32),"U","")
)</f>
        <v/>
      </c>
      <c r="O32" s="32" t="str">
        <f>
CONCATENATE(
if(countif(dd.egt,$D32),"D",""),
if(countif(mic.egt,$D32),"M",""),
if(countif(nap.egt,$D32),"N",""),
if(countif(us.egt,$D32),"U",""),
if(countif(var.egt,$D32),"V",""))
</f>
        <v/>
      </c>
      <c r="P32" s="32" t="str">
        <f>CONCATENATE(
if(countif(knap.egcg,$D32),"K",""),
if(countif(mic.egcg,$D32),"M",""),
if(countif(np.egcg,$D32),"P",""),
if(countif(us.egcg,$D32),"U","")
)</f>
        <v/>
      </c>
      <c r="Q32" s="32" t="str">
        <f>CONCATENATE(if(countif(np.ecit,$D32),"P",""),
if(countif(nap.ecit,$D32),"A",""))</f>
        <v/>
      </c>
      <c r="R32" s="32" t="str">
        <f>
CONCATENATE(
if(countif(nap.erd,$D32),"N",""),
if(countif(np.erd,$D32),"P",""),
if(countif(var.erd,$D32),"V",""))</f>
        <v/>
      </c>
      <c r="S32" s="32" t="str">
        <f>
CONCATENATE(
if(countif(dd.gkxn,$D32),"D",""),
if(countif(knap.gkxn,$D32),"K",""),
if(countif(nap.gkxn,$D32),"N",""),
if(countif(np.gkxn,$D32),"P",""),
if(countif(imp.gkxn,$D32),"T",""),
if(countif(var.gkxn,$D32),"V",""))</f>
        <v/>
      </c>
      <c r="T32" s="32" t="str">
        <f>
CONCATENATE(
if(countif(dd.gen,$C32),"D",""),
if(countif(knap.gen,$C32),"K",""),
if(countif(nap.gen,$C32),"N",""),
if(countif(np.gen,$C32),"P",""),
if(countif(imp.gen,$C32),"T",""),
if(countif(var.gen,$C32),"V",""))</f>
        <v/>
      </c>
      <c r="U32" s="32" t="str">
        <f>
CONCATENATE(
if(countif(dd.hcc,$D32),"D",""),
if(countif(knap.hcc,$D32),"K",""),
if(countif(np.hcc,$D32),"P","")
)
</f>
        <v/>
      </c>
      <c r="V32" s="32" t="str">
        <f>
CONCATENATE(
if(countif(dd.kmp,$D32),"D",""),
if(countif(knap.kmp,$D32),"K",""),
if(countif(mic.kmp,$D32),"M",""),
if(countif(nap.kmp,$D32),"N",""),
if(countif(np.kmp,$D32),"P",""),
if(countif(imp.kmp,$D32),"T",""),
if(countif(us.kmp,$D32),"U",""),
if(countif(var.kmp,$D32),"V",""))</f>
        <v/>
      </c>
      <c r="W32" s="32" t="str">
        <f>
CONCATENATE(
if(countif(dd.lu2,$D32),"D",""),
if(countif(knap.lu2,$D32),"K",""),
if(countif(mic.lu2,$D32),"M",""),
if(countif(nap.lu2,$D32),"N",""),
if(countif(np.lu2,$D32),"P",""),
if(countif(imp.lu2,$D32),"T",""),
if(countif(us.lu2,$D32),"U",""),
if(countif(var.lu2,$D32),"V",""))</f>
        <v>U</v>
      </c>
      <c r="X32" s="32" t="str">
        <f>
CONCATENATE(
if(countif(dd.myc,$D32),"D",""),
if(countif(knap.myc,$D32),"K",""), 
if(countif(mic.myc,$D32),"M",""),
if(countif(nap.myc,$D32),"N",""),
if(countif(np.myc,$D32),"P",""),
if(countif(imp.myc,$D32),"T",""),
if(countif(us.myc,$D32),"U",""),
if(countif(var.myc,$D32),"V",""))</f>
        <v/>
      </c>
      <c r="Y32" s="32" t="str">
        <f>CONCATENATE(
if(countif(dd.nar,$D32),"D",""),
if(countif(knap.nar,$D32),"K",""),
if(countif(nap.nar,$D32),"N",""),
if(countif(np.nar,$D32),"P",""),
if(countif(imp.nar,$D32),"T",""),
if(countif(us.nar,$D32),"U",""),
if(countif(var.nar,$D32),"V",""))</f>
        <v/>
      </c>
      <c r="Z32" s="33" t="str">
        <f>
CONCATENATE(
if(countif(dd.que,$D32),"D",""),
if(countif(knap.que,$D32),"K",""),
if(countif(mic.que,$D32),"M",""),
if(countif(nap.que,$D32),"N",""),
if(countif(np.que,$D32),"P",""),
if(countif(imp.que,$D32),"T",""),
if(countif(us.que,$D32),"U",""),
if(countif(var.que,$D32),"V",""))</f>
        <v/>
      </c>
      <c r="AA32" s="32"/>
      <c r="AB32" s="34" t="str">
        <f>
CONCATENATE(if(countif(knap.agi.sim,$D32),"K",""),
if(countif(dd.agi.sim,$D32),"D",""),
if(countif(nap.agi.sim,$D32),"A",""),
if(countif(var.agi.sim,$D32),"V",""))</f>
        <v/>
      </c>
      <c r="AC32" s="34" t="str">
        <f>
if(countif(nap.bun.sim,$D32),"A","")</f>
        <v/>
      </c>
      <c r="AD32" s="34" t="str">
        <f>
CONCATENATE(if(countif(knap.kxn.sim,$D32),"K",""),
if(countif(np.kxn.sim,$D32),"P",""),
if(countif(dd.kxn.sim,$D32),"D",""),
if(countif(nap.kxn.sim,$D32),"A",""),
if(countif(var.kxn.sim,$D32),"V",""))</f>
        <v/>
      </c>
      <c r="AE32" s="34" t="str">
        <f>
CONCATENATE(if(countif(knap.hwb.sim,$D32),"K",""),
if(countif(np.hwb.sim,$D32),"P",""),
if(countif(mic.hwb.sim,$D32),"M",""),
if(countif(imp.hwb.sim,$D32),"T",""),
if(countif(dd.cyan.sim,$D32),"D",""),
if(countif(nap.hwb.sim,$D32),"A",""),
if(countif(var.hwb.sim,$D32),"V",""))</f>
        <v/>
      </c>
      <c r="AF32" s="34" t="str">
        <f>
CONCATENATE(if(countif(us.ekxn.sim,$D32),"U",""),
if(countif(knap.ekxn.sim,$D32),"K",""),
if(countif(np.ekxn.sim,$D32),"P",""),
if(countif(mic.ekxn.sim,$D32),"M",""),
if(countif(imp.epc.sim,$D32),"T",""),
if(countif(nap.ekxn.sim,$D32),"A",""))</f>
        <v/>
      </c>
      <c r="AG32" s="34"/>
      <c r="AH32" s="34" t="str">
        <f>
CONCATENATE(if(countif(us.egt.sim,$D32),"U",""),
if(countif(knap.egt.sim,$D32),"K",""),
if(countif(np.egt.sim,$D32),"P",""),
if(countif(mic.egt.sim,$D32),"M",""))</f>
        <v/>
      </c>
      <c r="AI32" s="34"/>
      <c r="AJ32" s="34" t="str">
        <f>if(countif(nap.ecit.sim,$D32),"A","")</f>
        <v/>
      </c>
      <c r="AK32" s="34" t="str">
        <f>
CONCATENATE(if(countif(nap.erd,$D32),"M",""),
if(countif(nap.erd.sim,$D32),"A",""),
if(countif(var.erd.sim,$D32),"V",""))</f>
        <v/>
      </c>
      <c r="AL32" s="34" t="str">
        <f>
CONCATENATE(if(countif(knap.gkxn.sim,$D32),"K",""),
if(countif(nap.gkxn.sim,$D32),"A",""))</f>
        <v/>
      </c>
      <c r="AM32" s="34" t="str">
        <f>
CONCATENATE(if(countif(knap.gen.sim,$C32),"K",""),
if(countif(imp.gen.sim,$C32),"T",""),
if(countif(dd.gen.sim,$C32),"D",""),
if(countif(nap.gen.sim,$C32),"A",""),
if(countif(var.gen.sim,$C32),"V",""))
</f>
        <v/>
      </c>
      <c r="AN32" s="34" t="str">
        <f>IFERROR(__xludf.DUMMYFUNCTION("
if(countif(#REF!,CONCATENATE(regexextract($C32,""[\w]* [\w]*""), ""*"")),""V"","""")"),"")</f>
        <v/>
      </c>
      <c r="AO32" s="34" t="str">
        <f>
CONCATENATE(if(countif(knap.kmp.sim,$D32),"K",""),
if(countif(np.kmp.sim,$D32),"P",""),
if(countif(imp.kmp.sim,$D32),"T",""),
if(countif(dd.kmp,$D32),"D",""),
if(countif(nap.kmp.sim,$D32),"A",""),
if(countif(var.kmp.sim,$D32),"V",""))</f>
        <v/>
      </c>
      <c r="AP32" s="34" t="str">
        <f>
CONCATENATE(if(countif(knap.lu2.sim,$D32),"K",""),
if(countif(np.lu2.sim,$D32),"P",""),
if(countif(imp.lu2.sim,$D32),"T",""),
if(countif(dd.lu2.sim,$D32),"D",""),
if(countif(nap.lu2.sim,$D32),"A",""),
if(countif(var.lu2.sim,$D32),"V",""))</f>
        <v/>
      </c>
      <c r="AQ32" s="34" t="str">
        <f>
CONCATENATE(if(countif(np.myc.sim,$D32),"P",""),
if(countif(imp.myc.sim,$D32),"T",""),
if(countif(nap.myc.sim,$D32),"A",""))
</f>
        <v/>
      </c>
      <c r="AR32" s="36" t="str">
        <f>
CONCATENATE(if(countif(knap.nar.sim,$D32),"K",""),
if(countif(np.nar.sim,$D32),"P",""),
if(countif(imp.nar.sim,$D32),"T",""),
if(countif(dd.nar.sim,$D32),"D",""),
if(countif(nap.nar.sim,$D32),"A",""),
if(countif(var.nar.sim,$D32),"V",""))</f>
        <v/>
      </c>
      <c r="AS32" s="34" t="str">
        <f>
CONCATENATE(if(countif(knap.que.sim,$D32),"K",""),
if(countif(np.que.sim,$D32),"P",""),
if(countif(imp.que.sim,$D32),"T",""),
if(countif(dd.que.sim,$D32),"D",""),
if(countif(nap.que.sim,$D32),"A",""),
if(countif(var.que.sim,$D32),"V",""))</f>
        <v>P</v>
      </c>
      <c r="AT32" s="37"/>
      <c r="AU32" s="32" t="str">
        <f>IFERROR(__xludf.DUMMYFUNCTION("if(countif(kr.agi, CONCATENATE(regexextract($C32,""[\w]* [\w]*""), ""*"")),""X"","""")"),"")</f>
        <v/>
      </c>
      <c r="AV32" s="38" t="str">
        <f>IFERROR(__xludf.DUMMYFUNCTION("if(countif(kr.bun,CONCATENATE(regexextract($C32,""[\w]* [\w]*""), ""*"")),""X"","""")"),"X")</f>
        <v>X</v>
      </c>
      <c r="AW32" s="38" t="str">
        <f>IFERROR(__xludf.DUMMYFUNCTION("if(countif(kr.kxn,CONCATENATE(regexextract($C32,""[\w]* [\w]*""), ""*"")),""X"","""")"),"")</f>
        <v/>
      </c>
      <c r="AX32" s="38" t="str">
        <f>IFERROR(__xludf.DUMMYFUNCTION("if(countif(kr.hwb,CONCATENATE(regexextract($C32,""[\w]* [\w]*""), ""*"")),""X"","""")"),"")</f>
        <v/>
      </c>
      <c r="AY32" s="38" t="str">
        <f>IFERROR(__xludf.DUMMYFUNCTION("if(countif(kr.ec,CONCATENATE(regexextract($C32,""[\w]* [\w]*""), ""*"")),""X"","""")"),"")</f>
        <v/>
      </c>
      <c r="AZ32" s="38" t="str">
        <f>IFERROR(__xludf.DUMMYFUNCTION("if(countif(kr.egt,CONCATENATE(regexextract($C32,""[\w]* [\w]*""), ""*"")),""X"","""")"),"")</f>
        <v/>
      </c>
      <c r="BA32" s="38"/>
      <c r="BB32" s="38" t="str">
        <f>IFERROR(__xludf.DUMMYFUNCTION("if(countif(kr.erd,CONCATENATE(regexextract($C32,""[\w]* [\w]*""), ""*"")),""X"","""")"),"X")</f>
        <v>X</v>
      </c>
      <c r="BC32" s="38" t="str">
        <f>IFERROR(__xludf.DUMMYFUNCTION("if(countif(kr.gkxn,CONCATENATE(regexextract($C32,""[\w]* [\w]*""), ""*"")),""X"","""")"),"")</f>
        <v/>
      </c>
      <c r="BD32" s="38" t="str">
        <f>IFERROR(__xludf.DUMMYFUNCTION("if(countif(kr.gen,CONCATENATE(regexextract(C32,""[\w]* [\w]*""), ""*"")),""X"","""")"),"")</f>
        <v/>
      </c>
      <c r="BE32" s="38" t="str">
        <f>IFERROR(__xludf.DUMMYFUNCTION("if(countif(kr.hcc,CONCATENATE(regexextract($C32,""[\w]* [\w]*""), ""*"")),""X"","""")"),"X")</f>
        <v>X</v>
      </c>
      <c r="BF32" s="38" t="str">
        <f>IFERROR(__xludf.DUMMYFUNCTION("if(countif(kr.kmp,CONCATENATE(regexextract($C32,""[\w]* [\w]*""), ""*"")),""X"","""")"),"X")</f>
        <v>X</v>
      </c>
      <c r="BG32" s="38" t="str">
        <f>IFERROR(__xludf.DUMMYFUNCTION("if(countif(kr.lu2,CONCATENATE(regexextract($C32,""[\w]* [\w]*""), ""*"")),""X"","""")"),"")</f>
        <v/>
      </c>
      <c r="BH32" s="38" t="str">
        <f>IFERROR(__xludf.DUMMYFUNCTION("if(countif(kr.myc,CONCATENATE(regexextract($C32,""[\w]* [\w]*""), ""*"")),""X"","""")"),"")</f>
        <v/>
      </c>
      <c r="BI32" s="38" t="str">
        <f>IFERROR(__xludf.DUMMYFUNCTION("if(countif(kr.nar,CONCATENATE(regexextract($C32,""[\w]* [\w]*""), ""*"")),""X"","""")"),"X")</f>
        <v>X</v>
      </c>
      <c r="BJ32" s="38" t="str">
        <f>IFERROR(__xludf.DUMMYFUNCTION("if(countif(kr.que,CONCATENATE(regexextract($C32,""[\w]* [\w]*""), ""*"")),""X"","""")"),"X")</f>
        <v>X</v>
      </c>
      <c r="BK32" s="39"/>
      <c r="BL32" s="40" t="str">
        <f>IFERROR(__xludf.DUMMYFUNCTION(" CONCATENATE( 
if (regexmatch(I32, ""^[A-Za-z\.\_]+""), ""L"", 
if(regexmatch(AB32, ""^[A-Za-z\.\_]+""),""S"","""")),
if(AU32=""X"",""K"",""""))"),"L")</f>
        <v>L</v>
      </c>
      <c r="BM32" s="40" t="str">
        <f>IFERROR(__xludf.DUMMYFUNCTION(" CONCATENATE( 
if (regexmatch(J32, ""^[A-Za-z\.\_]+""), ""L"", 
if(regexmatch(AC32, ""^[A-Za-z\.\_]+""),""S"","""")),
if(AV32=""X"",""K"",""""))"),"K")</f>
        <v>K</v>
      </c>
      <c r="BN32" s="40" t="str">
        <f>IFERROR(__xludf.DUMMYFUNCTION(" CONCATENATE( 
if (regexmatch(K32, ""^[A-Za-z\.\_]+""), ""L"", 
if(regexmatch(AD32, ""^[A-Za-z\.\_]+""),""S"","""")),
if(AW32=""X"",""K"",""""))"),"")</f>
        <v/>
      </c>
      <c r="BO32" s="40" t="str">
        <f>IFERROR(__xludf.DUMMYFUNCTION(" CONCATENATE( 
if (regexmatch(L32, ""^[A-Za-z\.\_]+""), ""L"", 
if(regexmatch(AE32, ""^[A-Za-z\.\_]+""),""S"","""")),
if(AX32=""X"",""K"",""""))"),"")</f>
        <v/>
      </c>
      <c r="BP32" s="40" t="str">
        <f>IFERROR(__xludf.DUMMYFUNCTION(" CONCATENATE( 
if (regexmatch(M32, ""^[A-Za-z\.\_]+""), ""L"", 
if(regexmatch(AF32, ""^[A-Za-z\.\_]+""),""S"","""")),
if(AY32=""X"",""K"",""""))"),"")</f>
        <v/>
      </c>
      <c r="BQ32" s="40" t="str">
        <f>IFERROR(__xludf.DUMMYFUNCTION("CONCATENATE( 
if (regexmatch(O32, ""^[A-Za-z\.\_]+""), ""L"", 
if(regexmatch(AH32, ""^[A-Za-z\.\_]+""),""S"","""")),
if(AZ32=""X"",""K"",""""))"),"")</f>
        <v/>
      </c>
      <c r="BR32" s="40" t="str">
        <f>IFERROR(__xludf.DUMMYFUNCTION("CONCATENATE( 
if (regexmatch(Q32, ""^[A-Za-z\.\_]+""), ""L"", 
if(regexmatch(AJ32, ""^[A-Za-z\.\_]+""),""S"","""")),
if(BA32=""X"",""K"",""""))"),"")</f>
        <v/>
      </c>
      <c r="BS32" s="40" t="str">
        <f>IFERROR(__xludf.DUMMYFUNCTION(" CONCATENATE( 
if (regexmatch(R32, ""^[A-Za-z\.\_]+""), ""L"", 
if(regexmatch(AK32, ""^[A-Za-z\.\_]+""),""S"","""")),
if(BB32=""X"",""K"",""""))"),"K")</f>
        <v>K</v>
      </c>
      <c r="BT32" s="40" t="str">
        <f>IFERROR(__xludf.DUMMYFUNCTION("CONCATENATE( 
if (regexmatch(S32, ""^[A-Za-z\.\_]+""), ""L"", 
if(regexmatch(AL32, ""^[A-Za-z\.\_]+""),""S"","""")),
if(BC32=""X"",""K"",""""))"),"")</f>
        <v/>
      </c>
      <c r="BU32" s="40" t="str">
        <f>IFERROR(__xludf.DUMMYFUNCTION("CONCATENATE( 
if (regexmatch(T32, ""^[A-Za-z\.\_]+""), ""L"", 
if(regexmatch(AM32, ""^[A-Za-z\.\_]+""),""S"","""")),
if(BD32=""X"",""K"",""""))"),"")</f>
        <v/>
      </c>
      <c r="BV32" s="40" t="str">
        <f>IFERROR(__xludf.DUMMYFUNCTION("CONCATENATE( 
if (regexmatch(U32, ""^[A-Za-z\.\_]+""), ""L"", 
if(regexmatch(AN32, ""^[A-Za-z\.\_]+""),""S"","""")),
if(BE32=""X"",""K"",""""))"),"K")</f>
        <v>K</v>
      </c>
      <c r="BW32" s="40" t="str">
        <f>IFERROR(__xludf.DUMMYFUNCTION(" CONCATENATE( 
if (regexmatch(V32, ""^[A-Za-z\.\_]+""), ""L"", 
if(regexmatch(AO32, ""^[A-Za-z\.\_]+""),""S"","""")),
if(BF32=""X"",""K"",""""))"),"K")</f>
        <v>K</v>
      </c>
      <c r="BX32" s="40" t="str">
        <f>IFERROR(__xludf.DUMMYFUNCTION("CONCATENATE( 
if (regexmatch(W32, ""^[A-Za-z\.\_]+""), ""L"", 
if(regexmatch(AP32, ""^[A-Za-z\.\_]+""),""S"","""")),
if(BG32=""X"",""K"",""""))"),"L")</f>
        <v>L</v>
      </c>
      <c r="BY32" s="40" t="str">
        <f>IFERROR(__xludf.DUMMYFUNCTION("CONCATENATE( 
if (regexmatch(X32, ""^[A-Za-z\.\_]+""), ""L"", 
if(regexmatch(AQ32, ""^[A-Za-z\.\_]+""),""S"","""")),
if(BH32=""X"",""K"",""""))"),"")</f>
        <v/>
      </c>
      <c r="BZ32" s="40" t="str">
        <f>IFERROR(__xludf.DUMMYFUNCTION("CONCATENATE( 
if (regexmatch(Y32, ""^[A-Za-z\.\_]+""), ""L"", 
if(regexmatch(AR32, ""^[A-Za-z\.\_]+""),""S"","""")),
if(BI32=""X"",""K"",""""))"),"K")</f>
        <v>K</v>
      </c>
      <c r="CA32" s="40" t="str">
        <f>IFERROR(__xludf.DUMMYFUNCTION("CONCATENATE( 
if (regexmatch(Z32, ""^[A-Za-z\.\_]+""), ""L"", 
if(regexmatch(AS32, ""^[A-Za-z\.\_]+""),""S"","""")),
if(BJ32=""X"",""K"",""""))"),"SK")</f>
        <v>SK</v>
      </c>
      <c r="CB32" s="39"/>
      <c r="CC32" s="39"/>
      <c r="CD32" s="39"/>
      <c r="CE32" s="39"/>
      <c r="CF32" s="39"/>
      <c r="CG32" s="39"/>
      <c r="CH32" s="39"/>
      <c r="CI32" s="39"/>
      <c r="CJ32" s="39"/>
      <c r="CK32" s="39"/>
      <c r="CL32" s="39"/>
      <c r="CM32" s="39"/>
      <c r="CN32" s="39"/>
      <c r="CO32" s="39"/>
      <c r="CP32" s="39"/>
      <c r="CQ32" s="39"/>
      <c r="CR32" s="39"/>
    </row>
    <row r="33" ht="15.75" customHeight="1">
      <c r="A33" s="25">
        <v>54.0</v>
      </c>
      <c r="B33" s="26" t="s">
        <v>173</v>
      </c>
      <c r="C33" s="41" t="s">
        <v>174</v>
      </c>
      <c r="D33" s="27" t="str">
        <f>IFERROR(__xludf.DUMMYFUNCTION("CONCATENATE(regexextract($C33,""[\w]* [\w]*""), ""*"")"),"Cucurbita pepo*")</f>
        <v>Cucurbita pepo*</v>
      </c>
      <c r="E33" s="26" t="s">
        <v>175</v>
      </c>
      <c r="F33" s="58">
        <v>3664.0</v>
      </c>
      <c r="G33" s="53"/>
      <c r="H33" s="31"/>
      <c r="I33" s="32" t="str">
        <f>CONCATENATE(
if(countif(dd.agi,$D33),"D",""),
if(countif(knap.agi,$D33),"K",""),
if(countif(mic.agi,$D33),"M",""),
if(countif(nap.agi,$D33),"N",""),
if(countif(np.agi,$D33),"P",""),
if(countif(imp.agi,$D33),"T",""),
if(countif(us.agi,$D33),"U",""),
if(countif(var.agi,$D33),"V","")
)</f>
        <v>V</v>
      </c>
      <c r="J33" s="32" t="str">
        <f>
CONCATENATE(
if(countif(nap.bun,$D33),"N",""),
if(countif(np.bun,$D33),"P","")
)
</f>
        <v/>
      </c>
      <c r="K33" s="32" t="str">
        <f>CONCATENATE(
if(countif(dd.kxn,$D33),"D",""),
if(countif(knap.kxn,$D33),"K",""),
if(countif(mic.kxn,$D33),"M",""),
if(countif(nap.kxn,$D33),"N",""),
if(countif(np.kxn,$D33),"P",""),
if(countif(us.kxn,$D33),"U",""),
if(countif(var.kxn,$D33),"V","")
)</f>
        <v>V</v>
      </c>
      <c r="L33" s="32" t="str">
        <f>
CONCATENATE(
if(countif(dd.hwb,$D33),"D",""),
if(countif(knap.hwb,$D33),"K",""),
if(countif(mic.hwb,$D33),"M",""),
if(countif(nap.hwb,$D33),"N",""),
if(countif(np.hwb,$D33),"P",""),
if(countif(us.hwb,$D33),"U",""),
if(countif(imp.hwb,$D33),"T",""),
if(countif(var.hwb,$D33),"V","")
)</f>
        <v/>
      </c>
      <c r="M33" s="32" t="str">
        <f>CONCATENATE(
if(countif(dd.epc,$D33),"D",""),
if(countif(knap.ekxn,$D33),"K",""),
if(countif(mic.ekxn,$D33),"M",""),
if(countif(nap.ekxn,$D33),"N",""),
if(countif(np.ekxn,$D33),"P",""),
if(countif(imp.epc,$D33),"T",""),
if(countif(us.ekxn,$D33),"U",""),
if(countif(var.ekxn,$D33),"V","")
)</f>
        <v/>
      </c>
      <c r="N33" s="32" t="str">
        <f>
CONCATENATE(
if(countif(dd.ecg,$D33),"D",""),
if(countif(mic.ecg,$D33),"M",""),
if(countif(np.ecg,$D33),"P",""),
if(countif(imp.ecg,$D33),"T",""),
if(countif(us.ecg,$D33),"U","")
)</f>
        <v/>
      </c>
      <c r="O33" s="32" t="str">
        <f>
CONCATENATE(
if(countif(dd.egt,$D33),"D",""),
if(countif(mic.egt,$D33),"M",""),
if(countif(nap.egt,$D33),"N",""),
if(countif(us.egt,$D33),"U",""),
if(countif(var.egt,$D33),"V",""))
</f>
        <v/>
      </c>
      <c r="P33" s="32" t="str">
        <f>CONCATENATE(
if(countif(knap.egcg,$D33),"K",""),
if(countif(mic.egcg,$D33),"M",""),
if(countif(np.egcg,$D33),"P",""),
if(countif(us.egcg,$D33),"U","")
)</f>
        <v/>
      </c>
      <c r="Q33" s="32" t="str">
        <f>CONCATENATE(if(countif(np.ecit,$D33),"P",""),
if(countif(nap.ecit,$D33),"A",""))</f>
        <v/>
      </c>
      <c r="R33" s="32" t="str">
        <f>
CONCATENATE(
if(countif(nap.erd,$D33),"N",""),
if(countif(np.erd,$D33),"P",""),
if(countif(var.erd,$D33),"V",""))</f>
        <v/>
      </c>
      <c r="S33" s="32" t="str">
        <f>
CONCATENATE(
if(countif(dd.gkxn,$D33),"D",""),
if(countif(knap.gkxn,$D33),"K",""),
if(countif(nap.gkxn,$D33),"N",""),
if(countif(np.gkxn,$D33),"P",""),
if(countif(imp.gkxn,$D33),"T",""),
if(countif(var.gkxn,$D33),"V",""))</f>
        <v/>
      </c>
      <c r="T33" s="32" t="str">
        <f>
CONCATENATE(
if(countif(dd.gen,$C33),"D",""),
if(countif(knap.gen,$C33),"K",""),
if(countif(nap.gen,$C33),"N",""),
if(countif(np.gen,$C33),"P",""),
if(countif(imp.gen,$C33),"T",""),
if(countif(var.gen,$C33),"V",""))</f>
        <v/>
      </c>
      <c r="U33" s="32" t="str">
        <f>
CONCATENATE(
if(countif(dd.hcc,$D33),"D",""),
if(countif(knap.hcc,$D33),"K",""),
if(countif(np.hcc,$D33),"P","")
)
</f>
        <v/>
      </c>
      <c r="V33" s="32" t="str">
        <f>
CONCATENATE(
if(countif(dd.kmp,$D33),"D",""),
if(countif(knap.kmp,$D33),"K",""),
if(countif(mic.kmp,$D33),"M",""),
if(countif(nap.kmp,$D33),"N",""),
if(countif(np.kmp,$D33),"P",""),
if(countif(imp.kmp,$D33),"T",""),
if(countif(us.kmp,$D33),"U",""),
if(countif(var.kmp,$D33),"V",""))</f>
        <v>D</v>
      </c>
      <c r="W33" s="32" t="str">
        <f>
CONCATENATE(
if(countif(dd.lu2,$D33),"D",""),
if(countif(knap.lu2,$D33),"K",""),
if(countif(mic.lu2,$D33),"M",""),
if(countif(nap.lu2,$D33),"N",""),
if(countif(np.lu2,$D33),"P",""),
if(countif(imp.lu2,$D33),"T",""),
if(countif(us.lu2,$D33),"U",""),
if(countif(var.lu2,$D33),"V",""))</f>
        <v>V</v>
      </c>
      <c r="X33" s="32" t="str">
        <f>
CONCATENATE(
if(countif(dd.myc,$D33),"D",""),
if(countif(knap.myc,$D33),"K",""), 
if(countif(mic.myc,$D33),"M",""),
if(countif(nap.myc,$D33),"N",""),
if(countif(np.myc,$D33),"P",""),
if(countif(imp.myc,$D33),"T",""),
if(countif(us.myc,$D33),"U",""),
if(countif(var.myc,$D33),"V",""))</f>
        <v/>
      </c>
      <c r="Y33" s="32" t="str">
        <f>CONCATENATE(
if(countif(dd.nar,$D33),"D",""),
if(countif(knap.nar,$D33),"K",""),
if(countif(nap.nar,$D33),"N",""),
if(countif(np.nar,$D33),"P",""),
if(countif(imp.nar,$D33),"T",""),
if(countif(us.nar,$D33),"U",""),
if(countif(var.nar,$D33),"V",""))</f>
        <v/>
      </c>
      <c r="Z33" s="33" t="str">
        <f>
CONCATENATE(
if(countif(dd.que,$D33),"D",""),
if(countif(knap.que,$D33),"K",""),
if(countif(mic.que,$D33),"M",""),
if(countif(nap.que,$D33),"N",""),
if(countif(np.que,$D33),"P",""),
if(countif(imp.que,$D33),"T",""),
if(countif(us.que,$D33),"U",""),
if(countif(var.que,$D33),"V",""))</f>
        <v>D</v>
      </c>
      <c r="AA33" s="32"/>
      <c r="AB33" s="34" t="str">
        <f>
CONCATENATE(if(countif(knap.agi.sim,$D33),"K",""),
if(countif(dd.agi.sim,$D33),"D",""),
if(countif(nap.agi.sim,$D33),"A",""),
if(countif(var.agi.sim,$D33),"V",""))</f>
        <v>A</v>
      </c>
      <c r="AC33" s="34" t="str">
        <f>
if(countif(nap.bun.sim,$D33),"A","")</f>
        <v/>
      </c>
      <c r="AD33" s="34" t="str">
        <f>
CONCATENATE(if(countif(knap.kxn.sim,$D33),"K",""),
if(countif(np.kxn.sim,$D33),"P",""),
if(countif(dd.kxn.sim,$D33),"D",""),
if(countif(nap.kxn.sim,$D33),"A",""),
if(countif(var.kxn.sim,$D33),"V",""))</f>
        <v/>
      </c>
      <c r="AE33" s="34" t="str">
        <f>
CONCATENATE(if(countif(knap.hwb.sim,$D33),"K",""),
if(countif(np.hwb.sim,$D33),"P",""),
if(countif(mic.hwb.sim,$D33),"M",""),
if(countif(imp.hwb.sim,$D33),"T",""),
if(countif(dd.cyan.sim,$D33),"D",""),
if(countif(nap.hwb.sim,$D33),"A",""),
if(countif(var.hwb.sim,$D33),"V",""))</f>
        <v/>
      </c>
      <c r="AF33" s="34" t="str">
        <f>
CONCATENATE(if(countif(us.ekxn.sim,$D33),"U",""),
if(countif(knap.ekxn.sim,$D33),"K",""),
if(countif(np.ekxn.sim,$D33),"P",""),
if(countif(mic.ekxn.sim,$D33),"M",""),
if(countif(imp.epc.sim,$D33),"T",""),
if(countif(nap.ekxn.sim,$D33),"A",""))</f>
        <v/>
      </c>
      <c r="AG33" s="34"/>
      <c r="AH33" s="34" t="str">
        <f>
CONCATENATE(if(countif(us.egt.sim,$D33),"U",""),
if(countif(knap.egt.sim,$D33),"K",""),
if(countif(np.egt.sim,$D33),"P",""),
if(countif(mic.egt.sim,$D33),"M",""))</f>
        <v/>
      </c>
      <c r="AI33" s="34"/>
      <c r="AJ33" s="34" t="str">
        <f>if(countif(nap.ecit.sim,$D33),"A","")</f>
        <v/>
      </c>
      <c r="AK33" s="34" t="str">
        <f>
CONCATENATE(if(countif(nap.erd,$D33),"M",""),
if(countif(nap.erd.sim,$D33),"A",""),
if(countif(var.erd.sim,$D33),"V",""))</f>
        <v/>
      </c>
      <c r="AL33" s="34" t="str">
        <f>
CONCATENATE(if(countif(knap.gkxn.sim,$D33),"K",""),
if(countif(nap.gkxn.sim,$D33),"A",""))</f>
        <v/>
      </c>
      <c r="AM33" s="34" t="str">
        <f>
CONCATENATE(if(countif(knap.gen.sim,$C33),"K",""),
if(countif(imp.gen.sim,$C33),"T",""),
if(countif(dd.gen.sim,$C33),"D",""),
if(countif(nap.gen.sim,$C33),"A",""),
if(countif(var.gen.sim,$C33),"V",""))
</f>
        <v/>
      </c>
      <c r="AN33" s="34" t="str">
        <f>IFERROR(__xludf.DUMMYFUNCTION("
if(countif(#REF!,CONCATENATE(regexextract($C33,""[\w]* [\w]*""), ""*"")),""V"","""")"),"")</f>
        <v/>
      </c>
      <c r="AO33" s="34" t="str">
        <f>
CONCATENATE(if(countif(knap.kmp.sim,$D33),"K",""),
if(countif(np.kmp.sim,$D33),"P",""),
if(countif(imp.kmp.sim,$D33),"T",""),
if(countif(dd.kmp,$D33),"D",""),
if(countif(nap.kmp.sim,$D33),"A",""),
if(countif(var.kmp.sim,$D33),"V",""))</f>
        <v>D</v>
      </c>
      <c r="AP33" s="34" t="str">
        <f>
CONCATENATE(if(countif(knap.lu2.sim,$D33),"K",""),
if(countif(np.lu2.sim,$D33),"P",""),
if(countif(imp.lu2.sim,$D33),"T",""),
if(countif(dd.lu2.sim,$D33),"D",""),
if(countif(nap.lu2.sim,$D33),"A",""),
if(countif(var.lu2.sim,$D33),"V",""))</f>
        <v/>
      </c>
      <c r="AQ33" s="34" t="str">
        <f>
CONCATENATE(if(countif(np.myc.sim,$D33),"P",""),
if(countif(imp.myc.sim,$D33),"T",""),
if(countif(nap.myc.sim,$D33),"A",""))
</f>
        <v/>
      </c>
      <c r="AR33" s="36" t="str">
        <f>
CONCATENATE(if(countif(knap.nar.sim,$D33),"K",""),
if(countif(np.nar.sim,$D33),"P",""),
if(countif(imp.nar.sim,$D33),"T",""),
if(countif(dd.nar.sim,$D33),"D",""),
if(countif(nap.nar.sim,$D33),"A",""),
if(countif(var.nar.sim,$D33),"V",""))</f>
        <v/>
      </c>
      <c r="AS33" s="34" t="str">
        <f>
CONCATENATE(if(countif(knap.que.sim,$D33),"K",""),
if(countif(np.que.sim,$D33),"P",""),
if(countif(imp.que.sim,$D33),"T",""),
if(countif(dd.que.sim,$D33),"D",""),
if(countif(nap.que.sim,$D33),"A",""),
if(countif(var.que.sim,$D33),"V",""))</f>
        <v/>
      </c>
      <c r="AT33" s="37"/>
      <c r="AU33" s="32" t="str">
        <f>IFERROR(__xludf.DUMMYFUNCTION("if(countif(kr.agi, CONCATENATE(regexextract($C33,""[\w]* [\w]*""), ""*"")),""X"","""")"),"")</f>
        <v/>
      </c>
      <c r="AV33" s="38" t="str">
        <f>IFERROR(__xludf.DUMMYFUNCTION("if(countif(kr.bun,CONCATENATE(regexextract($C33,""[\w]* [\w]*""), ""*"")),""X"","""")"),"X")</f>
        <v>X</v>
      </c>
      <c r="AW33" s="38" t="str">
        <f>IFERROR(__xludf.DUMMYFUNCTION("if(countif(kr.kxn,CONCATENATE(regexextract($C33,""[\w]* [\w]*""), ""*"")),""X"","""")"),"")</f>
        <v/>
      </c>
      <c r="AX33" s="38" t="str">
        <f>IFERROR(__xludf.DUMMYFUNCTION("if(countif(kr.hwb,CONCATENATE(regexextract($C33,""[\w]* [\w]*""), ""*"")),""X"","""")"),"")</f>
        <v/>
      </c>
      <c r="AY33" s="38" t="str">
        <f>IFERROR(__xludf.DUMMYFUNCTION("if(countif(kr.ec,CONCATENATE(regexextract($C33,""[\w]* [\w]*""), ""*"")),""X"","""")"),"")</f>
        <v/>
      </c>
      <c r="AZ33" s="38" t="str">
        <f>IFERROR(__xludf.DUMMYFUNCTION("if(countif(kr.egt,CONCATENATE(regexextract($C33,""[\w]* [\w]*""), ""*"")),""X"","""")"),"")</f>
        <v/>
      </c>
      <c r="BA33" s="38"/>
      <c r="BB33" s="38" t="str">
        <f>IFERROR(__xludf.DUMMYFUNCTION("if(countif(kr.erd,CONCATENATE(regexextract($C33,""[\w]* [\w]*""), ""*"")),""X"","""")"),"X")</f>
        <v>X</v>
      </c>
      <c r="BC33" s="38" t="str">
        <f>IFERROR(__xludf.DUMMYFUNCTION("if(countif(kr.gkxn,CONCATENATE(regexextract($C33,""[\w]* [\w]*""), ""*"")),""X"","""")"),"")</f>
        <v/>
      </c>
      <c r="BD33" s="38" t="str">
        <f>IFERROR(__xludf.DUMMYFUNCTION("if(countif(kr.gen,CONCATENATE(regexextract(C33,""[\w]* [\w]*""), ""*"")),""X"","""")"),"")</f>
        <v/>
      </c>
      <c r="BE33" s="38" t="str">
        <f>IFERROR(__xludf.DUMMYFUNCTION("if(countif(kr.hcc,CONCATENATE(regexextract($C33,""[\w]* [\w]*""), ""*"")),""X"","""")"),"X")</f>
        <v>X</v>
      </c>
      <c r="BF33" s="38" t="str">
        <f>IFERROR(__xludf.DUMMYFUNCTION("if(countif(kr.kmp,CONCATENATE(regexextract($C33,""[\w]* [\w]*""), ""*"")),""X"","""")"),"X")</f>
        <v>X</v>
      </c>
      <c r="BG33" s="38" t="str">
        <f>IFERROR(__xludf.DUMMYFUNCTION("if(countif(kr.lu2,CONCATENATE(regexextract($C33,""[\w]* [\w]*""), ""*"")),""X"","""")"),"")</f>
        <v/>
      </c>
      <c r="BH33" s="38" t="str">
        <f>IFERROR(__xludf.DUMMYFUNCTION("if(countif(kr.myc,CONCATENATE(regexextract($C33,""[\w]* [\w]*""), ""*"")),""X"","""")"),"")</f>
        <v/>
      </c>
      <c r="BI33" s="38" t="str">
        <f>IFERROR(__xludf.DUMMYFUNCTION("if(countif(kr.nar,CONCATENATE(regexextract($C33,""[\w]* [\w]*""), ""*"")),""X"","""")"),"X")</f>
        <v>X</v>
      </c>
      <c r="BJ33" s="38" t="str">
        <f>IFERROR(__xludf.DUMMYFUNCTION("if(countif(kr.que,CONCATENATE(regexextract($C33,""[\w]* [\w]*""), ""*"")),""X"","""")"),"X")</f>
        <v>X</v>
      </c>
      <c r="BK33" s="39"/>
      <c r="BL33" s="40" t="str">
        <f>IFERROR(__xludf.DUMMYFUNCTION(" CONCATENATE( 
if (regexmatch(I33, ""^[A-Za-z\.\_]+""), ""L"", 
if(regexmatch(AB33, ""^[A-Za-z\.\_]+""),""S"","""")),
if(AU33=""X"",""K"",""""))"),"L")</f>
        <v>L</v>
      </c>
      <c r="BM33" s="40" t="str">
        <f>IFERROR(__xludf.DUMMYFUNCTION(" CONCATENATE( 
if (regexmatch(J33, ""^[A-Za-z\.\_]+""), ""L"", 
if(regexmatch(AC33, ""^[A-Za-z\.\_]+""),""S"","""")),
if(AV33=""X"",""K"",""""))"),"K")</f>
        <v>K</v>
      </c>
      <c r="BN33" s="40" t="str">
        <f>IFERROR(__xludf.DUMMYFUNCTION(" CONCATENATE( 
if (regexmatch(K33, ""^[A-Za-z\.\_]+""), ""L"", 
if(regexmatch(AD33, ""^[A-Za-z\.\_]+""),""S"","""")),
if(AW33=""X"",""K"",""""))"),"L")</f>
        <v>L</v>
      </c>
      <c r="BO33" s="40" t="str">
        <f>IFERROR(__xludf.DUMMYFUNCTION(" CONCATENATE( 
if (regexmatch(L33, ""^[A-Za-z\.\_]+""), ""L"", 
if(regexmatch(AE33, ""^[A-Za-z\.\_]+""),""S"","""")),
if(AX33=""X"",""K"",""""))"),"")</f>
        <v/>
      </c>
      <c r="BP33" s="40" t="str">
        <f>IFERROR(__xludf.DUMMYFUNCTION(" CONCATENATE( 
if (regexmatch(M33, ""^[A-Za-z\.\_]+""), ""L"", 
if(regexmatch(AF33, ""^[A-Za-z\.\_]+""),""S"","""")),
if(AY33=""X"",""K"",""""))"),"")</f>
        <v/>
      </c>
      <c r="BQ33" s="40" t="str">
        <f>IFERROR(__xludf.DUMMYFUNCTION("CONCATENATE( 
if (regexmatch(O33, ""^[A-Za-z\.\_]+""), ""L"", 
if(regexmatch(AH33, ""^[A-Za-z\.\_]+""),""S"","""")),
if(AZ33=""X"",""K"",""""))"),"")</f>
        <v/>
      </c>
      <c r="BR33" s="40" t="str">
        <f>IFERROR(__xludf.DUMMYFUNCTION("CONCATENATE( 
if (regexmatch(Q33, ""^[A-Za-z\.\_]+""), ""L"", 
if(regexmatch(AJ33, ""^[A-Za-z\.\_]+""),""S"","""")),
if(BA33=""X"",""K"",""""))"),"")</f>
        <v/>
      </c>
      <c r="BS33" s="40" t="str">
        <f>IFERROR(__xludf.DUMMYFUNCTION(" CONCATENATE( 
if (regexmatch(R33, ""^[A-Za-z\.\_]+""), ""L"", 
if(regexmatch(AK33, ""^[A-Za-z\.\_]+""),""S"","""")),
if(BB33=""X"",""K"",""""))"),"K")</f>
        <v>K</v>
      </c>
      <c r="BT33" s="40" t="str">
        <f>IFERROR(__xludf.DUMMYFUNCTION("CONCATENATE( 
if (regexmatch(S33, ""^[A-Za-z\.\_]+""), ""L"", 
if(regexmatch(AL33, ""^[A-Za-z\.\_]+""),""S"","""")),
if(BC33=""X"",""K"",""""))"),"")</f>
        <v/>
      </c>
      <c r="BU33" s="40" t="str">
        <f>IFERROR(__xludf.DUMMYFUNCTION("CONCATENATE( 
if (regexmatch(T33, ""^[A-Za-z\.\_]+""), ""L"", 
if(regexmatch(AM33, ""^[A-Za-z\.\_]+""),""S"","""")),
if(BD33=""X"",""K"",""""))"),"")</f>
        <v/>
      </c>
      <c r="BV33" s="40" t="str">
        <f>IFERROR(__xludf.DUMMYFUNCTION("CONCATENATE( 
if (regexmatch(U33, ""^[A-Za-z\.\_]+""), ""L"", 
if(regexmatch(AN33, ""^[A-Za-z\.\_]+""),""S"","""")),
if(BE33=""X"",""K"",""""))"),"K")</f>
        <v>K</v>
      </c>
      <c r="BW33" s="40" t="str">
        <f>IFERROR(__xludf.DUMMYFUNCTION(" CONCATENATE( 
if (regexmatch(V33, ""^[A-Za-z\.\_]+""), ""L"", 
if(regexmatch(AO33, ""^[A-Za-z\.\_]+""),""S"","""")),
if(BF33=""X"",""K"",""""))"),"LK")</f>
        <v>LK</v>
      </c>
      <c r="BX33" s="40" t="str">
        <f>IFERROR(__xludf.DUMMYFUNCTION("CONCATENATE( 
if (regexmatch(W33, ""^[A-Za-z\.\_]+""), ""L"", 
if(regexmatch(AP33, ""^[A-Za-z\.\_]+""),""S"","""")),
if(BG33=""X"",""K"",""""))"),"L")</f>
        <v>L</v>
      </c>
      <c r="BY33" s="40" t="str">
        <f>IFERROR(__xludf.DUMMYFUNCTION("CONCATENATE( 
if (regexmatch(X33, ""^[A-Za-z\.\_]+""), ""L"", 
if(regexmatch(AQ33, ""^[A-Za-z\.\_]+""),""S"","""")),
if(BH33=""X"",""K"",""""))"),"")</f>
        <v/>
      </c>
      <c r="BZ33" s="40" t="str">
        <f>IFERROR(__xludf.DUMMYFUNCTION("CONCATENATE( 
if (regexmatch(Y33, ""^[A-Za-z\.\_]+""), ""L"", 
if(regexmatch(AR33, ""^[A-Za-z\.\_]+""),""S"","""")),
if(BI33=""X"",""K"",""""))"),"K")</f>
        <v>K</v>
      </c>
      <c r="CA33" s="40" t="str">
        <f>IFERROR(__xludf.DUMMYFUNCTION("CONCATENATE( 
if (regexmatch(Z33, ""^[A-Za-z\.\_]+""), ""L"", 
if(regexmatch(AS33, ""^[A-Za-z\.\_]+""),""S"","""")),
if(BJ33=""X"",""K"",""""))"),"LK")</f>
        <v>LK</v>
      </c>
      <c r="CB33" s="39"/>
      <c r="CC33" s="39"/>
      <c r="CD33" s="39"/>
      <c r="CE33" s="39"/>
      <c r="CF33" s="39"/>
      <c r="CG33" s="39"/>
      <c r="CH33" s="39"/>
      <c r="CI33" s="39"/>
      <c r="CJ33" s="39"/>
      <c r="CK33" s="39"/>
      <c r="CL33" s="39"/>
      <c r="CM33" s="39"/>
      <c r="CN33" s="39"/>
      <c r="CO33" s="39"/>
      <c r="CP33" s="39"/>
      <c r="CQ33" s="39"/>
      <c r="CR33" s="39"/>
    </row>
    <row r="34" ht="15.75" customHeight="1">
      <c r="A34" s="25">
        <v>138.0</v>
      </c>
      <c r="B34" s="26" t="s">
        <v>176</v>
      </c>
      <c r="C34" s="27" t="s">
        <v>177</v>
      </c>
      <c r="D34" s="27" t="str">
        <f>IFERROR(__xludf.DUMMYFUNCTION("CONCATENATE(regexextract($C34,""[\w]* [\w]*""), ""*"")"),"Cyanidioschyzon merolae*")</f>
        <v>Cyanidioschyzon merolae*</v>
      </c>
      <c r="E34" s="26" t="s">
        <v>178</v>
      </c>
      <c r="F34" s="57">
        <v>45157.0</v>
      </c>
      <c r="G34" s="53"/>
      <c r="H34" s="31"/>
      <c r="I34" s="32" t="str">
        <f>CONCATENATE(
if(countif(dd.agi,$D34),"D",""),
if(countif(knap.agi,$D34),"K",""),
if(countif(mic.agi,$D34),"M",""),
if(countif(nap.agi,$D34),"N",""),
if(countif(np.agi,$D34),"P",""),
if(countif(imp.agi,$D34),"T",""),
if(countif(us.agi,$D34),"U",""),
if(countif(var.agi,$D34),"V","")
)</f>
        <v/>
      </c>
      <c r="J34" s="32" t="str">
        <f>
CONCATENATE(
if(countif(nap.bun,$D34),"N",""),
if(countif(np.bun,$D34),"P","")
)
</f>
        <v/>
      </c>
      <c r="K34" s="32" t="str">
        <f>CONCATENATE(
if(countif(dd.kxn,$D34),"D",""),
if(countif(knap.kxn,$D34),"K",""),
if(countif(mic.kxn,$D34),"M",""),
if(countif(nap.kxn,$D34),"N",""),
if(countif(np.kxn,$D34),"P",""),
if(countif(us.kxn,$D34),"U",""),
if(countif(var.kxn,$D34),"V","")
)</f>
        <v/>
      </c>
      <c r="L34" s="32" t="str">
        <f>
CONCATENATE(
if(countif(dd.hwb,$D34),"D",""),
if(countif(knap.hwb,$D34),"K",""),
if(countif(mic.hwb,$D34),"M",""),
if(countif(nap.hwb,$D34),"N",""),
if(countif(np.hwb,$D34),"P",""),
if(countif(us.hwb,$D34),"U",""),
if(countif(imp.hwb,$D34),"T",""),
if(countif(var.hwb,$D34),"V","")
)</f>
        <v/>
      </c>
      <c r="M34" s="32" t="str">
        <f>CONCATENATE(
if(countif(dd.epc,$D34),"D",""),
if(countif(knap.ekxn,$D34),"K",""),
if(countif(mic.ekxn,$D34),"M",""),
if(countif(nap.ekxn,$D34),"N",""),
if(countif(np.ekxn,$D34),"P",""),
if(countif(imp.epc,$D34),"T",""),
if(countif(us.ekxn,$D34),"U",""),
if(countif(var.ekxn,$D34),"V","")
)</f>
        <v/>
      </c>
      <c r="N34" s="32" t="str">
        <f>
CONCATENATE(
if(countif(dd.ecg,$D34),"D",""),
if(countif(mic.ecg,$D34),"M",""),
if(countif(np.ecg,$D34),"P",""),
if(countif(imp.ecg,$D34),"T",""),
if(countif(us.ecg,$D34),"U","")
)</f>
        <v/>
      </c>
      <c r="O34" s="32" t="str">
        <f>
CONCATENATE(
if(countif(dd.egt,$D34),"D",""),
if(countif(mic.egt,$D34),"M",""),
if(countif(nap.egt,$D34),"N",""),
if(countif(us.egt,$D34),"U",""),
if(countif(var.egt,$D34),"V",""))
</f>
        <v/>
      </c>
      <c r="P34" s="32" t="str">
        <f>CONCATENATE(
if(countif(knap.egcg,$D34),"K",""),
if(countif(mic.egcg,$D34),"M",""),
if(countif(np.egcg,$D34),"P",""),
if(countif(us.egcg,$D34),"U","")
)</f>
        <v/>
      </c>
      <c r="Q34" s="32" t="str">
        <f>CONCATENATE(if(countif(np.ecit,$D34),"P",""),
if(countif(nap.ecit,$D34),"A",""))</f>
        <v/>
      </c>
      <c r="R34" s="32" t="str">
        <f>
CONCATENATE(
if(countif(nap.erd,$D34),"N",""),
if(countif(np.erd,$D34),"P",""),
if(countif(var.erd,$D34),"V",""))</f>
        <v/>
      </c>
      <c r="S34" s="32" t="str">
        <f>
CONCATENATE(
if(countif(dd.gkxn,$D34),"D",""),
if(countif(knap.gkxn,$D34),"K",""),
if(countif(nap.gkxn,$D34),"N",""),
if(countif(np.gkxn,$D34),"P",""),
if(countif(imp.gkxn,$D34),"T",""),
if(countif(var.gkxn,$D34),"V",""))</f>
        <v/>
      </c>
      <c r="T34" s="32" t="str">
        <f>
CONCATENATE(
if(countif(dd.gen,$C34),"D",""),
if(countif(knap.gen,$C34),"K",""),
if(countif(nap.gen,$C34),"N",""),
if(countif(np.gen,$C34),"P",""),
if(countif(imp.gen,$C34),"T",""),
if(countif(var.gen,$C34),"V",""))</f>
        <v/>
      </c>
      <c r="U34" s="32" t="str">
        <f>
CONCATENATE(
if(countif(dd.hcc,$D34),"D",""),
if(countif(knap.hcc,$D34),"K",""),
if(countif(np.hcc,$D34),"P","")
)
</f>
        <v/>
      </c>
      <c r="V34" s="32" t="str">
        <f>
CONCATENATE(
if(countif(dd.kmp,$D34),"D",""),
if(countif(knap.kmp,$D34),"K",""),
if(countif(mic.kmp,$D34),"M",""),
if(countif(nap.kmp,$D34),"N",""),
if(countif(np.kmp,$D34),"P",""),
if(countif(imp.kmp,$D34),"T",""),
if(countif(us.kmp,$D34),"U",""),
if(countif(var.kmp,$D34),"V",""))</f>
        <v/>
      </c>
      <c r="W34" s="32" t="str">
        <f>
CONCATENATE(
if(countif(dd.lu2,$D34),"D",""),
if(countif(knap.lu2,$D34),"K",""),
if(countif(mic.lu2,$D34),"M",""),
if(countif(nap.lu2,$D34),"N",""),
if(countif(np.lu2,$D34),"P",""),
if(countif(imp.lu2,$D34),"T",""),
if(countif(us.lu2,$D34),"U",""),
if(countif(var.lu2,$D34),"V",""))</f>
        <v/>
      </c>
      <c r="X34" s="32" t="str">
        <f>
CONCATENATE(
if(countif(dd.myc,$D34),"D",""),
if(countif(knap.myc,$D34),"K",""), 
if(countif(mic.myc,$D34),"M",""),
if(countif(nap.myc,$D34),"N",""),
if(countif(np.myc,$D34),"P",""),
if(countif(imp.myc,$D34),"T",""),
if(countif(us.myc,$D34),"U",""),
if(countif(var.myc,$D34),"V",""))</f>
        <v/>
      </c>
      <c r="Y34" s="32" t="str">
        <f>CONCATENATE(
if(countif(dd.nar,$D34),"D",""),
if(countif(knap.nar,$D34),"K",""),
if(countif(nap.nar,$D34),"N",""),
if(countif(np.nar,$D34),"P",""),
if(countif(imp.nar,$D34),"T",""),
if(countif(us.nar,$D34),"U",""),
if(countif(var.nar,$D34),"V",""))</f>
        <v/>
      </c>
      <c r="Z34" s="33" t="str">
        <f>
CONCATENATE(
if(countif(dd.que,$D34),"D",""),
if(countif(knap.que,$D34),"K",""),
if(countif(mic.que,$D34),"M",""),
if(countif(nap.que,$D34),"N",""),
if(countif(np.que,$D34),"P",""),
if(countif(imp.que,$D34),"T",""),
if(countif(us.que,$D34),"U",""),
if(countif(var.que,$D34),"V",""))</f>
        <v/>
      </c>
      <c r="AA34" s="32"/>
      <c r="AB34" s="34" t="str">
        <f>
CONCATENATE(if(countif(knap.agi.sim,$D34),"K",""),
if(countif(dd.agi.sim,$D34),"D",""),
if(countif(nap.agi.sim,$D34),"A",""),
if(countif(var.agi.sim,$D34),"V",""))</f>
        <v/>
      </c>
      <c r="AC34" s="34" t="str">
        <f>
if(countif(nap.bun.sim,$D34),"A","")</f>
        <v/>
      </c>
      <c r="AD34" s="34" t="str">
        <f>
CONCATENATE(if(countif(knap.kxn.sim,$D34),"K",""),
if(countif(np.kxn.sim,$D34),"P",""),
if(countif(dd.kxn.sim,$D34),"D",""),
if(countif(nap.kxn.sim,$D34),"A",""),
if(countif(var.kxn.sim,$D34),"V",""))</f>
        <v/>
      </c>
      <c r="AE34" s="34" t="str">
        <f>
CONCATENATE(if(countif(knap.hwb.sim,$D34),"K",""),
if(countif(np.hwb.sim,$D34),"P",""),
if(countif(mic.hwb.sim,$D34),"M",""),
if(countif(imp.hwb.sim,$D34),"T",""),
if(countif(dd.cyan.sim,$D34),"D",""),
if(countif(nap.hwb.sim,$D34),"A",""),
if(countif(var.hwb.sim,$D34),"V",""))</f>
        <v/>
      </c>
      <c r="AF34" s="34" t="str">
        <f>
CONCATENATE(if(countif(us.ekxn.sim,$D34),"U",""),
if(countif(knap.ekxn.sim,$D34),"K",""),
if(countif(np.ekxn.sim,$D34),"P",""),
if(countif(mic.ekxn.sim,$D34),"M",""),
if(countif(imp.epc.sim,$D34),"T",""),
if(countif(nap.ekxn.sim,$D34),"A",""))</f>
        <v/>
      </c>
      <c r="AG34" s="34"/>
      <c r="AH34" s="34" t="str">
        <f>
CONCATENATE(if(countif(us.egt.sim,$D34),"U",""),
if(countif(knap.egt.sim,$D34),"K",""),
if(countif(np.egt.sim,$D34),"P",""),
if(countif(mic.egt.sim,$D34),"M",""))</f>
        <v/>
      </c>
      <c r="AI34" s="34"/>
      <c r="AJ34" s="34" t="str">
        <f>if(countif(nap.ecit.sim,$D34),"A","")</f>
        <v/>
      </c>
      <c r="AK34" s="34" t="str">
        <f>
CONCATENATE(if(countif(nap.erd,$D34),"M",""),
if(countif(nap.erd.sim,$D34),"A",""),
if(countif(var.erd.sim,$D34),"V",""))</f>
        <v/>
      </c>
      <c r="AL34" s="34" t="str">
        <f>
CONCATENATE(if(countif(knap.gkxn.sim,$D34),"K",""),
if(countif(nap.gkxn.sim,$D34),"A",""))</f>
        <v/>
      </c>
      <c r="AM34" s="34" t="str">
        <f>
CONCATENATE(if(countif(knap.gen.sim,$C34),"K",""),
if(countif(imp.gen.sim,$C34),"T",""),
if(countif(dd.gen.sim,$C34),"D",""),
if(countif(nap.gen.sim,$C34),"A",""),
if(countif(var.gen.sim,$C34),"V",""))
</f>
        <v/>
      </c>
      <c r="AN34" s="34" t="str">
        <f>IFERROR(__xludf.DUMMYFUNCTION("
if(countif(#REF!,CONCATENATE(regexextract($C34,""[\w]* [\w]*""), ""*"")),""V"","""")"),"")</f>
        <v/>
      </c>
      <c r="AO34" s="34" t="str">
        <f>
CONCATENATE(if(countif(knap.kmp.sim,$D34),"K",""),
if(countif(np.kmp.sim,$D34),"P",""),
if(countif(imp.kmp.sim,$D34),"T",""),
if(countif(dd.kmp,$D34),"D",""),
if(countif(nap.kmp.sim,$D34),"A",""),
if(countif(var.kmp.sim,$D34),"V",""))</f>
        <v/>
      </c>
      <c r="AP34" s="34" t="str">
        <f>
CONCATENATE(if(countif(knap.lu2.sim,$D34),"K",""),
if(countif(np.lu2.sim,$D34),"P",""),
if(countif(imp.lu2.sim,$D34),"T",""),
if(countif(dd.lu2.sim,$D34),"D",""),
if(countif(nap.lu2.sim,$D34),"A",""),
if(countif(var.lu2.sim,$D34),"V",""))</f>
        <v/>
      </c>
      <c r="AQ34" s="34" t="str">
        <f>
CONCATENATE(if(countif(np.myc.sim,$D34),"P",""),
if(countif(imp.myc.sim,$D34),"T",""),
if(countif(nap.myc.sim,$D34),"A",""))
</f>
        <v/>
      </c>
      <c r="AR34" s="36" t="str">
        <f>
CONCATENATE(if(countif(knap.nar.sim,$D34),"K",""),
if(countif(np.nar.sim,$D34),"P",""),
if(countif(imp.nar.sim,$D34),"T",""),
if(countif(dd.nar.sim,$D34),"D",""),
if(countif(nap.nar.sim,$D34),"A",""),
if(countif(var.nar.sim,$D34),"V",""))</f>
        <v/>
      </c>
      <c r="AS34" s="34" t="str">
        <f>
CONCATENATE(if(countif(knap.que.sim,$D34),"K",""),
if(countif(np.que.sim,$D34),"P",""),
if(countif(imp.que.sim,$D34),"T",""),
if(countif(dd.que.sim,$D34),"D",""),
if(countif(nap.que.sim,$D34),"A",""),
if(countif(var.que.sim,$D34),"V",""))</f>
        <v/>
      </c>
      <c r="AT34" s="37"/>
      <c r="AU34" s="32" t="str">
        <f>IFERROR(__xludf.DUMMYFUNCTION("if(countif(kr.agi, CONCATENATE(regexextract($C34,""[\w]* [\w]*""), ""*"")),""X"","""")"),"")</f>
        <v/>
      </c>
      <c r="AV34" s="38" t="str">
        <f>IFERROR(__xludf.DUMMYFUNCTION("if(countif(kr.bun,CONCATENATE(regexextract($C34,""[\w]* [\w]*""), ""*"")),""X"","""")"),"")</f>
        <v/>
      </c>
      <c r="AW34" s="38" t="str">
        <f>IFERROR(__xludf.DUMMYFUNCTION("if(countif(kr.kxn,CONCATENATE(regexextract($C34,""[\w]* [\w]*""), ""*"")),""X"","""")"),"")</f>
        <v/>
      </c>
      <c r="AX34" s="38" t="str">
        <f>IFERROR(__xludf.DUMMYFUNCTION("if(countif(kr.hwb,CONCATENATE(regexextract($C34,""[\w]* [\w]*""), ""*"")),""X"","""")"),"")</f>
        <v/>
      </c>
      <c r="AY34" s="38" t="str">
        <f>IFERROR(__xludf.DUMMYFUNCTION("if(countif(kr.ec,CONCATENATE(regexextract($C34,""[\w]* [\w]*""), ""*"")),""X"","""")"),"")</f>
        <v/>
      </c>
      <c r="AZ34" s="38" t="str">
        <f>IFERROR(__xludf.DUMMYFUNCTION("if(countif(kr.egt,CONCATENATE(regexextract($C34,""[\w]* [\w]*""), ""*"")),""X"","""")"),"")</f>
        <v/>
      </c>
      <c r="BA34" s="38"/>
      <c r="BB34" s="38" t="str">
        <f>IFERROR(__xludf.DUMMYFUNCTION("if(countif(kr.erd,CONCATENATE(regexextract($C34,""[\w]* [\w]*""), ""*"")),""X"","""")"),"")</f>
        <v/>
      </c>
      <c r="BC34" s="38" t="str">
        <f>IFERROR(__xludf.DUMMYFUNCTION("if(countif(kr.gkxn,CONCATENATE(regexextract($C34,""[\w]* [\w]*""), ""*"")),""X"","""")"),"")</f>
        <v/>
      </c>
      <c r="BD34" s="38" t="str">
        <f>IFERROR(__xludf.DUMMYFUNCTION("if(countif(kr.gen,CONCATENATE(regexextract(C34,""[\w]* [\w]*""), ""*"")),""X"","""")"),"")</f>
        <v/>
      </c>
      <c r="BE34" s="38" t="str">
        <f>IFERROR(__xludf.DUMMYFUNCTION("if(countif(kr.hcc,CONCATENATE(regexextract($C34,""[\w]* [\w]*""), ""*"")),""X"","""")"),"")</f>
        <v/>
      </c>
      <c r="BF34" s="38" t="str">
        <f>IFERROR(__xludf.DUMMYFUNCTION("if(countif(kr.kmp,CONCATENATE(regexextract($C34,""[\w]* [\w]*""), ""*"")),""X"","""")"),"")</f>
        <v/>
      </c>
      <c r="BG34" s="38" t="str">
        <f>IFERROR(__xludf.DUMMYFUNCTION("if(countif(kr.lu2,CONCATENATE(regexextract($C34,""[\w]* [\w]*""), ""*"")),""X"","""")"),"")</f>
        <v/>
      </c>
      <c r="BH34" s="38" t="str">
        <f>IFERROR(__xludf.DUMMYFUNCTION("if(countif(kr.myc,CONCATENATE(regexextract($C34,""[\w]* [\w]*""), ""*"")),""X"","""")"),"")</f>
        <v/>
      </c>
      <c r="BI34" s="38" t="str">
        <f>IFERROR(__xludf.DUMMYFUNCTION("if(countif(kr.nar,CONCATENATE(regexextract($C34,""[\w]* [\w]*""), ""*"")),""X"","""")"),"")</f>
        <v/>
      </c>
      <c r="BJ34" s="38" t="str">
        <f>IFERROR(__xludf.DUMMYFUNCTION("if(countif(kr.que,CONCATENATE(regexextract($C34,""[\w]* [\w]*""), ""*"")),""X"","""")"),"")</f>
        <v/>
      </c>
      <c r="BK34" s="39"/>
      <c r="BL34" s="40" t="str">
        <f>IFERROR(__xludf.DUMMYFUNCTION(" CONCATENATE( 
if (regexmatch(I34, ""^[A-Za-z\.\_]+""), ""L"", 
if(regexmatch(AB34, ""^[A-Za-z\.\_]+""),""S"","""")),
if(AU34=""X"",""K"",""""))"),"")</f>
        <v/>
      </c>
      <c r="BM34" s="40" t="str">
        <f>IFERROR(__xludf.DUMMYFUNCTION(" CONCATENATE( 
if (regexmatch(J34, ""^[A-Za-z\.\_]+""), ""L"", 
if(regexmatch(AC34, ""^[A-Za-z\.\_]+""),""S"","""")),
if(AV34=""X"",""K"",""""))"),"")</f>
        <v/>
      </c>
      <c r="BN34" s="40" t="str">
        <f>IFERROR(__xludf.DUMMYFUNCTION(" CONCATENATE( 
if (regexmatch(K34, ""^[A-Za-z\.\_]+""), ""L"", 
if(regexmatch(AD34, ""^[A-Za-z\.\_]+""),""S"","""")),
if(AW34=""X"",""K"",""""))"),"")</f>
        <v/>
      </c>
      <c r="BO34" s="40" t="str">
        <f>IFERROR(__xludf.DUMMYFUNCTION(" CONCATENATE( 
if (regexmatch(L34, ""^[A-Za-z\.\_]+""), ""L"", 
if(regexmatch(AE34, ""^[A-Za-z\.\_]+""),""S"","""")),
if(AX34=""X"",""K"",""""))"),"")</f>
        <v/>
      </c>
      <c r="BP34" s="40" t="str">
        <f>IFERROR(__xludf.DUMMYFUNCTION(" CONCATENATE( 
if (regexmatch(M34, ""^[A-Za-z\.\_]+""), ""L"", 
if(regexmatch(AF34, ""^[A-Za-z\.\_]+""),""S"","""")),
if(AY34=""X"",""K"",""""))"),"")</f>
        <v/>
      </c>
      <c r="BQ34" s="40" t="str">
        <f>IFERROR(__xludf.DUMMYFUNCTION("CONCATENATE( 
if (regexmatch(O34, ""^[A-Za-z\.\_]+""), ""L"", 
if(regexmatch(AH34, ""^[A-Za-z\.\_]+""),""S"","""")),
if(AZ34=""X"",""K"",""""))"),"")</f>
        <v/>
      </c>
      <c r="BR34" s="40" t="str">
        <f>IFERROR(__xludf.DUMMYFUNCTION("CONCATENATE( 
if (regexmatch(Q34, ""^[A-Za-z\.\_]+""), ""L"", 
if(regexmatch(AJ34, ""^[A-Za-z\.\_]+""),""S"","""")),
if(BA34=""X"",""K"",""""))"),"")</f>
        <v/>
      </c>
      <c r="BS34" s="40" t="str">
        <f>IFERROR(__xludf.DUMMYFUNCTION(" CONCATENATE( 
if (regexmatch(R34, ""^[A-Za-z\.\_]+""), ""L"", 
if(regexmatch(AK34, ""^[A-Za-z\.\_]+""),""S"","""")),
if(BB34=""X"",""K"",""""))"),"")</f>
        <v/>
      </c>
      <c r="BT34" s="40" t="str">
        <f>IFERROR(__xludf.DUMMYFUNCTION("CONCATENATE( 
if (regexmatch(S34, ""^[A-Za-z\.\_]+""), ""L"", 
if(regexmatch(AL34, ""^[A-Za-z\.\_]+""),""S"","""")),
if(BC34=""X"",""K"",""""))"),"")</f>
        <v/>
      </c>
      <c r="BU34" s="40" t="str">
        <f>IFERROR(__xludf.DUMMYFUNCTION("CONCATENATE( 
if (regexmatch(T34, ""^[A-Za-z\.\_]+""), ""L"", 
if(regexmatch(AM34, ""^[A-Za-z\.\_]+""),""S"","""")),
if(BD34=""X"",""K"",""""))"),"")</f>
        <v/>
      </c>
      <c r="BV34" s="40" t="str">
        <f>IFERROR(__xludf.DUMMYFUNCTION("CONCATENATE( 
if (regexmatch(U34, ""^[A-Za-z\.\_]+""), ""L"", 
if(regexmatch(AN34, ""^[A-Za-z\.\_]+""),""S"","""")),
if(BE34=""X"",""K"",""""))"),"")</f>
        <v/>
      </c>
      <c r="BW34" s="40" t="str">
        <f>IFERROR(__xludf.DUMMYFUNCTION(" CONCATENATE( 
if (regexmatch(V34, ""^[A-Za-z\.\_]+""), ""L"", 
if(regexmatch(AO34, ""^[A-Za-z\.\_]+""),""S"","""")),
if(BF34=""X"",""K"",""""))"),"")</f>
        <v/>
      </c>
      <c r="BX34" s="40" t="str">
        <f>IFERROR(__xludf.DUMMYFUNCTION("CONCATENATE( 
if (regexmatch(W34, ""^[A-Za-z\.\_]+""), ""L"", 
if(regexmatch(AP34, ""^[A-Za-z\.\_]+""),""S"","""")),
if(BG34=""X"",""K"",""""))"),"")</f>
        <v/>
      </c>
      <c r="BY34" s="40" t="str">
        <f>IFERROR(__xludf.DUMMYFUNCTION("CONCATENATE( 
if (regexmatch(X34, ""^[A-Za-z\.\_]+""), ""L"", 
if(regexmatch(AQ34, ""^[A-Za-z\.\_]+""),""S"","""")),
if(BH34=""X"",""K"",""""))"),"")</f>
        <v/>
      </c>
      <c r="BZ34" s="40" t="str">
        <f>IFERROR(__xludf.DUMMYFUNCTION("CONCATENATE( 
if (regexmatch(Y34, ""^[A-Za-z\.\_]+""), ""L"", 
if(regexmatch(AR34, ""^[A-Za-z\.\_]+""),""S"","""")),
if(BI34=""X"",""K"",""""))"),"")</f>
        <v/>
      </c>
      <c r="CA34" s="40" t="str">
        <f>IFERROR(__xludf.DUMMYFUNCTION("CONCATENATE( 
if (regexmatch(Z34, ""^[A-Za-z\.\_]+""), ""L"", 
if(regexmatch(AS34, ""^[A-Za-z\.\_]+""),""S"","""")),
if(BJ34=""X"",""K"",""""))"),"")</f>
        <v/>
      </c>
      <c r="CB34" s="39"/>
      <c r="CC34" s="39"/>
      <c r="CD34" s="39"/>
      <c r="CE34" s="39"/>
      <c r="CF34" s="39"/>
      <c r="CG34" s="39"/>
      <c r="CH34" s="39"/>
      <c r="CI34" s="39"/>
      <c r="CJ34" s="39"/>
      <c r="CK34" s="39"/>
      <c r="CL34" s="39"/>
      <c r="CM34" s="39"/>
      <c r="CN34" s="39"/>
      <c r="CO34" s="39"/>
      <c r="CP34" s="39"/>
      <c r="CQ34" s="39"/>
      <c r="CR34" s="39"/>
    </row>
    <row r="35" ht="15.75" customHeight="1">
      <c r="A35" s="25">
        <v>86.0</v>
      </c>
      <c r="B35" s="26" t="s">
        <v>179</v>
      </c>
      <c r="C35" s="27" t="s">
        <v>180</v>
      </c>
      <c r="D35" s="27" t="str">
        <f>IFERROR(__xludf.DUMMYFUNCTION("CONCATENATE(regexextract($C35,""[\w]* [\w]*""), ""*"")"),"Cynara cardunculus*")</f>
        <v>Cynara cardunculus*</v>
      </c>
      <c r="E35" s="26" t="s">
        <v>181</v>
      </c>
      <c r="F35" s="57">
        <v>59895.0</v>
      </c>
      <c r="G35" s="53"/>
      <c r="H35" s="31"/>
      <c r="I35" s="32" t="str">
        <f>CONCATENATE(
if(countif(dd.agi,$D35),"D",""),
if(countif(knap.agi,$D35),"K",""),
if(countif(mic.agi,$D35),"M",""),
if(countif(nap.agi,$D35),"N",""),
if(countif(np.agi,$D35),"P",""),
if(countif(imp.agi,$D35),"T",""),
if(countif(us.agi,$D35),"U",""),
if(countif(var.agi,$D35),"V","")
)</f>
        <v>DU</v>
      </c>
      <c r="J35" s="32" t="str">
        <f>
CONCATENATE(
if(countif(nap.bun,$D35),"N",""),
if(countif(np.bun,$D35),"P","")
)
</f>
        <v/>
      </c>
      <c r="K35" s="32" t="str">
        <f>CONCATENATE(
if(countif(dd.kxn,$D35),"D",""),
if(countif(knap.kxn,$D35),"K",""),
if(countif(mic.kxn,$D35),"M",""),
if(countif(nap.kxn,$D35),"N",""),
if(countif(np.kxn,$D35),"P",""),
if(countif(us.kxn,$D35),"U",""),
if(countif(var.kxn,$D35),"V","")
)</f>
        <v/>
      </c>
      <c r="L35" s="32" t="str">
        <f>
CONCATENATE(
if(countif(dd.hwb,$D35),"D",""),
if(countif(knap.hwb,$D35),"K",""),
if(countif(mic.hwb,$D35),"M",""),
if(countif(nap.hwb,$D35),"N",""),
if(countif(np.hwb,$D35),"P",""),
if(countif(us.hwb,$D35),"U",""),
if(countif(imp.hwb,$D35),"T",""),
if(countif(var.hwb,$D35),"V","")
)</f>
        <v/>
      </c>
      <c r="M35" s="32" t="str">
        <f>CONCATENATE(
if(countif(dd.epc,$D35),"D",""),
if(countif(knap.ekxn,$D35),"K",""),
if(countif(mic.ekxn,$D35),"M",""),
if(countif(nap.ekxn,$D35),"N",""),
if(countif(np.ekxn,$D35),"P",""),
if(countif(imp.epc,$D35),"T",""),
if(countif(us.ekxn,$D35),"U",""),
if(countif(var.ekxn,$D35),"V","")
)</f>
        <v/>
      </c>
      <c r="N35" s="32" t="str">
        <f>
CONCATENATE(
if(countif(dd.ecg,$D35),"D",""),
if(countif(mic.ecg,$D35),"M",""),
if(countif(np.ecg,$D35),"P",""),
if(countif(imp.ecg,$D35),"T",""),
if(countif(us.ecg,$D35),"U","")
)</f>
        <v/>
      </c>
      <c r="O35" s="32" t="str">
        <f>
CONCATENATE(
if(countif(dd.egt,$D35),"D",""),
if(countif(mic.egt,$D35),"M",""),
if(countif(nap.egt,$D35),"N",""),
if(countif(us.egt,$D35),"U",""),
if(countif(var.egt,$D35),"V",""))
</f>
        <v/>
      </c>
      <c r="P35" s="32" t="str">
        <f>CONCATENATE(
if(countif(knap.egcg,$D35),"K",""),
if(countif(mic.egcg,$D35),"M",""),
if(countif(np.egcg,$D35),"P",""),
if(countif(us.egcg,$D35),"U","")
)</f>
        <v/>
      </c>
      <c r="Q35" s="32" t="str">
        <f>CONCATENATE(if(countif(np.ecit,$D35),"P",""),
if(countif(nap.ecit,$D35),"A",""))</f>
        <v/>
      </c>
      <c r="R35" s="32" t="str">
        <f>
CONCATENATE(
if(countif(nap.erd,$D35),"N",""),
if(countif(np.erd,$D35),"P",""),
if(countif(var.erd,$D35),"V",""))</f>
        <v/>
      </c>
      <c r="S35" s="32" t="str">
        <f>
CONCATENATE(
if(countif(dd.gkxn,$D35),"D",""),
if(countif(knap.gkxn,$D35),"K",""),
if(countif(nap.gkxn,$D35),"N",""),
if(countif(np.gkxn,$D35),"P",""),
if(countif(imp.gkxn,$D35),"T",""),
if(countif(var.gkxn,$D35),"V",""))</f>
        <v/>
      </c>
      <c r="T35" s="32" t="str">
        <f>
CONCATENATE(
if(countif(dd.gen,$C35),"D",""),
if(countif(knap.gen,$C35),"K",""),
if(countif(nap.gen,$C35),"N",""),
if(countif(np.gen,$C35),"P",""),
if(countif(imp.gen,$C35),"T",""),
if(countif(var.gen,$C35),"V",""))</f>
        <v/>
      </c>
      <c r="U35" s="32" t="str">
        <f>
CONCATENATE(
if(countif(dd.hcc,$D35),"D",""),
if(countif(knap.hcc,$D35),"K",""),
if(countif(np.hcc,$D35),"P","")
)
</f>
        <v/>
      </c>
      <c r="V35" s="32" t="str">
        <f>
CONCATENATE(
if(countif(dd.kmp,$D35),"D",""),
if(countif(knap.kmp,$D35),"K",""),
if(countif(mic.kmp,$D35),"M",""),
if(countif(nap.kmp,$D35),"N",""),
if(countif(np.kmp,$D35),"P",""),
if(countif(imp.kmp,$D35),"T",""),
if(countif(us.kmp,$D35),"U",""),
if(countif(var.kmp,$D35),"V",""))</f>
        <v/>
      </c>
      <c r="W35" s="32" t="str">
        <f>
CONCATENATE(
if(countif(dd.lu2,$D35),"D",""),
if(countif(knap.lu2,$D35),"K",""),
if(countif(mic.lu2,$D35),"M",""),
if(countif(nap.lu2,$D35),"N",""),
if(countif(np.lu2,$D35),"P",""),
if(countif(imp.lu2,$D35),"T",""),
if(countif(us.lu2,$D35),"U",""),
if(countif(var.lu2,$D35),"V",""))</f>
        <v>DU</v>
      </c>
      <c r="X35" s="32" t="str">
        <f>
CONCATENATE(
if(countif(dd.myc,$D35),"D",""),
if(countif(knap.myc,$D35),"K",""), 
if(countif(mic.myc,$D35),"M",""),
if(countif(nap.myc,$D35),"N",""),
if(countif(np.myc,$D35),"P",""),
if(countif(imp.myc,$D35),"T",""),
if(countif(us.myc,$D35),"U",""),
if(countif(var.myc,$D35),"V",""))</f>
        <v/>
      </c>
      <c r="Y35" s="32" t="str">
        <f>CONCATENATE(
if(countif(dd.nar,$D35),"D",""),
if(countif(knap.nar,$D35),"K",""),
if(countif(nap.nar,$D35),"N",""),
if(countif(np.nar,$D35),"P",""),
if(countif(imp.nar,$D35),"T",""),
if(countif(us.nar,$D35),"U",""),
if(countif(var.nar,$D35),"V",""))</f>
        <v>DU</v>
      </c>
      <c r="Z35" s="33" t="str">
        <f>
CONCATENATE(
if(countif(dd.que,$D35),"D",""),
if(countif(knap.que,$D35),"K",""),
if(countif(mic.que,$D35),"M",""),
if(countif(nap.que,$D35),"N",""),
if(countif(np.que,$D35),"P",""),
if(countif(imp.que,$D35),"T",""),
if(countif(us.que,$D35),"U",""),
if(countif(var.que,$D35),"V",""))</f>
        <v>D</v>
      </c>
      <c r="AA35" s="32"/>
      <c r="AB35" s="34" t="str">
        <f>
CONCATENATE(if(countif(knap.agi.sim,$D35),"K",""),
if(countif(dd.agi.sim,$D35),"D",""),
if(countif(nap.agi.sim,$D35),"A",""),
if(countif(var.agi.sim,$D35),"V",""))</f>
        <v>DA</v>
      </c>
      <c r="AC35" s="34" t="str">
        <f>
if(countif(nap.bun.sim,$D35),"A","")</f>
        <v/>
      </c>
      <c r="AD35" s="34" t="str">
        <f>
CONCATENATE(if(countif(knap.kxn.sim,$D35),"K",""),
if(countif(np.kxn.sim,$D35),"P",""),
if(countif(dd.kxn.sim,$D35),"D",""),
if(countif(nap.kxn.sim,$D35),"A",""),
if(countif(var.kxn.sim,$D35),"V",""))</f>
        <v/>
      </c>
      <c r="AE35" s="34" t="str">
        <f>
CONCATENATE(if(countif(knap.hwb.sim,$D35),"K",""),
if(countif(np.hwb.sim,$D35),"P",""),
if(countif(mic.hwb.sim,$D35),"M",""),
if(countif(imp.hwb.sim,$D35),"T",""),
if(countif(dd.cyan.sim,$D35),"D",""),
if(countif(nap.hwb.sim,$D35),"A",""),
if(countif(var.hwb.sim,$D35),"V",""))</f>
        <v/>
      </c>
      <c r="AF35" s="34" t="str">
        <f>
CONCATENATE(if(countif(us.ekxn.sim,$D35),"U",""),
if(countif(knap.ekxn.sim,$D35),"K",""),
if(countif(np.ekxn.sim,$D35),"P",""),
if(countif(mic.ekxn.sim,$D35),"M",""),
if(countif(imp.epc.sim,$D35),"T",""),
if(countif(nap.ekxn.sim,$D35),"A",""))</f>
        <v/>
      </c>
      <c r="AG35" s="34"/>
      <c r="AH35" s="34" t="str">
        <f>
CONCATENATE(if(countif(us.egt.sim,$D35),"U",""),
if(countif(knap.egt.sim,$D35),"K",""),
if(countif(np.egt.sim,$D35),"P",""),
if(countif(mic.egt.sim,$D35),"M",""))</f>
        <v/>
      </c>
      <c r="AI35" s="34"/>
      <c r="AJ35" s="34" t="str">
        <f>if(countif(nap.ecit.sim,$D35),"A","")</f>
        <v/>
      </c>
      <c r="AK35" s="34" t="str">
        <f>
CONCATENATE(if(countif(nap.erd,$D35),"M",""),
if(countif(nap.erd.sim,$D35),"A",""),
if(countif(var.erd.sim,$D35),"V",""))</f>
        <v/>
      </c>
      <c r="AL35" s="34" t="str">
        <f>
CONCATENATE(if(countif(knap.gkxn.sim,$D35),"K",""),
if(countif(nap.gkxn.sim,$D35),"A",""))</f>
        <v/>
      </c>
      <c r="AM35" s="34" t="str">
        <f>
CONCATENATE(if(countif(knap.gen.sim,$C35),"K",""),
if(countif(imp.gen.sim,$C35),"T",""),
if(countif(dd.gen.sim,$C35),"D",""),
if(countif(nap.gen.sim,$C35),"A",""),
if(countif(var.gen.sim,$C35),"V",""))
</f>
        <v/>
      </c>
      <c r="AN35" s="34" t="str">
        <f>IFERROR(__xludf.DUMMYFUNCTION("
if(countif(#REF!,CONCATENATE(regexextract($C35,""[\w]* [\w]*""), ""*"")),""V"","""")"),"")</f>
        <v/>
      </c>
      <c r="AO35" s="34" t="str">
        <f>
CONCATENATE(if(countif(knap.kmp.sim,$D35),"K",""),
if(countif(np.kmp.sim,$D35),"P",""),
if(countif(imp.kmp.sim,$D35),"T",""),
if(countif(dd.kmp,$D35),"D",""),
if(countif(nap.kmp.sim,$D35),"A",""),
if(countif(var.kmp.sim,$D35),"V",""))</f>
        <v/>
      </c>
      <c r="AP35" s="34" t="str">
        <f>
CONCATENATE(if(countif(knap.lu2.sim,$D35),"K",""),
if(countif(np.lu2.sim,$D35),"P",""),
if(countif(imp.lu2.sim,$D35),"T",""),
if(countif(dd.lu2.sim,$D35),"D",""),
if(countif(nap.lu2.sim,$D35),"A",""),
if(countif(var.lu2.sim,$D35),"V",""))</f>
        <v>D</v>
      </c>
      <c r="AQ35" s="34" t="str">
        <f>
CONCATENATE(if(countif(np.myc.sim,$D35),"P",""),
if(countif(imp.myc.sim,$D35),"T",""),
if(countif(nap.myc.sim,$D35),"A",""))
</f>
        <v/>
      </c>
      <c r="AR35" s="36" t="str">
        <f>
CONCATENATE(if(countif(knap.nar.sim,$D35),"K",""),
if(countif(np.nar.sim,$D35),"P",""),
if(countif(imp.nar.sim,$D35),"T",""),
if(countif(dd.nar.sim,$D35),"D",""),
if(countif(nap.nar.sim,$D35),"A",""),
if(countif(var.nar.sim,$D35),"V",""))</f>
        <v>D</v>
      </c>
      <c r="AS35" s="34" t="str">
        <f>
CONCATENATE(if(countif(knap.que.sim,$D35),"K",""),
if(countif(np.que.sim,$D35),"P",""),
if(countif(imp.que.sim,$D35),"T",""),
if(countif(dd.que.sim,$D35),"D",""),
if(countif(nap.que.sim,$D35),"A",""),
if(countif(var.que.sim,$D35),"V",""))</f>
        <v>D</v>
      </c>
      <c r="AT35" s="37"/>
      <c r="AU35" s="32" t="str">
        <f>IFERROR(__xludf.DUMMYFUNCTION("if(countif(kr.agi, CONCATENATE(regexextract($C35,""[\w]* [\w]*""), ""*"")),""X"","""")"),"X")</f>
        <v>X</v>
      </c>
      <c r="AV35" s="38" t="str">
        <f>IFERROR(__xludf.DUMMYFUNCTION("if(countif(kr.bun,CONCATENATE(regexextract($C35,""[\w]* [\w]*""), ""*"")),""X"","""")"),"X")</f>
        <v>X</v>
      </c>
      <c r="AW35" s="38" t="str">
        <f>IFERROR(__xludf.DUMMYFUNCTION("if(countif(kr.kxn,CONCATENATE(regexextract($C35,""[\w]* [\w]*""), ""*"")),""X"","""")"),"")</f>
        <v/>
      </c>
      <c r="AX35" s="38" t="str">
        <f>IFERROR(__xludf.DUMMYFUNCTION("if(countif(kr.hwb,CONCATENATE(regexextract($C35,""[\w]* [\w]*""), ""*"")),""X"","""")"),"X")</f>
        <v>X</v>
      </c>
      <c r="AY35" s="38" t="str">
        <f>IFERROR(__xludf.DUMMYFUNCTION("if(countif(kr.ec,CONCATENATE(regexextract($C35,""[\w]* [\w]*""), ""*"")),""X"","""")"),"")</f>
        <v/>
      </c>
      <c r="AZ35" s="38" t="str">
        <f>IFERROR(__xludf.DUMMYFUNCTION("if(countif(kr.egt,CONCATENATE(regexextract($C35,""[\w]* [\w]*""), ""*"")),""X"","""")"),"")</f>
        <v/>
      </c>
      <c r="BA35" s="38"/>
      <c r="BB35" s="38" t="str">
        <f>IFERROR(__xludf.DUMMYFUNCTION("if(countif(kr.erd,CONCATENATE(regexextract($C35,""[\w]* [\w]*""), ""*"")),""X"","""")"),"X")</f>
        <v>X</v>
      </c>
      <c r="BC35" s="38" t="str">
        <f>IFERROR(__xludf.DUMMYFUNCTION("if(countif(kr.gkxn,CONCATENATE(regexextract($C35,""[\w]* [\w]*""), ""*"")),""X"","""")"),"")</f>
        <v/>
      </c>
      <c r="BD35" s="38" t="str">
        <f>IFERROR(__xludf.DUMMYFUNCTION("if(countif(kr.gen,CONCATENATE(regexextract(C35,""[\w]* [\w]*""), ""*"")),""X"","""")"),"")</f>
        <v/>
      </c>
      <c r="BE35" s="38" t="str">
        <f>IFERROR(__xludf.DUMMYFUNCTION("if(countif(kr.hcc,CONCATENATE(regexextract($C35,""[\w]* [\w]*""), ""*"")),""X"","""")"),"X")</f>
        <v>X</v>
      </c>
      <c r="BF35" s="38" t="str">
        <f>IFERROR(__xludf.DUMMYFUNCTION("if(countif(kr.kmp,CONCATENATE(regexextract($C35,""[\w]* [\w]*""), ""*"")),""X"","""")"),"X")</f>
        <v>X</v>
      </c>
      <c r="BG35" s="38" t="str">
        <f>IFERROR(__xludf.DUMMYFUNCTION("if(countif(kr.lu2,CONCATENATE(regexextract($C35,""[\w]* [\w]*""), ""*"")),""X"","""")"),"X")</f>
        <v>X</v>
      </c>
      <c r="BH35" s="38" t="str">
        <f>IFERROR(__xludf.DUMMYFUNCTION("if(countif(kr.myc,CONCATENATE(regexextract($C35,""[\w]* [\w]*""), ""*"")),""X"","""")"),"")</f>
        <v/>
      </c>
      <c r="BI35" s="38" t="str">
        <f>IFERROR(__xludf.DUMMYFUNCTION("if(countif(kr.nar,CONCATENATE(regexextract($C35,""[\w]* [\w]*""), ""*"")),""X"","""")"),"X")</f>
        <v>X</v>
      </c>
      <c r="BJ35" s="38" t="str">
        <f>IFERROR(__xludf.DUMMYFUNCTION("if(countif(kr.que,CONCATENATE(regexextract($C35,""[\w]* [\w]*""), ""*"")),""X"","""")"),"X")</f>
        <v>X</v>
      </c>
      <c r="BK35" s="39"/>
      <c r="BL35" s="40" t="str">
        <f>IFERROR(__xludf.DUMMYFUNCTION(" CONCATENATE( 
if (regexmatch(I35, ""^[A-Za-z\.\_]+""), ""L"", 
if(regexmatch(AB35, ""^[A-Za-z\.\_]+""),""S"","""")),
if(AU35=""X"",""K"",""""))"),"LK")</f>
        <v>LK</v>
      </c>
      <c r="BM35" s="40" t="str">
        <f>IFERROR(__xludf.DUMMYFUNCTION(" CONCATENATE( 
if (regexmatch(J35, ""^[A-Za-z\.\_]+""), ""L"", 
if(regexmatch(AC35, ""^[A-Za-z\.\_]+""),""S"","""")),
if(AV35=""X"",""K"",""""))"),"K")</f>
        <v>K</v>
      </c>
      <c r="BN35" s="40" t="str">
        <f>IFERROR(__xludf.DUMMYFUNCTION(" CONCATENATE( 
if (regexmatch(K35, ""^[A-Za-z\.\_]+""), ""L"", 
if(regexmatch(AD35, ""^[A-Za-z\.\_]+""),""S"","""")),
if(AW35=""X"",""K"",""""))"),"")</f>
        <v/>
      </c>
      <c r="BO35" s="40" t="str">
        <f>IFERROR(__xludf.DUMMYFUNCTION(" CONCATENATE( 
if (regexmatch(L35, ""^[A-Za-z\.\_]+""), ""L"", 
if(regexmatch(AE35, ""^[A-Za-z\.\_]+""),""S"","""")),
if(AX35=""X"",""K"",""""))"),"K")</f>
        <v>K</v>
      </c>
      <c r="BP35" s="40" t="str">
        <f>IFERROR(__xludf.DUMMYFUNCTION(" CONCATENATE( 
if (regexmatch(M35, ""^[A-Za-z\.\_]+""), ""L"", 
if(regexmatch(AF35, ""^[A-Za-z\.\_]+""),""S"","""")),
if(AY35=""X"",""K"",""""))"),"")</f>
        <v/>
      </c>
      <c r="BQ35" s="40" t="str">
        <f>IFERROR(__xludf.DUMMYFUNCTION("CONCATENATE( 
if (regexmatch(O35, ""^[A-Za-z\.\_]+""), ""L"", 
if(regexmatch(AH35, ""^[A-Za-z\.\_]+""),""S"","""")),
if(AZ35=""X"",""K"",""""))"),"")</f>
        <v/>
      </c>
      <c r="BR35" s="40" t="str">
        <f>IFERROR(__xludf.DUMMYFUNCTION("CONCATENATE( 
if (regexmatch(Q35, ""^[A-Za-z\.\_]+""), ""L"", 
if(regexmatch(AJ35, ""^[A-Za-z\.\_]+""),""S"","""")),
if(BA35=""X"",""K"",""""))"),"")</f>
        <v/>
      </c>
      <c r="BS35" s="40" t="str">
        <f>IFERROR(__xludf.DUMMYFUNCTION(" CONCATENATE( 
if (regexmatch(R35, ""^[A-Za-z\.\_]+""), ""L"", 
if(regexmatch(AK35, ""^[A-Za-z\.\_]+""),""S"","""")),
if(BB35=""X"",""K"",""""))"),"K")</f>
        <v>K</v>
      </c>
      <c r="BT35" s="40" t="str">
        <f>IFERROR(__xludf.DUMMYFUNCTION("CONCATENATE( 
if (regexmatch(S35, ""^[A-Za-z\.\_]+""), ""L"", 
if(regexmatch(AL35, ""^[A-Za-z\.\_]+""),""S"","""")),
if(BC35=""X"",""K"",""""))"),"")</f>
        <v/>
      </c>
      <c r="BU35" s="40" t="str">
        <f>IFERROR(__xludf.DUMMYFUNCTION("CONCATENATE( 
if (regexmatch(T35, ""^[A-Za-z\.\_]+""), ""L"", 
if(regexmatch(AM35, ""^[A-Za-z\.\_]+""),""S"","""")),
if(BD35=""X"",""K"",""""))"),"")</f>
        <v/>
      </c>
      <c r="BV35" s="40" t="str">
        <f>IFERROR(__xludf.DUMMYFUNCTION("CONCATENATE( 
if (regexmatch(U35, ""^[A-Za-z\.\_]+""), ""L"", 
if(regexmatch(AN35, ""^[A-Za-z\.\_]+""),""S"","""")),
if(BE35=""X"",""K"",""""))"),"K")</f>
        <v>K</v>
      </c>
      <c r="BW35" s="40" t="str">
        <f>IFERROR(__xludf.DUMMYFUNCTION(" CONCATENATE( 
if (regexmatch(V35, ""^[A-Za-z\.\_]+""), ""L"", 
if(regexmatch(AO35, ""^[A-Za-z\.\_]+""),""S"","""")),
if(BF35=""X"",""K"",""""))"),"K")</f>
        <v>K</v>
      </c>
      <c r="BX35" s="40" t="str">
        <f>IFERROR(__xludf.DUMMYFUNCTION("CONCATENATE( 
if (regexmatch(W35, ""^[A-Za-z\.\_]+""), ""L"", 
if(regexmatch(AP35, ""^[A-Za-z\.\_]+""),""S"","""")),
if(BG35=""X"",""K"",""""))"),"LK")</f>
        <v>LK</v>
      </c>
      <c r="BY35" s="40" t="str">
        <f>IFERROR(__xludf.DUMMYFUNCTION("CONCATENATE( 
if (regexmatch(X35, ""^[A-Za-z\.\_]+""), ""L"", 
if(regexmatch(AQ35, ""^[A-Za-z\.\_]+""),""S"","""")),
if(BH35=""X"",""K"",""""))"),"")</f>
        <v/>
      </c>
      <c r="BZ35" s="40" t="str">
        <f>IFERROR(__xludf.DUMMYFUNCTION("CONCATENATE( 
if (regexmatch(Y35, ""^[A-Za-z\.\_]+""), ""L"", 
if(regexmatch(AR35, ""^[A-Za-z\.\_]+""),""S"","""")),
if(BI35=""X"",""K"",""""))"),"LK")</f>
        <v>LK</v>
      </c>
      <c r="CA35" s="40" t="str">
        <f>IFERROR(__xludf.DUMMYFUNCTION("CONCATENATE( 
if (regexmatch(Z35, ""^[A-Za-z\.\_]+""), ""L"", 
if(regexmatch(AS35, ""^[A-Za-z\.\_]+""),""S"","""")),
if(BJ35=""X"",""K"",""""))"),"LK")</f>
        <v>LK</v>
      </c>
      <c r="CB35" s="39"/>
      <c r="CC35" s="39"/>
      <c r="CD35" s="39"/>
      <c r="CE35" s="39"/>
      <c r="CF35" s="39"/>
      <c r="CG35" s="39"/>
      <c r="CH35" s="39"/>
      <c r="CI35" s="39"/>
      <c r="CJ35" s="39"/>
      <c r="CK35" s="39"/>
      <c r="CL35" s="39"/>
      <c r="CM35" s="39"/>
      <c r="CN35" s="39"/>
      <c r="CO35" s="39"/>
      <c r="CP35" s="39"/>
      <c r="CQ35" s="39"/>
      <c r="CR35" s="39"/>
    </row>
    <row r="36" ht="15.75" customHeight="1">
      <c r="A36" s="25">
        <v>90.0</v>
      </c>
      <c r="B36" s="26" t="s">
        <v>182</v>
      </c>
      <c r="C36" s="27" t="s">
        <v>183</v>
      </c>
      <c r="D36" s="27" t="str">
        <f>IFERROR(__xludf.DUMMYFUNCTION("CONCATENATE(regexextract($C36,""[\w]* [\w]*""), ""*"")"),"Daucus carota*")</f>
        <v>Daucus carota*</v>
      </c>
      <c r="E36" s="26" t="s">
        <v>184</v>
      </c>
      <c r="F36" s="57">
        <v>4039.0</v>
      </c>
      <c r="G36" s="53"/>
      <c r="H36" s="31"/>
      <c r="I36" s="32" t="str">
        <f>CONCATENATE(
if(countif(dd.agi,$D36),"D",""),
if(countif(knap.agi,$D36),"K",""),
if(countif(mic.agi,$D36),"M",""),
if(countif(nap.agi,$D36),"N",""),
if(countif(np.agi,$D36),"P",""),
if(countif(imp.agi,$D36),"T",""),
if(countif(us.agi,$D36),"U",""),
if(countif(var.agi,$D36),"V","")
)</f>
        <v>DKNT</v>
      </c>
      <c r="J36" s="32" t="str">
        <f>
CONCATENATE(
if(countif(nap.bun,$D36),"N",""),
if(countif(np.bun,$D36),"P","")
)
</f>
        <v/>
      </c>
      <c r="K36" s="32" t="str">
        <f>CONCATENATE(
if(countif(dd.kxn,$D36),"D",""),
if(countif(knap.kxn,$D36),"K",""),
if(countif(mic.kxn,$D36),"M",""),
if(countif(nap.kxn,$D36),"N",""),
if(countif(np.kxn,$D36),"P",""),
if(countif(us.kxn,$D36),"U",""),
if(countif(var.kxn,$D36),"V","")
)</f>
        <v/>
      </c>
      <c r="L36" s="32" t="str">
        <f>
CONCATENATE(
if(countif(dd.hwb,$D36),"D",""),
if(countif(knap.hwb,$D36),"K",""),
if(countif(mic.hwb,$D36),"M",""),
if(countif(nap.hwb,$D36),"N",""),
if(countif(np.hwb,$D36),"P",""),
if(countif(us.hwb,$D36),"U",""),
if(countif(imp.hwb,$D36),"T",""),
if(countif(var.hwb,$D36),"V","")
)</f>
        <v>K</v>
      </c>
      <c r="M36" s="32" t="str">
        <f>CONCATENATE(
if(countif(dd.epc,$D36),"D",""),
if(countif(knap.ekxn,$D36),"K",""),
if(countif(mic.ekxn,$D36),"M",""),
if(countif(nap.ekxn,$D36),"N",""),
if(countif(np.ekxn,$D36),"P",""),
if(countif(imp.epc,$D36),"T",""),
if(countif(us.ekxn,$D36),"U",""),
if(countif(var.ekxn,$D36),"V","")
)</f>
        <v/>
      </c>
      <c r="N36" s="32" t="str">
        <f>
CONCATENATE(
if(countif(dd.ecg,$D36),"D",""),
if(countif(mic.ecg,$D36),"M",""),
if(countif(np.ecg,$D36),"P",""),
if(countif(imp.ecg,$D36),"T",""),
if(countif(us.ecg,$D36),"U","")
)</f>
        <v/>
      </c>
      <c r="O36" s="32" t="str">
        <f>
CONCATENATE(
if(countif(dd.egt,$D36),"D",""),
if(countif(mic.egt,$D36),"M",""),
if(countif(nap.egt,$D36),"N",""),
if(countif(us.egt,$D36),"U",""),
if(countif(var.egt,$D36),"V",""))
</f>
        <v/>
      </c>
      <c r="P36" s="32" t="str">
        <f>CONCATENATE(
if(countif(knap.egcg,$D36),"K",""),
if(countif(mic.egcg,$D36),"M",""),
if(countif(np.egcg,$D36),"P",""),
if(countif(us.egcg,$D36),"U","")
)</f>
        <v/>
      </c>
      <c r="Q36" s="32" t="str">
        <f>CONCATENATE(if(countif(np.ecit,$D36),"P",""),
if(countif(nap.ecit,$D36),"A",""))</f>
        <v/>
      </c>
      <c r="R36" s="32" t="str">
        <f>
CONCATENATE(
if(countif(nap.erd,$D36),"N",""),
if(countif(np.erd,$D36),"P",""),
if(countif(var.erd,$D36),"V",""))</f>
        <v/>
      </c>
      <c r="S36" s="32" t="str">
        <f>
CONCATENATE(
if(countif(dd.gkxn,$D36),"D",""),
if(countif(knap.gkxn,$D36),"K",""),
if(countif(nap.gkxn,$D36),"N",""),
if(countif(np.gkxn,$D36),"P",""),
if(countif(imp.gkxn,$D36),"T",""),
if(countif(var.gkxn,$D36),"V",""))</f>
        <v/>
      </c>
      <c r="T36" s="32" t="str">
        <f>
CONCATENATE(
if(countif(dd.gen,$C36),"D",""),
if(countif(knap.gen,$C36),"K",""),
if(countif(nap.gen,$C36),"N",""),
if(countif(np.gen,$C36),"P",""),
if(countif(imp.gen,$C36),"T",""),
if(countif(var.gen,$C36),"V",""))</f>
        <v/>
      </c>
      <c r="U36" s="32" t="str">
        <f>
CONCATENATE(
if(countif(dd.hcc,$D36),"D",""),
if(countif(knap.hcc,$D36),"K",""),
if(countif(np.hcc,$D36),"P","")
)
</f>
        <v/>
      </c>
      <c r="V36" s="32" t="str">
        <f>
CONCATENATE(
if(countif(dd.kmp,$D36),"D",""),
if(countif(knap.kmp,$D36),"K",""),
if(countif(mic.kmp,$D36),"M",""),
if(countif(nap.kmp,$D36),"N",""),
if(countif(np.kmp,$D36),"P",""),
if(countif(imp.kmp,$D36),"T",""),
if(countif(us.kmp,$D36),"U",""),
if(countif(var.kmp,$D36),"V",""))</f>
        <v>DMNTU</v>
      </c>
      <c r="W36" s="32" t="str">
        <f>
CONCATENATE(
if(countif(dd.lu2,$D36),"D",""),
if(countif(knap.lu2,$D36),"K",""),
if(countif(mic.lu2,$D36),"M",""),
if(countif(nap.lu2,$D36),"N",""),
if(countif(np.lu2,$D36),"P",""),
if(countif(imp.lu2,$D36),"T",""),
if(countif(us.lu2,$D36),"U",""),
if(countif(var.lu2,$D36),"V",""))</f>
        <v>DKMNTU</v>
      </c>
      <c r="X36" s="32" t="str">
        <f>
CONCATENATE(
if(countif(dd.myc,$D36),"D",""),
if(countif(knap.myc,$D36),"K",""), 
if(countif(mic.myc,$D36),"M",""),
if(countif(nap.myc,$D36),"N",""),
if(countif(np.myc,$D36),"P",""),
if(countif(imp.myc,$D36),"T",""),
if(countif(us.myc,$D36),"U",""),
if(countif(var.myc,$D36),"V",""))</f>
        <v>DMNU</v>
      </c>
      <c r="Y36" s="32" t="str">
        <f>CONCATENATE(
if(countif(dd.nar,$D36),"D",""),
if(countif(knap.nar,$D36),"K",""),
if(countif(nap.nar,$D36),"N",""),
if(countif(np.nar,$D36),"P",""),
if(countif(imp.nar,$D36),"T",""),
if(countif(us.nar,$D36),"U",""),
if(countif(var.nar,$D36),"V",""))</f>
        <v>K</v>
      </c>
      <c r="Z36" s="33" t="str">
        <f>
CONCATENATE(
if(countif(dd.que,$D36),"D",""),
if(countif(knap.que,$D36),"K",""),
if(countif(mic.que,$D36),"M",""),
if(countif(nap.que,$D36),"N",""),
if(countif(np.que,$D36),"P",""),
if(countif(imp.que,$D36),"T",""),
if(countif(us.que,$D36),"U",""),
if(countif(var.que,$D36),"V",""))</f>
        <v>DMNTU</v>
      </c>
      <c r="AA36" s="32"/>
      <c r="AB36" s="34" t="str">
        <f>
CONCATENATE(if(countif(knap.agi.sim,$D36),"K",""),
if(countif(dd.agi.sim,$D36),"D",""),
if(countif(nap.agi.sim,$D36),"A",""),
if(countif(var.agi.sim,$D36),"V",""))</f>
        <v>KDA</v>
      </c>
      <c r="AC36" s="34" t="str">
        <f>
if(countif(nap.bun.sim,$D36),"A","")</f>
        <v/>
      </c>
      <c r="AD36" s="34" t="str">
        <f>
CONCATENATE(if(countif(knap.kxn.sim,$D36),"K",""),
if(countif(np.kxn.sim,$D36),"P",""),
if(countif(dd.kxn.sim,$D36),"D",""),
if(countif(nap.kxn.sim,$D36),"A",""),
if(countif(var.kxn.sim,$D36),"V",""))</f>
        <v/>
      </c>
      <c r="AE36" s="34" t="str">
        <f>
CONCATENATE(if(countif(knap.hwb.sim,$D36),"K",""),
if(countif(np.hwb.sim,$D36),"P",""),
if(countif(mic.hwb.sim,$D36),"M",""),
if(countif(imp.hwb.sim,$D36),"T",""),
if(countif(dd.cyan.sim,$D36),"D",""),
if(countif(nap.hwb.sim,$D36),"A",""),
if(countif(var.hwb.sim,$D36),"V",""))</f>
        <v>KA</v>
      </c>
      <c r="AF36" s="34" t="str">
        <f>
CONCATENATE(if(countif(us.ekxn.sim,$D36),"U",""),
if(countif(knap.ekxn.sim,$D36),"K",""),
if(countif(np.ekxn.sim,$D36),"P",""),
if(countif(mic.ekxn.sim,$D36),"M",""),
if(countif(imp.epc.sim,$D36),"T",""),
if(countif(nap.ekxn.sim,$D36),"A",""))</f>
        <v/>
      </c>
      <c r="AG36" s="34"/>
      <c r="AH36" s="34" t="str">
        <f>
CONCATENATE(if(countif(us.egt.sim,$D36),"U",""),
if(countif(knap.egt.sim,$D36),"K",""),
if(countif(np.egt.sim,$D36),"P",""),
if(countif(mic.egt.sim,$D36),"M",""))</f>
        <v/>
      </c>
      <c r="AI36" s="34"/>
      <c r="AJ36" s="34" t="str">
        <f>if(countif(nap.ecit.sim,$D36),"A","")</f>
        <v/>
      </c>
      <c r="AK36" s="34" t="str">
        <f>
CONCATENATE(if(countif(nap.erd,$D36),"M",""),
if(countif(nap.erd.sim,$D36),"A",""),
if(countif(var.erd.sim,$D36),"V",""))</f>
        <v/>
      </c>
      <c r="AL36" s="34" t="str">
        <f>
CONCATENATE(if(countif(knap.gkxn.sim,$D36),"K",""),
if(countif(nap.gkxn.sim,$D36),"A",""))</f>
        <v/>
      </c>
      <c r="AM36" s="34" t="str">
        <f>
CONCATENATE(if(countif(knap.gen.sim,$C36),"K",""),
if(countif(imp.gen.sim,$C36),"T",""),
if(countif(dd.gen.sim,$C36),"D",""),
if(countif(nap.gen.sim,$C36),"A",""),
if(countif(var.gen.sim,$C36),"V",""))
</f>
        <v/>
      </c>
      <c r="AN36" s="34" t="str">
        <f>IFERROR(__xludf.DUMMYFUNCTION("
if(countif(#REF!,CONCATENATE(regexextract($C36,""[\w]* [\w]*""), ""*"")),""V"","""")"),"")</f>
        <v/>
      </c>
      <c r="AO36" s="34" t="str">
        <f>
CONCATENATE(if(countif(knap.kmp.sim,$D36),"K",""),
if(countif(np.kmp.sim,$D36),"P",""),
if(countif(imp.kmp.sim,$D36),"T",""),
if(countif(dd.kmp,$D36),"D",""),
if(countif(nap.kmp.sim,$D36),"A",""),
if(countif(var.kmp.sim,$D36),"V",""))</f>
        <v>D</v>
      </c>
      <c r="AP36" s="34" t="str">
        <f>
CONCATENATE(if(countif(knap.lu2.sim,$D36),"K",""),
if(countif(np.lu2.sim,$D36),"P",""),
if(countif(imp.lu2.sim,$D36),"T",""),
if(countif(dd.lu2.sim,$D36),"D",""),
if(countif(nap.lu2.sim,$D36),"A",""),
if(countif(var.lu2.sim,$D36),"V",""))</f>
        <v>KTDA</v>
      </c>
      <c r="AQ36" s="34" t="str">
        <f>
CONCATENATE(if(countif(np.myc.sim,$D36),"P",""),
if(countif(imp.myc.sim,$D36),"T",""),
if(countif(nap.myc.sim,$D36),"A",""))
</f>
        <v/>
      </c>
      <c r="AR36" s="36" t="str">
        <f>
CONCATENATE(if(countif(knap.nar.sim,$D36),"K",""),
if(countif(np.nar.sim,$D36),"P",""),
if(countif(imp.nar.sim,$D36),"T",""),
if(countif(dd.nar.sim,$D36),"D",""),
if(countif(nap.nar.sim,$D36),"A",""),
if(countif(var.nar.sim,$D36),"V",""))</f>
        <v>KD</v>
      </c>
      <c r="AS36" s="34" t="str">
        <f>
CONCATENATE(if(countif(knap.que.sim,$D36),"K",""),
if(countif(np.que.sim,$D36),"P",""),
if(countif(imp.que.sim,$D36),"T",""),
if(countif(dd.que.sim,$D36),"D",""),
if(countif(nap.que.sim,$D36),"A",""),
if(countif(var.que.sim,$D36),"V",""))</f>
        <v>KD</v>
      </c>
      <c r="AT36" s="37"/>
      <c r="AU36" s="32" t="str">
        <f>IFERROR(__xludf.DUMMYFUNCTION("if(countif(kr.agi, CONCATENATE(regexextract($C36,""[\w]* [\w]*""), ""*"")),""X"","""")"),"X")</f>
        <v>X</v>
      </c>
      <c r="AV36" s="38" t="str">
        <f>IFERROR(__xludf.DUMMYFUNCTION("if(countif(kr.bun,CONCATENATE(regexextract($C36,""[\w]* [\w]*""), ""*"")),""X"","""")"),"X")</f>
        <v>X</v>
      </c>
      <c r="AW36" s="38" t="str">
        <f>IFERROR(__xludf.DUMMYFUNCTION("if(countif(kr.kxn,CONCATENATE(regexextract($C36,""[\w]* [\w]*""), ""*"")),""X"","""")"),"")</f>
        <v/>
      </c>
      <c r="AX36" s="38" t="str">
        <f>IFERROR(__xludf.DUMMYFUNCTION("if(countif(kr.hwb,CONCATENATE(regexextract($C36,""[\w]* [\w]*""), ""*"")),""X"","""")"),"X")</f>
        <v>X</v>
      </c>
      <c r="AY36" s="38" t="str">
        <f>IFERROR(__xludf.DUMMYFUNCTION("if(countif(kr.ec,CONCATENATE(regexextract($C36,""[\w]* [\w]*""), ""*"")),""X"","""")"),"")</f>
        <v/>
      </c>
      <c r="AZ36" s="38" t="str">
        <f>IFERROR(__xludf.DUMMYFUNCTION("if(countif(kr.egt,CONCATENATE(regexextract($C36,""[\w]* [\w]*""), ""*"")),""X"","""")"),"")</f>
        <v/>
      </c>
      <c r="BA36" s="38"/>
      <c r="BB36" s="38" t="str">
        <f>IFERROR(__xludf.DUMMYFUNCTION("if(countif(kr.erd,CONCATENATE(regexextract($C36,""[\w]* [\w]*""), ""*"")),""X"","""")"),"X")</f>
        <v>X</v>
      </c>
      <c r="BC36" s="38" t="str">
        <f>IFERROR(__xludf.DUMMYFUNCTION("if(countif(kr.gkxn,CONCATENATE(regexextract($C36,""[\w]* [\w]*""), ""*"")),""X"","""")"),"")</f>
        <v/>
      </c>
      <c r="BD36" s="38" t="str">
        <f>IFERROR(__xludf.DUMMYFUNCTION("if(countif(kr.gen,CONCATENATE(regexextract(C36,""[\w]* [\w]*""), ""*"")),""X"","""")"),"")</f>
        <v/>
      </c>
      <c r="BE36" s="38" t="str">
        <f>IFERROR(__xludf.DUMMYFUNCTION("if(countif(kr.hcc,CONCATENATE(regexextract($C36,""[\w]* [\w]*""), ""*"")),""X"","""")"),"X")</f>
        <v>X</v>
      </c>
      <c r="BF36" s="38" t="str">
        <f>IFERROR(__xludf.DUMMYFUNCTION("if(countif(kr.kmp,CONCATENATE(regexextract($C36,""[\w]* [\w]*""), ""*"")),""X"","""")"),"X")</f>
        <v>X</v>
      </c>
      <c r="BG36" s="38" t="str">
        <f>IFERROR(__xludf.DUMMYFUNCTION("if(countif(kr.lu2,CONCATENATE(regexextract($C36,""[\w]* [\w]*""), ""*"")),""X"","""")"),"X")</f>
        <v>X</v>
      </c>
      <c r="BH36" s="38" t="str">
        <f>IFERROR(__xludf.DUMMYFUNCTION("if(countif(kr.myc,CONCATENATE(regexextract($C36,""[\w]* [\w]*""), ""*"")),""X"","""")"),"")</f>
        <v/>
      </c>
      <c r="BI36" s="38" t="str">
        <f>IFERROR(__xludf.DUMMYFUNCTION("if(countif(kr.nar,CONCATENATE(regexextract($C36,""[\w]* [\w]*""), ""*"")),""X"","""")"),"X")</f>
        <v>X</v>
      </c>
      <c r="BJ36" s="38" t="str">
        <f>IFERROR(__xludf.DUMMYFUNCTION("if(countif(kr.que,CONCATENATE(regexextract($C36,""[\w]* [\w]*""), ""*"")),""X"","""")"),"X")</f>
        <v>X</v>
      </c>
      <c r="BK36" s="39"/>
      <c r="BL36" s="40" t="str">
        <f>IFERROR(__xludf.DUMMYFUNCTION(" CONCATENATE( 
if (regexmatch(I36, ""^[A-Za-z\.\_]+""), ""L"", 
if(regexmatch(AB36, ""^[A-Za-z\.\_]+""),""S"","""")),
if(AU36=""X"",""K"",""""))"),"LK")</f>
        <v>LK</v>
      </c>
      <c r="BM36" s="40" t="str">
        <f>IFERROR(__xludf.DUMMYFUNCTION(" CONCATENATE( 
if (regexmatch(J36, ""^[A-Za-z\.\_]+""), ""L"", 
if(regexmatch(AC36, ""^[A-Za-z\.\_]+""),""S"","""")),
if(AV36=""X"",""K"",""""))"),"K")</f>
        <v>K</v>
      </c>
      <c r="BN36" s="40" t="str">
        <f>IFERROR(__xludf.DUMMYFUNCTION(" CONCATENATE( 
if (regexmatch(K36, ""^[A-Za-z\.\_]+""), ""L"", 
if(regexmatch(AD36, ""^[A-Za-z\.\_]+""),""S"","""")),
if(AW36=""X"",""K"",""""))"),"")</f>
        <v/>
      </c>
      <c r="BO36" s="40" t="str">
        <f>IFERROR(__xludf.DUMMYFUNCTION(" CONCATENATE( 
if (regexmatch(L36, ""^[A-Za-z\.\_]+""), ""L"", 
if(regexmatch(AE36, ""^[A-Za-z\.\_]+""),""S"","""")),
if(AX36=""X"",""K"",""""))"),"LK")</f>
        <v>LK</v>
      </c>
      <c r="BP36" s="40" t="str">
        <f>IFERROR(__xludf.DUMMYFUNCTION(" CONCATENATE( 
if (regexmatch(M36, ""^[A-Za-z\.\_]+""), ""L"", 
if(regexmatch(AF36, ""^[A-Za-z\.\_]+""),""S"","""")),
if(AY36=""X"",""K"",""""))"),"")</f>
        <v/>
      </c>
      <c r="BQ36" s="40" t="str">
        <f>IFERROR(__xludf.DUMMYFUNCTION("CONCATENATE( 
if (regexmatch(O36, ""^[A-Za-z\.\_]+""), ""L"", 
if(regexmatch(AH36, ""^[A-Za-z\.\_]+""),""S"","""")),
if(AZ36=""X"",""K"",""""))"),"")</f>
        <v/>
      </c>
      <c r="BR36" s="40" t="str">
        <f>IFERROR(__xludf.DUMMYFUNCTION("CONCATENATE( 
if (regexmatch(Q36, ""^[A-Za-z\.\_]+""), ""L"", 
if(regexmatch(AJ36, ""^[A-Za-z\.\_]+""),""S"","""")),
if(BA36=""X"",""K"",""""))"),"")</f>
        <v/>
      </c>
      <c r="BS36" s="40" t="str">
        <f>IFERROR(__xludf.DUMMYFUNCTION(" CONCATENATE( 
if (regexmatch(R36, ""^[A-Za-z\.\_]+""), ""L"", 
if(regexmatch(AK36, ""^[A-Za-z\.\_]+""),""S"","""")),
if(BB36=""X"",""K"",""""))"),"K")</f>
        <v>K</v>
      </c>
      <c r="BT36" s="40" t="str">
        <f>IFERROR(__xludf.DUMMYFUNCTION("CONCATENATE( 
if (regexmatch(S36, ""^[A-Za-z\.\_]+""), ""L"", 
if(regexmatch(AL36, ""^[A-Za-z\.\_]+""),""S"","""")),
if(BC36=""X"",""K"",""""))"),"")</f>
        <v/>
      </c>
      <c r="BU36" s="40" t="str">
        <f>IFERROR(__xludf.DUMMYFUNCTION("CONCATENATE( 
if (regexmatch(T36, ""^[A-Za-z\.\_]+""), ""L"", 
if(regexmatch(AM36, ""^[A-Za-z\.\_]+""),""S"","""")),
if(BD36=""X"",""K"",""""))"),"")</f>
        <v/>
      </c>
      <c r="BV36" s="40" t="str">
        <f>IFERROR(__xludf.DUMMYFUNCTION("CONCATENATE( 
if (regexmatch(U36, ""^[A-Za-z\.\_]+""), ""L"", 
if(regexmatch(AN36, ""^[A-Za-z\.\_]+""),""S"","""")),
if(BE36=""X"",""K"",""""))"),"K")</f>
        <v>K</v>
      </c>
      <c r="BW36" s="40" t="str">
        <f>IFERROR(__xludf.DUMMYFUNCTION(" CONCATENATE( 
if (regexmatch(V36, ""^[A-Za-z\.\_]+""), ""L"", 
if(regexmatch(AO36, ""^[A-Za-z\.\_]+""),""S"","""")),
if(BF36=""X"",""K"",""""))"),"LK")</f>
        <v>LK</v>
      </c>
      <c r="BX36" s="40" t="str">
        <f>IFERROR(__xludf.DUMMYFUNCTION("CONCATENATE( 
if (regexmatch(W36, ""^[A-Za-z\.\_]+""), ""L"", 
if(regexmatch(AP36, ""^[A-Za-z\.\_]+""),""S"","""")),
if(BG36=""X"",""K"",""""))"),"LK")</f>
        <v>LK</v>
      </c>
      <c r="BY36" s="40" t="str">
        <f>IFERROR(__xludf.DUMMYFUNCTION("CONCATENATE( 
if (regexmatch(X36, ""^[A-Za-z\.\_]+""), ""L"", 
if(regexmatch(AQ36, ""^[A-Za-z\.\_]+""),""S"","""")),
if(BH36=""X"",""K"",""""))"),"L")</f>
        <v>L</v>
      </c>
      <c r="BZ36" s="40" t="str">
        <f>IFERROR(__xludf.DUMMYFUNCTION("CONCATENATE( 
if (regexmatch(Y36, ""^[A-Za-z\.\_]+""), ""L"", 
if(regexmatch(AR36, ""^[A-Za-z\.\_]+""),""S"","""")),
if(BI36=""X"",""K"",""""))"),"LK")</f>
        <v>LK</v>
      </c>
      <c r="CA36" s="40" t="str">
        <f>IFERROR(__xludf.DUMMYFUNCTION("CONCATENATE( 
if (regexmatch(Z36, ""^[A-Za-z\.\_]+""), ""L"", 
if(regexmatch(AS36, ""^[A-Za-z\.\_]+""),""S"","""")),
if(BJ36=""X"",""K"",""""))"),"LK")</f>
        <v>LK</v>
      </c>
      <c r="CB36" s="39"/>
      <c r="CC36" s="39"/>
      <c r="CD36" s="39"/>
      <c r="CE36" s="39"/>
      <c r="CF36" s="39"/>
      <c r="CG36" s="39"/>
      <c r="CH36" s="39"/>
      <c r="CI36" s="39"/>
      <c r="CJ36" s="39"/>
      <c r="CK36" s="39"/>
      <c r="CL36" s="39"/>
      <c r="CM36" s="39"/>
      <c r="CN36" s="39"/>
      <c r="CO36" s="39"/>
      <c r="CP36" s="39"/>
      <c r="CQ36" s="39"/>
      <c r="CR36" s="39"/>
    </row>
    <row r="37" ht="15.75" customHeight="1">
      <c r="A37" s="25">
        <v>114.0</v>
      </c>
      <c r="B37" s="26" t="s">
        <v>185</v>
      </c>
      <c r="C37" s="27" t="s">
        <v>186</v>
      </c>
      <c r="D37" s="27" t="str">
        <f>IFERROR(__xludf.DUMMYFUNCTION("CONCATENATE(regexextract($C37,""[\w]* [\w]*""), ""*"")"),"Dendrobium catenatum*")</f>
        <v>Dendrobium catenatum*</v>
      </c>
      <c r="E37" s="26" t="s">
        <v>187</v>
      </c>
      <c r="F37" s="57">
        <v>906689.0</v>
      </c>
      <c r="G37" s="53"/>
      <c r="H37" s="31"/>
      <c r="I37" s="32" t="str">
        <f>CONCATENATE(
if(countif(dd.agi,$D37),"D",""),
if(countif(knap.agi,$D37),"K",""),
if(countif(mic.agi,$D37),"M",""),
if(countif(nap.agi,$D37),"N",""),
if(countif(np.agi,$D37),"P",""),
if(countif(imp.agi,$D37),"T",""),
if(countif(us.agi,$D37),"U",""),
if(countif(var.agi,$D37),"V","")
)</f>
        <v/>
      </c>
      <c r="J37" s="32" t="str">
        <f>
CONCATENATE(
if(countif(nap.bun,$D37),"N",""),
if(countif(np.bun,$D37),"P","")
)
</f>
        <v/>
      </c>
      <c r="K37" s="32" t="str">
        <f>CONCATENATE(
if(countif(dd.kxn,$D37),"D",""),
if(countif(knap.kxn,$D37),"K",""),
if(countif(mic.kxn,$D37),"M",""),
if(countif(nap.kxn,$D37),"N",""),
if(countif(np.kxn,$D37),"P",""),
if(countif(us.kxn,$D37),"U",""),
if(countif(var.kxn,$D37),"V","")
)</f>
        <v/>
      </c>
      <c r="L37" s="32" t="str">
        <f>
CONCATENATE(
if(countif(dd.hwb,$D37),"D",""),
if(countif(knap.hwb,$D37),"K",""),
if(countif(mic.hwb,$D37),"M",""),
if(countif(nap.hwb,$D37),"N",""),
if(countif(np.hwb,$D37),"P",""),
if(countif(us.hwb,$D37),"U",""),
if(countif(imp.hwb,$D37),"T",""),
if(countif(var.hwb,$D37),"V","")
)</f>
        <v/>
      </c>
      <c r="M37" s="32" t="str">
        <f>CONCATENATE(
if(countif(dd.epc,$D37),"D",""),
if(countif(knap.ekxn,$D37),"K",""),
if(countif(mic.ekxn,$D37),"M",""),
if(countif(nap.ekxn,$D37),"N",""),
if(countif(np.ekxn,$D37),"P",""),
if(countif(imp.epc,$D37),"T",""),
if(countif(us.ekxn,$D37),"U",""),
if(countif(var.ekxn,$D37),"V","")
)</f>
        <v/>
      </c>
      <c r="N37" s="32" t="str">
        <f>
CONCATENATE(
if(countif(dd.ecg,$D37),"D",""),
if(countif(mic.ecg,$D37),"M",""),
if(countif(np.ecg,$D37),"P",""),
if(countif(imp.ecg,$D37),"T",""),
if(countif(us.ecg,$D37),"U","")
)</f>
        <v/>
      </c>
      <c r="O37" s="32" t="str">
        <f>
CONCATENATE(
if(countif(dd.egt,$D37),"D",""),
if(countif(mic.egt,$D37),"M",""),
if(countif(nap.egt,$D37),"N",""),
if(countif(us.egt,$D37),"U",""),
if(countif(var.egt,$D37),"V",""))
</f>
        <v/>
      </c>
      <c r="P37" s="32" t="str">
        <f>CONCATENATE(
if(countif(knap.egcg,$D37),"K",""),
if(countif(mic.egcg,$D37),"M",""),
if(countif(np.egcg,$D37),"P",""),
if(countif(us.egcg,$D37),"U","")
)</f>
        <v/>
      </c>
      <c r="Q37" s="32" t="str">
        <f>CONCATENATE(if(countif(np.ecit,$D37),"P",""),
if(countif(nap.ecit,$D37),"A",""))</f>
        <v/>
      </c>
      <c r="R37" s="32" t="str">
        <f>
CONCATENATE(
if(countif(nap.erd,$D37),"N",""),
if(countif(np.erd,$D37),"P",""),
if(countif(var.erd,$D37),"V",""))</f>
        <v/>
      </c>
      <c r="S37" s="32" t="str">
        <f>
CONCATENATE(
if(countif(dd.gkxn,$D37),"D",""),
if(countif(knap.gkxn,$D37),"K",""),
if(countif(nap.gkxn,$D37),"N",""),
if(countif(np.gkxn,$D37),"P",""),
if(countif(imp.gkxn,$D37),"T",""),
if(countif(var.gkxn,$D37),"V",""))</f>
        <v/>
      </c>
      <c r="T37" s="32" t="str">
        <f>
CONCATENATE(
if(countif(dd.gen,$C37),"D",""),
if(countif(knap.gen,$C37),"K",""),
if(countif(nap.gen,$C37),"N",""),
if(countif(np.gen,$C37),"P",""),
if(countif(imp.gen,$C37),"T",""),
if(countif(var.gen,$C37),"V",""))</f>
        <v/>
      </c>
      <c r="U37" s="32" t="str">
        <f>
CONCATENATE(
if(countif(dd.hcc,$D37),"D",""),
if(countif(knap.hcc,$D37),"K",""),
if(countif(np.hcc,$D37),"P","")
)
</f>
        <v/>
      </c>
      <c r="V37" s="32" t="str">
        <f>
CONCATENATE(
if(countif(dd.kmp,$D37),"D",""),
if(countif(knap.kmp,$D37),"K",""),
if(countif(mic.kmp,$D37),"M",""),
if(countif(nap.kmp,$D37),"N",""),
if(countif(np.kmp,$D37),"P",""),
if(countif(imp.kmp,$D37),"T",""),
if(countif(us.kmp,$D37),"U",""),
if(countif(var.kmp,$D37),"V",""))</f>
        <v/>
      </c>
      <c r="W37" s="32" t="str">
        <f>
CONCATENATE(
if(countif(dd.lu2,$D37),"D",""),
if(countif(knap.lu2,$D37),"K",""),
if(countif(mic.lu2,$D37),"M",""),
if(countif(nap.lu2,$D37),"N",""),
if(countif(np.lu2,$D37),"P",""),
if(countif(imp.lu2,$D37),"T",""),
if(countif(us.lu2,$D37),"U",""),
if(countif(var.lu2,$D37),"V",""))</f>
        <v/>
      </c>
      <c r="X37" s="32" t="str">
        <f>
CONCATENATE(
if(countif(dd.myc,$D37),"D",""),
if(countif(knap.myc,$D37),"K",""), 
if(countif(mic.myc,$D37),"M",""),
if(countif(nap.myc,$D37),"N",""),
if(countif(np.myc,$D37),"P",""),
if(countif(imp.myc,$D37),"T",""),
if(countif(us.myc,$D37),"U",""),
if(countif(var.myc,$D37),"V",""))</f>
        <v/>
      </c>
      <c r="Y37" s="32" t="str">
        <f>CONCATENATE(
if(countif(dd.nar,$D37),"D",""),
if(countif(knap.nar,$D37),"K",""),
if(countif(nap.nar,$D37),"N",""),
if(countif(np.nar,$D37),"P",""),
if(countif(imp.nar,$D37),"T",""),
if(countif(us.nar,$D37),"U",""),
if(countif(var.nar,$D37),"V",""))</f>
        <v>P</v>
      </c>
      <c r="Z37" s="33" t="str">
        <f>
CONCATENATE(
if(countif(dd.que,$D37),"D",""),
if(countif(knap.que,$D37),"K",""),
if(countif(mic.que,$D37),"M",""),
if(countif(nap.que,$D37),"N",""),
if(countif(np.que,$D37),"P",""),
if(countif(imp.que,$D37),"T",""),
if(countif(us.que,$D37),"U",""),
if(countif(var.que,$D37),"V",""))</f>
        <v/>
      </c>
      <c r="AA37" s="32"/>
      <c r="AB37" s="34" t="str">
        <f>
CONCATENATE(if(countif(knap.agi.sim,$D37),"K",""),
if(countif(dd.agi.sim,$D37),"D",""),
if(countif(nap.agi.sim,$D37),"A",""),
if(countif(var.agi.sim,$D37),"V",""))</f>
        <v/>
      </c>
      <c r="AC37" s="34" t="str">
        <f>
if(countif(nap.bun.sim,$D37),"A","")</f>
        <v/>
      </c>
      <c r="AD37" s="34" t="str">
        <f>
CONCATENATE(if(countif(knap.kxn.sim,$D37),"K",""),
if(countif(np.kxn.sim,$D37),"P",""),
if(countif(dd.kxn.sim,$D37),"D",""),
if(countif(nap.kxn.sim,$D37),"A",""),
if(countif(var.kxn.sim,$D37),"V",""))</f>
        <v/>
      </c>
      <c r="AE37" s="34" t="str">
        <f>
CONCATENATE(if(countif(knap.hwb.sim,$D37),"K",""),
if(countif(np.hwb.sim,$D37),"P",""),
if(countif(mic.hwb.sim,$D37),"M",""),
if(countif(imp.hwb.sim,$D37),"T",""),
if(countif(dd.cyan.sim,$D37),"D",""),
if(countif(nap.hwb.sim,$D37),"A",""),
if(countif(var.hwb.sim,$D37),"V",""))</f>
        <v/>
      </c>
      <c r="AF37" s="34" t="str">
        <f>
CONCATENATE(if(countif(us.ekxn.sim,$D37),"U",""),
if(countif(knap.ekxn.sim,$D37),"K",""),
if(countif(np.ekxn.sim,$D37),"P",""),
if(countif(mic.ekxn.sim,$D37),"M",""),
if(countif(imp.epc.sim,$D37),"T",""),
if(countif(nap.ekxn.sim,$D37),"A",""))</f>
        <v/>
      </c>
      <c r="AG37" s="34"/>
      <c r="AH37" s="34" t="str">
        <f>
CONCATENATE(if(countif(us.egt.sim,$D37),"U",""),
if(countif(knap.egt.sim,$D37),"K",""),
if(countif(np.egt.sim,$D37),"P",""),
if(countif(mic.egt.sim,$D37),"M",""))</f>
        <v/>
      </c>
      <c r="AI37" s="34"/>
      <c r="AJ37" s="34" t="str">
        <f>if(countif(nap.ecit.sim,$D37),"A","")</f>
        <v/>
      </c>
      <c r="AK37" s="34" t="str">
        <f>
CONCATENATE(if(countif(nap.erd,$D37),"M",""),
if(countif(nap.erd.sim,$D37),"A",""),
if(countif(var.erd.sim,$D37),"V",""))</f>
        <v/>
      </c>
      <c r="AL37" s="34" t="str">
        <f>
CONCATENATE(if(countif(knap.gkxn.sim,$D37),"K",""),
if(countif(nap.gkxn.sim,$D37),"A",""))</f>
        <v/>
      </c>
      <c r="AM37" s="34" t="str">
        <f>
CONCATENATE(if(countif(knap.gen.sim,$C37),"K",""),
if(countif(imp.gen.sim,$C37),"T",""),
if(countif(dd.gen.sim,$C37),"D",""),
if(countif(nap.gen.sim,$C37),"A",""),
if(countif(var.gen.sim,$C37),"V",""))
</f>
        <v/>
      </c>
      <c r="AN37" s="34" t="str">
        <f>IFERROR(__xludf.DUMMYFUNCTION("
if(countif(#REF!,CONCATENATE(regexextract($C37,""[\w]* [\w]*""), ""*"")),""V"","""")"),"")</f>
        <v/>
      </c>
      <c r="AO37" s="34" t="str">
        <f>
CONCATENATE(if(countif(knap.kmp.sim,$D37),"K",""),
if(countif(np.kmp.sim,$D37),"P",""),
if(countif(imp.kmp.sim,$D37),"T",""),
if(countif(dd.kmp,$D37),"D",""),
if(countif(nap.kmp.sim,$D37),"A",""),
if(countif(var.kmp.sim,$D37),"V",""))</f>
        <v/>
      </c>
      <c r="AP37" s="34" t="str">
        <f>
CONCATENATE(if(countif(knap.lu2.sim,$D37),"K",""),
if(countif(np.lu2.sim,$D37),"P",""),
if(countif(imp.lu2.sim,$D37),"T",""),
if(countif(dd.lu2.sim,$D37),"D",""),
if(countif(nap.lu2.sim,$D37),"A",""),
if(countif(var.lu2.sim,$D37),"V",""))</f>
        <v/>
      </c>
      <c r="AQ37" s="34" t="str">
        <f>
CONCATENATE(if(countif(np.myc.sim,$D37),"P",""),
if(countif(imp.myc.sim,$D37),"T",""),
if(countif(nap.myc.sim,$D37),"A",""))
</f>
        <v/>
      </c>
      <c r="AR37" s="36" t="str">
        <f>
CONCATENATE(if(countif(knap.nar.sim,$D37),"K",""),
if(countif(np.nar.sim,$D37),"P",""),
if(countif(imp.nar.sim,$D37),"T",""),
if(countif(dd.nar.sim,$D37),"D",""),
if(countif(nap.nar.sim,$D37),"A",""),
if(countif(var.nar.sim,$D37),"V",""))</f>
        <v/>
      </c>
      <c r="AS37" s="34" t="str">
        <f>
CONCATENATE(if(countif(knap.que.sim,$D37),"K",""),
if(countif(np.que.sim,$D37),"P",""),
if(countif(imp.que.sim,$D37),"T",""),
if(countif(dd.que.sim,$D37),"D",""),
if(countif(nap.que.sim,$D37),"A",""),
if(countif(var.que.sim,$D37),"V",""))</f>
        <v/>
      </c>
      <c r="AT37" s="37"/>
      <c r="AU37" s="32" t="str">
        <f>IFERROR(__xludf.DUMMYFUNCTION("if(countif(kr.agi, CONCATENATE(regexextract($C37,""[\w]* [\w]*""), ""*"")),""X"","""")"),"")</f>
        <v/>
      </c>
      <c r="AV37" s="38" t="str">
        <f>IFERROR(__xludf.DUMMYFUNCTION("if(countif(kr.bun,CONCATENATE(regexextract($C37,""[\w]* [\w]*""), ""*"")),""X"","""")"),"X")</f>
        <v>X</v>
      </c>
      <c r="AW37" s="38" t="str">
        <f>IFERROR(__xludf.DUMMYFUNCTION("if(countif(kr.kxn,CONCATENATE(regexextract($C37,""[\w]* [\w]*""), ""*"")),""X"","""")"),"")</f>
        <v/>
      </c>
      <c r="AX37" s="38" t="str">
        <f>IFERROR(__xludf.DUMMYFUNCTION("if(countif(kr.hwb,CONCATENATE(regexextract($C37,""[\w]* [\w]*""), ""*"")),""X"","""")"),"X")</f>
        <v>X</v>
      </c>
      <c r="AY37" s="38" t="str">
        <f>IFERROR(__xludf.DUMMYFUNCTION("if(countif(kr.ec,CONCATENATE(regexextract($C37,""[\w]* [\w]*""), ""*"")),""X"","""")"),"")</f>
        <v/>
      </c>
      <c r="AZ37" s="38" t="str">
        <f>IFERROR(__xludf.DUMMYFUNCTION("if(countif(kr.egt,CONCATENATE(regexextract($C37,""[\w]* [\w]*""), ""*"")),""X"","""")"),"")</f>
        <v/>
      </c>
      <c r="BA37" s="38"/>
      <c r="BB37" s="38" t="str">
        <f>IFERROR(__xludf.DUMMYFUNCTION("if(countif(kr.erd,CONCATENATE(regexextract($C37,""[\w]* [\w]*""), ""*"")),""X"","""")"),"X")</f>
        <v>X</v>
      </c>
      <c r="BC37" s="38" t="str">
        <f>IFERROR(__xludf.DUMMYFUNCTION("if(countif(kr.gkxn,CONCATENATE(regexextract($C37,""[\w]* [\w]*""), ""*"")),""X"","""")"),"")</f>
        <v/>
      </c>
      <c r="BD37" s="38" t="str">
        <f>IFERROR(__xludf.DUMMYFUNCTION("if(countif(kr.gen,CONCATENATE(regexextract(C37,""[\w]* [\w]*""), ""*"")),""X"","""")"),"")</f>
        <v/>
      </c>
      <c r="BE37" s="38" t="str">
        <f>IFERROR(__xludf.DUMMYFUNCTION("if(countif(kr.hcc,CONCATENATE(regexextract($C37,""[\w]* [\w]*""), ""*"")),""X"","""")"),"X")</f>
        <v>X</v>
      </c>
      <c r="BF37" s="38" t="str">
        <f>IFERROR(__xludf.DUMMYFUNCTION("if(countif(kr.kmp,CONCATENATE(regexextract($C37,""[\w]* [\w]*""), ""*"")),""X"","""")"),"")</f>
        <v/>
      </c>
      <c r="BG37" s="38" t="str">
        <f>IFERROR(__xludf.DUMMYFUNCTION("if(countif(kr.lu2,CONCATENATE(regexextract($C37,""[\w]* [\w]*""), ""*"")),""X"","""")"),"")</f>
        <v/>
      </c>
      <c r="BH37" s="38" t="str">
        <f>IFERROR(__xludf.DUMMYFUNCTION("if(countif(kr.myc,CONCATENATE(regexextract($C37,""[\w]* [\w]*""), ""*"")),""X"","""")"),"")</f>
        <v/>
      </c>
      <c r="BI37" s="38" t="str">
        <f>IFERROR(__xludf.DUMMYFUNCTION("if(countif(kr.nar,CONCATENATE(regexextract($C37,""[\w]* [\w]*""), ""*"")),""X"","""")"),"X")</f>
        <v>X</v>
      </c>
      <c r="BJ37" s="38" t="str">
        <f>IFERROR(__xludf.DUMMYFUNCTION("if(countif(kr.que,CONCATENATE(regexextract($C37,""[\w]* [\w]*""), ""*"")),""X"","""")"),"")</f>
        <v/>
      </c>
      <c r="BK37" s="39"/>
      <c r="BL37" s="40" t="str">
        <f>IFERROR(__xludf.DUMMYFUNCTION(" CONCATENATE( 
if (regexmatch(I37, ""^[A-Za-z\.\_]+""), ""L"", 
if(regexmatch(AB37, ""^[A-Za-z\.\_]+""),""S"","""")),
if(AU37=""X"",""K"",""""))"),"")</f>
        <v/>
      </c>
      <c r="BM37" s="40" t="str">
        <f>IFERROR(__xludf.DUMMYFUNCTION(" CONCATENATE( 
if (regexmatch(J37, ""^[A-Za-z\.\_]+""), ""L"", 
if(regexmatch(AC37, ""^[A-Za-z\.\_]+""),""S"","""")),
if(AV37=""X"",""K"",""""))"),"K")</f>
        <v>K</v>
      </c>
      <c r="BN37" s="40" t="str">
        <f>IFERROR(__xludf.DUMMYFUNCTION(" CONCATENATE( 
if (regexmatch(K37, ""^[A-Za-z\.\_]+""), ""L"", 
if(regexmatch(AD37, ""^[A-Za-z\.\_]+""),""S"","""")),
if(AW37=""X"",""K"",""""))"),"")</f>
        <v/>
      </c>
      <c r="BO37" s="40" t="str">
        <f>IFERROR(__xludf.DUMMYFUNCTION(" CONCATENATE( 
if (regexmatch(L37, ""^[A-Za-z\.\_]+""), ""L"", 
if(regexmatch(AE37, ""^[A-Za-z\.\_]+""),""S"","""")),
if(AX37=""X"",""K"",""""))"),"K")</f>
        <v>K</v>
      </c>
      <c r="BP37" s="40" t="str">
        <f>IFERROR(__xludf.DUMMYFUNCTION(" CONCATENATE( 
if (regexmatch(M37, ""^[A-Za-z\.\_]+""), ""L"", 
if(regexmatch(AF37, ""^[A-Za-z\.\_]+""),""S"","""")),
if(AY37=""X"",""K"",""""))"),"")</f>
        <v/>
      </c>
      <c r="BQ37" s="40" t="str">
        <f>IFERROR(__xludf.DUMMYFUNCTION("CONCATENATE( 
if (regexmatch(O37, ""^[A-Za-z\.\_]+""), ""L"", 
if(regexmatch(AH37, ""^[A-Za-z\.\_]+""),""S"","""")),
if(AZ37=""X"",""K"",""""))"),"")</f>
        <v/>
      </c>
      <c r="BR37" s="40" t="str">
        <f>IFERROR(__xludf.DUMMYFUNCTION("CONCATENATE( 
if (regexmatch(Q37, ""^[A-Za-z\.\_]+""), ""L"", 
if(regexmatch(AJ37, ""^[A-Za-z\.\_]+""),""S"","""")),
if(BA37=""X"",""K"",""""))"),"")</f>
        <v/>
      </c>
      <c r="BS37" s="40" t="str">
        <f>IFERROR(__xludf.DUMMYFUNCTION(" CONCATENATE( 
if (regexmatch(R37, ""^[A-Za-z\.\_]+""), ""L"", 
if(regexmatch(AK37, ""^[A-Za-z\.\_]+""),""S"","""")),
if(BB37=""X"",""K"",""""))"),"K")</f>
        <v>K</v>
      </c>
      <c r="BT37" s="40" t="str">
        <f>IFERROR(__xludf.DUMMYFUNCTION("CONCATENATE( 
if (regexmatch(S37, ""^[A-Za-z\.\_]+""), ""L"", 
if(regexmatch(AL37, ""^[A-Za-z\.\_]+""),""S"","""")),
if(BC37=""X"",""K"",""""))"),"")</f>
        <v/>
      </c>
      <c r="BU37" s="40" t="str">
        <f>IFERROR(__xludf.DUMMYFUNCTION("CONCATENATE( 
if (regexmatch(T37, ""^[A-Za-z\.\_]+""), ""L"", 
if(regexmatch(AM37, ""^[A-Za-z\.\_]+""),""S"","""")),
if(BD37=""X"",""K"",""""))"),"")</f>
        <v/>
      </c>
      <c r="BV37" s="40" t="str">
        <f>IFERROR(__xludf.DUMMYFUNCTION("CONCATENATE( 
if (regexmatch(U37, ""^[A-Za-z\.\_]+""), ""L"", 
if(regexmatch(AN37, ""^[A-Za-z\.\_]+""),""S"","""")),
if(BE37=""X"",""K"",""""))"),"K")</f>
        <v>K</v>
      </c>
      <c r="BW37" s="40" t="str">
        <f>IFERROR(__xludf.DUMMYFUNCTION(" CONCATENATE( 
if (regexmatch(V37, ""^[A-Za-z\.\_]+""), ""L"", 
if(regexmatch(AO37, ""^[A-Za-z\.\_]+""),""S"","""")),
if(BF37=""X"",""K"",""""))"),"")</f>
        <v/>
      </c>
      <c r="BX37" s="40" t="str">
        <f>IFERROR(__xludf.DUMMYFUNCTION("CONCATENATE( 
if (regexmatch(W37, ""^[A-Za-z\.\_]+""), ""L"", 
if(regexmatch(AP37, ""^[A-Za-z\.\_]+""),""S"","""")),
if(BG37=""X"",""K"",""""))"),"")</f>
        <v/>
      </c>
      <c r="BY37" s="40" t="str">
        <f>IFERROR(__xludf.DUMMYFUNCTION("CONCATENATE( 
if (regexmatch(X37, ""^[A-Za-z\.\_]+""), ""L"", 
if(regexmatch(AQ37, ""^[A-Za-z\.\_]+""),""S"","""")),
if(BH37=""X"",""K"",""""))"),"")</f>
        <v/>
      </c>
      <c r="BZ37" s="40" t="str">
        <f>IFERROR(__xludf.DUMMYFUNCTION("CONCATENATE( 
if (regexmatch(Y37, ""^[A-Za-z\.\_]+""), ""L"", 
if(regexmatch(AR37, ""^[A-Za-z\.\_]+""),""S"","""")),
if(BI37=""X"",""K"",""""))"),"LK")</f>
        <v>LK</v>
      </c>
      <c r="CA37" s="40" t="str">
        <f>IFERROR(__xludf.DUMMYFUNCTION("CONCATENATE( 
if (regexmatch(Z37, ""^[A-Za-z\.\_]+""), ""L"", 
if(regexmatch(AS37, ""^[A-Za-z\.\_]+""),""S"","""")),
if(BJ37=""X"",""K"",""""))"),"")</f>
        <v/>
      </c>
      <c r="CB37" s="39"/>
      <c r="CC37" s="39"/>
      <c r="CD37" s="39"/>
      <c r="CE37" s="39"/>
      <c r="CF37" s="39"/>
      <c r="CG37" s="39"/>
      <c r="CH37" s="39"/>
      <c r="CI37" s="39"/>
      <c r="CJ37" s="39"/>
      <c r="CK37" s="39"/>
      <c r="CL37" s="39"/>
      <c r="CM37" s="39"/>
      <c r="CN37" s="39"/>
      <c r="CO37" s="39"/>
      <c r="CP37" s="39"/>
      <c r="CQ37" s="39"/>
      <c r="CR37" s="39"/>
    </row>
    <row r="38" ht="15.75" customHeight="1">
      <c r="A38" s="25">
        <v>18.0</v>
      </c>
      <c r="B38" s="26" t="s">
        <v>188</v>
      </c>
      <c r="C38" s="41" t="s">
        <v>189</v>
      </c>
      <c r="D38" s="27" t="str">
        <f>IFERROR(__xludf.DUMMYFUNCTION("CONCATENATE(regexextract($C38,""[\w]* [\w]*""), ""*"")"),"Durio zibethinus*")</f>
        <v>Durio zibethinus*</v>
      </c>
      <c r="E38" s="59" t="s">
        <v>190</v>
      </c>
      <c r="F38" s="58">
        <v>66656.0</v>
      </c>
      <c r="G38" s="53"/>
      <c r="H38" s="31"/>
      <c r="I38" s="32" t="str">
        <f>CONCATENATE(
if(countif(dd.agi,$D38),"D",""),
if(countif(knap.agi,$D38),"K",""),
if(countif(mic.agi,$D38),"M",""),
if(countif(nap.agi,$D38),"N",""),
if(countif(np.agi,$D38),"P",""),
if(countif(imp.agi,$D38),"T",""),
if(countif(us.agi,$D38),"U",""),
if(countif(var.agi,$D38),"V","")
)</f>
        <v/>
      </c>
      <c r="J38" s="32" t="str">
        <f>
CONCATENATE(
if(countif(nap.bun,$D38),"N",""),
if(countif(np.bun,$D38),"P","")
)
</f>
        <v/>
      </c>
      <c r="K38" s="32" t="str">
        <f>CONCATENATE(
if(countif(dd.kxn,$D38),"D",""),
if(countif(knap.kxn,$D38),"K",""),
if(countif(mic.kxn,$D38),"M",""),
if(countif(nap.kxn,$D38),"N",""),
if(countif(np.kxn,$D38),"P",""),
if(countif(us.kxn,$D38),"U",""),
if(countif(var.kxn,$D38),"V","")
)</f>
        <v>V</v>
      </c>
      <c r="L38" s="32" t="str">
        <f>
CONCATENATE(
if(countif(dd.hwb,$D38),"D",""),
if(countif(knap.hwb,$D38),"K",""),
if(countif(mic.hwb,$D38),"M",""),
if(countif(nap.hwb,$D38),"N",""),
if(countif(np.hwb,$D38),"P",""),
if(countif(us.hwb,$D38),"U",""),
if(countif(imp.hwb,$D38),"T",""),
if(countif(var.hwb,$D38),"V","")
)</f>
        <v/>
      </c>
      <c r="M38" s="32" t="str">
        <f>CONCATENATE(
if(countif(dd.epc,$D38),"D",""),
if(countif(knap.ekxn,$D38),"K",""),
if(countif(mic.ekxn,$D38),"M",""),
if(countif(nap.ekxn,$D38),"N",""),
if(countif(np.ekxn,$D38),"P",""),
if(countif(imp.epc,$D38),"T",""),
if(countif(us.ekxn,$D38),"U",""),
if(countif(var.ekxn,$D38),"V","")
)</f>
        <v>V</v>
      </c>
      <c r="N38" s="32" t="str">
        <f>
CONCATENATE(
if(countif(dd.ecg,$D38),"D",""),
if(countif(mic.ecg,$D38),"M",""),
if(countif(np.ecg,$D38),"P",""),
if(countif(imp.ecg,$D38),"T",""),
if(countif(us.ecg,$D38),"U","")
)</f>
        <v/>
      </c>
      <c r="O38" s="32" t="str">
        <f>
CONCATENATE(
if(countif(dd.egt,$D38),"D",""),
if(countif(mic.egt,$D38),"M",""),
if(countif(nap.egt,$D38),"N",""),
if(countif(us.egt,$D38),"U",""),
if(countif(var.egt,$D38),"V",""))
</f>
        <v/>
      </c>
      <c r="P38" s="32" t="str">
        <f>CONCATENATE(
if(countif(knap.egcg,$D38),"K",""),
if(countif(mic.egcg,$D38),"M",""),
if(countif(np.egcg,$D38),"P",""),
if(countif(us.egcg,$D38),"U","")
)</f>
        <v/>
      </c>
      <c r="Q38" s="32" t="str">
        <f>CONCATENATE(if(countif(np.ecit,$D38),"P",""),
if(countif(nap.ecit,$D38),"A",""))</f>
        <v/>
      </c>
      <c r="R38" s="32" t="str">
        <f>
CONCATENATE(
if(countif(nap.erd,$D38),"N",""),
if(countif(np.erd,$D38),"P",""),
if(countif(var.erd,$D38),"V",""))</f>
        <v/>
      </c>
      <c r="S38" s="32" t="str">
        <f>
CONCATENATE(
if(countif(dd.gkxn,$D38),"D",""),
if(countif(knap.gkxn,$D38),"K",""),
if(countif(nap.gkxn,$D38),"N",""),
if(countif(np.gkxn,$D38),"P",""),
if(countif(imp.gkxn,$D38),"T",""),
if(countif(var.gkxn,$D38),"V",""))</f>
        <v/>
      </c>
      <c r="T38" s="32" t="str">
        <f>
CONCATENATE(
if(countif(dd.gen,$C38),"D",""),
if(countif(knap.gen,$C38),"K",""),
if(countif(nap.gen,$C38),"N",""),
if(countif(np.gen,$C38),"P",""),
if(countif(imp.gen,$C38),"T",""),
if(countif(var.gen,$C38),"V",""))</f>
        <v/>
      </c>
      <c r="U38" s="32" t="str">
        <f>
CONCATENATE(
if(countif(dd.hcc,$D38),"D",""),
if(countif(knap.hcc,$D38),"K",""),
if(countif(np.hcc,$D38),"P","")
)
</f>
        <v/>
      </c>
      <c r="V38" s="32" t="str">
        <f>
CONCATENATE(
if(countif(dd.kmp,$D38),"D",""),
if(countif(knap.kmp,$D38),"K",""),
if(countif(mic.kmp,$D38),"M",""),
if(countif(nap.kmp,$D38),"N",""),
if(countif(np.kmp,$D38),"P",""),
if(countif(imp.kmp,$D38),"T",""),
if(countif(us.kmp,$D38),"U",""),
if(countif(var.kmp,$D38),"V",""))</f>
        <v/>
      </c>
      <c r="W38" s="32" t="str">
        <f>
CONCATENATE(
if(countif(dd.lu2,$D38),"D",""),
if(countif(knap.lu2,$D38),"K",""),
if(countif(mic.lu2,$D38),"M",""),
if(countif(nap.lu2,$D38),"N",""),
if(countif(np.lu2,$D38),"P",""),
if(countif(imp.lu2,$D38),"T",""),
if(countif(us.lu2,$D38),"U",""),
if(countif(var.lu2,$D38),"V",""))</f>
        <v/>
      </c>
      <c r="X38" s="32" t="str">
        <f>
CONCATENATE(
if(countif(dd.myc,$D38),"D",""),
if(countif(knap.myc,$D38),"K",""), 
if(countif(mic.myc,$D38),"M",""),
if(countif(nap.myc,$D38),"N",""),
if(countif(np.myc,$D38),"P",""),
if(countif(imp.myc,$D38),"T",""),
if(countif(us.myc,$D38),"U",""),
if(countif(var.myc,$D38),"V",""))</f>
        <v/>
      </c>
      <c r="Y38" s="32" t="str">
        <f>CONCATENATE(
if(countif(dd.nar,$D38),"D",""),
if(countif(knap.nar,$D38),"K",""),
if(countif(nap.nar,$D38),"N",""),
if(countif(np.nar,$D38),"P",""),
if(countif(imp.nar,$D38),"T",""),
if(countif(us.nar,$D38),"U",""),
if(countif(var.nar,$D38),"V",""))</f>
        <v/>
      </c>
      <c r="Z38" s="33" t="str">
        <f>
CONCATENATE(
if(countif(dd.que,$D38),"D",""),
if(countif(knap.que,$D38),"K",""),
if(countif(mic.que,$D38),"M",""),
if(countif(nap.que,$D38),"N",""),
if(countif(np.que,$D38),"P",""),
if(countif(imp.que,$D38),"T",""),
if(countif(us.que,$D38),"U",""),
if(countif(var.que,$D38),"V",""))</f>
        <v/>
      </c>
      <c r="AA38" s="32"/>
      <c r="AB38" s="34" t="str">
        <f>
CONCATENATE(if(countif(knap.agi.sim,$D38),"K",""),
if(countif(dd.agi.sim,$D38),"D",""),
if(countif(nap.agi.sim,$D38),"A",""),
if(countif(var.agi.sim,$D38),"V",""))</f>
        <v/>
      </c>
      <c r="AC38" s="34" t="str">
        <f>
if(countif(nap.bun.sim,$D38),"A","")</f>
        <v/>
      </c>
      <c r="AD38" s="34" t="str">
        <f>
CONCATENATE(if(countif(knap.kxn.sim,$D38),"K",""),
if(countif(np.kxn.sim,$D38),"P",""),
if(countif(dd.kxn.sim,$D38),"D",""),
if(countif(nap.kxn.sim,$D38),"A",""),
if(countif(var.kxn.sim,$D38),"V",""))</f>
        <v/>
      </c>
      <c r="AE38" s="34" t="str">
        <f>
CONCATENATE(if(countif(knap.hwb.sim,$D38),"K",""),
if(countif(np.hwb.sim,$D38),"P",""),
if(countif(mic.hwb.sim,$D38),"M",""),
if(countif(imp.hwb.sim,$D38),"T",""),
if(countif(dd.cyan.sim,$D38),"D",""),
if(countif(nap.hwb.sim,$D38),"A",""),
if(countif(var.hwb.sim,$D38),"V",""))</f>
        <v/>
      </c>
      <c r="AF38" s="34" t="str">
        <f>
CONCATENATE(if(countif(us.ekxn.sim,$D38),"U",""),
if(countif(knap.ekxn.sim,$D38),"K",""),
if(countif(np.ekxn.sim,$D38),"P",""),
if(countif(mic.ekxn.sim,$D38),"M",""),
if(countif(imp.epc.sim,$D38),"T",""),
if(countif(nap.ekxn.sim,$D38),"A",""))</f>
        <v/>
      </c>
      <c r="AG38" s="34"/>
      <c r="AH38" s="34" t="str">
        <f>
CONCATENATE(if(countif(us.egt.sim,$D38),"U",""),
if(countif(knap.egt.sim,$D38),"K",""),
if(countif(np.egt.sim,$D38),"P",""),
if(countif(mic.egt.sim,$D38),"M",""))</f>
        <v/>
      </c>
      <c r="AI38" s="34"/>
      <c r="AJ38" s="34" t="str">
        <f>if(countif(nap.ecit.sim,$D38),"A","")</f>
        <v/>
      </c>
      <c r="AK38" s="34" t="str">
        <f>
CONCATENATE(if(countif(nap.erd,$D38),"M",""),
if(countif(nap.erd.sim,$D38),"A",""),
if(countif(var.erd.sim,$D38),"V",""))</f>
        <v/>
      </c>
      <c r="AL38" s="34" t="str">
        <f>
CONCATENATE(if(countif(knap.gkxn.sim,$D38),"K",""),
if(countif(nap.gkxn.sim,$D38),"A",""))</f>
        <v/>
      </c>
      <c r="AM38" s="34" t="str">
        <f>
CONCATENATE(if(countif(knap.gen.sim,$C38),"K",""),
if(countif(imp.gen.sim,$C38),"T",""),
if(countif(dd.gen.sim,$C38),"D",""),
if(countif(nap.gen.sim,$C38),"A",""),
if(countif(var.gen.sim,$C38),"V",""))
</f>
        <v/>
      </c>
      <c r="AN38" s="34" t="str">
        <f>IFERROR(__xludf.DUMMYFUNCTION("
if(countif(#REF!,CONCATENATE(regexextract($C38,""[\w]* [\w]*""), ""*"")),""V"","""")"),"")</f>
        <v/>
      </c>
      <c r="AO38" s="34" t="str">
        <f>
CONCATENATE(if(countif(knap.kmp.sim,$D38),"K",""),
if(countif(np.kmp.sim,$D38),"P",""),
if(countif(imp.kmp.sim,$D38),"T",""),
if(countif(dd.kmp,$D38),"D",""),
if(countif(nap.kmp.sim,$D38),"A",""),
if(countif(var.kmp.sim,$D38),"V",""))</f>
        <v/>
      </c>
      <c r="AP38" s="34" t="str">
        <f>
CONCATENATE(if(countif(knap.lu2.sim,$D38),"K",""),
if(countif(np.lu2.sim,$D38),"P",""),
if(countif(imp.lu2.sim,$D38),"T",""),
if(countif(dd.lu2.sim,$D38),"D",""),
if(countif(nap.lu2.sim,$D38),"A",""),
if(countif(var.lu2.sim,$D38),"V",""))</f>
        <v/>
      </c>
      <c r="AQ38" s="34" t="str">
        <f>
CONCATENATE(if(countif(np.myc.sim,$D38),"P",""),
if(countif(imp.myc.sim,$D38),"T",""),
if(countif(nap.myc.sim,$D38),"A",""))
</f>
        <v/>
      </c>
      <c r="AR38" s="36" t="str">
        <f>
CONCATENATE(if(countif(knap.nar.sim,$D38),"K",""),
if(countif(np.nar.sim,$D38),"P",""),
if(countif(imp.nar.sim,$D38),"T",""),
if(countif(dd.nar.sim,$D38),"D",""),
if(countif(nap.nar.sim,$D38),"A",""),
if(countif(var.nar.sim,$D38),"V",""))</f>
        <v/>
      </c>
      <c r="AS38" s="34" t="str">
        <f>
CONCATENATE(if(countif(knap.que.sim,$D38),"K",""),
if(countif(np.que.sim,$D38),"P",""),
if(countif(imp.que.sim,$D38),"T",""),
if(countif(dd.que.sim,$D38),"D",""),
if(countif(nap.que.sim,$D38),"A",""),
if(countif(var.que.sim,$D38),"V",""))</f>
        <v/>
      </c>
      <c r="AT38" s="37"/>
      <c r="AU38" s="32" t="str">
        <f>IFERROR(__xludf.DUMMYFUNCTION("if(countif(kr.agi, CONCATENATE(regexextract($C38,""[\w]* [\w]*""), ""*"")),""X"","""")"),"X")</f>
        <v>X</v>
      </c>
      <c r="AV38" s="38" t="str">
        <f>IFERROR(__xludf.DUMMYFUNCTION("if(countif(kr.bun,CONCATENATE(regexextract($C38,""[\w]* [\w]*""), ""*"")),""X"","""")"),"X")</f>
        <v>X</v>
      </c>
      <c r="AW38" s="38" t="str">
        <f>IFERROR(__xludf.DUMMYFUNCTION("if(countif(kr.kxn,CONCATENATE(regexextract($C38,""[\w]* [\w]*""), ""*"")),""X"","""")"),"X")</f>
        <v>X</v>
      </c>
      <c r="AX38" s="38" t="str">
        <f>IFERROR(__xludf.DUMMYFUNCTION("if(countif(kr.hwb,CONCATENATE(regexextract($C38,""[\w]* [\w]*""), ""*"")),""X"","""")"),"X")</f>
        <v>X</v>
      </c>
      <c r="AY38" s="38" t="str">
        <f>IFERROR(__xludf.DUMMYFUNCTION("if(countif(kr.ec,CONCATENATE(regexextract($C38,""[\w]* [\w]*""), ""*"")),""X"","""")"),"X")</f>
        <v>X</v>
      </c>
      <c r="AZ38" s="38" t="str">
        <f>IFERROR(__xludf.DUMMYFUNCTION("if(countif(kr.egt,CONCATENATE(regexextract($C38,""[\w]* [\w]*""), ""*"")),""X"","""")"),"X")</f>
        <v>X</v>
      </c>
      <c r="BA38" s="38"/>
      <c r="BB38" s="38" t="str">
        <f>IFERROR(__xludf.DUMMYFUNCTION("if(countif(kr.erd,CONCATENATE(regexextract($C38,""[\w]* [\w]*""), ""*"")),""X"","""")"),"X")</f>
        <v>X</v>
      </c>
      <c r="BC38" s="38" t="str">
        <f>IFERROR(__xludf.DUMMYFUNCTION("if(countif(kr.gkxn,CONCATENATE(regexextract($C38,""[\w]* [\w]*""), ""*"")),""X"","""")"),"X")</f>
        <v>X</v>
      </c>
      <c r="BD38" s="38" t="str">
        <f>IFERROR(__xludf.DUMMYFUNCTION("if(countif(kr.gen,CONCATENATE(regexextract(C38,""[\w]* [\w]*""), ""*"")),""X"","""")"),"")</f>
        <v/>
      </c>
      <c r="BE38" s="38" t="str">
        <f>IFERROR(__xludf.DUMMYFUNCTION("if(countif(kr.hcc,CONCATENATE(regexextract($C38,""[\w]* [\w]*""), ""*"")),""X"","""")"),"X")</f>
        <v>X</v>
      </c>
      <c r="BF38" s="38" t="str">
        <f>IFERROR(__xludf.DUMMYFUNCTION("if(countif(kr.kmp,CONCATENATE(regexextract($C38,""[\w]* [\w]*""), ""*"")),""X"","""")"),"X")</f>
        <v>X</v>
      </c>
      <c r="BG38" s="38" t="str">
        <f>IFERROR(__xludf.DUMMYFUNCTION("if(countif(kr.lu2,CONCATENATE(regexextract($C38,""[\w]* [\w]*""), ""*"")),""X"","""")"),"X")</f>
        <v>X</v>
      </c>
      <c r="BH38" s="38" t="str">
        <f>IFERROR(__xludf.DUMMYFUNCTION("if(countif(kr.myc,CONCATENATE(regexextract($C38,""[\w]* [\w]*""), ""*"")),""X"","""")"),"X")</f>
        <v>X</v>
      </c>
      <c r="BI38" s="38" t="str">
        <f>IFERROR(__xludf.DUMMYFUNCTION("if(countif(kr.nar,CONCATENATE(regexextract($C38,""[\w]* [\w]*""), ""*"")),""X"","""")"),"X")</f>
        <v>X</v>
      </c>
      <c r="BJ38" s="38" t="str">
        <f>IFERROR(__xludf.DUMMYFUNCTION("if(countif(kr.que,CONCATENATE(regexextract($C38,""[\w]* [\w]*""), ""*"")),""X"","""")"),"X")</f>
        <v>X</v>
      </c>
      <c r="BK38" s="39"/>
      <c r="BL38" s="40" t="str">
        <f>IFERROR(__xludf.DUMMYFUNCTION(" CONCATENATE( 
if (regexmatch(I38, ""^[A-Za-z\.\_]+""), ""L"", 
if(regexmatch(AB38, ""^[A-Za-z\.\_]+""),""S"","""")),
if(AU38=""X"",""K"",""""))"),"K")</f>
        <v>K</v>
      </c>
      <c r="BM38" s="40" t="str">
        <f>IFERROR(__xludf.DUMMYFUNCTION(" CONCATENATE( 
if (regexmatch(J38, ""^[A-Za-z\.\_]+""), ""L"", 
if(regexmatch(AC38, ""^[A-Za-z\.\_]+""),""S"","""")),
if(AV38=""X"",""K"",""""))"),"K")</f>
        <v>K</v>
      </c>
      <c r="BN38" s="40" t="str">
        <f>IFERROR(__xludf.DUMMYFUNCTION(" CONCATENATE( 
if (regexmatch(K38, ""^[A-Za-z\.\_]+""), ""L"", 
if(regexmatch(AD38, ""^[A-Za-z\.\_]+""),""S"","""")),
if(AW38=""X"",""K"",""""))"),"LK")</f>
        <v>LK</v>
      </c>
      <c r="BO38" s="40" t="str">
        <f>IFERROR(__xludf.DUMMYFUNCTION(" CONCATENATE( 
if (regexmatch(L38, ""^[A-Za-z\.\_]+""), ""L"", 
if(regexmatch(AE38, ""^[A-Za-z\.\_]+""),""S"","""")),
if(AX38=""X"",""K"",""""))"),"K")</f>
        <v>K</v>
      </c>
      <c r="BP38" s="40" t="str">
        <f>IFERROR(__xludf.DUMMYFUNCTION(" CONCATENATE( 
if (regexmatch(M38, ""^[A-Za-z\.\_]+""), ""L"", 
if(regexmatch(AF38, ""^[A-Za-z\.\_]+""),""S"","""")),
if(AY38=""X"",""K"",""""))"),"LK")</f>
        <v>LK</v>
      </c>
      <c r="BQ38" s="40" t="str">
        <f>IFERROR(__xludf.DUMMYFUNCTION("CONCATENATE( 
if (regexmatch(O38, ""^[A-Za-z\.\_]+""), ""L"", 
if(regexmatch(AH38, ""^[A-Za-z\.\_]+""),""S"","""")),
if(AZ38=""X"",""K"",""""))"),"K")</f>
        <v>K</v>
      </c>
      <c r="BR38" s="40" t="str">
        <f>IFERROR(__xludf.DUMMYFUNCTION("CONCATENATE( 
if (regexmatch(Q38, ""^[A-Za-z\.\_]+""), ""L"", 
if(regexmatch(AJ38, ""^[A-Za-z\.\_]+""),""S"","""")),
if(BA38=""X"",""K"",""""))"),"")</f>
        <v/>
      </c>
      <c r="BS38" s="40" t="str">
        <f>IFERROR(__xludf.DUMMYFUNCTION(" CONCATENATE( 
if (regexmatch(R38, ""^[A-Za-z\.\_]+""), ""L"", 
if(regexmatch(AK38, ""^[A-Za-z\.\_]+""),""S"","""")),
if(BB38=""X"",""K"",""""))"),"K")</f>
        <v>K</v>
      </c>
      <c r="BT38" s="40" t="str">
        <f>IFERROR(__xludf.DUMMYFUNCTION("CONCATENATE( 
if (regexmatch(S38, ""^[A-Za-z\.\_]+""), ""L"", 
if(regexmatch(AL38, ""^[A-Za-z\.\_]+""),""S"","""")),
if(BC38=""X"",""K"",""""))"),"K")</f>
        <v>K</v>
      </c>
      <c r="BU38" s="40" t="str">
        <f>IFERROR(__xludf.DUMMYFUNCTION("CONCATENATE( 
if (regexmatch(T38, ""^[A-Za-z\.\_]+""), ""L"", 
if(regexmatch(AM38, ""^[A-Za-z\.\_]+""),""S"","""")),
if(BD38=""X"",""K"",""""))"),"")</f>
        <v/>
      </c>
      <c r="BV38" s="40" t="str">
        <f>IFERROR(__xludf.DUMMYFUNCTION("CONCATENATE( 
if (regexmatch(U38, ""^[A-Za-z\.\_]+""), ""L"", 
if(regexmatch(AN38, ""^[A-Za-z\.\_]+""),""S"","""")),
if(BE38=""X"",""K"",""""))"),"K")</f>
        <v>K</v>
      </c>
      <c r="BW38" s="40" t="str">
        <f>IFERROR(__xludf.DUMMYFUNCTION(" CONCATENATE( 
if (regexmatch(V38, ""^[A-Za-z\.\_]+""), ""L"", 
if(regexmatch(AO38, ""^[A-Za-z\.\_]+""),""S"","""")),
if(BF38=""X"",""K"",""""))"),"K")</f>
        <v>K</v>
      </c>
      <c r="BX38" s="40" t="str">
        <f>IFERROR(__xludf.DUMMYFUNCTION("CONCATENATE( 
if (regexmatch(W38, ""^[A-Za-z\.\_]+""), ""L"", 
if(regexmatch(AP38, ""^[A-Za-z\.\_]+""),""S"","""")),
if(BG38=""X"",""K"",""""))"),"K")</f>
        <v>K</v>
      </c>
      <c r="BY38" s="40" t="str">
        <f>IFERROR(__xludf.DUMMYFUNCTION("CONCATENATE( 
if (regexmatch(X38, ""^[A-Za-z\.\_]+""), ""L"", 
if(regexmatch(AQ38, ""^[A-Za-z\.\_]+""),""S"","""")),
if(BH38=""X"",""K"",""""))"),"K")</f>
        <v>K</v>
      </c>
      <c r="BZ38" s="40" t="str">
        <f>IFERROR(__xludf.DUMMYFUNCTION("CONCATENATE( 
if (regexmatch(Y38, ""^[A-Za-z\.\_]+""), ""L"", 
if(regexmatch(AR38, ""^[A-Za-z\.\_]+""),""S"","""")),
if(BI38=""X"",""K"",""""))"),"K")</f>
        <v>K</v>
      </c>
      <c r="CA38" s="40" t="str">
        <f>IFERROR(__xludf.DUMMYFUNCTION("CONCATENATE( 
if (regexmatch(Z38, ""^[A-Za-z\.\_]+""), ""L"", 
if(regexmatch(AS38, ""^[A-Za-z\.\_]+""),""S"","""")),
if(BJ38=""X"",""K"",""""))"),"K")</f>
        <v>K</v>
      </c>
      <c r="CB38" s="39"/>
      <c r="CC38" s="39"/>
      <c r="CD38" s="39"/>
      <c r="CE38" s="39"/>
      <c r="CF38" s="39"/>
      <c r="CG38" s="39"/>
      <c r="CH38" s="39"/>
      <c r="CI38" s="39"/>
      <c r="CJ38" s="39"/>
      <c r="CK38" s="39"/>
      <c r="CL38" s="39"/>
      <c r="CM38" s="39"/>
      <c r="CN38" s="39"/>
      <c r="CO38" s="39"/>
      <c r="CP38" s="39"/>
      <c r="CQ38" s="39"/>
      <c r="CR38" s="39"/>
    </row>
    <row r="39" ht="15.75" customHeight="1">
      <c r="A39" s="25">
        <v>109.0</v>
      </c>
      <c r="B39" s="26" t="s">
        <v>191</v>
      </c>
      <c r="C39" s="27" t="s">
        <v>192</v>
      </c>
      <c r="D39" s="27" t="str">
        <f>IFERROR(__xludf.DUMMYFUNCTION("CONCATENATE(regexextract($C39,""[\w]* [\w]*""), ""*"")"),"Elaeis guineensis*")</f>
        <v>Elaeis guineensis*</v>
      </c>
      <c r="E39" s="59" t="s">
        <v>193</v>
      </c>
      <c r="F39" s="57">
        <v>51953.0</v>
      </c>
      <c r="G39" s="53"/>
      <c r="H39" s="31"/>
      <c r="I39" s="32" t="str">
        <f>CONCATENATE(
if(countif(dd.agi,$D39),"D",""),
if(countif(knap.agi,$D39),"K",""),
if(countif(mic.agi,$D39),"M",""),
if(countif(nap.agi,$D39),"N",""),
if(countif(np.agi,$D39),"P",""),
if(countif(imp.agi,$D39),"T",""),
if(countif(us.agi,$D39),"U",""),
if(countif(var.agi,$D39),"V","")
)</f>
        <v/>
      </c>
      <c r="J39" s="32" t="str">
        <f>
CONCATENATE(
if(countif(nap.bun,$D39),"N",""),
if(countif(np.bun,$D39),"P","")
)
</f>
        <v/>
      </c>
      <c r="K39" s="32" t="str">
        <f>CONCATENATE(
if(countif(dd.kxn,$D39),"D",""),
if(countif(knap.kxn,$D39),"K",""),
if(countif(mic.kxn,$D39),"M",""),
if(countif(nap.kxn,$D39),"N",""),
if(countif(np.kxn,$D39),"P",""),
if(countif(us.kxn,$D39),"U",""),
if(countif(var.kxn,$D39),"V","")
)</f>
        <v>V</v>
      </c>
      <c r="L39" s="32" t="str">
        <f>
CONCATENATE(
if(countif(dd.hwb,$D39),"D",""),
if(countif(knap.hwb,$D39),"K",""),
if(countif(mic.hwb,$D39),"M",""),
if(countif(nap.hwb,$D39),"N",""),
if(countif(np.hwb,$D39),"P",""),
if(countif(us.hwb,$D39),"U",""),
if(countif(imp.hwb,$D39),"T",""),
if(countif(var.hwb,$D39),"V","")
)</f>
        <v/>
      </c>
      <c r="M39" s="32" t="str">
        <f>CONCATENATE(
if(countif(dd.epc,$D39),"D",""),
if(countif(knap.ekxn,$D39),"K",""),
if(countif(mic.ekxn,$D39),"M",""),
if(countif(nap.ekxn,$D39),"N",""),
if(countif(np.ekxn,$D39),"P",""),
if(countif(imp.epc,$D39),"T",""),
if(countif(us.ekxn,$D39),"U",""),
if(countif(var.ekxn,$D39),"V","")
)</f>
        <v>V</v>
      </c>
      <c r="N39" s="32" t="str">
        <f>
CONCATENATE(
if(countif(dd.ecg,$D39),"D",""),
if(countif(mic.ecg,$D39),"M",""),
if(countif(np.ecg,$D39),"P",""),
if(countif(imp.ecg,$D39),"T",""),
if(countif(us.ecg,$D39),"U","")
)</f>
        <v/>
      </c>
      <c r="O39" s="32" t="str">
        <f>
CONCATENATE(
if(countif(dd.egt,$D39),"D",""),
if(countif(mic.egt,$D39),"M",""),
if(countif(nap.egt,$D39),"N",""),
if(countif(us.egt,$D39),"U",""),
if(countif(var.egt,$D39),"V",""))
</f>
        <v/>
      </c>
      <c r="P39" s="32" t="str">
        <f>CONCATENATE(
if(countif(knap.egcg,$D39),"K",""),
if(countif(mic.egcg,$D39),"M",""),
if(countif(np.egcg,$D39),"P",""),
if(countif(us.egcg,$D39),"U","")
)</f>
        <v/>
      </c>
      <c r="Q39" s="32" t="str">
        <f>CONCATENATE(if(countif(np.ecit,$D39),"P",""),
if(countif(nap.ecit,$D39),"A",""))</f>
        <v/>
      </c>
      <c r="R39" s="32" t="str">
        <f>
CONCATENATE(
if(countif(nap.erd,$D39),"N",""),
if(countif(np.erd,$D39),"P",""),
if(countif(var.erd,$D39),"V",""))</f>
        <v/>
      </c>
      <c r="S39" s="32" t="str">
        <f>
CONCATENATE(
if(countif(dd.gkxn,$D39),"D",""),
if(countif(knap.gkxn,$D39),"K",""),
if(countif(nap.gkxn,$D39),"N",""),
if(countif(np.gkxn,$D39),"P",""),
if(countif(imp.gkxn,$D39),"T",""),
if(countif(var.gkxn,$D39),"V",""))</f>
        <v/>
      </c>
      <c r="T39" s="32" t="str">
        <f>
CONCATENATE(
if(countif(dd.gen,$C39),"D",""),
if(countif(knap.gen,$C39),"K",""),
if(countif(nap.gen,$C39),"N",""),
if(countif(np.gen,$C39),"P",""),
if(countif(imp.gen,$C39),"T",""),
if(countif(var.gen,$C39),"V",""))</f>
        <v/>
      </c>
      <c r="U39" s="32" t="str">
        <f>
CONCATENATE(
if(countif(dd.hcc,$D39),"D",""),
if(countif(knap.hcc,$D39),"K",""),
if(countif(np.hcc,$D39),"P","")
)
</f>
        <v/>
      </c>
      <c r="V39" s="32" t="str">
        <f>
CONCATENATE(
if(countif(dd.kmp,$D39),"D",""),
if(countif(knap.kmp,$D39),"K",""),
if(countif(mic.kmp,$D39),"M",""),
if(countif(nap.kmp,$D39),"N",""),
if(countif(np.kmp,$D39),"P",""),
if(countif(imp.kmp,$D39),"T",""),
if(countif(us.kmp,$D39),"U",""),
if(countif(var.kmp,$D39),"V",""))</f>
        <v>V</v>
      </c>
      <c r="W39" s="32" t="str">
        <f>
CONCATENATE(
if(countif(dd.lu2,$D39),"D",""),
if(countif(knap.lu2,$D39),"K",""),
if(countif(mic.lu2,$D39),"M",""),
if(countif(nap.lu2,$D39),"N",""),
if(countif(np.lu2,$D39),"P",""),
if(countif(imp.lu2,$D39),"T",""),
if(countif(us.lu2,$D39),"U",""),
if(countif(var.lu2,$D39),"V",""))</f>
        <v/>
      </c>
      <c r="X39" s="32" t="str">
        <f>
CONCATENATE(
if(countif(dd.myc,$D39),"D",""),
if(countif(knap.myc,$D39),"K",""), 
if(countif(mic.myc,$D39),"M",""),
if(countif(nap.myc,$D39),"N",""),
if(countif(np.myc,$D39),"P",""),
if(countif(imp.myc,$D39),"T",""),
if(countif(us.myc,$D39),"U",""),
if(countif(var.myc,$D39),"V",""))</f>
        <v/>
      </c>
      <c r="Y39" s="32" t="str">
        <f>CONCATENATE(
if(countif(dd.nar,$D39),"D",""),
if(countif(knap.nar,$D39),"K",""),
if(countif(nap.nar,$D39),"N",""),
if(countif(np.nar,$D39),"P",""),
if(countif(imp.nar,$D39),"T",""),
if(countif(us.nar,$D39),"U",""),
if(countif(var.nar,$D39),"V",""))</f>
        <v/>
      </c>
      <c r="Z39" s="33" t="str">
        <f>
CONCATENATE(
if(countif(dd.que,$D39),"D",""),
if(countif(knap.que,$D39),"K",""),
if(countif(mic.que,$D39),"M",""),
if(countif(nap.que,$D39),"N",""),
if(countif(np.que,$D39),"P",""),
if(countif(imp.que,$D39),"T",""),
if(countif(us.que,$D39),"U",""),
if(countif(var.que,$D39),"V",""))</f>
        <v/>
      </c>
      <c r="AA39" s="32"/>
      <c r="AB39" s="34" t="str">
        <f>
CONCATENATE(if(countif(knap.agi.sim,$D39),"K",""),
if(countif(dd.agi.sim,$D39),"D",""),
if(countif(nap.agi.sim,$D39),"A",""),
if(countif(var.agi.sim,$D39),"V",""))</f>
        <v/>
      </c>
      <c r="AC39" s="34" t="str">
        <f>
if(countif(nap.bun.sim,$D39),"A","")</f>
        <v/>
      </c>
      <c r="AD39" s="34" t="str">
        <f>
CONCATENATE(if(countif(knap.kxn.sim,$D39),"K",""),
if(countif(np.kxn.sim,$D39),"P",""),
if(countif(dd.kxn.sim,$D39),"D",""),
if(countif(nap.kxn.sim,$D39),"A",""),
if(countif(var.kxn.sim,$D39),"V",""))</f>
        <v/>
      </c>
      <c r="AE39" s="34" t="str">
        <f>
CONCATENATE(if(countif(knap.hwb.sim,$D39),"K",""),
if(countif(np.hwb.sim,$D39),"P",""),
if(countif(mic.hwb.sim,$D39),"M",""),
if(countif(imp.hwb.sim,$D39),"T",""),
if(countif(dd.cyan.sim,$D39),"D",""),
if(countif(nap.hwb.sim,$D39),"A",""),
if(countif(var.hwb.sim,$D39),"V",""))</f>
        <v/>
      </c>
      <c r="AF39" s="34" t="str">
        <f>
CONCATENATE(if(countif(us.ekxn.sim,$D39),"U",""),
if(countif(knap.ekxn.sim,$D39),"K",""),
if(countif(np.ekxn.sim,$D39),"P",""),
if(countif(mic.ekxn.sim,$D39),"M",""),
if(countif(imp.epc.sim,$D39),"T",""),
if(countif(nap.ekxn.sim,$D39),"A",""))</f>
        <v/>
      </c>
      <c r="AG39" s="34"/>
      <c r="AH39" s="34" t="str">
        <f>
CONCATENATE(if(countif(us.egt.sim,$D39),"U",""),
if(countif(knap.egt.sim,$D39),"K",""),
if(countif(np.egt.sim,$D39),"P",""),
if(countif(mic.egt.sim,$D39),"M",""))</f>
        <v/>
      </c>
      <c r="AI39" s="34"/>
      <c r="AJ39" s="34" t="str">
        <f>if(countif(nap.ecit.sim,$D39),"A","")</f>
        <v/>
      </c>
      <c r="AK39" s="34" t="str">
        <f>
CONCATENATE(if(countif(nap.erd,$D39),"M",""),
if(countif(nap.erd.sim,$D39),"A",""),
if(countif(var.erd.sim,$D39),"V",""))</f>
        <v/>
      </c>
      <c r="AL39" s="34" t="str">
        <f>
CONCATENATE(if(countif(knap.gkxn.sim,$D39),"K",""),
if(countif(nap.gkxn.sim,$D39),"A",""))</f>
        <v/>
      </c>
      <c r="AM39" s="34" t="str">
        <f>
CONCATENATE(if(countif(knap.gen.sim,$C39),"K",""),
if(countif(imp.gen.sim,$C39),"T",""),
if(countif(dd.gen.sim,$C39),"D",""),
if(countif(nap.gen.sim,$C39),"A",""),
if(countif(var.gen.sim,$C39),"V",""))
</f>
        <v/>
      </c>
      <c r="AN39" s="34" t="str">
        <f>IFERROR(__xludf.DUMMYFUNCTION("
if(countif(#REF!,CONCATENATE(regexextract($C39,""[\w]* [\w]*""), ""*"")),""V"","""")"),"")</f>
        <v/>
      </c>
      <c r="AO39" s="34" t="str">
        <f>
CONCATENATE(if(countif(knap.kmp.sim,$D39),"K",""),
if(countif(np.kmp.sim,$D39),"P",""),
if(countif(imp.kmp.sim,$D39),"T",""),
if(countif(dd.kmp,$D39),"D",""),
if(countif(nap.kmp.sim,$D39),"A",""),
if(countif(var.kmp.sim,$D39),"V",""))</f>
        <v/>
      </c>
      <c r="AP39" s="34" t="str">
        <f>
CONCATENATE(if(countif(knap.lu2.sim,$D39),"K",""),
if(countif(np.lu2.sim,$D39),"P",""),
if(countif(imp.lu2.sim,$D39),"T",""),
if(countif(dd.lu2.sim,$D39),"D",""),
if(countif(nap.lu2.sim,$D39),"A",""),
if(countif(var.lu2.sim,$D39),"V",""))</f>
        <v/>
      </c>
      <c r="AQ39" s="34" t="str">
        <f>
CONCATENATE(if(countif(np.myc.sim,$D39),"P",""),
if(countif(imp.myc.sim,$D39),"T",""),
if(countif(nap.myc.sim,$D39),"A",""))
</f>
        <v/>
      </c>
      <c r="AR39" s="36" t="str">
        <f>
CONCATENATE(if(countif(knap.nar.sim,$D39),"K",""),
if(countif(np.nar.sim,$D39),"P",""),
if(countif(imp.nar.sim,$D39),"T",""),
if(countif(dd.nar.sim,$D39),"D",""),
if(countif(nap.nar.sim,$D39),"A",""),
if(countif(var.nar.sim,$D39),"V",""))</f>
        <v/>
      </c>
      <c r="AS39" s="34" t="str">
        <f>
CONCATENATE(if(countif(knap.que.sim,$D39),"K",""),
if(countif(np.que.sim,$D39),"P",""),
if(countif(imp.que.sim,$D39),"T",""),
if(countif(dd.que.sim,$D39),"D",""),
if(countif(nap.que.sim,$D39),"A",""),
if(countif(var.que.sim,$D39),"V",""))</f>
        <v/>
      </c>
      <c r="AT39" s="37"/>
      <c r="AU39" s="32" t="str">
        <f>IFERROR(__xludf.DUMMYFUNCTION("if(countif(kr.agi, CONCATENATE(regexextract($C39,""[\w]* [\w]*""), ""*"")),""X"","""")"),"")</f>
        <v/>
      </c>
      <c r="AV39" s="38" t="str">
        <f>IFERROR(__xludf.DUMMYFUNCTION("if(countif(kr.bun,CONCATENATE(regexextract($C39,""[\w]* [\w]*""), ""*"")),""X"","""")"),"X")</f>
        <v>X</v>
      </c>
      <c r="AW39" s="38" t="str">
        <f>IFERROR(__xludf.DUMMYFUNCTION("if(countif(kr.kxn,CONCATENATE(regexextract($C39,""[\w]* [\w]*""), ""*"")),""X"","""")"),"X")</f>
        <v>X</v>
      </c>
      <c r="AX39" s="38" t="str">
        <f>IFERROR(__xludf.DUMMYFUNCTION("if(countif(kr.hwb,CONCATENATE(regexextract($C39,""[\w]* [\w]*""), ""*"")),""X"","""")"),"X")</f>
        <v>X</v>
      </c>
      <c r="AY39" s="38" t="str">
        <f>IFERROR(__xludf.DUMMYFUNCTION("if(countif(kr.ec,CONCATENATE(regexextract($C39,""[\w]* [\w]*""), ""*"")),""X"","""")"),"X")</f>
        <v>X</v>
      </c>
      <c r="AZ39" s="38" t="str">
        <f>IFERROR(__xludf.DUMMYFUNCTION("if(countif(kr.egt,CONCATENATE(regexextract($C39,""[\w]* [\w]*""), ""*"")),""X"","""")"),"X")</f>
        <v>X</v>
      </c>
      <c r="BA39" s="38"/>
      <c r="BB39" s="38" t="str">
        <f>IFERROR(__xludf.DUMMYFUNCTION("if(countif(kr.erd,CONCATENATE(regexextract($C39,""[\w]* [\w]*""), ""*"")),""X"","""")"),"X")</f>
        <v>X</v>
      </c>
      <c r="BC39" s="38" t="str">
        <f>IFERROR(__xludf.DUMMYFUNCTION("if(countif(kr.gkxn,CONCATENATE(regexextract($C39,""[\w]* [\w]*""), ""*"")),""X"","""")"),"X")</f>
        <v>X</v>
      </c>
      <c r="BD39" s="38" t="str">
        <f>IFERROR(__xludf.DUMMYFUNCTION("if(countif(kr.gen,CONCATENATE(regexextract(C39,""[\w]* [\w]*""), ""*"")),""X"","""")"),"")</f>
        <v/>
      </c>
      <c r="BE39" s="38" t="str">
        <f>IFERROR(__xludf.DUMMYFUNCTION("if(countif(kr.hcc,CONCATENATE(regexextract($C39,""[\w]* [\w]*""), ""*"")),""X"","""")"),"X")</f>
        <v>X</v>
      </c>
      <c r="BF39" s="38" t="str">
        <f>IFERROR(__xludf.DUMMYFUNCTION("if(countif(kr.kmp,CONCATENATE(regexextract($C39,""[\w]* [\w]*""), ""*"")),""X"","""")"),"X")</f>
        <v>X</v>
      </c>
      <c r="BG39" s="38" t="str">
        <f>IFERROR(__xludf.DUMMYFUNCTION("if(countif(kr.lu2,CONCATENATE(regexextract($C39,""[\w]* [\w]*""), ""*"")),""X"","""")"),"")</f>
        <v/>
      </c>
      <c r="BH39" s="38" t="str">
        <f>IFERROR(__xludf.DUMMYFUNCTION("if(countif(kr.myc,CONCATENATE(regexextract($C39,""[\w]* [\w]*""), ""*"")),""X"","""")"),"X")</f>
        <v>X</v>
      </c>
      <c r="BI39" s="38" t="str">
        <f>IFERROR(__xludf.DUMMYFUNCTION("if(countif(kr.nar,CONCATENATE(regexextract($C39,""[\w]* [\w]*""), ""*"")),""X"","""")"),"X")</f>
        <v>X</v>
      </c>
      <c r="BJ39" s="38" t="str">
        <f>IFERROR(__xludf.DUMMYFUNCTION("if(countif(kr.que,CONCATENATE(regexextract($C39,""[\w]* [\w]*""), ""*"")),""X"","""")"),"X")</f>
        <v>X</v>
      </c>
      <c r="BK39" s="39"/>
      <c r="BL39" s="40" t="str">
        <f>IFERROR(__xludf.DUMMYFUNCTION(" CONCATENATE( 
if (regexmatch(I39, ""^[A-Za-z\.\_]+""), ""L"", 
if(regexmatch(AB39, ""^[A-Za-z\.\_]+""),""S"","""")),
if(AU39=""X"",""K"",""""))"),"")</f>
        <v/>
      </c>
      <c r="BM39" s="40" t="str">
        <f>IFERROR(__xludf.DUMMYFUNCTION(" CONCATENATE( 
if (regexmatch(J39, ""^[A-Za-z\.\_]+""), ""L"", 
if(regexmatch(AC39, ""^[A-Za-z\.\_]+""),""S"","""")),
if(AV39=""X"",""K"",""""))"),"K")</f>
        <v>K</v>
      </c>
      <c r="BN39" s="40" t="str">
        <f>IFERROR(__xludf.DUMMYFUNCTION(" CONCATENATE( 
if (regexmatch(K39, ""^[A-Za-z\.\_]+""), ""L"", 
if(regexmatch(AD39, ""^[A-Za-z\.\_]+""),""S"","""")),
if(AW39=""X"",""K"",""""))"),"LK")</f>
        <v>LK</v>
      </c>
      <c r="BO39" s="40" t="str">
        <f>IFERROR(__xludf.DUMMYFUNCTION(" CONCATENATE( 
if (regexmatch(L39, ""^[A-Za-z\.\_]+""), ""L"", 
if(regexmatch(AE39, ""^[A-Za-z\.\_]+""),""S"","""")),
if(AX39=""X"",""K"",""""))"),"K")</f>
        <v>K</v>
      </c>
      <c r="BP39" s="40" t="str">
        <f>IFERROR(__xludf.DUMMYFUNCTION(" CONCATENATE( 
if (regexmatch(M39, ""^[A-Za-z\.\_]+""), ""L"", 
if(regexmatch(AF39, ""^[A-Za-z\.\_]+""),""S"","""")),
if(AY39=""X"",""K"",""""))"),"LK")</f>
        <v>LK</v>
      </c>
      <c r="BQ39" s="40" t="str">
        <f>IFERROR(__xludf.DUMMYFUNCTION("CONCATENATE( 
if (regexmatch(O39, ""^[A-Za-z\.\_]+""), ""L"", 
if(regexmatch(AH39, ""^[A-Za-z\.\_]+""),""S"","""")),
if(AZ39=""X"",""K"",""""))"),"K")</f>
        <v>K</v>
      </c>
      <c r="BR39" s="40" t="str">
        <f>IFERROR(__xludf.DUMMYFUNCTION("CONCATENATE( 
if (regexmatch(Q39, ""^[A-Za-z\.\_]+""), ""L"", 
if(regexmatch(AJ39, ""^[A-Za-z\.\_]+""),""S"","""")),
if(BA39=""X"",""K"",""""))"),"")</f>
        <v/>
      </c>
      <c r="BS39" s="40" t="str">
        <f>IFERROR(__xludf.DUMMYFUNCTION(" CONCATENATE( 
if (regexmatch(R39, ""^[A-Za-z\.\_]+""), ""L"", 
if(regexmatch(AK39, ""^[A-Za-z\.\_]+""),""S"","""")),
if(BB39=""X"",""K"",""""))"),"K")</f>
        <v>K</v>
      </c>
      <c r="BT39" s="40" t="str">
        <f>IFERROR(__xludf.DUMMYFUNCTION("CONCATENATE( 
if (regexmatch(S39, ""^[A-Za-z\.\_]+""), ""L"", 
if(regexmatch(AL39, ""^[A-Za-z\.\_]+""),""S"","""")),
if(BC39=""X"",""K"",""""))"),"K")</f>
        <v>K</v>
      </c>
      <c r="BU39" s="40" t="str">
        <f>IFERROR(__xludf.DUMMYFUNCTION("CONCATENATE( 
if (regexmatch(T39, ""^[A-Za-z\.\_]+""), ""L"", 
if(regexmatch(AM39, ""^[A-Za-z\.\_]+""),""S"","""")),
if(BD39=""X"",""K"",""""))"),"")</f>
        <v/>
      </c>
      <c r="BV39" s="40" t="str">
        <f>IFERROR(__xludf.DUMMYFUNCTION("CONCATENATE( 
if (regexmatch(U39, ""^[A-Za-z\.\_]+""), ""L"", 
if(regexmatch(AN39, ""^[A-Za-z\.\_]+""),""S"","""")),
if(BE39=""X"",""K"",""""))"),"K")</f>
        <v>K</v>
      </c>
      <c r="BW39" s="40" t="str">
        <f>IFERROR(__xludf.DUMMYFUNCTION(" CONCATENATE( 
if (regexmatch(V39, ""^[A-Za-z\.\_]+""), ""L"", 
if(regexmatch(AO39, ""^[A-Za-z\.\_]+""),""S"","""")),
if(BF39=""X"",""K"",""""))"),"LK")</f>
        <v>LK</v>
      </c>
      <c r="BX39" s="40" t="str">
        <f>IFERROR(__xludf.DUMMYFUNCTION("CONCATENATE( 
if (regexmatch(W39, ""^[A-Za-z\.\_]+""), ""L"", 
if(regexmatch(AP39, ""^[A-Za-z\.\_]+""),""S"","""")),
if(BG39=""X"",""K"",""""))"),"")</f>
        <v/>
      </c>
      <c r="BY39" s="40" t="str">
        <f>IFERROR(__xludf.DUMMYFUNCTION("CONCATENATE( 
if (regexmatch(X39, ""^[A-Za-z\.\_]+""), ""L"", 
if(regexmatch(AQ39, ""^[A-Za-z\.\_]+""),""S"","""")),
if(BH39=""X"",""K"",""""))"),"K")</f>
        <v>K</v>
      </c>
      <c r="BZ39" s="40" t="str">
        <f>IFERROR(__xludf.DUMMYFUNCTION("CONCATENATE( 
if (regexmatch(Y39, ""^[A-Za-z\.\_]+""), ""L"", 
if(regexmatch(AR39, ""^[A-Za-z\.\_]+""),""S"","""")),
if(BI39=""X"",""K"",""""))"),"K")</f>
        <v>K</v>
      </c>
      <c r="CA39" s="40" t="str">
        <f>IFERROR(__xludf.DUMMYFUNCTION("CONCATENATE( 
if (regexmatch(Z39, ""^[A-Za-z\.\_]+""), ""L"", 
if(regexmatch(AS39, ""^[A-Za-z\.\_]+""),""S"","""")),
if(BJ39=""X"",""K"",""""))"),"K")</f>
        <v>K</v>
      </c>
      <c r="CB39" s="39"/>
      <c r="CC39" s="39"/>
      <c r="CD39" s="39"/>
      <c r="CE39" s="39"/>
      <c r="CF39" s="39"/>
      <c r="CG39" s="39"/>
      <c r="CH39" s="39"/>
      <c r="CI39" s="39"/>
      <c r="CJ39" s="39"/>
      <c r="CK39" s="39"/>
      <c r="CL39" s="39"/>
      <c r="CM39" s="39"/>
      <c r="CN39" s="39"/>
      <c r="CO39" s="39"/>
      <c r="CP39" s="39"/>
      <c r="CQ39" s="39"/>
      <c r="CR39" s="39"/>
    </row>
    <row r="40" ht="15.75" customHeight="1">
      <c r="A40" s="25">
        <v>24.0</v>
      </c>
      <c r="B40" s="26" t="s">
        <v>194</v>
      </c>
      <c r="C40" s="27" t="s">
        <v>195</v>
      </c>
      <c r="D40" s="27" t="str">
        <f>IFERROR(__xludf.DUMMYFUNCTION("CONCATENATE(regexextract($C40,""[\w]* [\w]*""), ""*"")"),"Eucalyptus grandis*")</f>
        <v>Eucalyptus grandis*</v>
      </c>
      <c r="E40" s="26" t="s">
        <v>196</v>
      </c>
      <c r="F40" s="57">
        <v>71139.0</v>
      </c>
      <c r="G40" s="53"/>
      <c r="H40" s="31"/>
      <c r="I40" s="32" t="str">
        <f>CONCATENATE(
if(countif(dd.agi,$D40),"D",""),
if(countif(knap.agi,$D40),"K",""),
if(countif(mic.agi,$D40),"M",""),
if(countif(nap.agi,$D40),"N",""),
if(countif(np.agi,$D40),"P",""),
if(countif(imp.agi,$D40),"T",""),
if(countif(us.agi,$D40),"U",""),
if(countif(var.agi,$D40),"V","")
)</f>
        <v/>
      </c>
      <c r="J40" s="32" t="str">
        <f>
CONCATENATE(
if(countif(nap.bun,$D40),"N",""),
if(countif(np.bun,$D40),"P","")
)
</f>
        <v/>
      </c>
      <c r="K40" s="32" t="str">
        <f>CONCATENATE(
if(countif(dd.kxn,$D40),"D",""),
if(countif(knap.kxn,$D40),"K",""),
if(countif(mic.kxn,$D40),"M",""),
if(countif(nap.kxn,$D40),"N",""),
if(countif(np.kxn,$D40),"P",""),
if(countif(us.kxn,$D40),"U",""),
if(countif(var.kxn,$D40),"V","")
)</f>
        <v>V</v>
      </c>
      <c r="L40" s="32" t="str">
        <f>
CONCATENATE(
if(countif(dd.hwb,$D40),"D",""),
if(countif(knap.hwb,$D40),"K",""),
if(countif(mic.hwb,$D40),"M",""),
if(countif(nap.hwb,$D40),"N",""),
if(countif(np.hwb,$D40),"P",""),
if(countif(us.hwb,$D40),"U",""),
if(countif(imp.hwb,$D40),"T",""),
if(countif(var.hwb,$D40),"V","")
)</f>
        <v/>
      </c>
      <c r="M40" s="32" t="str">
        <f>CONCATENATE(
if(countif(dd.epc,$D40),"D",""),
if(countif(knap.ekxn,$D40),"K",""),
if(countif(mic.ekxn,$D40),"M",""),
if(countif(nap.ekxn,$D40),"N",""),
if(countif(np.ekxn,$D40),"P",""),
if(countif(imp.epc,$D40),"T",""),
if(countif(us.ekxn,$D40),"U",""),
if(countif(var.ekxn,$D40),"V","")
)</f>
        <v>V</v>
      </c>
      <c r="N40" s="32" t="str">
        <f>
CONCATENATE(
if(countif(dd.ecg,$D40),"D",""),
if(countif(mic.ecg,$D40),"M",""),
if(countif(np.ecg,$D40),"P",""),
if(countif(imp.ecg,$D40),"T",""),
if(countif(us.ecg,$D40),"U","")
)</f>
        <v/>
      </c>
      <c r="O40" s="32" t="str">
        <f>
CONCATENATE(
if(countif(dd.egt,$D40),"D",""),
if(countif(mic.egt,$D40),"M",""),
if(countif(nap.egt,$D40),"N",""),
if(countif(us.egt,$D40),"U",""),
if(countif(var.egt,$D40),"V",""))
</f>
        <v/>
      </c>
      <c r="P40" s="32" t="str">
        <f>CONCATENATE(
if(countif(knap.egcg,$D40),"K",""),
if(countif(mic.egcg,$D40),"M",""),
if(countif(np.egcg,$D40),"P",""),
if(countif(us.egcg,$D40),"U","")
)</f>
        <v/>
      </c>
      <c r="Q40" s="32" t="str">
        <f>CONCATENATE(if(countif(np.ecit,$D40),"P",""),
if(countif(nap.ecit,$D40),"A",""))</f>
        <v/>
      </c>
      <c r="R40" s="32" t="str">
        <f>
CONCATENATE(
if(countif(nap.erd,$D40),"N",""),
if(countif(np.erd,$D40),"P",""),
if(countif(var.erd,$D40),"V",""))</f>
        <v>V</v>
      </c>
      <c r="S40" s="32" t="str">
        <f>
CONCATENATE(
if(countif(dd.gkxn,$D40),"D",""),
if(countif(knap.gkxn,$D40),"K",""),
if(countif(nap.gkxn,$D40),"N",""),
if(countif(np.gkxn,$D40),"P",""),
if(countif(imp.gkxn,$D40),"T",""),
if(countif(var.gkxn,$D40),"V",""))</f>
        <v/>
      </c>
      <c r="T40" s="32" t="str">
        <f>
CONCATENATE(
if(countif(dd.gen,$C40),"D",""),
if(countif(knap.gen,$C40),"K",""),
if(countif(nap.gen,$C40),"N",""),
if(countif(np.gen,$C40),"P",""),
if(countif(imp.gen,$C40),"T",""),
if(countif(var.gen,$C40),"V",""))</f>
        <v/>
      </c>
      <c r="U40" s="32" t="str">
        <f>
CONCATENATE(
if(countif(dd.hcc,$D40),"D",""),
if(countif(knap.hcc,$D40),"K",""),
if(countif(np.hcc,$D40),"P","")
)
</f>
        <v/>
      </c>
      <c r="V40" s="32" t="str">
        <f>
CONCATENATE(
if(countif(dd.kmp,$D40),"D",""),
if(countif(knap.kmp,$D40),"K",""),
if(countif(mic.kmp,$D40),"M",""),
if(countif(nap.kmp,$D40),"N",""),
if(countif(np.kmp,$D40),"P",""),
if(countif(imp.kmp,$D40),"T",""),
if(countif(us.kmp,$D40),"U",""),
if(countif(var.kmp,$D40),"V",""))</f>
        <v/>
      </c>
      <c r="W40" s="32" t="str">
        <f>
CONCATENATE(
if(countif(dd.lu2,$D40),"D",""),
if(countif(knap.lu2,$D40),"K",""),
if(countif(mic.lu2,$D40),"M",""),
if(countif(nap.lu2,$D40),"N",""),
if(countif(np.lu2,$D40),"P",""),
if(countif(imp.lu2,$D40),"T",""),
if(countif(us.lu2,$D40),"U",""),
if(countif(var.lu2,$D40),"V",""))</f>
        <v/>
      </c>
      <c r="X40" s="32" t="str">
        <f>
CONCATENATE(
if(countif(dd.myc,$D40),"D",""),
if(countif(knap.myc,$D40),"K",""), 
if(countif(mic.myc,$D40),"M",""),
if(countif(nap.myc,$D40),"N",""),
if(countif(np.myc,$D40),"P",""),
if(countif(imp.myc,$D40),"T",""),
if(countif(us.myc,$D40),"U",""),
if(countif(var.myc,$D40),"V",""))</f>
        <v/>
      </c>
      <c r="Y40" s="32" t="str">
        <f>CONCATENATE(
if(countif(dd.nar,$D40),"D",""),
if(countif(knap.nar,$D40),"K",""),
if(countif(nap.nar,$D40),"N",""),
if(countif(np.nar,$D40),"P",""),
if(countif(imp.nar,$D40),"T",""),
if(countif(us.nar,$D40),"U",""),
if(countif(var.nar,$D40),"V",""))</f>
        <v>V</v>
      </c>
      <c r="Z40" s="33" t="str">
        <f>
CONCATENATE(
if(countif(dd.que,$D40),"D",""),
if(countif(knap.que,$D40),"K",""),
if(countif(mic.que,$D40),"M",""),
if(countif(nap.que,$D40),"N",""),
if(countif(np.que,$D40),"P",""),
if(countif(imp.que,$D40),"T",""),
if(countif(us.que,$D40),"U",""),
if(countif(var.que,$D40),"V",""))</f>
        <v/>
      </c>
      <c r="AA40" s="32"/>
      <c r="AB40" s="34" t="str">
        <f>
CONCATENATE(if(countif(knap.agi.sim,$D40),"K",""),
if(countif(dd.agi.sim,$D40),"D",""),
if(countif(nap.agi.sim,$D40),"A",""),
if(countif(var.agi.sim,$D40),"V",""))</f>
        <v/>
      </c>
      <c r="AC40" s="34" t="str">
        <f>
if(countif(nap.bun.sim,$D40),"A","")</f>
        <v/>
      </c>
      <c r="AD40" s="34" t="str">
        <f>
CONCATENATE(if(countif(knap.kxn.sim,$D40),"K",""),
if(countif(np.kxn.sim,$D40),"P",""),
if(countif(dd.kxn.sim,$D40),"D",""),
if(countif(nap.kxn.sim,$D40),"A",""),
if(countif(var.kxn.sim,$D40),"V",""))</f>
        <v/>
      </c>
      <c r="AE40" s="34" t="str">
        <f>
CONCATENATE(if(countif(knap.hwb.sim,$D40),"K",""),
if(countif(np.hwb.sim,$D40),"P",""),
if(countif(mic.hwb.sim,$D40),"M",""),
if(countif(imp.hwb.sim,$D40),"T",""),
if(countif(dd.cyan.sim,$D40),"D",""),
if(countif(nap.hwb.sim,$D40),"A",""),
if(countif(var.hwb.sim,$D40),"V",""))</f>
        <v/>
      </c>
      <c r="AF40" s="34" t="str">
        <f>
CONCATENATE(if(countif(us.ekxn.sim,$D40),"U",""),
if(countif(knap.ekxn.sim,$D40),"K",""),
if(countif(np.ekxn.sim,$D40),"P",""),
if(countif(mic.ekxn.sim,$D40),"M",""),
if(countif(imp.epc.sim,$D40),"T",""),
if(countif(nap.ekxn.sim,$D40),"A",""))</f>
        <v/>
      </c>
      <c r="AG40" s="34"/>
      <c r="AH40" s="34" t="str">
        <f>
CONCATENATE(if(countif(us.egt.sim,$D40),"U",""),
if(countif(knap.egt.sim,$D40),"K",""),
if(countif(np.egt.sim,$D40),"P",""),
if(countif(mic.egt.sim,$D40),"M",""))</f>
        <v/>
      </c>
      <c r="AI40" s="34"/>
      <c r="AJ40" s="34" t="str">
        <f>if(countif(nap.ecit.sim,$D40),"A","")</f>
        <v/>
      </c>
      <c r="AK40" s="34" t="str">
        <f>
CONCATENATE(if(countif(nap.erd,$D40),"M",""),
if(countif(nap.erd.sim,$D40),"A",""),
if(countif(var.erd.sim,$D40),"V",""))</f>
        <v/>
      </c>
      <c r="AL40" s="34" t="str">
        <f>
CONCATENATE(if(countif(knap.gkxn.sim,$D40),"K",""),
if(countif(nap.gkxn.sim,$D40),"A",""))</f>
        <v/>
      </c>
      <c r="AM40" s="34" t="str">
        <f>
CONCATENATE(if(countif(knap.gen.sim,$C40),"K",""),
if(countif(imp.gen.sim,$C40),"T",""),
if(countif(dd.gen.sim,$C40),"D",""),
if(countif(nap.gen.sim,$C40),"A",""),
if(countif(var.gen.sim,$C40),"V",""))
</f>
        <v/>
      </c>
      <c r="AN40" s="34" t="str">
        <f>IFERROR(__xludf.DUMMYFUNCTION("
if(countif(#REF!,CONCATENATE(regexextract($C40,""[\w]* [\w]*""), ""*"")),""V"","""")"),"")</f>
        <v/>
      </c>
      <c r="AO40" s="34" t="str">
        <f>
CONCATENATE(if(countif(knap.kmp.sim,$D40),"K",""),
if(countif(np.kmp.sim,$D40),"P",""),
if(countif(imp.kmp.sim,$D40),"T",""),
if(countif(dd.kmp,$D40),"D",""),
if(countif(nap.kmp.sim,$D40),"A",""),
if(countif(var.kmp.sim,$D40),"V",""))</f>
        <v/>
      </c>
      <c r="AP40" s="34" t="str">
        <f>
CONCATENATE(if(countif(knap.lu2.sim,$D40),"K",""),
if(countif(np.lu2.sim,$D40),"P",""),
if(countif(imp.lu2.sim,$D40),"T",""),
if(countif(dd.lu2.sim,$D40),"D",""),
if(countif(nap.lu2.sim,$D40),"A",""),
if(countif(var.lu2.sim,$D40),"V",""))</f>
        <v/>
      </c>
      <c r="AQ40" s="34" t="str">
        <f>
CONCATENATE(if(countif(np.myc.sim,$D40),"P",""),
if(countif(imp.myc.sim,$D40),"T",""),
if(countif(nap.myc.sim,$D40),"A",""))
</f>
        <v/>
      </c>
      <c r="AR40" s="36" t="str">
        <f>
CONCATENATE(if(countif(knap.nar.sim,$D40),"K",""),
if(countif(np.nar.sim,$D40),"P",""),
if(countif(imp.nar.sim,$D40),"T",""),
if(countif(dd.nar.sim,$D40),"D",""),
if(countif(nap.nar.sim,$D40),"A",""),
if(countif(var.nar.sim,$D40),"V",""))</f>
        <v/>
      </c>
      <c r="AS40" s="34" t="str">
        <f>
CONCATENATE(if(countif(knap.que.sim,$D40),"K",""),
if(countif(np.que.sim,$D40),"P",""),
if(countif(imp.que.sim,$D40),"T",""),
if(countif(dd.que.sim,$D40),"D",""),
if(countif(nap.que.sim,$D40),"A",""),
if(countif(var.que.sim,$D40),"V",""))</f>
        <v/>
      </c>
      <c r="AT40" s="37"/>
      <c r="AU40" s="32" t="str">
        <f>IFERROR(__xludf.DUMMYFUNCTION("if(countif(kr.agi, CONCATENATE(regexextract($C40,""[\w]* [\w]*""), ""*"")),""X"","""")"),"X")</f>
        <v>X</v>
      </c>
      <c r="AV40" s="38" t="str">
        <f>IFERROR(__xludf.DUMMYFUNCTION("if(countif(kr.bun,CONCATENATE(regexextract($C40,""[\w]* [\w]*""), ""*"")),""X"","""")"),"X")</f>
        <v>X</v>
      </c>
      <c r="AW40" s="38" t="str">
        <f>IFERROR(__xludf.DUMMYFUNCTION("if(countif(kr.kxn,CONCATENATE(regexextract($C40,""[\w]* [\w]*""), ""*"")),""X"","""")"),"X")</f>
        <v>X</v>
      </c>
      <c r="AX40" s="38" t="str">
        <f>IFERROR(__xludf.DUMMYFUNCTION("if(countif(kr.hwb,CONCATENATE(regexextract($C40,""[\w]* [\w]*""), ""*"")),""X"","""")"),"X")</f>
        <v>X</v>
      </c>
      <c r="AY40" s="38" t="str">
        <f>IFERROR(__xludf.DUMMYFUNCTION("if(countif(kr.ec,CONCATENATE(regexextract($C40,""[\w]* [\w]*""), ""*"")),""X"","""")"),"X")</f>
        <v>X</v>
      </c>
      <c r="AZ40" s="38" t="str">
        <f>IFERROR(__xludf.DUMMYFUNCTION("if(countif(kr.egt,CONCATENATE(regexextract($C40,""[\w]* [\w]*""), ""*"")),""X"","""")"),"X")</f>
        <v>X</v>
      </c>
      <c r="BA40" s="38"/>
      <c r="BB40" s="38" t="str">
        <f>IFERROR(__xludf.DUMMYFUNCTION("if(countif(kr.erd,CONCATENATE(regexextract($C40,""[\w]* [\w]*""), ""*"")),""X"","""")"),"X")</f>
        <v>X</v>
      </c>
      <c r="BC40" s="38" t="str">
        <f>IFERROR(__xludf.DUMMYFUNCTION("if(countif(kr.gkxn,CONCATENATE(regexextract($C40,""[\w]* [\w]*""), ""*"")),""X"","""")"),"X")</f>
        <v>X</v>
      </c>
      <c r="BD40" s="38" t="str">
        <f>IFERROR(__xludf.DUMMYFUNCTION("if(countif(kr.gen,CONCATENATE(regexextract(C40,""[\w]* [\w]*""), ""*"")),""X"","""")"),"")</f>
        <v/>
      </c>
      <c r="BE40" s="38" t="str">
        <f>IFERROR(__xludf.DUMMYFUNCTION("if(countif(kr.hcc,CONCATENATE(regexextract($C40,""[\w]* [\w]*""), ""*"")),""X"","""")"),"X")</f>
        <v>X</v>
      </c>
      <c r="BF40" s="38" t="str">
        <f>IFERROR(__xludf.DUMMYFUNCTION("if(countif(kr.kmp,CONCATENATE(regexextract($C40,""[\w]* [\w]*""), ""*"")),""X"","""")"),"X")</f>
        <v>X</v>
      </c>
      <c r="BG40" s="38" t="str">
        <f>IFERROR(__xludf.DUMMYFUNCTION("if(countif(kr.lu2,CONCATENATE(regexextract($C40,""[\w]* [\w]*""), ""*"")),""X"","""")"),"X")</f>
        <v>X</v>
      </c>
      <c r="BH40" s="38" t="str">
        <f>IFERROR(__xludf.DUMMYFUNCTION("if(countif(kr.myc,CONCATENATE(regexextract($C40,""[\w]* [\w]*""), ""*"")),""X"","""")"),"X")</f>
        <v>X</v>
      </c>
      <c r="BI40" s="38" t="str">
        <f>IFERROR(__xludf.DUMMYFUNCTION("if(countif(kr.nar,CONCATENATE(regexextract($C40,""[\w]* [\w]*""), ""*"")),""X"","""")"),"X")</f>
        <v>X</v>
      </c>
      <c r="BJ40" s="38" t="str">
        <f>IFERROR(__xludf.DUMMYFUNCTION("if(countif(kr.que,CONCATENATE(regexextract($C40,""[\w]* [\w]*""), ""*"")),""X"","""")"),"X")</f>
        <v>X</v>
      </c>
      <c r="BK40" s="39"/>
      <c r="BL40" s="40" t="str">
        <f>IFERROR(__xludf.DUMMYFUNCTION(" CONCATENATE( 
if (regexmatch(I40, ""^[A-Za-z\.\_]+""), ""L"", 
if(regexmatch(AB40, ""^[A-Za-z\.\_]+""),""S"","""")),
if(AU40=""X"",""K"",""""))"),"K")</f>
        <v>K</v>
      </c>
      <c r="BM40" s="40" t="str">
        <f>IFERROR(__xludf.DUMMYFUNCTION(" CONCATENATE( 
if (regexmatch(J40, ""^[A-Za-z\.\_]+""), ""L"", 
if(regexmatch(AC40, ""^[A-Za-z\.\_]+""),""S"","""")),
if(AV40=""X"",""K"",""""))"),"K")</f>
        <v>K</v>
      </c>
      <c r="BN40" s="40" t="str">
        <f>IFERROR(__xludf.DUMMYFUNCTION(" CONCATENATE( 
if (regexmatch(K40, ""^[A-Za-z\.\_]+""), ""L"", 
if(regexmatch(AD40, ""^[A-Za-z\.\_]+""),""S"","""")),
if(AW40=""X"",""K"",""""))"),"LK")</f>
        <v>LK</v>
      </c>
      <c r="BO40" s="40" t="str">
        <f>IFERROR(__xludf.DUMMYFUNCTION(" CONCATENATE( 
if (regexmatch(L40, ""^[A-Za-z\.\_]+""), ""L"", 
if(regexmatch(AE40, ""^[A-Za-z\.\_]+""),""S"","""")),
if(AX40=""X"",""K"",""""))"),"K")</f>
        <v>K</v>
      </c>
      <c r="BP40" s="40" t="str">
        <f>IFERROR(__xludf.DUMMYFUNCTION(" CONCATENATE( 
if (regexmatch(M40, ""^[A-Za-z\.\_]+""), ""L"", 
if(regexmatch(AF40, ""^[A-Za-z\.\_]+""),""S"","""")),
if(AY40=""X"",""K"",""""))"),"LK")</f>
        <v>LK</v>
      </c>
      <c r="BQ40" s="40" t="str">
        <f>IFERROR(__xludf.DUMMYFUNCTION("CONCATENATE( 
if (regexmatch(O40, ""^[A-Za-z\.\_]+""), ""L"", 
if(regexmatch(AH40, ""^[A-Za-z\.\_]+""),""S"","""")),
if(AZ40=""X"",""K"",""""))"),"K")</f>
        <v>K</v>
      </c>
      <c r="BR40" s="40" t="str">
        <f>IFERROR(__xludf.DUMMYFUNCTION("CONCATENATE( 
if (regexmatch(Q40, ""^[A-Za-z\.\_]+""), ""L"", 
if(regexmatch(AJ40, ""^[A-Za-z\.\_]+""),""S"","""")),
if(BA40=""X"",""K"",""""))"),"")</f>
        <v/>
      </c>
      <c r="BS40" s="40" t="str">
        <f>IFERROR(__xludf.DUMMYFUNCTION(" CONCATENATE( 
if (regexmatch(R40, ""^[A-Za-z\.\_]+""), ""L"", 
if(regexmatch(AK40, ""^[A-Za-z\.\_]+""),""S"","""")),
if(BB40=""X"",""K"",""""))"),"LK")</f>
        <v>LK</v>
      </c>
      <c r="BT40" s="40" t="str">
        <f>IFERROR(__xludf.DUMMYFUNCTION("CONCATENATE( 
if (regexmatch(S40, ""^[A-Za-z\.\_]+""), ""L"", 
if(regexmatch(AL40, ""^[A-Za-z\.\_]+""),""S"","""")),
if(BC40=""X"",""K"",""""))"),"K")</f>
        <v>K</v>
      </c>
      <c r="BU40" s="40" t="str">
        <f>IFERROR(__xludf.DUMMYFUNCTION("CONCATENATE( 
if (regexmatch(T40, ""^[A-Za-z\.\_]+""), ""L"", 
if(regexmatch(AM40, ""^[A-Za-z\.\_]+""),""S"","""")),
if(BD40=""X"",""K"",""""))"),"")</f>
        <v/>
      </c>
      <c r="BV40" s="40" t="str">
        <f>IFERROR(__xludf.DUMMYFUNCTION("CONCATENATE( 
if (regexmatch(U40, ""^[A-Za-z\.\_]+""), ""L"", 
if(regexmatch(AN40, ""^[A-Za-z\.\_]+""),""S"","""")),
if(BE40=""X"",""K"",""""))"),"K")</f>
        <v>K</v>
      </c>
      <c r="BW40" s="40" t="str">
        <f>IFERROR(__xludf.DUMMYFUNCTION(" CONCATENATE( 
if (regexmatch(V40, ""^[A-Za-z\.\_]+""), ""L"", 
if(regexmatch(AO40, ""^[A-Za-z\.\_]+""),""S"","""")),
if(BF40=""X"",""K"",""""))"),"K")</f>
        <v>K</v>
      </c>
      <c r="BX40" s="40" t="str">
        <f>IFERROR(__xludf.DUMMYFUNCTION("CONCATENATE( 
if (regexmatch(W40, ""^[A-Za-z\.\_]+""), ""L"", 
if(regexmatch(AP40, ""^[A-Za-z\.\_]+""),""S"","""")),
if(BG40=""X"",""K"",""""))"),"K")</f>
        <v>K</v>
      </c>
      <c r="BY40" s="40" t="str">
        <f>IFERROR(__xludf.DUMMYFUNCTION("CONCATENATE( 
if (regexmatch(X40, ""^[A-Za-z\.\_]+""), ""L"", 
if(regexmatch(AQ40, ""^[A-Za-z\.\_]+""),""S"","""")),
if(BH40=""X"",""K"",""""))"),"K")</f>
        <v>K</v>
      </c>
      <c r="BZ40" s="40" t="str">
        <f>IFERROR(__xludf.DUMMYFUNCTION("CONCATENATE( 
if (regexmatch(Y40, ""^[A-Za-z\.\_]+""), ""L"", 
if(regexmatch(AR40, ""^[A-Za-z\.\_]+""),""S"","""")),
if(BI40=""X"",""K"",""""))"),"LK")</f>
        <v>LK</v>
      </c>
      <c r="CA40" s="40" t="str">
        <f>IFERROR(__xludf.DUMMYFUNCTION("CONCATENATE( 
if (regexmatch(Z40, ""^[A-Za-z\.\_]+""), ""L"", 
if(regexmatch(AS40, ""^[A-Za-z\.\_]+""),""S"","""")),
if(BJ40=""X"",""K"",""""))"),"K")</f>
        <v>K</v>
      </c>
      <c r="CB40" s="39"/>
      <c r="CC40" s="39"/>
      <c r="CD40" s="39"/>
      <c r="CE40" s="39"/>
      <c r="CF40" s="39"/>
      <c r="CG40" s="39"/>
      <c r="CH40" s="39"/>
      <c r="CI40" s="39"/>
      <c r="CJ40" s="39"/>
      <c r="CK40" s="39"/>
      <c r="CL40" s="39"/>
      <c r="CM40" s="39"/>
      <c r="CN40" s="39"/>
      <c r="CO40" s="39"/>
      <c r="CP40" s="39"/>
      <c r="CQ40" s="39"/>
      <c r="CR40" s="39"/>
    </row>
    <row r="41" ht="15.75" customHeight="1">
      <c r="A41" s="25">
        <v>8.0</v>
      </c>
      <c r="B41" s="44" t="s">
        <v>197</v>
      </c>
      <c r="C41" s="27" t="s">
        <v>198</v>
      </c>
      <c r="D41" s="27" t="str">
        <f>IFERROR(__xludf.DUMMYFUNCTION("CONCATENATE(regexextract($C41,""[\w]* [\w]*""), ""*"")"),"Eutrema salsugineum*")</f>
        <v>Eutrema salsugineum*</v>
      </c>
      <c r="E41" s="26" t="s">
        <v>199</v>
      </c>
      <c r="F41" s="57">
        <v>72664.0</v>
      </c>
      <c r="G41" s="53"/>
      <c r="H41" s="31"/>
      <c r="I41" s="32" t="str">
        <f>CONCATENATE(
if(countif(dd.agi,$D41),"D",""),
if(countif(knap.agi,$D41),"K",""),
if(countif(mic.agi,$D41),"M",""),
if(countif(nap.agi,$D41),"N",""),
if(countif(np.agi,$D41),"P",""),
if(countif(imp.agi,$D41),"T",""),
if(countif(us.agi,$D41),"U",""),
if(countif(var.agi,$D41),"V","")
)</f>
        <v/>
      </c>
      <c r="J41" s="32" t="str">
        <f>
CONCATENATE(
if(countif(nap.bun,$D41),"N",""),
if(countif(np.bun,$D41),"P","")
)
</f>
        <v/>
      </c>
      <c r="K41" s="32" t="str">
        <f>CONCATENATE(
if(countif(dd.kxn,$D41),"D",""),
if(countif(knap.kxn,$D41),"K",""),
if(countif(mic.kxn,$D41),"M",""),
if(countif(nap.kxn,$D41),"N",""),
if(countif(np.kxn,$D41),"P",""),
if(countif(us.kxn,$D41),"U",""),
if(countif(var.kxn,$D41),"V","")
)</f>
        <v/>
      </c>
      <c r="L41" s="32" t="str">
        <f>
CONCATENATE(
if(countif(dd.hwb,$D41),"D",""),
if(countif(knap.hwb,$D41),"K",""),
if(countif(mic.hwb,$D41),"M",""),
if(countif(nap.hwb,$D41),"N",""),
if(countif(np.hwb,$D41),"P",""),
if(countif(us.hwb,$D41),"U",""),
if(countif(imp.hwb,$D41),"T",""),
if(countif(var.hwb,$D41),"V","")
)</f>
        <v/>
      </c>
      <c r="M41" s="32" t="str">
        <f>CONCATENATE(
if(countif(dd.epc,$D41),"D",""),
if(countif(knap.ekxn,$D41),"K",""),
if(countif(mic.ekxn,$D41),"M",""),
if(countif(nap.ekxn,$D41),"N",""),
if(countif(np.ekxn,$D41),"P",""),
if(countif(imp.epc,$D41),"T",""),
if(countif(us.ekxn,$D41),"U",""),
if(countif(var.ekxn,$D41),"V","")
)</f>
        <v/>
      </c>
      <c r="N41" s="32" t="str">
        <f>
CONCATENATE(
if(countif(dd.ecg,$D41),"D",""),
if(countif(mic.ecg,$D41),"M",""),
if(countif(np.ecg,$D41),"P",""),
if(countif(imp.ecg,$D41),"T",""),
if(countif(us.ecg,$D41),"U","")
)</f>
        <v/>
      </c>
      <c r="O41" s="32" t="str">
        <f>
CONCATENATE(
if(countif(dd.egt,$D41),"D",""),
if(countif(mic.egt,$D41),"M",""),
if(countif(nap.egt,$D41),"N",""),
if(countif(us.egt,$D41),"U",""),
if(countif(var.egt,$D41),"V",""))
</f>
        <v/>
      </c>
      <c r="P41" s="32" t="str">
        <f>CONCATENATE(
if(countif(knap.egcg,$D41),"K",""),
if(countif(mic.egcg,$D41),"M",""),
if(countif(np.egcg,$D41),"P",""),
if(countif(us.egcg,$D41),"U","")
)</f>
        <v/>
      </c>
      <c r="Q41" s="32" t="str">
        <f>CONCATENATE(if(countif(np.ecit,$D41),"P",""),
if(countif(nap.ecit,$D41),"A",""))</f>
        <v/>
      </c>
      <c r="R41" s="32" t="str">
        <f>
CONCATENATE(
if(countif(nap.erd,$D41),"N",""),
if(countif(np.erd,$D41),"P",""),
if(countif(var.erd,$D41),"V",""))</f>
        <v/>
      </c>
      <c r="S41" s="32" t="str">
        <f>
CONCATENATE(
if(countif(dd.gkxn,$D41),"D",""),
if(countif(knap.gkxn,$D41),"K",""),
if(countif(nap.gkxn,$D41),"N",""),
if(countif(np.gkxn,$D41),"P",""),
if(countif(imp.gkxn,$D41),"T",""),
if(countif(var.gkxn,$D41),"V",""))</f>
        <v/>
      </c>
      <c r="T41" s="32" t="str">
        <f>
CONCATENATE(
if(countif(dd.gen,$C41),"D",""),
if(countif(knap.gen,$C41),"K",""),
if(countif(nap.gen,$C41),"N",""),
if(countif(np.gen,$C41),"P",""),
if(countif(imp.gen,$C41),"T",""),
if(countif(var.gen,$C41),"V",""))</f>
        <v/>
      </c>
      <c r="U41" s="32" t="str">
        <f>
CONCATENATE(
if(countif(dd.hcc,$D41),"D",""),
if(countif(knap.hcc,$D41),"K",""),
if(countif(np.hcc,$D41),"P","")
)
</f>
        <v/>
      </c>
      <c r="V41" s="32" t="str">
        <f>
CONCATENATE(
if(countif(dd.kmp,$D41),"D",""),
if(countif(knap.kmp,$D41),"K",""),
if(countif(mic.kmp,$D41),"M",""),
if(countif(nap.kmp,$D41),"N",""),
if(countif(np.kmp,$D41),"P",""),
if(countif(imp.kmp,$D41),"T",""),
if(countif(us.kmp,$D41),"U",""),
if(countif(var.kmp,$D41),"V",""))</f>
        <v/>
      </c>
      <c r="W41" s="32" t="str">
        <f>
CONCATENATE(
if(countif(dd.lu2,$D41),"D",""),
if(countif(knap.lu2,$D41),"K",""),
if(countif(mic.lu2,$D41),"M",""),
if(countif(nap.lu2,$D41),"N",""),
if(countif(np.lu2,$D41),"P",""),
if(countif(imp.lu2,$D41),"T",""),
if(countif(us.lu2,$D41),"U",""),
if(countif(var.lu2,$D41),"V",""))</f>
        <v/>
      </c>
      <c r="X41" s="32" t="str">
        <f>
CONCATENATE(
if(countif(dd.myc,$D41),"D",""),
if(countif(knap.myc,$D41),"K",""), 
if(countif(mic.myc,$D41),"M",""),
if(countif(nap.myc,$D41),"N",""),
if(countif(np.myc,$D41),"P",""),
if(countif(imp.myc,$D41),"T",""),
if(countif(us.myc,$D41),"U",""),
if(countif(var.myc,$D41),"V",""))</f>
        <v/>
      </c>
      <c r="Y41" s="32" t="str">
        <f>CONCATENATE(
if(countif(dd.nar,$D41),"D",""),
if(countif(knap.nar,$D41),"K",""),
if(countif(nap.nar,$D41),"N",""),
if(countif(np.nar,$D41),"P",""),
if(countif(imp.nar,$D41),"T",""),
if(countif(us.nar,$D41),"U",""),
if(countif(var.nar,$D41),"V",""))</f>
        <v/>
      </c>
      <c r="Z41" s="33" t="str">
        <f>
CONCATENATE(
if(countif(dd.que,$D41),"D",""),
if(countif(knap.que,$D41),"K",""),
if(countif(mic.que,$D41),"M",""),
if(countif(nap.que,$D41),"N",""),
if(countif(np.que,$D41),"P",""),
if(countif(imp.que,$D41),"T",""),
if(countif(us.que,$D41),"U",""),
if(countif(var.que,$D41),"V",""))</f>
        <v/>
      </c>
      <c r="AA41" s="32"/>
      <c r="AB41" s="34" t="str">
        <f>
CONCATENATE(if(countif(knap.agi.sim,$D41),"K",""),
if(countif(dd.agi.sim,$D41),"D",""),
if(countif(nap.agi.sim,$D41),"A",""),
if(countif(var.agi.sim,$D41),"V",""))</f>
        <v/>
      </c>
      <c r="AC41" s="34" t="str">
        <f>
if(countif(nap.bun.sim,$D41),"A","")</f>
        <v/>
      </c>
      <c r="AD41" s="34" t="str">
        <f>
CONCATENATE(if(countif(knap.kxn.sim,$D41),"K",""),
if(countif(np.kxn.sim,$D41),"P",""),
if(countif(dd.kxn.sim,$D41),"D",""),
if(countif(nap.kxn.sim,$D41),"A",""),
if(countif(var.kxn.sim,$D41),"V",""))</f>
        <v/>
      </c>
      <c r="AE41" s="34" t="str">
        <f>
CONCATENATE(if(countif(knap.hwb.sim,$D41),"K",""),
if(countif(np.hwb.sim,$D41),"P",""),
if(countif(mic.hwb.sim,$D41),"M",""),
if(countif(imp.hwb.sim,$D41),"T",""),
if(countif(dd.cyan.sim,$D41),"D",""),
if(countif(nap.hwb.sim,$D41),"A",""),
if(countif(var.hwb.sim,$D41),"V",""))</f>
        <v/>
      </c>
      <c r="AF41" s="34" t="str">
        <f>
CONCATENATE(if(countif(us.ekxn.sim,$D41),"U",""),
if(countif(knap.ekxn.sim,$D41),"K",""),
if(countif(np.ekxn.sim,$D41),"P",""),
if(countif(mic.ekxn.sim,$D41),"M",""),
if(countif(imp.epc.sim,$D41),"T",""),
if(countif(nap.ekxn.sim,$D41),"A",""))</f>
        <v/>
      </c>
      <c r="AG41" s="34"/>
      <c r="AH41" s="34" t="str">
        <f>
CONCATENATE(if(countif(us.egt.sim,$D41),"U",""),
if(countif(knap.egt.sim,$D41),"K",""),
if(countif(np.egt.sim,$D41),"P",""),
if(countif(mic.egt.sim,$D41),"M",""))</f>
        <v/>
      </c>
      <c r="AI41" s="34"/>
      <c r="AJ41" s="34" t="str">
        <f>if(countif(nap.ecit.sim,$D41),"A","")</f>
        <v/>
      </c>
      <c r="AK41" s="34" t="str">
        <f>
CONCATENATE(if(countif(nap.erd,$D41),"M",""),
if(countif(nap.erd.sim,$D41),"A",""),
if(countif(var.erd.sim,$D41),"V",""))</f>
        <v/>
      </c>
      <c r="AL41" s="34" t="str">
        <f>
CONCATENATE(if(countif(knap.gkxn.sim,$D41),"K",""),
if(countif(nap.gkxn.sim,$D41),"A",""))</f>
        <v/>
      </c>
      <c r="AM41" s="34" t="str">
        <f>
CONCATENATE(if(countif(knap.gen.sim,$C41),"K",""),
if(countif(imp.gen.sim,$C41),"T",""),
if(countif(dd.gen.sim,$C41),"D",""),
if(countif(nap.gen.sim,$C41),"A",""),
if(countif(var.gen.sim,$C41),"V",""))
</f>
        <v/>
      </c>
      <c r="AN41" s="34" t="str">
        <f>IFERROR(__xludf.DUMMYFUNCTION("
if(countif(#REF!,CONCATENATE(regexextract($C41,""[\w]* [\w]*""), ""*"")),""V"","""")"),"")</f>
        <v/>
      </c>
      <c r="AO41" s="34" t="str">
        <f>
CONCATENATE(if(countif(knap.kmp.sim,$D41),"K",""),
if(countif(np.kmp.sim,$D41),"P",""),
if(countif(imp.kmp.sim,$D41),"T",""),
if(countif(dd.kmp,$D41),"D",""),
if(countif(nap.kmp.sim,$D41),"A",""),
if(countif(var.kmp.sim,$D41),"V",""))</f>
        <v/>
      </c>
      <c r="AP41" s="34" t="str">
        <f>
CONCATENATE(if(countif(knap.lu2.sim,$D41),"K",""),
if(countif(np.lu2.sim,$D41),"P",""),
if(countif(imp.lu2.sim,$D41),"T",""),
if(countif(dd.lu2.sim,$D41),"D",""),
if(countif(nap.lu2.sim,$D41),"A",""),
if(countif(var.lu2.sim,$D41),"V",""))</f>
        <v/>
      </c>
      <c r="AQ41" s="34" t="str">
        <f>
CONCATENATE(if(countif(np.myc.sim,$D41),"P",""),
if(countif(imp.myc.sim,$D41),"T",""),
if(countif(nap.myc.sim,$D41),"A",""))
</f>
        <v/>
      </c>
      <c r="AR41" s="36" t="str">
        <f>
CONCATENATE(if(countif(knap.nar.sim,$D41),"K",""),
if(countif(np.nar.sim,$D41),"P",""),
if(countif(imp.nar.sim,$D41),"T",""),
if(countif(dd.nar.sim,$D41),"D",""),
if(countif(nap.nar.sim,$D41),"A",""),
if(countif(var.nar.sim,$D41),"V",""))</f>
        <v/>
      </c>
      <c r="AS41" s="34" t="str">
        <f>
CONCATENATE(if(countif(knap.que.sim,$D41),"K",""),
if(countif(np.que.sim,$D41),"P",""),
if(countif(imp.que.sim,$D41),"T",""),
if(countif(dd.que.sim,$D41),"D",""),
if(countif(nap.que.sim,$D41),"A",""),
if(countif(var.que.sim,$D41),"V",""))</f>
        <v/>
      </c>
      <c r="AT41" s="37"/>
      <c r="AU41" s="32" t="str">
        <f>IFERROR(__xludf.DUMMYFUNCTION("if(countif(kr.agi, CONCATENATE(regexextract($C41,""[\w]* [\w]*""), ""*"")),""X"","""")"),"")</f>
        <v/>
      </c>
      <c r="AV41" s="38" t="str">
        <f>IFERROR(__xludf.DUMMYFUNCTION("if(countif(kr.bun,CONCATENATE(regexextract($C41,""[\w]* [\w]*""), ""*"")),""X"","""")"),"X")</f>
        <v>X</v>
      </c>
      <c r="AW41" s="38" t="str">
        <f>IFERROR(__xludf.DUMMYFUNCTION("if(countif(kr.kxn,CONCATENATE(regexextract($C41,""[\w]* [\w]*""), ""*"")),""X"","""")"),"")</f>
        <v/>
      </c>
      <c r="AX41" s="38" t="str">
        <f>IFERROR(__xludf.DUMMYFUNCTION("if(countif(kr.hwb,CONCATENATE(regexextract($C41,""[\w]* [\w]*""), ""*"")),""X"","""")"),"X")</f>
        <v>X</v>
      </c>
      <c r="AY41" s="38" t="str">
        <f>IFERROR(__xludf.DUMMYFUNCTION("if(countif(kr.ec,CONCATENATE(regexextract($C41,""[\w]* [\w]*""), ""*"")),""X"","""")"),"X")</f>
        <v>X</v>
      </c>
      <c r="AZ41" s="38" t="str">
        <f>IFERROR(__xludf.DUMMYFUNCTION("if(countif(kr.egt,CONCATENATE(regexextract($C41,""[\w]* [\w]*""), ""*"")),""X"","""")"),"")</f>
        <v/>
      </c>
      <c r="BA41" s="38"/>
      <c r="BB41" s="38" t="str">
        <f>IFERROR(__xludf.DUMMYFUNCTION("if(countif(kr.erd,CONCATENATE(regexextract($C41,""[\w]* [\w]*""), ""*"")),""X"","""")"),"X")</f>
        <v>X</v>
      </c>
      <c r="BC41" s="38" t="str">
        <f>IFERROR(__xludf.DUMMYFUNCTION("if(countif(kr.gkxn,CONCATENATE(regexextract($C41,""[\w]* [\w]*""), ""*"")),""X"","""")"),"")</f>
        <v/>
      </c>
      <c r="BD41" s="38" t="str">
        <f>IFERROR(__xludf.DUMMYFUNCTION("if(countif(kr.gen,CONCATENATE(regexextract(C41,""[\w]* [\w]*""), ""*"")),""X"","""")"),"")</f>
        <v/>
      </c>
      <c r="BE41" s="38" t="str">
        <f>IFERROR(__xludf.DUMMYFUNCTION("if(countif(kr.hcc,CONCATENATE(regexextract($C41,""[\w]* [\w]*""), ""*"")),""X"","""")"),"X")</f>
        <v>X</v>
      </c>
      <c r="BF41" s="38" t="str">
        <f>IFERROR(__xludf.DUMMYFUNCTION("if(countif(kr.kmp,CONCATENATE(regexextract($C41,""[\w]* [\w]*""), ""*"")),""X"","""")"),"X")</f>
        <v>X</v>
      </c>
      <c r="BG41" s="38" t="str">
        <f>IFERROR(__xludf.DUMMYFUNCTION("if(countif(kr.lu2,CONCATENATE(regexextract($C41,""[\w]* [\w]*""), ""*"")),""X"","""")"),"")</f>
        <v/>
      </c>
      <c r="BH41" s="38" t="str">
        <f>IFERROR(__xludf.DUMMYFUNCTION("if(countif(kr.myc,CONCATENATE(regexextract($C41,""[\w]* [\w]*""), ""*"")),""X"","""")"),"")</f>
        <v/>
      </c>
      <c r="BI41" s="38" t="str">
        <f>IFERROR(__xludf.DUMMYFUNCTION("if(countif(kr.nar,CONCATENATE(regexextract($C41,""[\w]* [\w]*""), ""*"")),""X"","""")"),"X")</f>
        <v>X</v>
      </c>
      <c r="BJ41" s="38" t="str">
        <f>IFERROR(__xludf.DUMMYFUNCTION("if(countif(kr.que,CONCATENATE(regexextract($C41,""[\w]* [\w]*""), ""*"")),""X"","""")"),"X")</f>
        <v>X</v>
      </c>
      <c r="BK41" s="39"/>
      <c r="BL41" s="40" t="str">
        <f>IFERROR(__xludf.DUMMYFUNCTION(" CONCATENATE( 
if (regexmatch(I41, ""^[A-Za-z\.\_]+""), ""L"", 
if(regexmatch(AB41, ""^[A-Za-z\.\_]+""),""S"","""")),
if(AU41=""X"",""K"",""""))"),"")</f>
        <v/>
      </c>
      <c r="BM41" s="40" t="str">
        <f>IFERROR(__xludf.DUMMYFUNCTION(" CONCATENATE( 
if (regexmatch(J41, ""^[A-Za-z\.\_]+""), ""L"", 
if(regexmatch(AC41, ""^[A-Za-z\.\_]+""),""S"","""")),
if(AV41=""X"",""K"",""""))"),"K")</f>
        <v>K</v>
      </c>
      <c r="BN41" s="40" t="str">
        <f>IFERROR(__xludf.DUMMYFUNCTION(" CONCATENATE( 
if (regexmatch(K41, ""^[A-Za-z\.\_]+""), ""L"", 
if(regexmatch(AD41, ""^[A-Za-z\.\_]+""),""S"","""")),
if(AW41=""X"",""K"",""""))"),"")</f>
        <v/>
      </c>
      <c r="BO41" s="40" t="str">
        <f>IFERROR(__xludf.DUMMYFUNCTION(" CONCATENATE( 
if (regexmatch(L41, ""^[A-Za-z\.\_]+""), ""L"", 
if(regexmatch(AE41, ""^[A-Za-z\.\_]+""),""S"","""")),
if(AX41=""X"",""K"",""""))"),"K")</f>
        <v>K</v>
      </c>
      <c r="BP41" s="40" t="str">
        <f>IFERROR(__xludf.DUMMYFUNCTION(" CONCATENATE( 
if (regexmatch(M41, ""^[A-Za-z\.\_]+""), ""L"", 
if(regexmatch(AF41, ""^[A-Za-z\.\_]+""),""S"","""")),
if(AY41=""X"",""K"",""""))"),"K")</f>
        <v>K</v>
      </c>
      <c r="BQ41" s="40" t="str">
        <f>IFERROR(__xludf.DUMMYFUNCTION("CONCATENATE( 
if (regexmatch(O41, ""^[A-Za-z\.\_]+""), ""L"", 
if(regexmatch(AH41, ""^[A-Za-z\.\_]+""),""S"","""")),
if(AZ41=""X"",""K"",""""))"),"")</f>
        <v/>
      </c>
      <c r="BR41" s="40" t="str">
        <f>IFERROR(__xludf.DUMMYFUNCTION("CONCATENATE( 
if (regexmatch(Q41, ""^[A-Za-z\.\_]+""), ""L"", 
if(regexmatch(AJ41, ""^[A-Za-z\.\_]+""),""S"","""")),
if(BA41=""X"",""K"",""""))"),"")</f>
        <v/>
      </c>
      <c r="BS41" s="40" t="str">
        <f>IFERROR(__xludf.DUMMYFUNCTION(" CONCATENATE( 
if (regexmatch(R41, ""^[A-Za-z\.\_]+""), ""L"", 
if(regexmatch(AK41, ""^[A-Za-z\.\_]+""),""S"","""")),
if(BB41=""X"",""K"",""""))"),"K")</f>
        <v>K</v>
      </c>
      <c r="BT41" s="40" t="str">
        <f>IFERROR(__xludf.DUMMYFUNCTION("CONCATENATE( 
if (regexmatch(S41, ""^[A-Za-z\.\_]+""), ""L"", 
if(regexmatch(AL41, ""^[A-Za-z\.\_]+""),""S"","""")),
if(BC41=""X"",""K"",""""))"),"")</f>
        <v/>
      </c>
      <c r="BU41" s="40" t="str">
        <f>IFERROR(__xludf.DUMMYFUNCTION("CONCATENATE( 
if (regexmatch(T41, ""^[A-Za-z\.\_]+""), ""L"", 
if(regexmatch(AM41, ""^[A-Za-z\.\_]+""),""S"","""")),
if(BD41=""X"",""K"",""""))"),"")</f>
        <v/>
      </c>
      <c r="BV41" s="40" t="str">
        <f>IFERROR(__xludf.DUMMYFUNCTION("CONCATENATE( 
if (regexmatch(U41, ""^[A-Za-z\.\_]+""), ""L"", 
if(regexmatch(AN41, ""^[A-Za-z\.\_]+""),""S"","""")),
if(BE41=""X"",""K"",""""))"),"K")</f>
        <v>K</v>
      </c>
      <c r="BW41" s="40" t="str">
        <f>IFERROR(__xludf.DUMMYFUNCTION(" CONCATENATE( 
if (regexmatch(V41, ""^[A-Za-z\.\_]+""), ""L"", 
if(regexmatch(AO41, ""^[A-Za-z\.\_]+""),""S"","""")),
if(BF41=""X"",""K"",""""))"),"K")</f>
        <v>K</v>
      </c>
      <c r="BX41" s="40" t="str">
        <f>IFERROR(__xludf.DUMMYFUNCTION("CONCATENATE( 
if (regexmatch(W41, ""^[A-Za-z\.\_]+""), ""L"", 
if(regexmatch(AP41, ""^[A-Za-z\.\_]+""),""S"","""")),
if(BG41=""X"",""K"",""""))"),"")</f>
        <v/>
      </c>
      <c r="BY41" s="40" t="str">
        <f>IFERROR(__xludf.DUMMYFUNCTION("CONCATENATE( 
if (regexmatch(X41, ""^[A-Za-z\.\_]+""), ""L"", 
if(regexmatch(AQ41, ""^[A-Za-z\.\_]+""),""S"","""")),
if(BH41=""X"",""K"",""""))"),"")</f>
        <v/>
      </c>
      <c r="BZ41" s="40" t="str">
        <f>IFERROR(__xludf.DUMMYFUNCTION("CONCATENATE( 
if (regexmatch(Y41, ""^[A-Za-z\.\_]+""), ""L"", 
if(regexmatch(AR41, ""^[A-Za-z\.\_]+""),""S"","""")),
if(BI41=""X"",""K"",""""))"),"K")</f>
        <v>K</v>
      </c>
      <c r="CA41" s="40" t="str">
        <f>IFERROR(__xludf.DUMMYFUNCTION("CONCATENATE( 
if (regexmatch(Z41, ""^[A-Za-z\.\_]+""), ""L"", 
if(regexmatch(AS41, ""^[A-Za-z\.\_]+""),""S"","""")),
if(BJ41=""X"",""K"",""""))"),"K")</f>
        <v>K</v>
      </c>
      <c r="CB41" s="39"/>
      <c r="CC41" s="39"/>
      <c r="CD41" s="39"/>
      <c r="CE41" s="39"/>
      <c r="CF41" s="39"/>
      <c r="CG41" s="39"/>
      <c r="CH41" s="39"/>
      <c r="CI41" s="39"/>
      <c r="CJ41" s="39"/>
      <c r="CK41" s="39"/>
      <c r="CL41" s="39"/>
      <c r="CM41" s="39"/>
      <c r="CN41" s="39"/>
      <c r="CO41" s="39"/>
      <c r="CP41" s="39"/>
      <c r="CQ41" s="39"/>
      <c r="CR41" s="39"/>
    </row>
    <row r="42" ht="15.75" customHeight="1">
      <c r="A42" s="25">
        <v>40.0</v>
      </c>
      <c r="B42" s="26" t="s">
        <v>200</v>
      </c>
      <c r="C42" s="27" t="s">
        <v>201</v>
      </c>
      <c r="D42" s="27" t="str">
        <f>IFERROR(__xludf.DUMMYFUNCTION("CONCATENATE(regexextract($C42,""[\w]* [\w]*""), ""*"")"),"Fragaria vesca*")</f>
        <v>Fragaria vesca*</v>
      </c>
      <c r="E42" s="59" t="s">
        <v>202</v>
      </c>
      <c r="F42" s="57">
        <v>57918.0</v>
      </c>
      <c r="G42" s="53"/>
      <c r="H42" s="31"/>
      <c r="I42" s="32" t="str">
        <f>CONCATENATE(
if(countif(dd.agi,$D42),"D",""),
if(countif(knap.agi,$D42),"K",""),
if(countif(mic.agi,$D42),"M",""),
if(countif(nap.agi,$D42),"N",""),
if(countif(np.agi,$D42),"P",""),
if(countif(imp.agi,$D42),"T",""),
if(countif(us.agi,$D42),"U",""),
if(countif(var.agi,$D42),"V","")
)</f>
        <v>P</v>
      </c>
      <c r="J42" s="32" t="str">
        <f>
CONCATENATE(
if(countif(nap.bun,$D42),"N",""),
if(countif(np.bun,$D42),"P","")
)
</f>
        <v/>
      </c>
      <c r="K42" s="32" t="str">
        <f>CONCATENATE(
if(countif(dd.kxn,$D42),"D",""),
if(countif(knap.kxn,$D42),"K",""),
if(countif(mic.kxn,$D42),"M",""),
if(countif(nap.kxn,$D42),"N",""),
if(countif(np.kxn,$D42),"P",""),
if(countif(us.kxn,$D42),"U",""),
if(countif(var.kxn,$D42),"V","")
)</f>
        <v>N</v>
      </c>
      <c r="L42" s="32" t="str">
        <f>
CONCATENATE(
if(countif(dd.hwb,$D42),"D",""),
if(countif(knap.hwb,$D42),"K",""),
if(countif(mic.hwb,$D42),"M",""),
if(countif(nap.hwb,$D42),"N",""),
if(countif(np.hwb,$D42),"P",""),
if(countif(us.hwb,$D42),"U",""),
if(countif(imp.hwb,$D42),"T",""),
if(countif(var.hwb,$D42),"V","")
)</f>
        <v>P</v>
      </c>
      <c r="M42" s="32" t="str">
        <f>CONCATENATE(
if(countif(dd.epc,$D42),"D",""),
if(countif(knap.ekxn,$D42),"K",""),
if(countif(mic.ekxn,$D42),"M",""),
if(countif(nap.ekxn,$D42),"N",""),
if(countif(np.ekxn,$D42),"P",""),
if(countif(imp.epc,$D42),"T",""),
if(countif(us.ekxn,$D42),"U",""),
if(countif(var.ekxn,$D42),"V","")
)</f>
        <v>N</v>
      </c>
      <c r="N42" s="32" t="str">
        <f>
CONCATENATE(
if(countif(dd.ecg,$D42),"D",""),
if(countif(mic.ecg,$D42),"M",""),
if(countif(np.ecg,$D42),"P",""),
if(countif(imp.ecg,$D42),"T",""),
if(countif(us.ecg,$D42),"U","")
)</f>
        <v/>
      </c>
      <c r="O42" s="32" t="str">
        <f>
CONCATENATE(
if(countif(dd.egt,$D42),"D",""),
if(countif(mic.egt,$D42),"M",""),
if(countif(nap.egt,$D42),"N",""),
if(countif(us.egt,$D42),"U",""),
if(countif(var.egt,$D42),"V",""))
</f>
        <v/>
      </c>
      <c r="P42" s="32" t="str">
        <f>CONCATENATE(
if(countif(knap.egcg,$D42),"K",""),
if(countif(mic.egcg,$D42),"M",""),
if(countif(np.egcg,$D42),"P",""),
if(countif(us.egcg,$D42),"U","")
)</f>
        <v/>
      </c>
      <c r="Q42" s="32" t="str">
        <f>CONCATENATE(if(countif(np.ecit,$D42),"P",""),
if(countif(nap.ecit,$D42),"A",""))</f>
        <v/>
      </c>
      <c r="R42" s="32" t="str">
        <f>
CONCATENATE(
if(countif(nap.erd,$D42),"N",""),
if(countif(np.erd,$D42),"P",""),
if(countif(var.erd,$D42),"V",""))</f>
        <v/>
      </c>
      <c r="S42" s="32" t="str">
        <f>
CONCATENATE(
if(countif(dd.gkxn,$D42),"D",""),
if(countif(knap.gkxn,$D42),"K",""),
if(countif(nap.gkxn,$D42),"N",""),
if(countif(np.gkxn,$D42),"P",""),
if(countif(imp.gkxn,$D42),"T",""),
if(countif(var.gkxn,$D42),"V",""))</f>
        <v/>
      </c>
      <c r="T42" s="32" t="str">
        <f>
CONCATENATE(
if(countif(dd.gen,$C42),"D",""),
if(countif(knap.gen,$C42),"K",""),
if(countif(nap.gen,$C42),"N",""),
if(countif(np.gen,$C42),"P",""),
if(countif(imp.gen,$C42),"T",""),
if(countif(var.gen,$C42),"V",""))</f>
        <v/>
      </c>
      <c r="U42" s="32" t="str">
        <f>
CONCATENATE(
if(countif(dd.hcc,$D42),"D",""),
if(countif(knap.hcc,$D42),"K",""),
if(countif(np.hcc,$D42),"P","")
)
</f>
        <v/>
      </c>
      <c r="V42" s="32" t="str">
        <f>
CONCATENATE(
if(countif(dd.kmp,$D42),"D",""),
if(countif(knap.kmp,$D42),"K",""),
if(countif(mic.kmp,$D42),"M",""),
if(countif(nap.kmp,$D42),"N",""),
if(countif(np.kmp,$D42),"P",""),
if(countif(imp.kmp,$D42),"T",""),
if(countif(us.kmp,$D42),"U",""),
if(countif(var.kmp,$D42),"V",""))</f>
        <v>V</v>
      </c>
      <c r="W42" s="32" t="str">
        <f>
CONCATENATE(
if(countif(dd.lu2,$D42),"D",""),
if(countif(knap.lu2,$D42),"K",""),
if(countif(mic.lu2,$D42),"M",""),
if(countif(nap.lu2,$D42),"N",""),
if(countif(np.lu2,$D42),"P",""),
if(countif(imp.lu2,$D42),"T",""),
if(countif(us.lu2,$D42),"U",""),
if(countif(var.lu2,$D42),"V",""))</f>
        <v>P</v>
      </c>
      <c r="X42" s="32" t="str">
        <f>
CONCATENATE(
if(countif(dd.myc,$D42),"D",""),
if(countif(knap.myc,$D42),"K",""), 
if(countif(mic.myc,$D42),"M",""),
if(countif(nap.myc,$D42),"N",""),
if(countif(np.myc,$D42),"P",""),
if(countif(imp.myc,$D42),"T",""),
if(countif(us.myc,$D42),"U",""),
if(countif(var.myc,$D42),"V",""))</f>
        <v/>
      </c>
      <c r="Y42" s="32" t="str">
        <f>CONCATENATE(
if(countif(dd.nar,$D42),"D",""),
if(countif(knap.nar,$D42),"K",""),
if(countif(nap.nar,$D42),"N",""),
if(countif(np.nar,$D42),"P",""),
if(countif(imp.nar,$D42),"T",""),
if(countif(us.nar,$D42),"U",""),
if(countif(var.nar,$D42),"V",""))</f>
        <v>V</v>
      </c>
      <c r="Z42" s="33" t="str">
        <f>
CONCATENATE(
if(countif(dd.que,$D42),"D",""),
if(countif(knap.que,$D42),"K",""),
if(countif(mic.que,$D42),"M",""),
if(countif(nap.que,$D42),"N",""),
if(countif(np.que,$D42),"P",""),
if(countif(imp.que,$D42),"T",""),
if(countif(us.que,$D42),"U",""),
if(countif(var.que,$D42),"V",""))</f>
        <v>V</v>
      </c>
      <c r="AA42" s="32"/>
      <c r="AB42" s="34" t="str">
        <f>
CONCATENATE(if(countif(knap.agi.sim,$D42),"K",""),
if(countif(dd.agi.sim,$D42),"D",""),
if(countif(nap.agi.sim,$D42),"A",""),
if(countif(var.agi.sim,$D42),"V",""))</f>
        <v/>
      </c>
      <c r="AC42" s="34" t="str">
        <f>
if(countif(nap.bun.sim,$D42),"A","")</f>
        <v/>
      </c>
      <c r="AD42" s="34" t="str">
        <f>
CONCATENATE(if(countif(knap.kxn.sim,$D42),"K",""),
if(countif(np.kxn.sim,$D42),"P",""),
if(countif(dd.kxn.sim,$D42),"D",""),
if(countif(nap.kxn.sim,$D42),"A",""),
if(countif(var.kxn.sim,$D42),"V",""))</f>
        <v>AV</v>
      </c>
      <c r="AE42" s="34" t="str">
        <f>
CONCATENATE(if(countif(knap.hwb.sim,$D42),"K",""),
if(countif(np.hwb.sim,$D42),"P",""),
if(countif(mic.hwb.sim,$D42),"M",""),
if(countif(imp.hwb.sim,$D42),"T",""),
if(countif(dd.cyan.sim,$D42),"D",""),
if(countif(nap.hwb.sim,$D42),"A",""),
if(countif(var.hwb.sim,$D42),"V",""))</f>
        <v>PV</v>
      </c>
      <c r="AF42" s="34" t="str">
        <f>
CONCATENATE(if(countif(us.ekxn.sim,$D42),"U",""),
if(countif(knap.ekxn.sim,$D42),"K",""),
if(countif(np.ekxn.sim,$D42),"P",""),
if(countif(mic.ekxn.sim,$D42),"M",""),
if(countif(imp.epc.sim,$D42),"T",""),
if(countif(nap.ekxn.sim,$D42),"A",""))</f>
        <v>A</v>
      </c>
      <c r="AG42" s="34"/>
      <c r="AH42" s="34" t="str">
        <f>
CONCATENATE(if(countif(us.egt.sim,$D42),"U",""),
if(countif(knap.egt.sim,$D42),"K",""),
if(countif(np.egt.sim,$D42),"P",""),
if(countif(mic.egt.sim,$D42),"M",""))</f>
        <v/>
      </c>
      <c r="AI42" s="34"/>
      <c r="AJ42" s="34" t="str">
        <f>if(countif(nap.ecit.sim,$D42),"A","")</f>
        <v/>
      </c>
      <c r="AK42" s="34" t="str">
        <f>
CONCATENATE(if(countif(nap.erd,$D42),"M",""),
if(countif(nap.erd.sim,$D42),"A",""),
if(countif(var.erd.sim,$D42),"V",""))</f>
        <v/>
      </c>
      <c r="AL42" s="34" t="str">
        <f>
CONCATENATE(if(countif(knap.gkxn.sim,$D42),"K",""),
if(countif(nap.gkxn.sim,$D42),"A",""))</f>
        <v/>
      </c>
      <c r="AM42" s="34" t="str">
        <f>
CONCATENATE(if(countif(knap.gen.sim,$C42),"K",""),
if(countif(imp.gen.sim,$C42),"T",""),
if(countif(dd.gen.sim,$C42),"D",""),
if(countif(nap.gen.sim,$C42),"A",""),
if(countif(var.gen.sim,$C42),"V",""))
</f>
        <v/>
      </c>
      <c r="AN42" s="34" t="str">
        <f>IFERROR(__xludf.DUMMYFUNCTION("
if(countif(#REF!,CONCATENATE(regexextract($C42,""[\w]* [\w]*""), ""*"")),""V"","""")"),"")</f>
        <v/>
      </c>
      <c r="AO42" s="34" t="str">
        <f>
CONCATENATE(if(countif(knap.kmp.sim,$D42),"K",""),
if(countif(np.kmp.sim,$D42),"P",""),
if(countif(imp.kmp.sim,$D42),"T",""),
if(countif(dd.kmp,$D42),"D",""),
if(countif(nap.kmp.sim,$D42),"A",""),
if(countif(var.kmp.sim,$D42),"V",""))</f>
        <v>V</v>
      </c>
      <c r="AP42" s="34" t="str">
        <f>
CONCATENATE(if(countif(knap.lu2.sim,$D42),"K",""),
if(countif(np.lu2.sim,$D42),"P",""),
if(countif(imp.lu2.sim,$D42),"T",""),
if(countif(dd.lu2.sim,$D42),"D",""),
if(countif(nap.lu2.sim,$D42),"A",""),
if(countif(var.lu2.sim,$D42),"V",""))</f>
        <v>P</v>
      </c>
      <c r="AQ42" s="34" t="str">
        <f>
CONCATENATE(if(countif(np.myc.sim,$D42),"P",""),
if(countif(imp.myc.sim,$D42),"T",""),
if(countif(nap.myc.sim,$D42),"A",""))
</f>
        <v/>
      </c>
      <c r="AR42" s="36" t="str">
        <f>
CONCATENATE(if(countif(knap.nar.sim,$D42),"K",""),
if(countif(np.nar.sim,$D42),"P",""),
if(countif(imp.nar.sim,$D42),"T",""),
if(countif(dd.nar.sim,$D42),"D",""),
if(countif(nap.nar.sim,$D42),"A",""),
if(countif(var.nar.sim,$D42),"V",""))</f>
        <v/>
      </c>
      <c r="AS42" s="34" t="str">
        <f>
CONCATENATE(if(countif(knap.que.sim,$D42),"K",""),
if(countif(np.que.sim,$D42),"P",""),
if(countif(imp.que.sim,$D42),"T",""),
if(countif(dd.que.sim,$D42),"D",""),
if(countif(nap.que.sim,$D42),"A",""),
if(countif(var.que.sim,$D42),"V",""))</f>
        <v>V</v>
      </c>
      <c r="AT42" s="37"/>
      <c r="AU42" s="32" t="str">
        <f>IFERROR(__xludf.DUMMYFUNCTION("if(countif(kr.agi, CONCATENATE(regexextract($C42,""[\w]* [\w]*""), ""*"")),""X"","""")"),"")</f>
        <v/>
      </c>
      <c r="AV42" s="38" t="str">
        <f>IFERROR(__xludf.DUMMYFUNCTION("if(countif(kr.bun,CONCATENATE(regexextract($C42,""[\w]* [\w]*""), ""*"")),""X"","""")"),"X")</f>
        <v>X</v>
      </c>
      <c r="AW42" s="38" t="str">
        <f>IFERROR(__xludf.DUMMYFUNCTION("if(countif(kr.kxn,CONCATENATE(regexextract($C42,""[\w]* [\w]*""), ""*"")),""X"","""")"),"")</f>
        <v/>
      </c>
      <c r="AX42" s="38" t="str">
        <f>IFERROR(__xludf.DUMMYFUNCTION("if(countif(kr.hwb,CONCATENATE(regexextract($C42,""[\w]* [\w]*""), ""*"")),""X"","""")"),"")</f>
        <v/>
      </c>
      <c r="AY42" s="38" t="str">
        <f>IFERROR(__xludf.DUMMYFUNCTION("if(countif(kr.ec,CONCATENATE(regexextract($C42,""[\w]* [\w]*""), ""*"")),""X"","""")"),"")</f>
        <v/>
      </c>
      <c r="AZ42" s="38" t="str">
        <f>IFERROR(__xludf.DUMMYFUNCTION("if(countif(kr.egt,CONCATENATE(regexextract($C42,""[\w]* [\w]*""), ""*"")),""X"","""")"),"")</f>
        <v/>
      </c>
      <c r="BA42" s="38"/>
      <c r="BB42" s="38" t="str">
        <f>IFERROR(__xludf.DUMMYFUNCTION("if(countif(kr.erd,CONCATENATE(regexextract($C42,""[\w]* [\w]*""), ""*"")),""X"","""")"),"X")</f>
        <v>X</v>
      </c>
      <c r="BC42" s="38" t="str">
        <f>IFERROR(__xludf.DUMMYFUNCTION("if(countif(kr.gkxn,CONCATENATE(regexextract($C42,""[\w]* [\w]*""), ""*"")),""X"","""")"),"")</f>
        <v/>
      </c>
      <c r="BD42" s="38" t="str">
        <f>IFERROR(__xludf.DUMMYFUNCTION("if(countif(kr.gen,CONCATENATE(regexextract(C42,""[\w]* [\w]*""), ""*"")),""X"","""")"),"")</f>
        <v/>
      </c>
      <c r="BE42" s="38" t="str">
        <f>IFERROR(__xludf.DUMMYFUNCTION("if(countif(kr.hcc,CONCATENATE(regexextract($C42,""[\w]* [\w]*""), ""*"")),""X"","""")"),"X")</f>
        <v>X</v>
      </c>
      <c r="BF42" s="38" t="str">
        <f>IFERROR(__xludf.DUMMYFUNCTION("if(countif(kr.kmp,CONCATENATE(regexextract($C42,""[\w]* [\w]*""), ""*"")),""X"","""")"),"X")</f>
        <v>X</v>
      </c>
      <c r="BG42" s="38" t="str">
        <f>IFERROR(__xludf.DUMMYFUNCTION("if(countif(kr.lu2,CONCATENATE(regexextract($C42,""[\w]* [\w]*""), ""*"")),""X"","""")"),"")</f>
        <v/>
      </c>
      <c r="BH42" s="38" t="str">
        <f>IFERROR(__xludf.DUMMYFUNCTION("if(countif(kr.myc,CONCATENATE(regexextract($C42,""[\w]* [\w]*""), ""*"")),""X"","""")"),"")</f>
        <v/>
      </c>
      <c r="BI42" s="38" t="str">
        <f>IFERROR(__xludf.DUMMYFUNCTION("if(countif(kr.nar,CONCATENATE(regexextract($C42,""[\w]* [\w]*""), ""*"")),""X"","""")"),"X")</f>
        <v>X</v>
      </c>
      <c r="BJ42" s="38" t="str">
        <f>IFERROR(__xludf.DUMMYFUNCTION("if(countif(kr.que,CONCATENATE(regexextract($C42,""[\w]* [\w]*""), ""*"")),""X"","""")"),"X")</f>
        <v>X</v>
      </c>
      <c r="BK42" s="39"/>
      <c r="BL42" s="40" t="str">
        <f>IFERROR(__xludf.DUMMYFUNCTION(" CONCATENATE( 
if (regexmatch(I42, ""^[A-Za-z\.\_]+""), ""L"", 
if(regexmatch(AB42, ""^[A-Za-z\.\_]+""),""S"","""")),
if(AU42=""X"",""K"",""""))"),"L")</f>
        <v>L</v>
      </c>
      <c r="BM42" s="40" t="str">
        <f>IFERROR(__xludf.DUMMYFUNCTION(" CONCATENATE( 
if (regexmatch(J42, ""^[A-Za-z\.\_]+""), ""L"", 
if(regexmatch(AC42, ""^[A-Za-z\.\_]+""),""S"","""")),
if(AV42=""X"",""K"",""""))"),"K")</f>
        <v>K</v>
      </c>
      <c r="BN42" s="40" t="str">
        <f>IFERROR(__xludf.DUMMYFUNCTION(" CONCATENATE( 
if (regexmatch(K42, ""^[A-Za-z\.\_]+""), ""L"", 
if(regexmatch(AD42, ""^[A-Za-z\.\_]+""),""S"","""")),
if(AW42=""X"",""K"",""""))"),"L")</f>
        <v>L</v>
      </c>
      <c r="BO42" s="40" t="str">
        <f>IFERROR(__xludf.DUMMYFUNCTION(" CONCATENATE( 
if (regexmatch(L42, ""^[A-Za-z\.\_]+""), ""L"", 
if(regexmatch(AE42, ""^[A-Za-z\.\_]+""),""S"","""")),
if(AX42=""X"",""K"",""""))"),"L")</f>
        <v>L</v>
      </c>
      <c r="BP42" s="40" t="str">
        <f>IFERROR(__xludf.DUMMYFUNCTION(" CONCATENATE( 
if (regexmatch(M42, ""^[A-Za-z\.\_]+""), ""L"", 
if(regexmatch(AF42, ""^[A-Za-z\.\_]+""),""S"","""")),
if(AY42=""X"",""K"",""""))"),"L")</f>
        <v>L</v>
      </c>
      <c r="BQ42" s="40" t="str">
        <f>IFERROR(__xludf.DUMMYFUNCTION("CONCATENATE( 
if (regexmatch(O42, ""^[A-Za-z\.\_]+""), ""L"", 
if(regexmatch(AH42, ""^[A-Za-z\.\_]+""),""S"","""")),
if(AZ42=""X"",""K"",""""))"),"")</f>
        <v/>
      </c>
      <c r="BR42" s="40" t="str">
        <f>IFERROR(__xludf.DUMMYFUNCTION("CONCATENATE( 
if (regexmatch(Q42, ""^[A-Za-z\.\_]+""), ""L"", 
if(regexmatch(AJ42, ""^[A-Za-z\.\_]+""),""S"","""")),
if(BA42=""X"",""K"",""""))"),"")</f>
        <v/>
      </c>
      <c r="BS42" s="40" t="str">
        <f>IFERROR(__xludf.DUMMYFUNCTION(" CONCATENATE( 
if (regexmatch(R42, ""^[A-Za-z\.\_]+""), ""L"", 
if(regexmatch(AK42, ""^[A-Za-z\.\_]+""),""S"","""")),
if(BB42=""X"",""K"",""""))"),"K")</f>
        <v>K</v>
      </c>
      <c r="BT42" s="40" t="str">
        <f>IFERROR(__xludf.DUMMYFUNCTION("CONCATENATE( 
if (regexmatch(S42, ""^[A-Za-z\.\_]+""), ""L"", 
if(regexmatch(AL42, ""^[A-Za-z\.\_]+""),""S"","""")),
if(BC42=""X"",""K"",""""))"),"")</f>
        <v/>
      </c>
      <c r="BU42" s="40" t="str">
        <f>IFERROR(__xludf.DUMMYFUNCTION("CONCATENATE( 
if (regexmatch(T42, ""^[A-Za-z\.\_]+""), ""L"", 
if(regexmatch(AM42, ""^[A-Za-z\.\_]+""),""S"","""")),
if(BD42=""X"",""K"",""""))"),"")</f>
        <v/>
      </c>
      <c r="BV42" s="40" t="str">
        <f>IFERROR(__xludf.DUMMYFUNCTION("CONCATENATE( 
if (regexmatch(U42, ""^[A-Za-z\.\_]+""), ""L"", 
if(regexmatch(AN42, ""^[A-Za-z\.\_]+""),""S"","""")),
if(BE42=""X"",""K"",""""))"),"K")</f>
        <v>K</v>
      </c>
      <c r="BW42" s="40" t="str">
        <f>IFERROR(__xludf.DUMMYFUNCTION(" CONCATENATE( 
if (regexmatch(V42, ""^[A-Za-z\.\_]+""), ""L"", 
if(regexmatch(AO42, ""^[A-Za-z\.\_]+""),""S"","""")),
if(BF42=""X"",""K"",""""))"),"LK")</f>
        <v>LK</v>
      </c>
      <c r="BX42" s="40" t="str">
        <f>IFERROR(__xludf.DUMMYFUNCTION("CONCATENATE( 
if (regexmatch(W42, ""^[A-Za-z\.\_]+""), ""L"", 
if(regexmatch(AP42, ""^[A-Za-z\.\_]+""),""S"","""")),
if(BG42=""X"",""K"",""""))"),"L")</f>
        <v>L</v>
      </c>
      <c r="BY42" s="40" t="str">
        <f>IFERROR(__xludf.DUMMYFUNCTION("CONCATENATE( 
if (regexmatch(X42, ""^[A-Za-z\.\_]+""), ""L"", 
if(regexmatch(AQ42, ""^[A-Za-z\.\_]+""),""S"","""")),
if(BH42=""X"",""K"",""""))"),"")</f>
        <v/>
      </c>
      <c r="BZ42" s="40" t="str">
        <f>IFERROR(__xludf.DUMMYFUNCTION("CONCATENATE( 
if (regexmatch(Y42, ""^[A-Za-z\.\_]+""), ""L"", 
if(regexmatch(AR42, ""^[A-Za-z\.\_]+""),""S"","""")),
if(BI42=""X"",""K"",""""))"),"LK")</f>
        <v>LK</v>
      </c>
      <c r="CA42" s="40" t="str">
        <f>IFERROR(__xludf.DUMMYFUNCTION("CONCATENATE( 
if (regexmatch(Z42, ""^[A-Za-z\.\_]+""), ""L"", 
if(regexmatch(AS42, ""^[A-Za-z\.\_]+""),""S"","""")),
if(BJ42=""X"",""K"",""""))"),"LK")</f>
        <v>LK</v>
      </c>
      <c r="CB42" s="39"/>
      <c r="CC42" s="39"/>
      <c r="CD42" s="39"/>
      <c r="CE42" s="39"/>
      <c r="CF42" s="39"/>
      <c r="CG42" s="39"/>
      <c r="CH42" s="39"/>
      <c r="CI42" s="39"/>
      <c r="CJ42" s="39"/>
      <c r="CK42" s="39"/>
      <c r="CL42" s="39"/>
      <c r="CM42" s="39"/>
      <c r="CN42" s="39"/>
      <c r="CO42" s="39"/>
      <c r="CP42" s="39"/>
      <c r="CQ42" s="39"/>
      <c r="CR42" s="39"/>
    </row>
    <row r="43" ht="15.75" customHeight="1">
      <c r="A43" s="25">
        <v>139.0</v>
      </c>
      <c r="B43" s="26" t="s">
        <v>203</v>
      </c>
      <c r="C43" s="27" t="s">
        <v>204</v>
      </c>
      <c r="D43" s="27" t="str">
        <f>IFERROR(__xludf.DUMMYFUNCTION("CONCATENATE(regexextract($C43,""[\w]* [\w]*""), ""*"")"),"Galdieria sulphuraria*")</f>
        <v>Galdieria sulphuraria*</v>
      </c>
      <c r="E43" s="26" t="s">
        <v>205</v>
      </c>
      <c r="F43" s="57">
        <v>130081.0</v>
      </c>
      <c r="G43" s="53"/>
      <c r="H43" s="31"/>
      <c r="I43" s="32" t="str">
        <f>CONCATENATE(
if(countif(dd.agi,$D43),"D",""),
if(countif(knap.agi,$D43),"K",""),
if(countif(mic.agi,$D43),"M",""),
if(countif(nap.agi,$D43),"N",""),
if(countif(np.agi,$D43),"P",""),
if(countif(imp.agi,$D43),"T",""),
if(countif(us.agi,$D43),"U",""),
if(countif(var.agi,$D43),"V","")
)</f>
        <v/>
      </c>
      <c r="J43" s="32" t="str">
        <f>
CONCATENATE(
if(countif(nap.bun,$D43),"N",""),
if(countif(np.bun,$D43),"P","")
)
</f>
        <v/>
      </c>
      <c r="K43" s="32" t="str">
        <f>CONCATENATE(
if(countif(dd.kxn,$D43),"D",""),
if(countif(knap.kxn,$D43),"K",""),
if(countif(mic.kxn,$D43),"M",""),
if(countif(nap.kxn,$D43),"N",""),
if(countif(np.kxn,$D43),"P",""),
if(countif(us.kxn,$D43),"U",""),
if(countif(var.kxn,$D43),"V","")
)</f>
        <v/>
      </c>
      <c r="L43" s="32" t="str">
        <f>
CONCATENATE(
if(countif(dd.hwb,$D43),"D",""),
if(countif(knap.hwb,$D43),"K",""),
if(countif(mic.hwb,$D43),"M",""),
if(countif(nap.hwb,$D43),"N",""),
if(countif(np.hwb,$D43),"P",""),
if(countif(us.hwb,$D43),"U",""),
if(countif(imp.hwb,$D43),"T",""),
if(countif(var.hwb,$D43),"V","")
)</f>
        <v/>
      </c>
      <c r="M43" s="32" t="str">
        <f>CONCATENATE(
if(countif(dd.epc,$D43),"D",""),
if(countif(knap.ekxn,$D43),"K",""),
if(countif(mic.ekxn,$D43),"M",""),
if(countif(nap.ekxn,$D43),"N",""),
if(countif(np.ekxn,$D43),"P",""),
if(countif(imp.epc,$D43),"T",""),
if(countif(us.ekxn,$D43),"U",""),
if(countif(var.ekxn,$D43),"V","")
)</f>
        <v/>
      </c>
      <c r="N43" s="32" t="str">
        <f>
CONCATENATE(
if(countif(dd.ecg,$D43),"D",""),
if(countif(mic.ecg,$D43),"M",""),
if(countif(np.ecg,$D43),"P",""),
if(countif(imp.ecg,$D43),"T",""),
if(countif(us.ecg,$D43),"U","")
)</f>
        <v/>
      </c>
      <c r="O43" s="32" t="str">
        <f>
CONCATENATE(
if(countif(dd.egt,$D43),"D",""),
if(countif(mic.egt,$D43),"M",""),
if(countif(nap.egt,$D43),"N",""),
if(countif(us.egt,$D43),"U",""),
if(countif(var.egt,$D43),"V",""))
</f>
        <v/>
      </c>
      <c r="P43" s="32" t="str">
        <f>CONCATENATE(
if(countif(knap.egcg,$D43),"K",""),
if(countif(mic.egcg,$D43),"M",""),
if(countif(np.egcg,$D43),"P",""),
if(countif(us.egcg,$D43),"U","")
)</f>
        <v/>
      </c>
      <c r="Q43" s="32" t="str">
        <f>CONCATENATE(if(countif(np.ecit,$D43),"P",""),
if(countif(nap.ecit,$D43),"A",""))</f>
        <v/>
      </c>
      <c r="R43" s="32" t="str">
        <f>
CONCATENATE(
if(countif(nap.erd,$D43),"N",""),
if(countif(np.erd,$D43),"P",""),
if(countif(var.erd,$D43),"V",""))</f>
        <v/>
      </c>
      <c r="S43" s="32" t="str">
        <f>
CONCATENATE(
if(countif(dd.gkxn,$D43),"D",""),
if(countif(knap.gkxn,$D43),"K",""),
if(countif(nap.gkxn,$D43),"N",""),
if(countif(np.gkxn,$D43),"P",""),
if(countif(imp.gkxn,$D43),"T",""),
if(countif(var.gkxn,$D43),"V",""))</f>
        <v/>
      </c>
      <c r="T43" s="32" t="str">
        <f>
CONCATENATE(
if(countif(dd.gen,$C43),"D",""),
if(countif(knap.gen,$C43),"K",""),
if(countif(nap.gen,$C43),"N",""),
if(countif(np.gen,$C43),"P",""),
if(countif(imp.gen,$C43),"T",""),
if(countif(var.gen,$C43),"V",""))</f>
        <v/>
      </c>
      <c r="U43" s="32" t="str">
        <f>
CONCATENATE(
if(countif(dd.hcc,$D43),"D",""),
if(countif(knap.hcc,$D43),"K",""),
if(countif(np.hcc,$D43),"P","")
)
</f>
        <v/>
      </c>
      <c r="V43" s="32" t="str">
        <f>
CONCATENATE(
if(countif(dd.kmp,$D43),"D",""),
if(countif(knap.kmp,$D43),"K",""),
if(countif(mic.kmp,$D43),"M",""),
if(countif(nap.kmp,$D43),"N",""),
if(countif(np.kmp,$D43),"P",""),
if(countif(imp.kmp,$D43),"T",""),
if(countif(us.kmp,$D43),"U",""),
if(countif(var.kmp,$D43),"V",""))</f>
        <v/>
      </c>
      <c r="W43" s="32" t="str">
        <f>
CONCATENATE(
if(countif(dd.lu2,$D43),"D",""),
if(countif(knap.lu2,$D43),"K",""),
if(countif(mic.lu2,$D43),"M",""),
if(countif(nap.lu2,$D43),"N",""),
if(countif(np.lu2,$D43),"P",""),
if(countif(imp.lu2,$D43),"T",""),
if(countif(us.lu2,$D43),"U",""),
if(countif(var.lu2,$D43),"V",""))</f>
        <v/>
      </c>
      <c r="X43" s="32" t="str">
        <f>
CONCATENATE(
if(countif(dd.myc,$D43),"D",""),
if(countif(knap.myc,$D43),"K",""), 
if(countif(mic.myc,$D43),"M",""),
if(countif(nap.myc,$D43),"N",""),
if(countif(np.myc,$D43),"P",""),
if(countif(imp.myc,$D43),"T",""),
if(countif(us.myc,$D43),"U",""),
if(countif(var.myc,$D43),"V",""))</f>
        <v/>
      </c>
      <c r="Y43" s="32" t="str">
        <f>CONCATENATE(
if(countif(dd.nar,$D43),"D",""),
if(countif(knap.nar,$D43),"K",""),
if(countif(nap.nar,$D43),"N",""),
if(countif(np.nar,$D43),"P",""),
if(countif(imp.nar,$D43),"T",""),
if(countif(us.nar,$D43),"U",""),
if(countif(var.nar,$D43),"V",""))</f>
        <v/>
      </c>
      <c r="Z43" s="33" t="str">
        <f>
CONCATENATE(
if(countif(dd.que,$D43),"D",""),
if(countif(knap.que,$D43),"K",""),
if(countif(mic.que,$D43),"M",""),
if(countif(nap.que,$D43),"N",""),
if(countif(np.que,$D43),"P",""),
if(countif(imp.que,$D43),"T",""),
if(countif(us.que,$D43),"U",""),
if(countif(var.que,$D43),"V",""))</f>
        <v/>
      </c>
      <c r="AA43" s="32"/>
      <c r="AB43" s="34" t="str">
        <f>
CONCATENATE(if(countif(knap.agi.sim,$D43),"K",""),
if(countif(dd.agi.sim,$D43),"D",""),
if(countif(nap.agi.sim,$D43),"A",""),
if(countif(var.agi.sim,$D43),"V",""))</f>
        <v/>
      </c>
      <c r="AC43" s="34" t="str">
        <f>
if(countif(nap.bun.sim,$D43),"A","")</f>
        <v/>
      </c>
      <c r="AD43" s="34" t="str">
        <f>
CONCATENATE(if(countif(knap.kxn.sim,$D43),"K",""),
if(countif(np.kxn.sim,$D43),"P",""),
if(countif(dd.kxn.sim,$D43),"D",""),
if(countif(nap.kxn.sim,$D43),"A",""),
if(countif(var.kxn.sim,$D43),"V",""))</f>
        <v/>
      </c>
      <c r="AE43" s="34" t="str">
        <f>
CONCATENATE(if(countif(knap.hwb.sim,$D43),"K",""),
if(countif(np.hwb.sim,$D43),"P",""),
if(countif(mic.hwb.sim,$D43),"M",""),
if(countif(imp.hwb.sim,$D43),"T",""),
if(countif(dd.cyan.sim,$D43),"D",""),
if(countif(nap.hwb.sim,$D43),"A",""),
if(countif(var.hwb.sim,$D43),"V",""))</f>
        <v/>
      </c>
      <c r="AF43" s="34" t="str">
        <f>
CONCATENATE(if(countif(us.ekxn.sim,$D43),"U",""),
if(countif(knap.ekxn.sim,$D43),"K",""),
if(countif(np.ekxn.sim,$D43),"P",""),
if(countif(mic.ekxn.sim,$D43),"M",""),
if(countif(imp.epc.sim,$D43),"T",""),
if(countif(nap.ekxn.sim,$D43),"A",""))</f>
        <v/>
      </c>
      <c r="AG43" s="34"/>
      <c r="AH43" s="34" t="str">
        <f>
CONCATENATE(if(countif(us.egt.sim,$D43),"U",""),
if(countif(knap.egt.sim,$D43),"K",""),
if(countif(np.egt.sim,$D43),"P",""),
if(countif(mic.egt.sim,$D43),"M",""))</f>
        <v/>
      </c>
      <c r="AI43" s="34"/>
      <c r="AJ43" s="34" t="str">
        <f>if(countif(nap.ecit.sim,$D43),"A","")</f>
        <v/>
      </c>
      <c r="AK43" s="34" t="str">
        <f>
CONCATENATE(if(countif(nap.erd,$D43),"M",""),
if(countif(nap.erd.sim,$D43),"A",""),
if(countif(var.erd.sim,$D43),"V",""))</f>
        <v/>
      </c>
      <c r="AL43" s="34" t="str">
        <f>
CONCATENATE(if(countif(knap.gkxn.sim,$D43),"K",""),
if(countif(nap.gkxn.sim,$D43),"A",""))</f>
        <v/>
      </c>
      <c r="AM43" s="34" t="str">
        <f>
CONCATENATE(if(countif(knap.gen.sim,$C43),"K",""),
if(countif(imp.gen.sim,$C43),"T",""),
if(countif(dd.gen.sim,$C43),"D",""),
if(countif(nap.gen.sim,$C43),"A",""),
if(countif(var.gen.sim,$C43),"V",""))
</f>
        <v/>
      </c>
      <c r="AN43" s="34" t="str">
        <f>IFERROR(__xludf.DUMMYFUNCTION("
if(countif(#REF!,CONCATENATE(regexextract($C43,""[\w]* [\w]*""), ""*"")),""V"","""")"),"")</f>
        <v/>
      </c>
      <c r="AO43" s="34" t="str">
        <f>
CONCATENATE(if(countif(knap.kmp.sim,$D43),"K",""),
if(countif(np.kmp.sim,$D43),"P",""),
if(countif(imp.kmp.sim,$D43),"T",""),
if(countif(dd.kmp,$D43),"D",""),
if(countif(nap.kmp.sim,$D43),"A",""),
if(countif(var.kmp.sim,$D43),"V",""))</f>
        <v/>
      </c>
      <c r="AP43" s="34" t="str">
        <f>
CONCATENATE(if(countif(knap.lu2.sim,$D43),"K",""),
if(countif(np.lu2.sim,$D43),"P",""),
if(countif(imp.lu2.sim,$D43),"T",""),
if(countif(dd.lu2.sim,$D43),"D",""),
if(countif(nap.lu2.sim,$D43),"A",""),
if(countif(var.lu2.sim,$D43),"V",""))</f>
        <v/>
      </c>
      <c r="AQ43" s="34" t="str">
        <f>
CONCATENATE(if(countif(np.myc.sim,$D43),"P",""),
if(countif(imp.myc.sim,$D43),"T",""),
if(countif(nap.myc.sim,$D43),"A",""))
</f>
        <v/>
      </c>
      <c r="AR43" s="36" t="str">
        <f>
CONCATENATE(if(countif(knap.nar.sim,$D43),"K",""),
if(countif(np.nar.sim,$D43),"P",""),
if(countif(imp.nar.sim,$D43),"T",""),
if(countif(dd.nar.sim,$D43),"D",""),
if(countif(nap.nar.sim,$D43),"A",""),
if(countif(var.nar.sim,$D43),"V",""))</f>
        <v/>
      </c>
      <c r="AS43" s="34" t="str">
        <f>
CONCATENATE(if(countif(knap.que.sim,$D43),"K",""),
if(countif(np.que.sim,$D43),"P",""),
if(countif(imp.que.sim,$D43),"T",""),
if(countif(dd.que.sim,$D43),"D",""),
if(countif(nap.que.sim,$D43),"A",""),
if(countif(var.que.sim,$D43),"V",""))</f>
        <v/>
      </c>
      <c r="AT43" s="37"/>
      <c r="AU43" s="32" t="str">
        <f>IFERROR(__xludf.DUMMYFUNCTION("if(countif(kr.agi, CONCATENATE(regexextract($C43,""[\w]* [\w]*""), ""*"")),""X"","""")"),"")</f>
        <v/>
      </c>
      <c r="AV43" s="38" t="str">
        <f>IFERROR(__xludf.DUMMYFUNCTION("if(countif(kr.bun,CONCATENATE(regexextract($C43,""[\w]* [\w]*""), ""*"")),""X"","""")"),"")</f>
        <v/>
      </c>
      <c r="AW43" s="38" t="str">
        <f>IFERROR(__xludf.DUMMYFUNCTION("if(countif(kr.kxn,CONCATENATE(regexextract($C43,""[\w]* [\w]*""), ""*"")),""X"","""")"),"")</f>
        <v/>
      </c>
      <c r="AX43" s="38" t="str">
        <f>IFERROR(__xludf.DUMMYFUNCTION("if(countif(kr.hwb,CONCATENATE(regexextract($C43,""[\w]* [\w]*""), ""*"")),""X"","""")"),"")</f>
        <v/>
      </c>
      <c r="AY43" s="38" t="str">
        <f>IFERROR(__xludf.DUMMYFUNCTION("if(countif(kr.ec,CONCATENATE(regexextract($C43,""[\w]* [\w]*""), ""*"")),""X"","""")"),"")</f>
        <v/>
      </c>
      <c r="AZ43" s="38" t="str">
        <f>IFERROR(__xludf.DUMMYFUNCTION("if(countif(kr.egt,CONCATENATE(regexextract($C43,""[\w]* [\w]*""), ""*"")),""X"","""")"),"")</f>
        <v/>
      </c>
      <c r="BA43" s="38"/>
      <c r="BB43" s="38" t="str">
        <f>IFERROR(__xludf.DUMMYFUNCTION("if(countif(kr.erd,CONCATENATE(regexextract($C43,""[\w]* [\w]*""), ""*"")),""X"","""")"),"")</f>
        <v/>
      </c>
      <c r="BC43" s="38" t="str">
        <f>IFERROR(__xludf.DUMMYFUNCTION("if(countif(kr.gkxn,CONCATENATE(regexextract($C43,""[\w]* [\w]*""), ""*"")),""X"","""")"),"")</f>
        <v/>
      </c>
      <c r="BD43" s="38" t="str">
        <f>IFERROR(__xludf.DUMMYFUNCTION("if(countif(kr.gen,CONCATENATE(regexextract(C43,""[\w]* [\w]*""), ""*"")),""X"","""")"),"")</f>
        <v/>
      </c>
      <c r="BE43" s="38" t="str">
        <f>IFERROR(__xludf.DUMMYFUNCTION("if(countif(kr.hcc,CONCATENATE(regexextract($C43,""[\w]* [\w]*""), ""*"")),""X"","""")"),"")</f>
        <v/>
      </c>
      <c r="BF43" s="38" t="str">
        <f>IFERROR(__xludf.DUMMYFUNCTION("if(countif(kr.kmp,CONCATENATE(regexextract($C43,""[\w]* [\w]*""), ""*"")),""X"","""")"),"")</f>
        <v/>
      </c>
      <c r="BG43" s="38" t="str">
        <f>IFERROR(__xludf.DUMMYFUNCTION("if(countif(kr.lu2,CONCATENATE(regexextract($C43,""[\w]* [\w]*""), ""*"")),""X"","""")"),"")</f>
        <v/>
      </c>
      <c r="BH43" s="38" t="str">
        <f>IFERROR(__xludf.DUMMYFUNCTION("if(countif(kr.myc,CONCATENATE(regexextract($C43,""[\w]* [\w]*""), ""*"")),""X"","""")"),"")</f>
        <v/>
      </c>
      <c r="BI43" s="38" t="str">
        <f>IFERROR(__xludf.DUMMYFUNCTION("if(countif(kr.nar,CONCATENATE(regexextract($C43,""[\w]* [\w]*""), ""*"")),""X"","""")"),"")</f>
        <v/>
      </c>
      <c r="BJ43" s="38" t="str">
        <f>IFERROR(__xludf.DUMMYFUNCTION("if(countif(kr.que,CONCATENATE(regexextract($C43,""[\w]* [\w]*""), ""*"")),""X"","""")"),"")</f>
        <v/>
      </c>
      <c r="BK43" s="39"/>
      <c r="BL43" s="40" t="str">
        <f>IFERROR(__xludf.DUMMYFUNCTION(" CONCATENATE( 
if (regexmatch(I43, ""^[A-Za-z\.\_]+""), ""L"", 
if(regexmatch(AB43, ""^[A-Za-z\.\_]+""),""S"","""")),
if(AU43=""X"",""K"",""""))"),"")</f>
        <v/>
      </c>
      <c r="BM43" s="40" t="str">
        <f>IFERROR(__xludf.DUMMYFUNCTION(" CONCATENATE( 
if (regexmatch(J43, ""^[A-Za-z\.\_]+""), ""L"", 
if(regexmatch(AC43, ""^[A-Za-z\.\_]+""),""S"","""")),
if(AV43=""X"",""K"",""""))"),"")</f>
        <v/>
      </c>
      <c r="BN43" s="40" t="str">
        <f>IFERROR(__xludf.DUMMYFUNCTION(" CONCATENATE( 
if (regexmatch(K43, ""^[A-Za-z\.\_]+""), ""L"", 
if(regexmatch(AD43, ""^[A-Za-z\.\_]+""),""S"","""")),
if(AW43=""X"",""K"",""""))"),"")</f>
        <v/>
      </c>
      <c r="BO43" s="40" t="str">
        <f>IFERROR(__xludf.DUMMYFUNCTION(" CONCATENATE( 
if (regexmatch(L43, ""^[A-Za-z\.\_]+""), ""L"", 
if(regexmatch(AE43, ""^[A-Za-z\.\_]+""),""S"","""")),
if(AX43=""X"",""K"",""""))"),"")</f>
        <v/>
      </c>
      <c r="BP43" s="40" t="str">
        <f>IFERROR(__xludf.DUMMYFUNCTION(" CONCATENATE( 
if (regexmatch(M43, ""^[A-Za-z\.\_]+""), ""L"", 
if(regexmatch(AF43, ""^[A-Za-z\.\_]+""),""S"","""")),
if(AY43=""X"",""K"",""""))"),"")</f>
        <v/>
      </c>
      <c r="BQ43" s="40" t="str">
        <f>IFERROR(__xludf.DUMMYFUNCTION("CONCATENATE( 
if (regexmatch(O43, ""^[A-Za-z\.\_]+""), ""L"", 
if(regexmatch(AH43, ""^[A-Za-z\.\_]+""),""S"","""")),
if(AZ43=""X"",""K"",""""))"),"")</f>
        <v/>
      </c>
      <c r="BR43" s="40" t="str">
        <f>IFERROR(__xludf.DUMMYFUNCTION("CONCATENATE( 
if (regexmatch(Q43, ""^[A-Za-z\.\_]+""), ""L"", 
if(regexmatch(AJ43, ""^[A-Za-z\.\_]+""),""S"","""")),
if(BA43=""X"",""K"",""""))"),"")</f>
        <v/>
      </c>
      <c r="BS43" s="40" t="str">
        <f>IFERROR(__xludf.DUMMYFUNCTION(" CONCATENATE( 
if (regexmatch(R43, ""^[A-Za-z\.\_]+""), ""L"", 
if(regexmatch(AK43, ""^[A-Za-z\.\_]+""),""S"","""")),
if(BB43=""X"",""K"",""""))"),"")</f>
        <v/>
      </c>
      <c r="BT43" s="40" t="str">
        <f>IFERROR(__xludf.DUMMYFUNCTION("CONCATENATE( 
if (regexmatch(S43, ""^[A-Za-z\.\_]+""), ""L"", 
if(regexmatch(AL43, ""^[A-Za-z\.\_]+""),""S"","""")),
if(BC43=""X"",""K"",""""))"),"")</f>
        <v/>
      </c>
      <c r="BU43" s="40" t="str">
        <f>IFERROR(__xludf.DUMMYFUNCTION("CONCATENATE( 
if (regexmatch(T43, ""^[A-Za-z\.\_]+""), ""L"", 
if(regexmatch(AM43, ""^[A-Za-z\.\_]+""),""S"","""")),
if(BD43=""X"",""K"",""""))"),"")</f>
        <v/>
      </c>
      <c r="BV43" s="40" t="str">
        <f>IFERROR(__xludf.DUMMYFUNCTION("CONCATENATE( 
if (regexmatch(U43, ""^[A-Za-z\.\_]+""), ""L"", 
if(regexmatch(AN43, ""^[A-Za-z\.\_]+""),""S"","""")),
if(BE43=""X"",""K"",""""))"),"")</f>
        <v/>
      </c>
      <c r="BW43" s="40" t="str">
        <f>IFERROR(__xludf.DUMMYFUNCTION(" CONCATENATE( 
if (regexmatch(V43, ""^[A-Za-z\.\_]+""), ""L"", 
if(regexmatch(AO43, ""^[A-Za-z\.\_]+""),""S"","""")),
if(BF43=""X"",""K"",""""))"),"")</f>
        <v/>
      </c>
      <c r="BX43" s="40" t="str">
        <f>IFERROR(__xludf.DUMMYFUNCTION("CONCATENATE( 
if (regexmatch(W43, ""^[A-Za-z\.\_]+""), ""L"", 
if(regexmatch(AP43, ""^[A-Za-z\.\_]+""),""S"","""")),
if(BG43=""X"",""K"",""""))"),"")</f>
        <v/>
      </c>
      <c r="BY43" s="40" t="str">
        <f>IFERROR(__xludf.DUMMYFUNCTION("CONCATENATE( 
if (regexmatch(X43, ""^[A-Za-z\.\_]+""), ""L"", 
if(regexmatch(AQ43, ""^[A-Za-z\.\_]+""),""S"","""")),
if(BH43=""X"",""K"",""""))"),"")</f>
        <v/>
      </c>
      <c r="BZ43" s="40" t="str">
        <f>IFERROR(__xludf.DUMMYFUNCTION("CONCATENATE( 
if (regexmatch(Y43, ""^[A-Za-z\.\_]+""), ""L"", 
if(regexmatch(AR43, ""^[A-Za-z\.\_]+""),""S"","""")),
if(BI43=""X"",""K"",""""))"),"")</f>
        <v/>
      </c>
      <c r="CA43" s="40" t="str">
        <f>IFERROR(__xludf.DUMMYFUNCTION("CONCATENATE( 
if (regexmatch(Z43, ""^[A-Za-z\.\_]+""), ""L"", 
if(regexmatch(AS43, ""^[A-Za-z\.\_]+""),""S"","""")),
if(BJ43=""X"",""K"",""""))"),"")</f>
        <v/>
      </c>
      <c r="CB43" s="39"/>
      <c r="CC43" s="39"/>
      <c r="CD43" s="39"/>
      <c r="CE43" s="39"/>
      <c r="CF43" s="39"/>
      <c r="CG43" s="39"/>
      <c r="CH43" s="39"/>
      <c r="CI43" s="39"/>
      <c r="CJ43" s="39"/>
      <c r="CK43" s="39"/>
      <c r="CL43" s="39"/>
      <c r="CM43" s="39"/>
      <c r="CN43" s="39"/>
      <c r="CO43" s="39"/>
      <c r="CP43" s="39"/>
      <c r="CQ43" s="39"/>
      <c r="CR43" s="39"/>
    </row>
    <row r="44" ht="15.75" customHeight="1">
      <c r="A44" s="25">
        <v>30.0</v>
      </c>
      <c r="B44" s="26" t="s">
        <v>206</v>
      </c>
      <c r="C44" s="27" t="s">
        <v>207</v>
      </c>
      <c r="D44" s="27" t="str">
        <f>IFERROR(__xludf.DUMMYFUNCTION("CONCATENATE(regexextract($C44,""[\w]* [\w]*""), ""*"")"),"Glycine max*")</f>
        <v>Glycine max*</v>
      </c>
      <c r="E44" s="59" t="s">
        <v>208</v>
      </c>
      <c r="F44" s="57">
        <v>3847.0</v>
      </c>
      <c r="G44" s="53"/>
      <c r="H44" s="31"/>
      <c r="I44" s="32" t="str">
        <f>CONCATENATE(
if(countif(dd.agi,$D44),"D",""),
if(countif(knap.agi,$D44),"K",""),
if(countif(mic.agi,$D44),"M",""),
if(countif(nap.agi,$D44),"N",""),
if(countif(np.agi,$D44),"P",""),
if(countif(imp.agi,$D44),"T",""),
if(countif(us.agi,$D44),"U",""),
if(countif(var.agi,$D44),"V","")
)</f>
        <v>NP</v>
      </c>
      <c r="J44" s="32" t="str">
        <f>
CONCATENATE(
if(countif(nap.bun,$D44),"N",""),
if(countif(np.bun,$D44),"P","")
)
</f>
        <v/>
      </c>
      <c r="K44" s="32" t="str">
        <f>CONCATENATE(
if(countif(dd.kxn,$D44),"D",""),
if(countif(knap.kxn,$D44),"K",""),
if(countif(mic.kxn,$D44),"M",""),
if(countif(nap.kxn,$D44),"N",""),
if(countif(np.kxn,$D44),"P",""),
if(countif(us.kxn,$D44),"U",""),
if(countif(var.kxn,$D44),"V","")
)</f>
        <v>D</v>
      </c>
      <c r="L44" s="32" t="str">
        <f>
CONCATENATE(
if(countif(dd.hwb,$D44),"D",""),
if(countif(knap.hwb,$D44),"K",""),
if(countif(mic.hwb,$D44),"M",""),
if(countif(nap.hwb,$D44),"N",""),
if(countif(np.hwb,$D44),"P",""),
if(countif(us.hwb,$D44),"U",""),
if(countif(imp.hwb,$D44),"T",""),
if(countif(var.hwb,$D44),"V","")
)</f>
        <v>P</v>
      </c>
      <c r="M44" s="32" t="str">
        <f>CONCATENATE(
if(countif(dd.epc,$D44),"D",""),
if(countif(knap.ekxn,$D44),"K",""),
if(countif(mic.ekxn,$D44),"M",""),
if(countif(nap.ekxn,$D44),"N",""),
if(countif(np.ekxn,$D44),"P",""),
if(countif(imp.epc,$D44),"T",""),
if(countif(us.ekxn,$D44),"U",""),
if(countif(var.ekxn,$D44),"V","")
)</f>
        <v>NT</v>
      </c>
      <c r="N44" s="32" t="str">
        <f>
CONCATENATE(
if(countif(dd.ecg,$D44),"D",""),
if(countif(mic.ecg,$D44),"M",""),
if(countif(np.ecg,$D44),"P",""),
if(countif(imp.ecg,$D44),"T",""),
if(countif(us.ecg,$D44),"U","")
)</f>
        <v/>
      </c>
      <c r="O44" s="32" t="str">
        <f>
CONCATENATE(
if(countif(dd.egt,$D44),"D",""),
if(countif(mic.egt,$D44),"M",""),
if(countif(nap.egt,$D44),"N",""),
if(countif(us.egt,$D44),"U",""),
if(countif(var.egt,$D44),"V",""))
</f>
        <v/>
      </c>
      <c r="P44" s="32" t="str">
        <f>CONCATENATE(
if(countif(knap.egcg,$D44),"K",""),
if(countif(mic.egcg,$D44),"M",""),
if(countif(np.egcg,$D44),"P",""),
if(countif(us.egcg,$D44),"U","")
)</f>
        <v/>
      </c>
      <c r="Q44" s="32" t="str">
        <f>CONCATENATE(if(countif(np.ecit,$D44),"P",""),
if(countif(nap.ecit,$D44),"A",""))</f>
        <v/>
      </c>
      <c r="R44" s="32" t="str">
        <f>
CONCATENATE(
if(countif(nap.erd,$D44),"N",""),
if(countif(np.erd,$D44),"P",""),
if(countif(var.erd,$D44),"V",""))</f>
        <v/>
      </c>
      <c r="S44" s="32" t="str">
        <f>
CONCATENATE(
if(countif(dd.gkxn,$D44),"D",""),
if(countif(knap.gkxn,$D44),"K",""),
if(countif(nap.gkxn,$D44),"N",""),
if(countif(np.gkxn,$D44),"P",""),
if(countif(imp.gkxn,$D44),"T",""),
if(countif(var.gkxn,$D44),"V",""))</f>
        <v/>
      </c>
      <c r="T44" s="32" t="str">
        <f>
CONCATENATE(
if(countif(dd.gen,$C44),"D",""),
if(countif(knap.gen,$C44),"K",""),
if(countif(nap.gen,$C44),"N",""),
if(countif(np.gen,$C44),"P",""),
if(countif(imp.gen,$C44),"T",""),
if(countif(var.gen,$C44),"V",""))</f>
        <v>DKNPT</v>
      </c>
      <c r="U44" s="32" t="str">
        <f>
CONCATENATE(
if(countif(dd.hcc,$D44),"D",""),
if(countif(knap.hcc,$D44),"K",""),
if(countif(np.hcc,$D44),"P","")
)
</f>
        <v>DKP</v>
      </c>
      <c r="V44" s="32" t="str">
        <f>
CONCATENATE(
if(countif(dd.kmp,$D44),"D",""),
if(countif(knap.kmp,$D44),"K",""),
if(countif(mic.kmp,$D44),"M",""),
if(countif(nap.kmp,$D44),"N",""),
if(countif(np.kmp,$D44),"P",""),
if(countif(imp.kmp,$D44),"T",""),
if(countif(us.kmp,$D44),"U",""),
if(countif(var.kmp,$D44),"V",""))</f>
        <v>DKMNTU</v>
      </c>
      <c r="W44" s="32" t="str">
        <f>
CONCATENATE(
if(countif(dd.lu2,$D44),"D",""),
if(countif(knap.lu2,$D44),"K",""),
if(countif(mic.lu2,$D44),"M",""),
if(countif(nap.lu2,$D44),"N",""),
if(countif(np.lu2,$D44),"P",""),
if(countif(imp.lu2,$D44),"T",""),
if(countif(us.lu2,$D44),"U",""),
if(countif(var.lu2,$D44),"V",""))</f>
        <v/>
      </c>
      <c r="X44" s="32" t="str">
        <f>
CONCATENATE(
if(countif(dd.myc,$D44),"D",""),
if(countif(knap.myc,$D44),"K",""), 
if(countif(mic.myc,$D44),"M",""),
if(countif(nap.myc,$D44),"N",""),
if(countif(np.myc,$D44),"P",""),
if(countif(imp.myc,$D44),"T",""),
if(countif(us.myc,$D44),"U",""),
if(countif(var.myc,$D44),"V",""))</f>
        <v/>
      </c>
      <c r="Y44" s="32" t="str">
        <f>CONCATENATE(
if(countif(dd.nar,$D44),"D",""),
if(countif(knap.nar,$D44),"K",""),
if(countif(nap.nar,$D44),"N",""),
if(countif(np.nar,$D44),"P",""),
if(countif(imp.nar,$D44),"T",""),
if(countif(us.nar,$D44),"U",""),
if(countif(var.nar,$D44),"V",""))</f>
        <v>DKNT</v>
      </c>
      <c r="Z44" s="33" t="str">
        <f>
CONCATENATE(
if(countif(dd.que,$D44),"D",""),
if(countif(knap.que,$D44),"K",""),
if(countif(mic.que,$D44),"M",""),
if(countif(nap.que,$D44),"N",""),
if(countif(np.que,$D44),"P",""),
if(countif(imp.que,$D44),"T",""),
if(countif(us.que,$D44),"U",""),
if(countif(var.que,$D44),"V",""))</f>
        <v>DMNU</v>
      </c>
      <c r="AA44" s="32"/>
      <c r="AB44" s="34" t="str">
        <f>
CONCATENATE(if(countif(knap.agi.sim,$D44),"K",""),
if(countif(dd.agi.sim,$D44),"D",""),
if(countif(nap.agi.sim,$D44),"A",""),
if(countif(var.agi.sim,$D44),"V",""))</f>
        <v>KD</v>
      </c>
      <c r="AC44" s="34" t="str">
        <f>
if(countif(nap.bun.sim,$D44),"A","")</f>
        <v/>
      </c>
      <c r="AD44" s="34" t="str">
        <f>
CONCATENATE(if(countif(knap.kxn.sim,$D44),"K",""),
if(countif(np.kxn.sim,$D44),"P",""),
if(countif(dd.kxn.sim,$D44),"D",""),
if(countif(nap.kxn.sim,$D44),"A",""),
if(countif(var.kxn.sim,$D44),"V",""))</f>
        <v/>
      </c>
      <c r="AE44" s="34" t="str">
        <f>
CONCATENATE(if(countif(knap.hwb.sim,$D44),"K",""),
if(countif(np.hwb.sim,$D44),"P",""),
if(countif(mic.hwb.sim,$D44),"M",""),
if(countif(imp.hwb.sim,$D44),"T",""),
if(countif(dd.cyan.sim,$D44),"D",""),
if(countif(nap.hwb.sim,$D44),"A",""),
if(countif(var.hwb.sim,$D44),"V",""))</f>
        <v>P</v>
      </c>
      <c r="AF44" s="34" t="str">
        <f>
CONCATENATE(if(countif(us.ekxn.sim,$D44),"U",""),
if(countif(knap.ekxn.sim,$D44),"K",""),
if(countif(np.ekxn.sim,$D44),"P",""),
if(countif(mic.ekxn.sim,$D44),"M",""),
if(countif(imp.epc.sim,$D44),"T",""),
if(countif(nap.ekxn.sim,$D44),"A",""))</f>
        <v/>
      </c>
      <c r="AG44" s="34"/>
      <c r="AH44" s="34" t="str">
        <f>
CONCATENATE(if(countif(us.egt.sim,$D44),"U",""),
if(countif(knap.egt.sim,$D44),"K",""),
if(countif(np.egt.sim,$D44),"P",""),
if(countif(mic.egt.sim,$D44),"M",""))</f>
        <v/>
      </c>
      <c r="AI44" s="34"/>
      <c r="AJ44" s="34" t="str">
        <f>if(countif(nap.ecit.sim,$D44),"A","")</f>
        <v/>
      </c>
      <c r="AK44" s="34" t="str">
        <f>
CONCATENATE(if(countif(nap.erd,$D44),"M",""),
if(countif(nap.erd.sim,$D44),"A",""),
if(countif(var.erd.sim,$D44),"V",""))</f>
        <v/>
      </c>
      <c r="AL44" s="34" t="str">
        <f>
CONCATENATE(if(countif(knap.gkxn.sim,$D44),"K",""),
if(countif(nap.gkxn.sim,$D44),"A",""))</f>
        <v/>
      </c>
      <c r="AM44" s="34" t="str">
        <f>
CONCATENATE(if(countif(knap.gen.sim,$C44),"K",""),
if(countif(imp.gen.sim,$C44),"T",""),
if(countif(dd.gen.sim,$C44),"D",""),
if(countif(nap.gen.sim,$C44),"A",""),
if(countif(var.gen.sim,$C44),"V",""))
</f>
        <v>KDA</v>
      </c>
      <c r="AN44" s="34" t="str">
        <f>IFERROR(__xludf.DUMMYFUNCTION("
if(countif(#REF!,CONCATENATE(regexextract($C44,""[\w]* [\w]*""), ""*"")),""V"","""")"),"")</f>
        <v/>
      </c>
      <c r="AO44" s="34" t="str">
        <f>
CONCATENATE(if(countif(knap.kmp.sim,$D44),"K",""),
if(countif(np.kmp.sim,$D44),"P",""),
if(countif(imp.kmp.sim,$D44),"T",""),
if(countif(dd.kmp,$D44),"D",""),
if(countif(nap.kmp.sim,$D44),"A",""),
if(countif(var.kmp.sim,$D44),"V",""))</f>
        <v>KDA</v>
      </c>
      <c r="AP44" s="34" t="str">
        <f>
CONCATENATE(if(countif(knap.lu2.sim,$D44),"K",""),
if(countif(np.lu2.sim,$D44),"P",""),
if(countif(imp.lu2.sim,$D44),"T",""),
if(countif(dd.lu2.sim,$D44),"D",""),
if(countif(nap.lu2.sim,$D44),"A",""),
if(countif(var.lu2.sim,$D44),"V",""))</f>
        <v/>
      </c>
      <c r="AQ44" s="34" t="str">
        <f>
CONCATENATE(if(countif(np.myc.sim,$D44),"P",""),
if(countif(imp.myc.sim,$D44),"T",""),
if(countif(nap.myc.sim,$D44),"A",""))
</f>
        <v/>
      </c>
      <c r="AR44" s="36" t="str">
        <f>
CONCATENATE(if(countif(knap.nar.sim,$D44),"K",""),
if(countif(np.nar.sim,$D44),"P",""),
if(countif(imp.nar.sim,$D44),"T",""),
if(countif(dd.nar.sim,$D44),"D",""),
if(countif(nap.nar.sim,$D44),"A",""),
if(countif(var.nar.sim,$D44),"V",""))</f>
        <v>KP</v>
      </c>
      <c r="AS44" s="34" t="str">
        <f>
CONCATENATE(if(countif(knap.que.sim,$D44),"K",""),
if(countif(np.que.sim,$D44),"P",""),
if(countif(imp.que.sim,$D44),"T",""),
if(countif(dd.que.sim,$D44),"D",""),
if(countif(nap.que.sim,$D44),"A",""),
if(countif(var.que.sim,$D44),"V",""))</f>
        <v>KDA</v>
      </c>
      <c r="AT44" s="37"/>
      <c r="AU44" s="32" t="str">
        <f>IFERROR(__xludf.DUMMYFUNCTION("if(countif(kr.agi, CONCATENATE(regexextract($C44,""[\w]* [\w]*""), ""*"")),""X"","""")"),"X")</f>
        <v>X</v>
      </c>
      <c r="AV44" s="38" t="str">
        <f>IFERROR(__xludf.DUMMYFUNCTION("if(countif(kr.bun,CONCATENATE(regexextract($C44,""[\w]* [\w]*""), ""*"")),""X"","""")"),"X")</f>
        <v>X</v>
      </c>
      <c r="AW44" s="38" t="str">
        <f>IFERROR(__xludf.DUMMYFUNCTION("if(countif(kr.kxn,CONCATENATE(regexextract($C44,""[\w]* [\w]*""), ""*"")),""X"","""")"),"X")</f>
        <v>X</v>
      </c>
      <c r="AX44" s="38" t="str">
        <f>IFERROR(__xludf.DUMMYFUNCTION("if(countif(kr.hwb,CONCATENATE(regexextract($C44,""[\w]* [\w]*""), ""*"")),""X"","""")"),"X")</f>
        <v>X</v>
      </c>
      <c r="AY44" s="38" t="str">
        <f>IFERROR(__xludf.DUMMYFUNCTION("if(countif(kr.ec,CONCATENATE(regexextract($C44,""[\w]* [\w]*""), ""*"")),""X"","""")"),"X")</f>
        <v>X</v>
      </c>
      <c r="AZ44" s="38" t="str">
        <f>IFERROR(__xludf.DUMMYFUNCTION("if(countif(kr.egt,CONCATENATE(regexextract($C44,""[\w]* [\w]*""), ""*"")),""X"","""")"),"X")</f>
        <v>X</v>
      </c>
      <c r="BA44" s="38"/>
      <c r="BB44" s="38" t="str">
        <f>IFERROR(__xludf.DUMMYFUNCTION("if(countif(kr.erd,CONCATENATE(regexextract($C44,""[\w]* [\w]*""), ""*"")),""X"","""")"),"X")</f>
        <v>X</v>
      </c>
      <c r="BC44" s="38" t="str">
        <f>IFERROR(__xludf.DUMMYFUNCTION("if(countif(kr.gkxn,CONCATENATE(regexextract($C44,""[\w]* [\w]*""), ""*"")),""X"","""")"),"X")</f>
        <v>X</v>
      </c>
      <c r="BD44" s="38" t="str">
        <f>IFERROR(__xludf.DUMMYFUNCTION("if(countif(kr.gen,CONCATENATE(regexextract(C44,""[\w]* [\w]*""), ""*"")),""X"","""")"),"X")</f>
        <v>X</v>
      </c>
      <c r="BE44" s="38" t="str">
        <f>IFERROR(__xludf.DUMMYFUNCTION("if(countif(kr.hcc,CONCATENATE(regexextract($C44,""[\w]* [\w]*""), ""*"")),""X"","""")"),"X")</f>
        <v>X</v>
      </c>
      <c r="BF44" s="38" t="str">
        <f>IFERROR(__xludf.DUMMYFUNCTION("if(countif(kr.kmp,CONCATENATE(regexextract($C44,""[\w]* [\w]*""), ""*"")),""X"","""")"),"X")</f>
        <v>X</v>
      </c>
      <c r="BG44" s="38" t="str">
        <f>IFERROR(__xludf.DUMMYFUNCTION("if(countif(kr.lu2,CONCATENATE(regexextract($C44,""[\w]* [\w]*""), ""*"")),""X"","""")"),"X")</f>
        <v>X</v>
      </c>
      <c r="BH44" s="38" t="str">
        <f>IFERROR(__xludf.DUMMYFUNCTION("if(countif(kr.myc,CONCATENATE(regexextract($C44,""[\w]* [\w]*""), ""*"")),""X"","""")"),"X")</f>
        <v>X</v>
      </c>
      <c r="BI44" s="38" t="str">
        <f>IFERROR(__xludf.DUMMYFUNCTION("if(countif(kr.nar,CONCATENATE(regexextract($C44,""[\w]* [\w]*""), ""*"")),""X"","""")"),"X")</f>
        <v>X</v>
      </c>
      <c r="BJ44" s="38" t="str">
        <f>IFERROR(__xludf.DUMMYFUNCTION("if(countif(kr.que,CONCATENATE(regexextract($C44,""[\w]* [\w]*""), ""*"")),""X"","""")"),"X")</f>
        <v>X</v>
      </c>
      <c r="BK44" s="39"/>
      <c r="BL44" s="40" t="str">
        <f>IFERROR(__xludf.DUMMYFUNCTION(" CONCATENATE( 
if (regexmatch(I44, ""^[A-Za-z\.\_]+""), ""L"", 
if(regexmatch(AB44, ""^[A-Za-z\.\_]+""),""S"","""")),
if(AU44=""X"",""K"",""""))"),"LK")</f>
        <v>LK</v>
      </c>
      <c r="BM44" s="40" t="str">
        <f>IFERROR(__xludf.DUMMYFUNCTION(" CONCATENATE( 
if (regexmatch(J44, ""^[A-Za-z\.\_]+""), ""L"", 
if(regexmatch(AC44, ""^[A-Za-z\.\_]+""),""S"","""")),
if(AV44=""X"",""K"",""""))"),"K")</f>
        <v>K</v>
      </c>
      <c r="BN44" s="40" t="str">
        <f>IFERROR(__xludf.DUMMYFUNCTION(" CONCATENATE( 
if (regexmatch(K44, ""^[A-Za-z\.\_]+""), ""L"", 
if(regexmatch(AD44, ""^[A-Za-z\.\_]+""),""S"","""")),
if(AW44=""X"",""K"",""""))"),"LK")</f>
        <v>LK</v>
      </c>
      <c r="BO44" s="40" t="str">
        <f>IFERROR(__xludf.DUMMYFUNCTION(" CONCATENATE( 
if (regexmatch(L44, ""^[A-Za-z\.\_]+""), ""L"", 
if(regexmatch(AE44, ""^[A-Za-z\.\_]+""),""S"","""")),
if(AX44=""X"",""K"",""""))"),"LK")</f>
        <v>LK</v>
      </c>
      <c r="BP44" s="40" t="str">
        <f>IFERROR(__xludf.DUMMYFUNCTION(" CONCATENATE( 
if (regexmatch(M44, ""^[A-Za-z\.\_]+""), ""L"", 
if(regexmatch(AF44, ""^[A-Za-z\.\_]+""),""S"","""")),
if(AY44=""X"",""K"",""""))"),"LK")</f>
        <v>LK</v>
      </c>
      <c r="BQ44" s="40" t="str">
        <f>IFERROR(__xludf.DUMMYFUNCTION("CONCATENATE( 
if (regexmatch(O44, ""^[A-Za-z\.\_]+""), ""L"", 
if(regexmatch(AH44, ""^[A-Za-z\.\_]+""),""S"","""")),
if(AZ44=""X"",""K"",""""))"),"K")</f>
        <v>K</v>
      </c>
      <c r="BR44" s="40" t="str">
        <f>IFERROR(__xludf.DUMMYFUNCTION("CONCATENATE( 
if (regexmatch(Q44, ""^[A-Za-z\.\_]+""), ""L"", 
if(regexmatch(AJ44, ""^[A-Za-z\.\_]+""),""S"","""")),
if(BA44=""X"",""K"",""""))"),"")</f>
        <v/>
      </c>
      <c r="BS44" s="40" t="str">
        <f>IFERROR(__xludf.DUMMYFUNCTION(" CONCATENATE( 
if (regexmatch(R44, ""^[A-Za-z\.\_]+""), ""L"", 
if(regexmatch(AK44, ""^[A-Za-z\.\_]+""),""S"","""")),
if(BB44=""X"",""K"",""""))"),"K")</f>
        <v>K</v>
      </c>
      <c r="BT44" s="40" t="str">
        <f>IFERROR(__xludf.DUMMYFUNCTION("CONCATENATE( 
if (regexmatch(S44, ""^[A-Za-z\.\_]+""), ""L"", 
if(regexmatch(AL44, ""^[A-Za-z\.\_]+""),""S"","""")),
if(BC44=""X"",""K"",""""))"),"K")</f>
        <v>K</v>
      </c>
      <c r="BU44" s="40" t="str">
        <f>IFERROR(__xludf.DUMMYFUNCTION("CONCATENATE( 
if (regexmatch(T44, ""^[A-Za-z\.\_]+""), ""L"", 
if(regexmatch(AM44, ""^[A-Za-z\.\_]+""),""S"","""")),
if(BD44=""X"",""K"",""""))"),"LK")</f>
        <v>LK</v>
      </c>
      <c r="BV44" s="40" t="str">
        <f>IFERROR(__xludf.DUMMYFUNCTION("CONCATENATE( 
if (regexmatch(U44, ""^[A-Za-z\.\_]+""), ""L"", 
if(regexmatch(AN44, ""^[A-Za-z\.\_]+""),""S"","""")),
if(BE44=""X"",""K"",""""))"),"LK")</f>
        <v>LK</v>
      </c>
      <c r="BW44" s="40" t="str">
        <f>IFERROR(__xludf.DUMMYFUNCTION(" CONCATENATE( 
if (regexmatch(V44, ""^[A-Za-z\.\_]+""), ""L"", 
if(regexmatch(AO44, ""^[A-Za-z\.\_]+""),""S"","""")),
if(BF44=""X"",""K"",""""))"),"LK")</f>
        <v>LK</v>
      </c>
      <c r="BX44" s="40" t="str">
        <f>IFERROR(__xludf.DUMMYFUNCTION("CONCATENATE( 
if (regexmatch(W44, ""^[A-Za-z\.\_]+""), ""L"", 
if(regexmatch(AP44, ""^[A-Za-z\.\_]+""),""S"","""")),
if(BG44=""X"",""K"",""""))"),"K")</f>
        <v>K</v>
      </c>
      <c r="BY44" s="40" t="str">
        <f>IFERROR(__xludf.DUMMYFUNCTION("CONCATENATE( 
if (regexmatch(X44, ""^[A-Za-z\.\_]+""), ""L"", 
if(regexmatch(AQ44, ""^[A-Za-z\.\_]+""),""S"","""")),
if(BH44=""X"",""K"",""""))"),"K")</f>
        <v>K</v>
      </c>
      <c r="BZ44" s="40" t="str">
        <f>IFERROR(__xludf.DUMMYFUNCTION("CONCATENATE( 
if (regexmatch(Y44, ""^[A-Za-z\.\_]+""), ""L"", 
if(regexmatch(AR44, ""^[A-Za-z\.\_]+""),""S"","""")),
if(BI44=""X"",""K"",""""))"),"LK")</f>
        <v>LK</v>
      </c>
      <c r="CA44" s="40" t="str">
        <f>IFERROR(__xludf.DUMMYFUNCTION("CONCATENATE( 
if (regexmatch(Z44, ""^[A-Za-z\.\_]+""), ""L"", 
if(regexmatch(AS44, ""^[A-Za-z\.\_]+""),""S"","""")),
if(BJ44=""X"",""K"",""""))"),"LK")</f>
        <v>LK</v>
      </c>
      <c r="CB44" s="39"/>
      <c r="CC44" s="39"/>
      <c r="CD44" s="39"/>
      <c r="CE44" s="39"/>
      <c r="CF44" s="39"/>
      <c r="CG44" s="39"/>
      <c r="CH44" s="39"/>
      <c r="CI44" s="39"/>
      <c r="CJ44" s="39"/>
      <c r="CK44" s="39"/>
      <c r="CL44" s="39"/>
      <c r="CM44" s="39"/>
      <c r="CN44" s="39"/>
      <c r="CO44" s="39"/>
      <c r="CP44" s="39"/>
      <c r="CQ44" s="39"/>
      <c r="CR44" s="39"/>
    </row>
    <row r="45" ht="15.75" customHeight="1">
      <c r="A45" s="25">
        <v>31.0</v>
      </c>
      <c r="B45" s="26" t="s">
        <v>209</v>
      </c>
      <c r="C45" s="27" t="s">
        <v>210</v>
      </c>
      <c r="D45" s="27" t="str">
        <f>IFERROR(__xludf.DUMMYFUNCTION("CONCATENATE(regexextract($C45,""[\w]* [\w]*""), ""*"")"),"Glycine soja*")</f>
        <v>Glycine soja*</v>
      </c>
      <c r="E45" s="26" t="s">
        <v>211</v>
      </c>
      <c r="F45" s="57">
        <v>3848.0</v>
      </c>
      <c r="G45" s="53"/>
      <c r="H45" s="31"/>
      <c r="I45" s="32" t="str">
        <f>CONCATENATE(
if(countif(dd.agi,$D45),"D",""),
if(countif(knap.agi,$D45),"K",""),
if(countif(mic.agi,$D45),"M",""),
if(countif(nap.agi,$D45),"N",""),
if(countif(np.agi,$D45),"P",""),
if(countif(imp.agi,$D45),"T",""),
if(countif(us.agi,$D45),"U",""),
if(countif(var.agi,$D45),"V","")
)</f>
        <v/>
      </c>
      <c r="J45" s="32" t="str">
        <f>
CONCATENATE(
if(countif(nap.bun,$D45),"N",""),
if(countif(np.bun,$D45),"P","")
)
</f>
        <v>P</v>
      </c>
      <c r="K45" s="32" t="str">
        <f>CONCATENATE(
if(countif(dd.kxn,$D45),"D",""),
if(countif(knap.kxn,$D45),"K",""),
if(countif(mic.kxn,$D45),"M",""),
if(countif(nap.kxn,$D45),"N",""),
if(countif(np.kxn,$D45),"P",""),
if(countif(us.kxn,$D45),"U",""),
if(countif(var.kxn,$D45),"V","")
)</f>
        <v/>
      </c>
      <c r="L45" s="32" t="str">
        <f>
CONCATENATE(
if(countif(dd.hwb,$D45),"D",""),
if(countif(knap.hwb,$D45),"K",""),
if(countif(mic.hwb,$D45),"M",""),
if(countif(nap.hwb,$D45),"N",""),
if(countif(np.hwb,$D45),"P",""),
if(countif(us.hwb,$D45),"U",""),
if(countif(imp.hwb,$D45),"T",""),
if(countif(var.hwb,$D45),"V","")
)</f>
        <v/>
      </c>
      <c r="M45" s="32" t="str">
        <f>CONCATENATE(
if(countif(dd.epc,$D45),"D",""),
if(countif(knap.ekxn,$D45),"K",""),
if(countif(mic.ekxn,$D45),"M",""),
if(countif(nap.ekxn,$D45),"N",""),
if(countif(np.ekxn,$D45),"P",""),
if(countif(imp.epc,$D45),"T",""),
if(countif(us.ekxn,$D45),"U",""),
if(countif(var.ekxn,$D45),"V","")
)</f>
        <v/>
      </c>
      <c r="N45" s="32" t="str">
        <f>
CONCATENATE(
if(countif(dd.ecg,$D45),"D",""),
if(countif(mic.ecg,$D45),"M",""),
if(countif(np.ecg,$D45),"P",""),
if(countif(imp.ecg,$D45),"T",""),
if(countif(us.ecg,$D45),"U","")
)</f>
        <v/>
      </c>
      <c r="O45" s="32" t="str">
        <f>
CONCATENATE(
if(countif(dd.egt,$D45),"D",""),
if(countif(mic.egt,$D45),"M",""),
if(countif(nap.egt,$D45),"N",""),
if(countif(us.egt,$D45),"U",""),
if(countif(var.egt,$D45),"V",""))
</f>
        <v/>
      </c>
      <c r="P45" s="32" t="str">
        <f>CONCATENATE(
if(countif(knap.egcg,$D45),"K",""),
if(countif(mic.egcg,$D45),"M",""),
if(countif(np.egcg,$D45),"P",""),
if(countif(us.egcg,$D45),"U","")
)</f>
        <v/>
      </c>
      <c r="Q45" s="32" t="str">
        <f>CONCATENATE(if(countif(np.ecit,$D45),"P",""),
if(countif(nap.ecit,$D45),"A",""))</f>
        <v/>
      </c>
      <c r="R45" s="32" t="str">
        <f>
CONCATENATE(
if(countif(nap.erd,$D45),"N",""),
if(countif(np.erd,$D45),"P",""),
if(countif(var.erd,$D45),"V",""))</f>
        <v>P</v>
      </c>
      <c r="S45" s="32" t="str">
        <f>
CONCATENATE(
if(countif(dd.gkxn,$D45),"D",""),
if(countif(knap.gkxn,$D45),"K",""),
if(countif(nap.gkxn,$D45),"N",""),
if(countif(np.gkxn,$D45),"P",""),
if(countif(imp.gkxn,$D45),"T",""),
if(countif(var.gkxn,$D45),"V",""))</f>
        <v/>
      </c>
      <c r="T45" s="32" t="str">
        <f>
CONCATENATE(
if(countif(dd.gen,$C45),"D",""),
if(countif(knap.gen,$C45),"K",""),
if(countif(nap.gen,$C45),"N",""),
if(countif(np.gen,$C45),"P",""),
if(countif(imp.gen,$C45),"T",""),
if(countif(var.gen,$C45),"V",""))</f>
        <v/>
      </c>
      <c r="U45" s="32" t="str">
        <f>
CONCATENATE(
if(countif(dd.hcc,$D45),"D",""),
if(countif(knap.hcc,$D45),"K",""),
if(countif(np.hcc,$D45),"P","")
)
</f>
        <v/>
      </c>
      <c r="V45" s="32" t="str">
        <f>
CONCATENATE(
if(countif(dd.kmp,$D45),"D",""),
if(countif(knap.kmp,$D45),"K",""),
if(countif(mic.kmp,$D45),"M",""),
if(countif(nap.kmp,$D45),"N",""),
if(countif(np.kmp,$D45),"P",""),
if(countif(imp.kmp,$D45),"T",""),
if(countif(us.kmp,$D45),"U",""),
if(countif(var.kmp,$D45),"V",""))</f>
        <v/>
      </c>
      <c r="W45" s="32" t="str">
        <f>
CONCATENATE(
if(countif(dd.lu2,$D45),"D",""),
if(countif(knap.lu2,$D45),"K",""),
if(countif(mic.lu2,$D45),"M",""),
if(countif(nap.lu2,$D45),"N",""),
if(countif(np.lu2,$D45),"P",""),
if(countif(imp.lu2,$D45),"T",""),
if(countif(us.lu2,$D45),"U",""),
if(countif(var.lu2,$D45),"V",""))</f>
        <v/>
      </c>
      <c r="X45" s="32" t="str">
        <f>
CONCATENATE(
if(countif(dd.myc,$D45),"D",""),
if(countif(knap.myc,$D45),"K",""), 
if(countif(mic.myc,$D45),"M",""),
if(countif(nap.myc,$D45),"N",""),
if(countif(np.myc,$D45),"P",""),
if(countif(imp.myc,$D45),"T",""),
if(countif(us.myc,$D45),"U",""),
if(countif(var.myc,$D45),"V",""))</f>
        <v/>
      </c>
      <c r="Y45" s="32" t="str">
        <f>CONCATENATE(
if(countif(dd.nar,$D45),"D",""),
if(countif(knap.nar,$D45),"K",""),
if(countif(nap.nar,$D45),"N",""),
if(countif(np.nar,$D45),"P",""),
if(countif(imp.nar,$D45),"T",""),
if(countif(us.nar,$D45),"U",""),
if(countif(var.nar,$D45),"V",""))</f>
        <v/>
      </c>
      <c r="Z45" s="33" t="str">
        <f>
CONCATENATE(
if(countif(dd.que,$D45),"D",""),
if(countif(knap.que,$D45),"K",""),
if(countif(mic.que,$D45),"M",""),
if(countif(nap.que,$D45),"N",""),
if(countif(np.que,$D45),"P",""),
if(countif(imp.que,$D45),"T",""),
if(countif(us.que,$D45),"U",""),
if(countif(var.que,$D45),"V",""))</f>
        <v/>
      </c>
      <c r="AA45" s="32"/>
      <c r="AB45" s="34" t="str">
        <f>
CONCATENATE(if(countif(knap.agi.sim,$D45),"K",""),
if(countif(dd.agi.sim,$D45),"D",""),
if(countif(nap.agi.sim,$D45),"A",""),
if(countif(var.agi.sim,$D45),"V",""))</f>
        <v/>
      </c>
      <c r="AC45" s="34" t="str">
        <f>
if(countif(nap.bun.sim,$D45),"A","")</f>
        <v/>
      </c>
      <c r="AD45" s="34" t="str">
        <f>
CONCATENATE(if(countif(knap.kxn.sim,$D45),"K",""),
if(countif(np.kxn.sim,$D45),"P",""),
if(countif(dd.kxn.sim,$D45),"D",""),
if(countif(nap.kxn.sim,$D45),"A",""),
if(countif(var.kxn.sim,$D45),"V",""))</f>
        <v/>
      </c>
      <c r="AE45" s="34" t="str">
        <f>
CONCATENATE(if(countif(knap.hwb.sim,$D45),"K",""),
if(countif(np.hwb.sim,$D45),"P",""),
if(countif(mic.hwb.sim,$D45),"M",""),
if(countif(imp.hwb.sim,$D45),"T",""),
if(countif(dd.cyan.sim,$D45),"D",""),
if(countif(nap.hwb.sim,$D45),"A",""),
if(countif(var.hwb.sim,$D45),"V",""))</f>
        <v/>
      </c>
      <c r="AF45" s="34" t="str">
        <f>
CONCATENATE(if(countif(us.ekxn.sim,$D45),"U",""),
if(countif(knap.ekxn.sim,$D45),"K",""),
if(countif(np.ekxn.sim,$D45),"P",""),
if(countif(mic.ekxn.sim,$D45),"M",""),
if(countif(imp.epc.sim,$D45),"T",""),
if(countif(nap.ekxn.sim,$D45),"A",""))</f>
        <v/>
      </c>
      <c r="AG45" s="34"/>
      <c r="AH45" s="34" t="str">
        <f>
CONCATENATE(if(countif(us.egt.sim,$D45),"U",""),
if(countif(knap.egt.sim,$D45),"K",""),
if(countif(np.egt.sim,$D45),"P",""),
if(countif(mic.egt.sim,$D45),"M",""))</f>
        <v/>
      </c>
      <c r="AI45" s="34"/>
      <c r="AJ45" s="34" t="str">
        <f>if(countif(nap.ecit.sim,$D45),"A","")</f>
        <v/>
      </c>
      <c r="AK45" s="34" t="str">
        <f>
CONCATENATE(if(countif(nap.erd,$D45),"M",""),
if(countif(nap.erd.sim,$D45),"A",""),
if(countif(var.erd.sim,$D45),"V",""))</f>
        <v/>
      </c>
      <c r="AL45" s="34" t="str">
        <f>
CONCATENATE(if(countif(knap.gkxn.sim,$D45),"K",""),
if(countif(nap.gkxn.sim,$D45),"A",""))</f>
        <v/>
      </c>
      <c r="AM45" s="34" t="str">
        <f>
CONCATENATE(if(countif(knap.gen.sim,$C45),"K",""),
if(countif(imp.gen.sim,$C45),"T",""),
if(countif(dd.gen.sim,$C45),"D",""),
if(countif(nap.gen.sim,$C45),"A",""),
if(countif(var.gen.sim,$C45),"V",""))
</f>
        <v/>
      </c>
      <c r="AN45" s="34" t="str">
        <f>IFERROR(__xludf.DUMMYFUNCTION("
if(countif(#REF!,CONCATENATE(regexextract($C45,""[\w]* [\w]*""), ""*"")),""V"","""")"),"")</f>
        <v/>
      </c>
      <c r="AO45" s="34" t="str">
        <f>
CONCATENATE(if(countif(knap.kmp.sim,$D45),"K",""),
if(countif(np.kmp.sim,$D45),"P",""),
if(countif(imp.kmp.sim,$D45),"T",""),
if(countif(dd.kmp,$D45),"D",""),
if(countif(nap.kmp.sim,$D45),"A",""),
if(countif(var.kmp.sim,$D45),"V",""))</f>
        <v>P</v>
      </c>
      <c r="AP45" s="34" t="str">
        <f>
CONCATENATE(if(countif(knap.lu2.sim,$D45),"K",""),
if(countif(np.lu2.sim,$D45),"P",""),
if(countif(imp.lu2.sim,$D45),"T",""),
if(countif(dd.lu2.sim,$D45),"D",""),
if(countif(nap.lu2.sim,$D45),"A",""),
if(countif(var.lu2.sim,$D45),"V",""))</f>
        <v/>
      </c>
      <c r="AQ45" s="34" t="str">
        <f>
CONCATENATE(if(countif(np.myc.sim,$D45),"P",""),
if(countif(imp.myc.sim,$D45),"T",""),
if(countif(nap.myc.sim,$D45),"A",""))
</f>
        <v/>
      </c>
      <c r="AR45" s="36" t="str">
        <f>
CONCATENATE(if(countif(knap.nar.sim,$D45),"K",""),
if(countif(np.nar.sim,$D45),"P",""),
if(countif(imp.nar.sim,$D45),"T",""),
if(countif(dd.nar.sim,$D45),"D",""),
if(countif(nap.nar.sim,$D45),"A",""),
if(countif(var.nar.sim,$D45),"V",""))</f>
        <v/>
      </c>
      <c r="AS45" s="34" t="str">
        <f>
CONCATENATE(if(countif(knap.que.sim,$D45),"K",""),
if(countif(np.que.sim,$D45),"P",""),
if(countif(imp.que.sim,$D45),"T",""),
if(countif(dd.que.sim,$D45),"D",""),
if(countif(nap.que.sim,$D45),"A",""),
if(countif(var.que.sim,$D45),"V",""))</f>
        <v>P</v>
      </c>
      <c r="AT45" s="37"/>
      <c r="AU45" s="32" t="str">
        <f>IFERROR(__xludf.DUMMYFUNCTION("if(countif(kr.agi, CONCATENATE(regexextract($C45,""[\w]* [\w]*""), ""*"")),""X"","""")"),"X")</f>
        <v>X</v>
      </c>
      <c r="AV45" s="38" t="str">
        <f>IFERROR(__xludf.DUMMYFUNCTION("if(countif(kr.bun,CONCATENATE(regexextract($C45,""[\w]* [\w]*""), ""*"")),""X"","""")"),"X")</f>
        <v>X</v>
      </c>
      <c r="AW45" s="38" t="str">
        <f>IFERROR(__xludf.DUMMYFUNCTION("if(countif(kr.kxn,CONCATENATE(regexextract($C45,""[\w]* [\w]*""), ""*"")),""X"","""")"),"X")</f>
        <v>X</v>
      </c>
      <c r="AX45" s="38" t="str">
        <f>IFERROR(__xludf.DUMMYFUNCTION("if(countif(kr.hwb,CONCATENATE(regexextract($C45,""[\w]* [\w]*""), ""*"")),""X"","""")"),"X")</f>
        <v>X</v>
      </c>
      <c r="AY45" s="38" t="str">
        <f>IFERROR(__xludf.DUMMYFUNCTION("if(countif(kr.ec,CONCATENATE(regexextract($C45,""[\w]* [\w]*""), ""*"")),""X"","""")"),"X")</f>
        <v>X</v>
      </c>
      <c r="AZ45" s="38" t="str">
        <f>IFERROR(__xludf.DUMMYFUNCTION("if(countif(kr.egt,CONCATENATE(regexextract($C45,""[\w]* [\w]*""), ""*"")),""X"","""")"),"X")</f>
        <v>X</v>
      </c>
      <c r="BA45" s="38"/>
      <c r="BB45" s="38" t="str">
        <f>IFERROR(__xludf.DUMMYFUNCTION("if(countif(kr.erd,CONCATENATE(regexextract($C45,""[\w]* [\w]*""), ""*"")),""X"","""")"),"X")</f>
        <v>X</v>
      </c>
      <c r="BC45" s="38" t="str">
        <f>IFERROR(__xludf.DUMMYFUNCTION("if(countif(kr.gkxn,CONCATENATE(regexextract($C45,""[\w]* [\w]*""), ""*"")),""X"","""")"),"X")</f>
        <v>X</v>
      </c>
      <c r="BD45" s="38" t="str">
        <f>IFERROR(__xludf.DUMMYFUNCTION("if(countif(kr.gen,CONCATENATE(regexextract(C45,""[\w]* [\w]*""), ""*"")),""X"","""")"),"X")</f>
        <v>X</v>
      </c>
      <c r="BE45" s="38" t="str">
        <f>IFERROR(__xludf.DUMMYFUNCTION("if(countif(kr.hcc,CONCATENATE(regexextract($C45,""[\w]* [\w]*""), ""*"")),""X"","""")"),"X")</f>
        <v>X</v>
      </c>
      <c r="BF45" s="38" t="str">
        <f>IFERROR(__xludf.DUMMYFUNCTION("if(countif(kr.kmp,CONCATENATE(regexextract($C45,""[\w]* [\w]*""), ""*"")),""X"","""")"),"X")</f>
        <v>X</v>
      </c>
      <c r="BG45" s="38" t="str">
        <f>IFERROR(__xludf.DUMMYFUNCTION("if(countif(kr.lu2,CONCATENATE(regexextract($C45,""[\w]* [\w]*""), ""*"")),""X"","""")"),"X")</f>
        <v>X</v>
      </c>
      <c r="BH45" s="38" t="str">
        <f>IFERROR(__xludf.DUMMYFUNCTION("if(countif(kr.myc,CONCATENATE(regexextract($C45,""[\w]* [\w]*""), ""*"")),""X"","""")"),"X")</f>
        <v>X</v>
      </c>
      <c r="BI45" s="38" t="str">
        <f>IFERROR(__xludf.DUMMYFUNCTION("if(countif(kr.nar,CONCATENATE(regexextract($C45,""[\w]* [\w]*""), ""*"")),""X"","""")"),"X")</f>
        <v>X</v>
      </c>
      <c r="BJ45" s="38" t="str">
        <f>IFERROR(__xludf.DUMMYFUNCTION("if(countif(kr.que,CONCATENATE(regexextract($C45,""[\w]* [\w]*""), ""*"")),""X"","""")"),"X")</f>
        <v>X</v>
      </c>
      <c r="BK45" s="39"/>
      <c r="BL45" s="40" t="str">
        <f>IFERROR(__xludf.DUMMYFUNCTION(" CONCATENATE( 
if (regexmatch(I45, ""^[A-Za-z\.\_]+""), ""L"", 
if(regexmatch(AB45, ""^[A-Za-z\.\_]+""),""S"","""")),
if(AU45=""X"",""K"",""""))"),"K")</f>
        <v>K</v>
      </c>
      <c r="BM45" s="40" t="str">
        <f>IFERROR(__xludf.DUMMYFUNCTION(" CONCATENATE( 
if (regexmatch(J45, ""^[A-Za-z\.\_]+""), ""L"", 
if(regexmatch(AC45, ""^[A-Za-z\.\_]+""),""S"","""")),
if(AV45=""X"",""K"",""""))"),"LK")</f>
        <v>LK</v>
      </c>
      <c r="BN45" s="40" t="str">
        <f>IFERROR(__xludf.DUMMYFUNCTION(" CONCATENATE( 
if (regexmatch(K45, ""^[A-Za-z\.\_]+""), ""L"", 
if(regexmatch(AD45, ""^[A-Za-z\.\_]+""),""S"","""")),
if(AW45=""X"",""K"",""""))"),"K")</f>
        <v>K</v>
      </c>
      <c r="BO45" s="40" t="str">
        <f>IFERROR(__xludf.DUMMYFUNCTION(" CONCATENATE( 
if (regexmatch(L45, ""^[A-Za-z\.\_]+""), ""L"", 
if(regexmatch(AE45, ""^[A-Za-z\.\_]+""),""S"","""")),
if(AX45=""X"",""K"",""""))"),"K")</f>
        <v>K</v>
      </c>
      <c r="BP45" s="40" t="str">
        <f>IFERROR(__xludf.DUMMYFUNCTION(" CONCATENATE( 
if (regexmatch(M45, ""^[A-Za-z\.\_]+""), ""L"", 
if(regexmatch(AF45, ""^[A-Za-z\.\_]+""),""S"","""")),
if(AY45=""X"",""K"",""""))"),"K")</f>
        <v>K</v>
      </c>
      <c r="BQ45" s="40" t="str">
        <f>IFERROR(__xludf.DUMMYFUNCTION("CONCATENATE( 
if (regexmatch(O45, ""^[A-Za-z\.\_]+""), ""L"", 
if(regexmatch(AH45, ""^[A-Za-z\.\_]+""),""S"","""")),
if(AZ45=""X"",""K"",""""))"),"K")</f>
        <v>K</v>
      </c>
      <c r="BR45" s="40" t="str">
        <f>IFERROR(__xludf.DUMMYFUNCTION("CONCATENATE( 
if (regexmatch(Q45, ""^[A-Za-z\.\_]+""), ""L"", 
if(regexmatch(AJ45, ""^[A-Za-z\.\_]+""),""S"","""")),
if(BA45=""X"",""K"",""""))"),"")</f>
        <v/>
      </c>
      <c r="BS45" s="40" t="str">
        <f>IFERROR(__xludf.DUMMYFUNCTION(" CONCATENATE( 
if (regexmatch(R45, ""^[A-Za-z\.\_]+""), ""L"", 
if(regexmatch(AK45, ""^[A-Za-z\.\_]+""),""S"","""")),
if(BB45=""X"",""K"",""""))"),"LK")</f>
        <v>LK</v>
      </c>
      <c r="BT45" s="40" t="str">
        <f>IFERROR(__xludf.DUMMYFUNCTION("CONCATENATE( 
if (regexmatch(S45, ""^[A-Za-z\.\_]+""), ""L"", 
if(regexmatch(AL45, ""^[A-Za-z\.\_]+""),""S"","""")),
if(BC45=""X"",""K"",""""))"),"K")</f>
        <v>K</v>
      </c>
      <c r="BU45" s="40" t="str">
        <f>IFERROR(__xludf.DUMMYFUNCTION("CONCATENATE( 
if (regexmatch(T45, ""^[A-Za-z\.\_]+""), ""L"", 
if(regexmatch(AM45, ""^[A-Za-z\.\_]+""),""S"","""")),
if(BD45=""X"",""K"",""""))"),"K")</f>
        <v>K</v>
      </c>
      <c r="BV45" s="40" t="str">
        <f>IFERROR(__xludf.DUMMYFUNCTION("CONCATENATE( 
if (regexmatch(U45, ""^[A-Za-z\.\_]+""), ""L"", 
if(regexmatch(AN45, ""^[A-Za-z\.\_]+""),""S"","""")),
if(BE45=""X"",""K"",""""))"),"K")</f>
        <v>K</v>
      </c>
      <c r="BW45" s="40" t="str">
        <f>IFERROR(__xludf.DUMMYFUNCTION(" CONCATENATE( 
if (regexmatch(V45, ""^[A-Za-z\.\_]+""), ""L"", 
if(regexmatch(AO45, ""^[A-Za-z\.\_]+""),""S"","""")),
if(BF45=""X"",""K"",""""))"),"SK")</f>
        <v>SK</v>
      </c>
      <c r="BX45" s="40" t="str">
        <f>IFERROR(__xludf.DUMMYFUNCTION("CONCATENATE( 
if (regexmatch(W45, ""^[A-Za-z\.\_]+""), ""L"", 
if(regexmatch(AP45, ""^[A-Za-z\.\_]+""),""S"","""")),
if(BG45=""X"",""K"",""""))"),"K")</f>
        <v>K</v>
      </c>
      <c r="BY45" s="40" t="str">
        <f>IFERROR(__xludf.DUMMYFUNCTION("CONCATENATE( 
if (regexmatch(X45, ""^[A-Za-z\.\_]+""), ""L"", 
if(regexmatch(AQ45, ""^[A-Za-z\.\_]+""),""S"","""")),
if(BH45=""X"",""K"",""""))"),"K")</f>
        <v>K</v>
      </c>
      <c r="BZ45" s="40" t="str">
        <f>IFERROR(__xludf.DUMMYFUNCTION("CONCATENATE( 
if (regexmatch(Y45, ""^[A-Za-z\.\_]+""), ""L"", 
if(regexmatch(AR45, ""^[A-Za-z\.\_]+""),""S"","""")),
if(BI45=""X"",""K"",""""))"),"K")</f>
        <v>K</v>
      </c>
      <c r="CA45" s="40" t="str">
        <f>IFERROR(__xludf.DUMMYFUNCTION("CONCATENATE( 
if (regexmatch(Z45, ""^[A-Za-z\.\_]+""), ""L"", 
if(regexmatch(AS45, ""^[A-Za-z\.\_]+""),""S"","""")),
if(BJ45=""X"",""K"",""""))"),"SK")</f>
        <v>SK</v>
      </c>
      <c r="CB45" s="39"/>
      <c r="CC45" s="39"/>
      <c r="CD45" s="39"/>
      <c r="CE45" s="39"/>
      <c r="CF45" s="39"/>
      <c r="CG45" s="39"/>
      <c r="CH45" s="39"/>
      <c r="CI45" s="39"/>
      <c r="CJ45" s="39"/>
      <c r="CK45" s="39"/>
      <c r="CL45" s="39"/>
      <c r="CM45" s="39"/>
      <c r="CN45" s="39"/>
      <c r="CO45" s="39"/>
      <c r="CP45" s="39"/>
      <c r="CQ45" s="39"/>
      <c r="CR45" s="39"/>
    </row>
    <row r="46" ht="15.75" customHeight="1">
      <c r="A46" s="25">
        <v>19.0</v>
      </c>
      <c r="B46" s="26" t="s">
        <v>212</v>
      </c>
      <c r="C46" s="41" t="s">
        <v>213</v>
      </c>
      <c r="D46" s="27" t="str">
        <f>IFERROR(__xludf.DUMMYFUNCTION("CONCATENATE(regexextract($C46,""[\w]* [\w]*""), ""*"")"),"Gossypium arboreum*")</f>
        <v>Gossypium arboreum*</v>
      </c>
      <c r="E46" s="59" t="s">
        <v>214</v>
      </c>
      <c r="F46" s="58">
        <v>29729.0</v>
      </c>
      <c r="G46" s="53"/>
      <c r="H46" s="31"/>
      <c r="I46" s="32" t="str">
        <f>CONCATENATE(
if(countif(dd.agi,$D46),"D",""),
if(countif(knap.agi,$D46),"K",""),
if(countif(mic.agi,$D46),"M",""),
if(countif(nap.agi,$D46),"N",""),
if(countif(np.agi,$D46),"P",""),
if(countif(imp.agi,$D46),"T",""),
if(countif(us.agi,$D46),"U",""),
if(countif(var.agi,$D46),"V","")
)</f>
        <v/>
      </c>
      <c r="J46" s="32" t="str">
        <f>
CONCATENATE(
if(countif(nap.bun,$D46),"N",""),
if(countif(np.bun,$D46),"P","")
)
</f>
        <v/>
      </c>
      <c r="K46" s="32" t="str">
        <f>CONCATENATE(
if(countif(dd.kxn,$D46),"D",""),
if(countif(knap.kxn,$D46),"K",""),
if(countif(mic.kxn,$D46),"M",""),
if(countif(nap.kxn,$D46),"N",""),
if(countif(np.kxn,$D46),"P",""),
if(countif(us.kxn,$D46),"U",""),
if(countif(var.kxn,$D46),"V","")
)</f>
        <v/>
      </c>
      <c r="L46" s="32" t="str">
        <f>
CONCATENATE(
if(countif(dd.hwb,$D46),"D",""),
if(countif(knap.hwb,$D46),"K",""),
if(countif(mic.hwb,$D46),"M",""),
if(countif(nap.hwb,$D46),"N",""),
if(countif(np.hwb,$D46),"P",""),
if(countif(us.hwb,$D46),"U",""),
if(countif(imp.hwb,$D46),"T",""),
if(countif(var.hwb,$D46),"V","")
)</f>
        <v/>
      </c>
      <c r="M46" s="32" t="str">
        <f>CONCATENATE(
if(countif(dd.epc,$D46),"D",""),
if(countif(knap.ekxn,$D46),"K",""),
if(countif(mic.ekxn,$D46),"M",""),
if(countif(nap.ekxn,$D46),"N",""),
if(countif(np.ekxn,$D46),"P",""),
if(countif(imp.epc,$D46),"T",""),
if(countif(us.ekxn,$D46),"U",""),
if(countif(var.ekxn,$D46),"V","")
)</f>
        <v/>
      </c>
      <c r="N46" s="32" t="str">
        <f>
CONCATENATE(
if(countif(dd.ecg,$D46),"D",""),
if(countif(mic.ecg,$D46),"M",""),
if(countif(np.ecg,$D46),"P",""),
if(countif(imp.ecg,$D46),"T",""),
if(countif(us.ecg,$D46),"U","")
)</f>
        <v/>
      </c>
      <c r="O46" s="32" t="str">
        <f>
CONCATENATE(
if(countif(dd.egt,$D46),"D",""),
if(countif(mic.egt,$D46),"M",""),
if(countif(nap.egt,$D46),"N",""),
if(countif(us.egt,$D46),"U",""),
if(countif(var.egt,$D46),"V",""))
</f>
        <v/>
      </c>
      <c r="P46" s="32" t="str">
        <f>CONCATENATE(
if(countif(knap.egcg,$D46),"K",""),
if(countif(mic.egcg,$D46),"M",""),
if(countif(np.egcg,$D46),"P",""),
if(countif(us.egcg,$D46),"U","")
)</f>
        <v/>
      </c>
      <c r="Q46" s="32" t="str">
        <f>CONCATENATE(if(countif(np.ecit,$D46),"P",""),
if(countif(nap.ecit,$D46),"A",""))</f>
        <v/>
      </c>
      <c r="R46" s="32" t="str">
        <f>
CONCATENATE(
if(countif(nap.erd,$D46),"N",""),
if(countif(np.erd,$D46),"P",""),
if(countif(var.erd,$D46),"V",""))</f>
        <v/>
      </c>
      <c r="S46" s="32" t="str">
        <f>
CONCATENATE(
if(countif(dd.gkxn,$D46),"D",""),
if(countif(knap.gkxn,$D46),"K",""),
if(countif(nap.gkxn,$D46),"N",""),
if(countif(np.gkxn,$D46),"P",""),
if(countif(imp.gkxn,$D46),"T",""),
if(countif(var.gkxn,$D46),"V",""))</f>
        <v/>
      </c>
      <c r="T46" s="32" t="str">
        <f>
CONCATENATE(
if(countif(dd.gen,$C46),"D",""),
if(countif(knap.gen,$C46),"K",""),
if(countif(nap.gen,$C46),"N",""),
if(countif(np.gen,$C46),"P",""),
if(countif(imp.gen,$C46),"T",""),
if(countif(var.gen,$C46),"V",""))</f>
        <v/>
      </c>
      <c r="U46" s="32" t="str">
        <f>
CONCATENATE(
if(countif(dd.hcc,$D46),"D",""),
if(countif(knap.hcc,$D46),"K",""),
if(countif(np.hcc,$D46),"P","")
)
</f>
        <v/>
      </c>
      <c r="V46" s="32" t="str">
        <f>
CONCATENATE(
if(countif(dd.kmp,$D46),"D",""),
if(countif(knap.kmp,$D46),"K",""),
if(countif(mic.kmp,$D46),"M",""),
if(countif(nap.kmp,$D46),"N",""),
if(countif(np.kmp,$D46),"P",""),
if(countif(imp.kmp,$D46),"T",""),
if(countif(us.kmp,$D46),"U",""),
if(countif(var.kmp,$D46),"V",""))</f>
        <v/>
      </c>
      <c r="W46" s="32" t="str">
        <f>
CONCATENATE(
if(countif(dd.lu2,$D46),"D",""),
if(countif(knap.lu2,$D46),"K",""),
if(countif(mic.lu2,$D46),"M",""),
if(countif(nap.lu2,$D46),"N",""),
if(countif(np.lu2,$D46),"P",""),
if(countif(imp.lu2,$D46),"T",""),
if(countif(us.lu2,$D46),"U",""),
if(countif(var.lu2,$D46),"V",""))</f>
        <v/>
      </c>
      <c r="X46" s="32" t="str">
        <f>
CONCATENATE(
if(countif(dd.myc,$D46),"D",""),
if(countif(knap.myc,$D46),"K",""), 
if(countif(mic.myc,$D46),"M",""),
if(countif(nap.myc,$D46),"N",""),
if(countif(np.myc,$D46),"P",""),
if(countif(imp.myc,$D46),"T",""),
if(countif(us.myc,$D46),"U",""),
if(countif(var.myc,$D46),"V",""))</f>
        <v/>
      </c>
      <c r="Y46" s="32" t="str">
        <f>CONCATENATE(
if(countif(dd.nar,$D46),"D",""),
if(countif(knap.nar,$D46),"K",""),
if(countif(nap.nar,$D46),"N",""),
if(countif(np.nar,$D46),"P",""),
if(countif(imp.nar,$D46),"T",""),
if(countif(us.nar,$D46),"U",""),
if(countif(var.nar,$D46),"V",""))</f>
        <v/>
      </c>
      <c r="Z46" s="33" t="str">
        <f>
CONCATENATE(
if(countif(dd.que,$D46),"D",""),
if(countif(knap.que,$D46),"K",""),
if(countif(mic.que,$D46),"M",""),
if(countif(nap.que,$D46),"N",""),
if(countif(np.que,$D46),"P",""),
if(countif(imp.que,$D46),"T",""),
if(countif(us.que,$D46),"U",""),
if(countif(var.que,$D46),"V",""))</f>
        <v>N</v>
      </c>
      <c r="AA46" s="32"/>
      <c r="AB46" s="34" t="str">
        <f>
CONCATENATE(if(countif(knap.agi.sim,$D46),"K",""),
if(countif(dd.agi.sim,$D46),"D",""),
if(countif(nap.agi.sim,$D46),"A",""),
if(countif(var.agi.sim,$D46),"V",""))</f>
        <v/>
      </c>
      <c r="AC46" s="34" t="str">
        <f>
if(countif(nap.bun.sim,$D46),"A","")</f>
        <v/>
      </c>
      <c r="AD46" s="34" t="str">
        <f>
CONCATENATE(if(countif(knap.kxn.sim,$D46),"K",""),
if(countif(np.kxn.sim,$D46),"P",""),
if(countif(dd.kxn.sim,$D46),"D",""),
if(countif(nap.kxn.sim,$D46),"A",""),
if(countif(var.kxn.sim,$D46),"V",""))</f>
        <v/>
      </c>
      <c r="AE46" s="34" t="str">
        <f>
CONCATENATE(if(countif(knap.hwb.sim,$D46),"K",""),
if(countif(np.hwb.sim,$D46),"P",""),
if(countif(mic.hwb.sim,$D46),"M",""),
if(countif(imp.hwb.sim,$D46),"T",""),
if(countif(dd.cyan.sim,$D46),"D",""),
if(countif(nap.hwb.sim,$D46),"A",""),
if(countif(var.hwb.sim,$D46),"V",""))</f>
        <v/>
      </c>
      <c r="AF46" s="34" t="str">
        <f>
CONCATENATE(if(countif(us.ekxn.sim,$D46),"U",""),
if(countif(knap.ekxn.sim,$D46),"K",""),
if(countif(np.ekxn.sim,$D46),"P",""),
if(countif(mic.ekxn.sim,$D46),"M",""),
if(countif(imp.epc.sim,$D46),"T",""),
if(countif(nap.ekxn.sim,$D46),"A",""))</f>
        <v/>
      </c>
      <c r="AG46" s="34"/>
      <c r="AH46" s="34" t="str">
        <f>
CONCATENATE(if(countif(us.egt.sim,$D46),"U",""),
if(countif(knap.egt.sim,$D46),"K",""),
if(countif(np.egt.sim,$D46),"P",""),
if(countif(mic.egt.sim,$D46),"M",""))</f>
        <v/>
      </c>
      <c r="AI46" s="34"/>
      <c r="AJ46" s="34" t="str">
        <f>if(countif(nap.ecit.sim,$D46),"A","")</f>
        <v/>
      </c>
      <c r="AK46" s="34" t="str">
        <f>
CONCATENATE(if(countif(nap.erd,$D46),"M",""),
if(countif(nap.erd.sim,$D46),"A",""),
if(countif(var.erd.sim,$D46),"V",""))</f>
        <v/>
      </c>
      <c r="AL46" s="34" t="str">
        <f>
CONCATENATE(if(countif(knap.gkxn.sim,$D46),"K",""),
if(countif(nap.gkxn.sim,$D46),"A",""))</f>
        <v/>
      </c>
      <c r="AM46" s="34" t="str">
        <f>
CONCATENATE(if(countif(knap.gen.sim,$C46),"K",""),
if(countif(imp.gen.sim,$C46),"T",""),
if(countif(dd.gen.sim,$C46),"D",""),
if(countif(nap.gen.sim,$C46),"A",""),
if(countif(var.gen.sim,$C46),"V",""))
</f>
        <v/>
      </c>
      <c r="AN46" s="34" t="str">
        <f>IFERROR(__xludf.DUMMYFUNCTION("
if(countif(#REF!,CONCATENATE(regexextract($C46,""[\w]* [\w]*""), ""*"")),""V"","""")"),"")</f>
        <v/>
      </c>
      <c r="AO46" s="34" t="str">
        <f>
CONCATENATE(if(countif(knap.kmp.sim,$D46),"K",""),
if(countif(np.kmp.sim,$D46),"P",""),
if(countif(imp.kmp.sim,$D46),"T",""),
if(countif(dd.kmp,$D46),"D",""),
if(countif(nap.kmp.sim,$D46),"A",""),
if(countif(var.kmp.sim,$D46),"V",""))</f>
        <v/>
      </c>
      <c r="AP46" s="34" t="str">
        <f>
CONCATENATE(if(countif(knap.lu2.sim,$D46),"K",""),
if(countif(np.lu2.sim,$D46),"P",""),
if(countif(imp.lu2.sim,$D46),"T",""),
if(countif(dd.lu2.sim,$D46),"D",""),
if(countif(nap.lu2.sim,$D46),"A",""),
if(countif(var.lu2.sim,$D46),"V",""))</f>
        <v/>
      </c>
      <c r="AQ46" s="34" t="str">
        <f>
CONCATENATE(if(countif(np.myc.sim,$D46),"P",""),
if(countif(imp.myc.sim,$D46),"T",""),
if(countif(nap.myc.sim,$D46),"A",""))
</f>
        <v/>
      </c>
      <c r="AR46" s="36" t="str">
        <f>
CONCATENATE(if(countif(knap.nar.sim,$D46),"K",""),
if(countif(np.nar.sim,$D46),"P",""),
if(countif(imp.nar.sim,$D46),"T",""),
if(countif(dd.nar.sim,$D46),"D",""),
if(countif(nap.nar.sim,$D46),"A",""),
if(countif(var.nar.sim,$D46),"V",""))</f>
        <v/>
      </c>
      <c r="AS46" s="34" t="str">
        <f>
CONCATENATE(if(countif(knap.que.sim,$D46),"K",""),
if(countif(np.que.sim,$D46),"P",""),
if(countif(imp.que.sim,$D46),"T",""),
if(countif(dd.que.sim,$D46),"D",""),
if(countif(nap.que.sim,$D46),"A",""),
if(countif(var.que.sim,$D46),"V",""))</f>
        <v>K</v>
      </c>
      <c r="AT46" s="37"/>
      <c r="AU46" s="32" t="str">
        <f>IFERROR(__xludf.DUMMYFUNCTION("if(countif(kr.agi, CONCATENATE(regexextract($C46,""[\w]* [\w]*""), ""*"")),""X"","""")"),"X")</f>
        <v>X</v>
      </c>
      <c r="AV46" s="38" t="str">
        <f>IFERROR(__xludf.DUMMYFUNCTION("if(countif(kr.bun,CONCATENATE(regexextract($C46,""[\w]* [\w]*""), ""*"")),""X"","""")"),"X")</f>
        <v>X</v>
      </c>
      <c r="AW46" s="38" t="str">
        <f>IFERROR(__xludf.DUMMYFUNCTION("if(countif(kr.kxn,CONCATENATE(regexextract($C46,""[\w]* [\w]*""), ""*"")),""X"","""")"),"X")</f>
        <v>X</v>
      </c>
      <c r="AX46" s="38" t="str">
        <f>IFERROR(__xludf.DUMMYFUNCTION("if(countif(kr.hwb,CONCATENATE(regexextract($C46,""[\w]* [\w]*""), ""*"")),""X"","""")"),"X")</f>
        <v>X</v>
      </c>
      <c r="AY46" s="38" t="str">
        <f>IFERROR(__xludf.DUMMYFUNCTION("if(countif(kr.ec,CONCATENATE(regexextract($C46,""[\w]* [\w]*""), ""*"")),""X"","""")"),"X")</f>
        <v>X</v>
      </c>
      <c r="AZ46" s="38" t="str">
        <f>IFERROR(__xludf.DUMMYFUNCTION("if(countif(kr.egt,CONCATENATE(regexextract($C46,""[\w]* [\w]*""), ""*"")),""X"","""")"),"X")</f>
        <v>X</v>
      </c>
      <c r="BA46" s="38"/>
      <c r="BB46" s="38" t="str">
        <f>IFERROR(__xludf.DUMMYFUNCTION("if(countif(kr.erd,CONCATENATE(regexextract($C46,""[\w]* [\w]*""), ""*"")),""X"","""")"),"X")</f>
        <v>X</v>
      </c>
      <c r="BC46" s="38" t="str">
        <f>IFERROR(__xludf.DUMMYFUNCTION("if(countif(kr.gkxn,CONCATENATE(regexextract($C46,""[\w]* [\w]*""), ""*"")),""X"","""")"),"X")</f>
        <v>X</v>
      </c>
      <c r="BD46" s="38" t="str">
        <f>IFERROR(__xludf.DUMMYFUNCTION("if(countif(kr.gen,CONCATENATE(regexextract(C46,""[\w]* [\w]*""), ""*"")),""X"","""")"),"")</f>
        <v/>
      </c>
      <c r="BE46" s="38" t="str">
        <f>IFERROR(__xludf.DUMMYFUNCTION("if(countif(kr.hcc,CONCATENATE(regexextract($C46,""[\w]* [\w]*""), ""*"")),""X"","""")"),"X")</f>
        <v>X</v>
      </c>
      <c r="BF46" s="38" t="str">
        <f>IFERROR(__xludf.DUMMYFUNCTION("if(countif(kr.kmp,CONCATENATE(regexextract($C46,""[\w]* [\w]*""), ""*"")),""X"","""")"),"X")</f>
        <v>X</v>
      </c>
      <c r="BG46" s="38" t="str">
        <f>IFERROR(__xludf.DUMMYFUNCTION("if(countif(kr.lu2,CONCATENATE(regexextract($C46,""[\w]* [\w]*""), ""*"")),""X"","""")"),"X")</f>
        <v>X</v>
      </c>
      <c r="BH46" s="38" t="str">
        <f>IFERROR(__xludf.DUMMYFUNCTION("if(countif(kr.myc,CONCATENATE(regexextract($C46,""[\w]* [\w]*""), ""*"")),""X"","""")"),"X")</f>
        <v>X</v>
      </c>
      <c r="BI46" s="38" t="str">
        <f>IFERROR(__xludf.DUMMYFUNCTION("if(countif(kr.nar,CONCATENATE(regexextract($C46,""[\w]* [\w]*""), ""*"")),""X"","""")"),"X")</f>
        <v>X</v>
      </c>
      <c r="BJ46" s="38" t="str">
        <f>IFERROR(__xludf.DUMMYFUNCTION("if(countif(kr.que,CONCATENATE(regexextract($C46,""[\w]* [\w]*""), ""*"")),""X"","""")"),"X")</f>
        <v>X</v>
      </c>
      <c r="BK46" s="39"/>
      <c r="BL46" s="40" t="str">
        <f>IFERROR(__xludf.DUMMYFUNCTION(" CONCATENATE( 
if (regexmatch(I46, ""^[A-Za-z\.\_]+""), ""L"", 
if(regexmatch(AB46, ""^[A-Za-z\.\_]+""),""S"","""")),
if(AU46=""X"",""K"",""""))"),"K")</f>
        <v>K</v>
      </c>
      <c r="BM46" s="40" t="str">
        <f>IFERROR(__xludf.DUMMYFUNCTION(" CONCATENATE( 
if (regexmatch(J46, ""^[A-Za-z\.\_]+""), ""L"", 
if(regexmatch(AC46, ""^[A-Za-z\.\_]+""),""S"","""")),
if(AV46=""X"",""K"",""""))"),"K")</f>
        <v>K</v>
      </c>
      <c r="BN46" s="40" t="str">
        <f>IFERROR(__xludf.DUMMYFUNCTION(" CONCATENATE( 
if (regexmatch(K46, ""^[A-Za-z\.\_]+""), ""L"", 
if(regexmatch(AD46, ""^[A-Za-z\.\_]+""),""S"","""")),
if(AW46=""X"",""K"",""""))"),"K")</f>
        <v>K</v>
      </c>
      <c r="BO46" s="40" t="str">
        <f>IFERROR(__xludf.DUMMYFUNCTION(" CONCATENATE( 
if (regexmatch(L46, ""^[A-Za-z\.\_]+""), ""L"", 
if(regexmatch(AE46, ""^[A-Za-z\.\_]+""),""S"","""")),
if(AX46=""X"",""K"",""""))"),"K")</f>
        <v>K</v>
      </c>
      <c r="BP46" s="40" t="str">
        <f>IFERROR(__xludf.DUMMYFUNCTION(" CONCATENATE( 
if (regexmatch(M46, ""^[A-Za-z\.\_]+""), ""L"", 
if(regexmatch(AF46, ""^[A-Za-z\.\_]+""),""S"","""")),
if(AY46=""X"",""K"",""""))"),"K")</f>
        <v>K</v>
      </c>
      <c r="BQ46" s="40" t="str">
        <f>IFERROR(__xludf.DUMMYFUNCTION("CONCATENATE( 
if (regexmatch(O46, ""^[A-Za-z\.\_]+""), ""L"", 
if(regexmatch(AH46, ""^[A-Za-z\.\_]+""),""S"","""")),
if(AZ46=""X"",""K"",""""))"),"K")</f>
        <v>K</v>
      </c>
      <c r="BR46" s="40" t="str">
        <f>IFERROR(__xludf.DUMMYFUNCTION("CONCATENATE( 
if (regexmatch(Q46, ""^[A-Za-z\.\_]+""), ""L"", 
if(regexmatch(AJ46, ""^[A-Za-z\.\_]+""),""S"","""")),
if(BA46=""X"",""K"",""""))"),"")</f>
        <v/>
      </c>
      <c r="BS46" s="40" t="str">
        <f>IFERROR(__xludf.DUMMYFUNCTION(" CONCATENATE( 
if (regexmatch(R46, ""^[A-Za-z\.\_]+""), ""L"", 
if(regexmatch(AK46, ""^[A-Za-z\.\_]+""),""S"","""")),
if(BB46=""X"",""K"",""""))"),"K")</f>
        <v>K</v>
      </c>
      <c r="BT46" s="40" t="str">
        <f>IFERROR(__xludf.DUMMYFUNCTION("CONCATENATE( 
if (regexmatch(S46, ""^[A-Za-z\.\_]+""), ""L"", 
if(regexmatch(AL46, ""^[A-Za-z\.\_]+""),""S"","""")),
if(BC46=""X"",""K"",""""))"),"K")</f>
        <v>K</v>
      </c>
      <c r="BU46" s="40" t="str">
        <f>IFERROR(__xludf.DUMMYFUNCTION("CONCATENATE( 
if (regexmatch(T46, ""^[A-Za-z\.\_]+""), ""L"", 
if(regexmatch(AM46, ""^[A-Za-z\.\_]+""),""S"","""")),
if(BD46=""X"",""K"",""""))"),"")</f>
        <v/>
      </c>
      <c r="BV46" s="40" t="str">
        <f>IFERROR(__xludf.DUMMYFUNCTION("CONCATENATE( 
if (regexmatch(U46, ""^[A-Za-z\.\_]+""), ""L"", 
if(regexmatch(AN46, ""^[A-Za-z\.\_]+""),""S"","""")),
if(BE46=""X"",""K"",""""))"),"K")</f>
        <v>K</v>
      </c>
      <c r="BW46" s="40" t="str">
        <f>IFERROR(__xludf.DUMMYFUNCTION(" CONCATENATE( 
if (regexmatch(V46, ""^[A-Za-z\.\_]+""), ""L"", 
if(regexmatch(AO46, ""^[A-Za-z\.\_]+""),""S"","""")),
if(BF46=""X"",""K"",""""))"),"K")</f>
        <v>K</v>
      </c>
      <c r="BX46" s="40" t="str">
        <f>IFERROR(__xludf.DUMMYFUNCTION("CONCATENATE( 
if (regexmatch(W46, ""^[A-Za-z\.\_]+""), ""L"", 
if(regexmatch(AP46, ""^[A-Za-z\.\_]+""),""S"","""")),
if(BG46=""X"",""K"",""""))"),"K")</f>
        <v>K</v>
      </c>
      <c r="BY46" s="40" t="str">
        <f>IFERROR(__xludf.DUMMYFUNCTION("CONCATENATE( 
if (regexmatch(X46, ""^[A-Za-z\.\_]+""), ""L"", 
if(regexmatch(AQ46, ""^[A-Za-z\.\_]+""),""S"","""")),
if(BH46=""X"",""K"",""""))"),"K")</f>
        <v>K</v>
      </c>
      <c r="BZ46" s="40" t="str">
        <f>IFERROR(__xludf.DUMMYFUNCTION("CONCATENATE( 
if (regexmatch(Y46, ""^[A-Za-z\.\_]+""), ""L"", 
if(regexmatch(AR46, ""^[A-Za-z\.\_]+""),""S"","""")),
if(BI46=""X"",""K"",""""))"),"K")</f>
        <v>K</v>
      </c>
      <c r="CA46" s="40" t="str">
        <f>IFERROR(__xludf.DUMMYFUNCTION("CONCATENATE( 
if (regexmatch(Z46, ""^[A-Za-z\.\_]+""), ""L"", 
if(regexmatch(AS46, ""^[A-Za-z\.\_]+""),""S"","""")),
if(BJ46=""X"",""K"",""""))"),"LK")</f>
        <v>LK</v>
      </c>
      <c r="CB46" s="39"/>
      <c r="CC46" s="39"/>
      <c r="CD46" s="39"/>
      <c r="CE46" s="39"/>
      <c r="CF46" s="39"/>
      <c r="CG46" s="39"/>
      <c r="CH46" s="39"/>
      <c r="CI46" s="39"/>
      <c r="CJ46" s="39"/>
      <c r="CK46" s="39"/>
      <c r="CL46" s="39"/>
      <c r="CM46" s="39"/>
      <c r="CN46" s="39"/>
      <c r="CO46" s="39"/>
      <c r="CP46" s="39"/>
      <c r="CQ46" s="39"/>
      <c r="CR46" s="39"/>
    </row>
    <row r="47" ht="15.75" customHeight="1">
      <c r="A47" s="25">
        <v>20.0</v>
      </c>
      <c r="B47" s="26" t="s">
        <v>215</v>
      </c>
      <c r="C47" s="27" t="s">
        <v>216</v>
      </c>
      <c r="D47" s="27" t="str">
        <f>IFERROR(__xludf.DUMMYFUNCTION("CONCATENATE(regexextract($C47,""[\w]* [\w]*""), ""*"")"),"Gossypium hirsutum*")</f>
        <v>Gossypium hirsutum*</v>
      </c>
      <c r="E47" s="26" t="s">
        <v>217</v>
      </c>
      <c r="F47" s="57">
        <v>3635.0</v>
      </c>
      <c r="G47" s="53"/>
      <c r="H47" s="31"/>
      <c r="I47" s="32" t="str">
        <f>CONCATENATE(
if(countif(dd.agi,$D47),"D",""),
if(countif(knap.agi,$D47),"K",""),
if(countif(mic.agi,$D47),"M",""),
if(countif(nap.agi,$D47),"N",""),
if(countif(np.agi,$D47),"P",""),
if(countif(imp.agi,$D47),"T",""),
if(countif(us.agi,$D47),"U",""),
if(countif(var.agi,$D47),"V","")
)</f>
        <v/>
      </c>
      <c r="J47" s="32" t="str">
        <f>
CONCATENATE(
if(countif(nap.bun,$D47),"N",""),
if(countif(np.bun,$D47),"P","")
)
</f>
        <v/>
      </c>
      <c r="K47" s="32" t="str">
        <f>CONCATENATE(
if(countif(dd.kxn,$D47),"D",""),
if(countif(knap.kxn,$D47),"K",""),
if(countif(mic.kxn,$D47),"M",""),
if(countif(nap.kxn,$D47),"N",""),
if(countif(np.kxn,$D47),"P",""),
if(countif(us.kxn,$D47),"U",""),
if(countif(var.kxn,$D47),"V","")
)</f>
        <v>N</v>
      </c>
      <c r="L47" s="32" t="str">
        <f>
CONCATENATE(
if(countif(dd.hwb,$D47),"D",""),
if(countif(knap.hwb,$D47),"K",""),
if(countif(mic.hwb,$D47),"M",""),
if(countif(nap.hwb,$D47),"N",""),
if(countif(np.hwb,$D47),"P",""),
if(countif(us.hwb,$D47),"U",""),
if(countif(imp.hwb,$D47),"T",""),
if(countif(var.hwb,$D47),"V","")
)</f>
        <v>V</v>
      </c>
      <c r="M47" s="32" t="str">
        <f>CONCATENATE(
if(countif(dd.epc,$D47),"D",""),
if(countif(knap.ekxn,$D47),"K",""),
if(countif(mic.ekxn,$D47),"M",""),
if(countif(nap.ekxn,$D47),"N",""),
if(countif(np.ekxn,$D47),"P",""),
if(countif(imp.epc,$D47),"T",""),
if(countif(us.ekxn,$D47),"U",""),
if(countif(var.ekxn,$D47),"V","")
)</f>
        <v>V</v>
      </c>
      <c r="N47" s="32" t="str">
        <f>
CONCATENATE(
if(countif(dd.ecg,$D47),"D",""),
if(countif(mic.ecg,$D47),"M",""),
if(countif(np.ecg,$D47),"P",""),
if(countif(imp.ecg,$D47),"T",""),
if(countif(us.ecg,$D47),"U","")
)</f>
        <v/>
      </c>
      <c r="O47" s="32" t="str">
        <f>
CONCATENATE(
if(countif(dd.egt,$D47),"D",""),
if(countif(mic.egt,$D47),"M",""),
if(countif(nap.egt,$D47),"N",""),
if(countif(us.egt,$D47),"U",""),
if(countif(var.egt,$D47),"V",""))
</f>
        <v>N</v>
      </c>
      <c r="P47" s="32" t="str">
        <f>CONCATENATE(
if(countif(knap.egcg,$D47),"K",""),
if(countif(mic.egcg,$D47),"M",""),
if(countif(np.egcg,$D47),"P",""),
if(countif(us.egcg,$D47),"U","")
)</f>
        <v/>
      </c>
      <c r="Q47" s="32" t="str">
        <f>CONCATENATE(if(countif(np.ecit,$D47),"P",""),
if(countif(nap.ecit,$D47),"A",""))</f>
        <v/>
      </c>
      <c r="R47" s="32" t="str">
        <f>
CONCATENATE(
if(countif(nap.erd,$D47),"N",""),
if(countif(np.erd,$D47),"P",""),
if(countif(var.erd,$D47),"V",""))</f>
        <v>V</v>
      </c>
      <c r="S47" s="32" t="str">
        <f>
CONCATENATE(
if(countif(dd.gkxn,$D47),"D",""),
if(countif(knap.gkxn,$D47),"K",""),
if(countif(nap.gkxn,$D47),"N",""),
if(countif(np.gkxn,$D47),"P",""),
if(countif(imp.gkxn,$D47),"T",""),
if(countif(var.gkxn,$D47),"V",""))</f>
        <v>V</v>
      </c>
      <c r="T47" s="32" t="str">
        <f>
CONCATENATE(
if(countif(dd.gen,$C47),"D",""),
if(countif(knap.gen,$C47),"K",""),
if(countif(nap.gen,$C47),"N",""),
if(countif(np.gen,$C47),"P",""),
if(countif(imp.gen,$C47),"T",""),
if(countif(var.gen,$C47),"V",""))</f>
        <v>V</v>
      </c>
      <c r="U47" s="32" t="str">
        <f>
CONCATENATE(
if(countif(dd.hcc,$D47),"D",""),
if(countif(knap.hcc,$D47),"K",""),
if(countif(np.hcc,$D47),"P","")
)
</f>
        <v/>
      </c>
      <c r="V47" s="32" t="str">
        <f>
CONCATENATE(
if(countif(dd.kmp,$D47),"D",""),
if(countif(knap.kmp,$D47),"K",""),
if(countif(mic.kmp,$D47),"M",""),
if(countif(nap.kmp,$D47),"N",""),
if(countif(np.kmp,$D47),"P",""),
if(countif(imp.kmp,$D47),"T",""),
if(countif(us.kmp,$D47),"U",""),
if(countif(var.kmp,$D47),"V",""))</f>
        <v>V</v>
      </c>
      <c r="W47" s="32" t="str">
        <f>
CONCATENATE(
if(countif(dd.lu2,$D47),"D",""),
if(countif(knap.lu2,$D47),"K",""),
if(countif(mic.lu2,$D47),"M",""),
if(countif(nap.lu2,$D47),"N",""),
if(countif(np.lu2,$D47),"P",""),
if(countif(imp.lu2,$D47),"T",""),
if(countif(us.lu2,$D47),"U",""),
if(countif(var.lu2,$D47),"V",""))</f>
        <v/>
      </c>
      <c r="X47" s="32" t="str">
        <f>
CONCATENATE(
if(countif(dd.myc,$D47),"D",""),
if(countif(knap.myc,$D47),"K",""), 
if(countif(mic.myc,$D47),"M",""),
if(countif(nap.myc,$D47),"N",""),
if(countif(np.myc,$D47),"P",""),
if(countif(imp.myc,$D47),"T",""),
if(countif(us.myc,$D47),"U",""),
if(countif(var.myc,$D47),"V",""))</f>
        <v>V</v>
      </c>
      <c r="Y47" s="32" t="str">
        <f>CONCATENATE(
if(countif(dd.nar,$D47),"D",""),
if(countif(knap.nar,$D47),"K",""),
if(countif(nap.nar,$D47),"N",""),
if(countif(np.nar,$D47),"P",""),
if(countif(imp.nar,$D47),"T",""),
if(countif(us.nar,$D47),"U",""),
if(countif(var.nar,$D47),"V",""))</f>
        <v>V</v>
      </c>
      <c r="Z47" s="33" t="str">
        <f>
CONCATENATE(
if(countif(dd.que,$D47),"D",""),
if(countif(knap.que,$D47),"K",""),
if(countif(mic.que,$D47),"M",""),
if(countif(nap.que,$D47),"N",""),
if(countif(np.que,$D47),"P",""),
if(countif(imp.que,$D47),"T",""),
if(countif(us.que,$D47),"U",""),
if(countif(var.que,$D47),"V",""))</f>
        <v>V</v>
      </c>
      <c r="AA47" s="32"/>
      <c r="AB47" s="34" t="str">
        <f>
CONCATENATE(if(countif(knap.agi.sim,$D47),"K",""),
if(countif(dd.agi.sim,$D47),"D",""),
if(countif(nap.agi.sim,$D47),"A",""),
if(countif(var.agi.sim,$D47),"V",""))</f>
        <v/>
      </c>
      <c r="AC47" s="34" t="str">
        <f>
if(countif(nap.bun.sim,$D47),"A","")</f>
        <v/>
      </c>
      <c r="AD47" s="34" t="str">
        <f>
CONCATENATE(if(countif(knap.kxn.sim,$D47),"K",""),
if(countif(np.kxn.sim,$D47),"P",""),
if(countif(dd.kxn.sim,$D47),"D",""),
if(countif(nap.kxn.sim,$D47),"A",""),
if(countif(var.kxn.sim,$D47),"V",""))</f>
        <v/>
      </c>
      <c r="AE47" s="34" t="str">
        <f>
CONCATENATE(if(countif(knap.hwb.sim,$D47),"K",""),
if(countif(np.hwb.sim,$D47),"P",""),
if(countif(mic.hwb.sim,$D47),"M",""),
if(countif(imp.hwb.sim,$D47),"T",""),
if(countif(dd.cyan.sim,$D47),"D",""),
if(countif(nap.hwb.sim,$D47),"A",""),
if(countif(var.hwb.sim,$D47),"V",""))</f>
        <v>A</v>
      </c>
      <c r="AF47" s="34" t="str">
        <f>
CONCATENATE(if(countif(us.ekxn.sim,$D47),"U",""),
if(countif(knap.ekxn.sim,$D47),"K",""),
if(countif(np.ekxn.sim,$D47),"P",""),
if(countif(mic.ekxn.sim,$D47),"M",""),
if(countif(imp.epc.sim,$D47),"T",""),
if(countif(nap.ekxn.sim,$D47),"A",""))</f>
        <v/>
      </c>
      <c r="AG47" s="34"/>
      <c r="AH47" s="34" t="str">
        <f>
CONCATENATE(if(countif(us.egt.sim,$D47),"U",""),
if(countif(knap.egt.sim,$D47),"K",""),
if(countif(np.egt.sim,$D47),"P",""),
if(countif(mic.egt.sim,$D47),"M",""))</f>
        <v/>
      </c>
      <c r="AI47" s="34"/>
      <c r="AJ47" s="34" t="str">
        <f>if(countif(nap.ecit.sim,$D47),"A","")</f>
        <v/>
      </c>
      <c r="AK47" s="34" t="str">
        <f>
CONCATENATE(if(countif(nap.erd,$D47),"M",""),
if(countif(nap.erd.sim,$D47),"A",""),
if(countif(var.erd.sim,$D47),"V",""))</f>
        <v/>
      </c>
      <c r="AL47" s="34" t="str">
        <f>
CONCATENATE(if(countif(knap.gkxn.sim,$D47),"K",""),
if(countif(nap.gkxn.sim,$D47),"A",""))</f>
        <v/>
      </c>
      <c r="AM47" s="34" t="str">
        <f>
CONCATENATE(if(countif(knap.gen.sim,$C47),"K",""),
if(countif(imp.gen.sim,$C47),"T",""),
if(countif(dd.gen.sim,$C47),"D",""),
if(countif(nap.gen.sim,$C47),"A",""),
if(countif(var.gen.sim,$C47),"V",""))
</f>
        <v/>
      </c>
      <c r="AN47" s="34" t="str">
        <f>IFERROR(__xludf.DUMMYFUNCTION("
if(countif(#REF!,CONCATENATE(regexextract($C47,""[\w]* [\w]*""), ""*"")),""V"","""")"),"")</f>
        <v/>
      </c>
      <c r="AO47" s="34" t="str">
        <f>
CONCATENATE(if(countif(knap.kmp.sim,$D47),"K",""),
if(countif(np.kmp.sim,$D47),"P",""),
if(countif(imp.kmp.sim,$D47),"T",""),
if(countif(dd.kmp,$D47),"D",""),
if(countif(nap.kmp.sim,$D47),"A",""),
if(countif(var.kmp.sim,$D47),"V",""))</f>
        <v>A</v>
      </c>
      <c r="AP47" s="34" t="str">
        <f>
CONCATENATE(if(countif(knap.lu2.sim,$D47),"K",""),
if(countif(np.lu2.sim,$D47),"P",""),
if(countif(imp.lu2.sim,$D47),"T",""),
if(countif(dd.lu2.sim,$D47),"D",""),
if(countif(nap.lu2.sim,$D47),"A",""),
if(countif(var.lu2.sim,$D47),"V",""))</f>
        <v/>
      </c>
      <c r="AQ47" s="34" t="str">
        <f>
CONCATENATE(if(countif(np.myc.sim,$D47),"P",""),
if(countif(imp.myc.sim,$D47),"T",""),
if(countif(nap.myc.sim,$D47),"A",""))
</f>
        <v/>
      </c>
      <c r="AR47" s="36" t="str">
        <f>
CONCATENATE(if(countif(knap.nar.sim,$D47),"K",""),
if(countif(np.nar.sim,$D47),"P",""),
if(countif(imp.nar.sim,$D47),"T",""),
if(countif(dd.nar.sim,$D47),"D",""),
if(countif(nap.nar.sim,$D47),"A",""),
if(countif(var.nar.sim,$D47),"V",""))</f>
        <v/>
      </c>
      <c r="AS47" s="34" t="str">
        <f>
CONCATENATE(if(countif(knap.que.sim,$D47),"K",""),
if(countif(np.que.sim,$D47),"P",""),
if(countif(imp.que.sim,$D47),"T",""),
if(countif(dd.que.sim,$D47),"D",""),
if(countif(nap.que.sim,$D47),"A",""),
if(countif(var.que.sim,$D47),"V",""))</f>
        <v>KA</v>
      </c>
      <c r="AT47" s="37"/>
      <c r="AU47" s="32" t="str">
        <f>IFERROR(__xludf.DUMMYFUNCTION("if(countif(kr.agi, CONCATENATE(regexextract($C47,""[\w]* [\w]*""), ""*"")),""X"","""")"),"X")</f>
        <v>X</v>
      </c>
      <c r="AV47" s="38" t="str">
        <f>IFERROR(__xludf.DUMMYFUNCTION("if(countif(kr.bun,CONCATENATE(regexextract($C47,""[\w]* [\w]*""), ""*"")),""X"","""")"),"X")</f>
        <v>X</v>
      </c>
      <c r="AW47" s="38" t="str">
        <f>IFERROR(__xludf.DUMMYFUNCTION("if(countif(kr.kxn,CONCATENATE(regexextract($C47,""[\w]* [\w]*""), ""*"")),""X"","""")"),"X")</f>
        <v>X</v>
      </c>
      <c r="AX47" s="38" t="str">
        <f>IFERROR(__xludf.DUMMYFUNCTION("if(countif(kr.hwb,CONCATENATE(regexextract($C47,""[\w]* [\w]*""), ""*"")),""X"","""")"),"X")</f>
        <v>X</v>
      </c>
      <c r="AY47" s="38" t="str">
        <f>IFERROR(__xludf.DUMMYFUNCTION("if(countif(kr.ec,CONCATENATE(regexextract($C47,""[\w]* [\w]*""), ""*"")),""X"","""")"),"X")</f>
        <v>X</v>
      </c>
      <c r="AZ47" s="38" t="str">
        <f>IFERROR(__xludf.DUMMYFUNCTION("if(countif(kr.egt,CONCATENATE(regexextract($C47,""[\w]* [\w]*""), ""*"")),""X"","""")"),"X")</f>
        <v>X</v>
      </c>
      <c r="BA47" s="38"/>
      <c r="BB47" s="38" t="str">
        <f>IFERROR(__xludf.DUMMYFUNCTION("if(countif(kr.erd,CONCATENATE(regexextract($C47,""[\w]* [\w]*""), ""*"")),""X"","""")"),"X")</f>
        <v>X</v>
      </c>
      <c r="BC47" s="38" t="str">
        <f>IFERROR(__xludf.DUMMYFUNCTION("if(countif(kr.gkxn,CONCATENATE(regexextract($C47,""[\w]* [\w]*""), ""*"")),""X"","""")"),"X")</f>
        <v>X</v>
      </c>
      <c r="BD47" s="38" t="str">
        <f>IFERROR(__xludf.DUMMYFUNCTION("if(countif(kr.gen,CONCATENATE(regexextract(C47,""[\w]* [\w]*""), ""*"")),""X"","""")"),"")</f>
        <v/>
      </c>
      <c r="BE47" s="38" t="str">
        <f>IFERROR(__xludf.DUMMYFUNCTION("if(countif(kr.hcc,CONCATENATE(regexextract($C47,""[\w]* [\w]*""), ""*"")),""X"","""")"),"X")</f>
        <v>X</v>
      </c>
      <c r="BF47" s="38" t="str">
        <f>IFERROR(__xludf.DUMMYFUNCTION("if(countif(kr.kmp,CONCATENATE(regexextract($C47,""[\w]* [\w]*""), ""*"")),""X"","""")"),"X")</f>
        <v>X</v>
      </c>
      <c r="BG47" s="38" t="str">
        <f>IFERROR(__xludf.DUMMYFUNCTION("if(countif(kr.lu2,CONCATENATE(regexextract($C47,""[\w]* [\w]*""), ""*"")),""X"","""")"),"X")</f>
        <v>X</v>
      </c>
      <c r="BH47" s="38" t="str">
        <f>IFERROR(__xludf.DUMMYFUNCTION("if(countif(kr.myc,CONCATENATE(regexextract($C47,""[\w]* [\w]*""), ""*"")),""X"","""")"),"X")</f>
        <v>X</v>
      </c>
      <c r="BI47" s="38" t="str">
        <f>IFERROR(__xludf.DUMMYFUNCTION("if(countif(kr.nar,CONCATENATE(regexextract($C47,""[\w]* [\w]*""), ""*"")),""X"","""")"),"X")</f>
        <v>X</v>
      </c>
      <c r="BJ47" s="38" t="str">
        <f>IFERROR(__xludf.DUMMYFUNCTION("if(countif(kr.que,CONCATENATE(regexextract($C47,""[\w]* [\w]*""), ""*"")),""X"","""")"),"X")</f>
        <v>X</v>
      </c>
      <c r="BK47" s="39"/>
      <c r="BL47" s="40" t="str">
        <f>IFERROR(__xludf.DUMMYFUNCTION(" CONCATENATE( 
if (regexmatch(I47, ""^[A-Za-z\.\_]+""), ""L"", 
if(regexmatch(AB47, ""^[A-Za-z\.\_]+""),""S"","""")),
if(AU47=""X"",""K"",""""))"),"K")</f>
        <v>K</v>
      </c>
      <c r="BM47" s="40" t="str">
        <f>IFERROR(__xludf.DUMMYFUNCTION(" CONCATENATE( 
if (regexmatch(J47, ""^[A-Za-z\.\_]+""), ""L"", 
if(regexmatch(AC47, ""^[A-Za-z\.\_]+""),""S"","""")),
if(AV47=""X"",""K"",""""))"),"K")</f>
        <v>K</v>
      </c>
      <c r="BN47" s="40" t="str">
        <f>IFERROR(__xludf.DUMMYFUNCTION(" CONCATENATE( 
if (regexmatch(K47, ""^[A-Za-z\.\_]+""), ""L"", 
if(regexmatch(AD47, ""^[A-Za-z\.\_]+""),""S"","""")),
if(AW47=""X"",""K"",""""))"),"LK")</f>
        <v>LK</v>
      </c>
      <c r="BO47" s="40" t="str">
        <f>IFERROR(__xludf.DUMMYFUNCTION(" CONCATENATE( 
if (regexmatch(L47, ""^[A-Za-z\.\_]+""), ""L"", 
if(regexmatch(AE47, ""^[A-Za-z\.\_]+""),""S"","""")),
if(AX47=""X"",""K"",""""))"),"LK")</f>
        <v>LK</v>
      </c>
      <c r="BP47" s="40" t="str">
        <f>IFERROR(__xludf.DUMMYFUNCTION(" CONCATENATE( 
if (regexmatch(M47, ""^[A-Za-z\.\_]+""), ""L"", 
if(regexmatch(AF47, ""^[A-Za-z\.\_]+""),""S"","""")),
if(AY47=""X"",""K"",""""))"),"LK")</f>
        <v>LK</v>
      </c>
      <c r="BQ47" s="40" t="str">
        <f>IFERROR(__xludf.DUMMYFUNCTION("CONCATENATE( 
if (regexmatch(O47, ""^[A-Za-z\.\_]+""), ""L"", 
if(regexmatch(AH47, ""^[A-Za-z\.\_]+""),""S"","""")),
if(AZ47=""X"",""K"",""""))"),"LK")</f>
        <v>LK</v>
      </c>
      <c r="BR47" s="40" t="str">
        <f>IFERROR(__xludf.DUMMYFUNCTION("CONCATENATE( 
if (regexmatch(Q47, ""^[A-Za-z\.\_]+""), ""L"", 
if(regexmatch(AJ47, ""^[A-Za-z\.\_]+""),""S"","""")),
if(BA47=""X"",""K"",""""))"),"")</f>
        <v/>
      </c>
      <c r="BS47" s="40" t="str">
        <f>IFERROR(__xludf.DUMMYFUNCTION(" CONCATENATE( 
if (regexmatch(R47, ""^[A-Za-z\.\_]+""), ""L"", 
if(regexmatch(AK47, ""^[A-Za-z\.\_]+""),""S"","""")),
if(BB47=""X"",""K"",""""))"),"LK")</f>
        <v>LK</v>
      </c>
      <c r="BT47" s="40" t="str">
        <f>IFERROR(__xludf.DUMMYFUNCTION("CONCATENATE( 
if (regexmatch(S47, ""^[A-Za-z\.\_]+""), ""L"", 
if(regexmatch(AL47, ""^[A-Za-z\.\_]+""),""S"","""")),
if(BC47=""X"",""K"",""""))"),"LK")</f>
        <v>LK</v>
      </c>
      <c r="BU47" s="40" t="str">
        <f>IFERROR(__xludf.DUMMYFUNCTION("CONCATENATE( 
if (regexmatch(T47, ""^[A-Za-z\.\_]+""), ""L"", 
if(regexmatch(AM47, ""^[A-Za-z\.\_]+""),""S"","""")),
if(BD47=""X"",""K"",""""))"),"L")</f>
        <v>L</v>
      </c>
      <c r="BV47" s="40" t="str">
        <f>IFERROR(__xludf.DUMMYFUNCTION("CONCATENATE( 
if (regexmatch(U47, ""^[A-Za-z\.\_]+""), ""L"", 
if(regexmatch(AN47, ""^[A-Za-z\.\_]+""),""S"","""")),
if(BE47=""X"",""K"",""""))"),"K")</f>
        <v>K</v>
      </c>
      <c r="BW47" s="40" t="str">
        <f>IFERROR(__xludf.DUMMYFUNCTION(" CONCATENATE( 
if (regexmatch(V47, ""^[A-Za-z\.\_]+""), ""L"", 
if(regexmatch(AO47, ""^[A-Za-z\.\_]+""),""S"","""")),
if(BF47=""X"",""K"",""""))"),"LK")</f>
        <v>LK</v>
      </c>
      <c r="BX47" s="40" t="str">
        <f>IFERROR(__xludf.DUMMYFUNCTION("CONCATENATE( 
if (regexmatch(W47, ""^[A-Za-z\.\_]+""), ""L"", 
if(regexmatch(AP47, ""^[A-Za-z\.\_]+""),""S"","""")),
if(BG47=""X"",""K"",""""))"),"K")</f>
        <v>K</v>
      </c>
      <c r="BY47" s="40" t="str">
        <f>IFERROR(__xludf.DUMMYFUNCTION("CONCATENATE( 
if (regexmatch(X47, ""^[A-Za-z\.\_]+""), ""L"", 
if(regexmatch(AQ47, ""^[A-Za-z\.\_]+""),""S"","""")),
if(BH47=""X"",""K"",""""))"),"LK")</f>
        <v>LK</v>
      </c>
      <c r="BZ47" s="40" t="str">
        <f>IFERROR(__xludf.DUMMYFUNCTION("CONCATENATE( 
if (regexmatch(Y47, ""^[A-Za-z\.\_]+""), ""L"", 
if(regexmatch(AR47, ""^[A-Za-z\.\_]+""),""S"","""")),
if(BI47=""X"",""K"",""""))"),"LK")</f>
        <v>LK</v>
      </c>
      <c r="CA47" s="40" t="str">
        <f>IFERROR(__xludf.DUMMYFUNCTION("CONCATENATE( 
if (regexmatch(Z47, ""^[A-Za-z\.\_]+""), ""L"", 
if(regexmatch(AS47, ""^[A-Za-z\.\_]+""),""S"","""")),
if(BJ47=""X"",""K"",""""))"),"LK")</f>
        <v>LK</v>
      </c>
      <c r="CB47" s="39"/>
      <c r="CC47" s="39"/>
      <c r="CD47" s="39"/>
      <c r="CE47" s="39"/>
      <c r="CF47" s="39"/>
      <c r="CG47" s="39"/>
      <c r="CH47" s="39"/>
      <c r="CI47" s="39"/>
      <c r="CJ47" s="39"/>
      <c r="CK47" s="39"/>
      <c r="CL47" s="39"/>
      <c r="CM47" s="39"/>
      <c r="CN47" s="39"/>
      <c r="CO47" s="39"/>
      <c r="CP47" s="39"/>
      <c r="CQ47" s="39"/>
      <c r="CR47" s="39"/>
    </row>
    <row r="48" ht="15.75" customHeight="1">
      <c r="A48" s="25">
        <v>21.0</v>
      </c>
      <c r="B48" s="26" t="s">
        <v>218</v>
      </c>
      <c r="C48" s="41" t="s">
        <v>219</v>
      </c>
      <c r="D48" s="27" t="str">
        <f>IFERROR(__xludf.DUMMYFUNCTION("CONCATENATE(regexextract($C48,""[\w]* [\w]*""), ""*"")"),"Gossypium raimondii*")</f>
        <v>Gossypium raimondii*</v>
      </c>
      <c r="E48" s="59" t="s">
        <v>220</v>
      </c>
      <c r="F48" s="58">
        <v>29730.0</v>
      </c>
      <c r="G48" s="53"/>
      <c r="H48" s="31"/>
      <c r="I48" s="32" t="str">
        <f>CONCATENATE(
if(countif(dd.agi,$D48),"D",""),
if(countif(knap.agi,$D48),"K",""),
if(countif(mic.agi,$D48),"M",""),
if(countif(nap.agi,$D48),"N",""),
if(countif(np.agi,$D48),"P",""),
if(countif(imp.agi,$D48),"T",""),
if(countif(us.agi,$D48),"U",""),
if(countif(var.agi,$D48),"V","")
)</f>
        <v/>
      </c>
      <c r="J48" s="32" t="str">
        <f>
CONCATENATE(
if(countif(nap.bun,$D48),"N",""),
if(countif(np.bun,$D48),"P","")
)
</f>
        <v/>
      </c>
      <c r="K48" s="32" t="str">
        <f>CONCATENATE(
if(countif(dd.kxn,$D48),"D",""),
if(countif(knap.kxn,$D48),"K",""),
if(countif(mic.kxn,$D48),"M",""),
if(countif(nap.kxn,$D48),"N",""),
if(countif(np.kxn,$D48),"P",""),
if(countif(us.kxn,$D48),"U",""),
if(countif(var.kxn,$D48),"V","")
)</f>
        <v/>
      </c>
      <c r="L48" s="32" t="str">
        <f>
CONCATENATE(
if(countif(dd.hwb,$D48),"D",""),
if(countif(knap.hwb,$D48),"K",""),
if(countif(mic.hwb,$D48),"M",""),
if(countif(nap.hwb,$D48),"N",""),
if(countif(np.hwb,$D48),"P",""),
if(countif(us.hwb,$D48),"U",""),
if(countif(imp.hwb,$D48),"T",""),
if(countif(var.hwb,$D48),"V","")
)</f>
        <v/>
      </c>
      <c r="M48" s="32" t="str">
        <f>CONCATENATE(
if(countif(dd.epc,$D48),"D",""),
if(countif(knap.ekxn,$D48),"K",""),
if(countif(mic.ekxn,$D48),"M",""),
if(countif(nap.ekxn,$D48),"N",""),
if(countif(np.ekxn,$D48),"P",""),
if(countif(imp.epc,$D48),"T",""),
if(countif(us.ekxn,$D48),"U",""),
if(countif(var.ekxn,$D48),"V","")
)</f>
        <v/>
      </c>
      <c r="N48" s="32" t="str">
        <f>
CONCATENATE(
if(countif(dd.ecg,$D48),"D",""),
if(countif(mic.ecg,$D48),"M",""),
if(countif(np.ecg,$D48),"P",""),
if(countif(imp.ecg,$D48),"T",""),
if(countif(us.ecg,$D48),"U","")
)</f>
        <v/>
      </c>
      <c r="O48" s="32" t="str">
        <f>
CONCATENATE(
if(countif(dd.egt,$D48),"D",""),
if(countif(mic.egt,$D48),"M",""),
if(countif(nap.egt,$D48),"N",""),
if(countif(us.egt,$D48),"U",""),
if(countif(var.egt,$D48),"V",""))
</f>
        <v/>
      </c>
      <c r="P48" s="32" t="str">
        <f>CONCATENATE(
if(countif(knap.egcg,$D48),"K",""),
if(countif(mic.egcg,$D48),"M",""),
if(countif(np.egcg,$D48),"P",""),
if(countif(us.egcg,$D48),"U","")
)</f>
        <v/>
      </c>
      <c r="Q48" s="32" t="str">
        <f>CONCATENATE(if(countif(np.ecit,$D48),"P",""),
if(countif(nap.ecit,$D48),"A",""))</f>
        <v/>
      </c>
      <c r="R48" s="32" t="str">
        <f>
CONCATENATE(
if(countif(nap.erd,$D48),"N",""),
if(countif(np.erd,$D48),"P",""),
if(countif(var.erd,$D48),"V",""))</f>
        <v/>
      </c>
      <c r="S48" s="32" t="str">
        <f>
CONCATENATE(
if(countif(dd.gkxn,$D48),"D",""),
if(countif(knap.gkxn,$D48),"K",""),
if(countif(nap.gkxn,$D48),"N",""),
if(countif(np.gkxn,$D48),"P",""),
if(countif(imp.gkxn,$D48),"T",""),
if(countif(var.gkxn,$D48),"V",""))</f>
        <v/>
      </c>
      <c r="T48" s="32" t="str">
        <f>
CONCATENATE(
if(countif(dd.gen,$C48),"D",""),
if(countif(knap.gen,$C48),"K",""),
if(countif(nap.gen,$C48),"N",""),
if(countif(np.gen,$C48),"P",""),
if(countif(imp.gen,$C48),"T",""),
if(countif(var.gen,$C48),"V",""))</f>
        <v/>
      </c>
      <c r="U48" s="32" t="str">
        <f>
CONCATENATE(
if(countif(dd.hcc,$D48),"D",""),
if(countif(knap.hcc,$D48),"K",""),
if(countif(np.hcc,$D48),"P","")
)
</f>
        <v/>
      </c>
      <c r="V48" s="32" t="str">
        <f>
CONCATENATE(
if(countif(dd.kmp,$D48),"D",""),
if(countif(knap.kmp,$D48),"K",""),
if(countif(mic.kmp,$D48),"M",""),
if(countif(nap.kmp,$D48),"N",""),
if(countif(np.kmp,$D48),"P",""),
if(countif(imp.kmp,$D48),"T",""),
if(countif(us.kmp,$D48),"U",""),
if(countif(var.kmp,$D48),"V",""))</f>
        <v/>
      </c>
      <c r="W48" s="32" t="str">
        <f>
CONCATENATE(
if(countif(dd.lu2,$D48),"D",""),
if(countif(knap.lu2,$D48),"K",""),
if(countif(mic.lu2,$D48),"M",""),
if(countif(nap.lu2,$D48),"N",""),
if(countif(np.lu2,$D48),"P",""),
if(countif(imp.lu2,$D48),"T",""),
if(countif(us.lu2,$D48),"U",""),
if(countif(var.lu2,$D48),"V",""))</f>
        <v/>
      </c>
      <c r="X48" s="32" t="str">
        <f>
CONCATENATE(
if(countif(dd.myc,$D48),"D",""),
if(countif(knap.myc,$D48),"K",""), 
if(countif(mic.myc,$D48),"M",""),
if(countif(nap.myc,$D48),"N",""),
if(countif(np.myc,$D48),"P",""),
if(countif(imp.myc,$D48),"T",""),
if(countif(us.myc,$D48),"U",""),
if(countif(var.myc,$D48),"V",""))</f>
        <v/>
      </c>
      <c r="Y48" s="32" t="str">
        <f>CONCATENATE(
if(countif(dd.nar,$D48),"D",""),
if(countif(knap.nar,$D48),"K",""),
if(countif(nap.nar,$D48),"N",""),
if(countif(np.nar,$D48),"P",""),
if(countif(imp.nar,$D48),"T",""),
if(countif(us.nar,$D48),"U",""),
if(countif(var.nar,$D48),"V",""))</f>
        <v/>
      </c>
      <c r="Z48" s="33" t="str">
        <f>
CONCATENATE(
if(countif(dd.que,$D48),"D",""),
if(countif(knap.que,$D48),"K",""),
if(countif(mic.que,$D48),"M",""),
if(countif(nap.que,$D48),"N",""),
if(countif(np.que,$D48),"P",""),
if(countif(imp.que,$D48),"T",""),
if(countif(us.que,$D48),"U",""),
if(countif(var.que,$D48),"V",""))</f>
        <v/>
      </c>
      <c r="AA48" s="32"/>
      <c r="AB48" s="34" t="str">
        <f>
CONCATENATE(if(countif(knap.agi.sim,$D48),"K",""),
if(countif(dd.agi.sim,$D48),"D",""),
if(countif(nap.agi.sim,$D48),"A",""),
if(countif(var.agi.sim,$D48),"V",""))</f>
        <v/>
      </c>
      <c r="AC48" s="34" t="str">
        <f>
if(countif(nap.bun.sim,$D48),"A","")</f>
        <v/>
      </c>
      <c r="AD48" s="34" t="str">
        <f>
CONCATENATE(if(countif(knap.kxn.sim,$D48),"K",""),
if(countif(np.kxn.sim,$D48),"P",""),
if(countif(dd.kxn.sim,$D48),"D",""),
if(countif(nap.kxn.sim,$D48),"A",""),
if(countif(var.kxn.sim,$D48),"V",""))</f>
        <v/>
      </c>
      <c r="AE48" s="34" t="str">
        <f>
CONCATENATE(if(countif(knap.hwb.sim,$D48),"K",""),
if(countif(np.hwb.sim,$D48),"P",""),
if(countif(mic.hwb.sim,$D48),"M",""),
if(countif(imp.hwb.sim,$D48),"T",""),
if(countif(dd.cyan.sim,$D48),"D",""),
if(countif(nap.hwb.sim,$D48),"A",""),
if(countif(var.hwb.sim,$D48),"V",""))</f>
        <v/>
      </c>
      <c r="AF48" s="34" t="str">
        <f>
CONCATENATE(if(countif(us.ekxn.sim,$D48),"U",""),
if(countif(knap.ekxn.sim,$D48),"K",""),
if(countif(np.ekxn.sim,$D48),"P",""),
if(countif(mic.ekxn.sim,$D48),"M",""),
if(countif(imp.epc.sim,$D48),"T",""),
if(countif(nap.ekxn.sim,$D48),"A",""))</f>
        <v/>
      </c>
      <c r="AG48" s="34"/>
      <c r="AH48" s="34" t="str">
        <f>
CONCATENATE(if(countif(us.egt.sim,$D48),"U",""),
if(countif(knap.egt.sim,$D48),"K",""),
if(countif(np.egt.sim,$D48),"P",""),
if(countif(mic.egt.sim,$D48),"M",""))</f>
        <v/>
      </c>
      <c r="AI48" s="34"/>
      <c r="AJ48" s="34" t="str">
        <f>if(countif(nap.ecit.sim,$D48),"A","")</f>
        <v/>
      </c>
      <c r="AK48" s="34" t="str">
        <f>
CONCATENATE(if(countif(nap.erd,$D48),"M",""),
if(countif(nap.erd.sim,$D48),"A",""),
if(countif(var.erd.sim,$D48),"V",""))</f>
        <v/>
      </c>
      <c r="AL48" s="34" t="str">
        <f>
CONCATENATE(if(countif(knap.gkxn.sim,$D48),"K",""),
if(countif(nap.gkxn.sim,$D48),"A",""))</f>
        <v/>
      </c>
      <c r="AM48" s="34" t="str">
        <f>
CONCATENATE(if(countif(knap.gen.sim,$C48),"K",""),
if(countif(imp.gen.sim,$C48),"T",""),
if(countif(dd.gen.sim,$C48),"D",""),
if(countif(nap.gen.sim,$C48),"A",""),
if(countif(var.gen.sim,$C48),"V",""))
</f>
        <v/>
      </c>
      <c r="AN48" s="34" t="str">
        <f>IFERROR(__xludf.DUMMYFUNCTION("
if(countif(#REF!,CONCATENATE(regexextract($C48,""[\w]* [\w]*""), ""*"")),""V"","""")"),"")</f>
        <v/>
      </c>
      <c r="AO48" s="34" t="str">
        <f>
CONCATENATE(if(countif(knap.kmp.sim,$D48),"K",""),
if(countif(np.kmp.sim,$D48),"P",""),
if(countif(imp.kmp.sim,$D48),"T",""),
if(countif(dd.kmp,$D48),"D",""),
if(countif(nap.kmp.sim,$D48),"A",""),
if(countif(var.kmp.sim,$D48),"V",""))</f>
        <v/>
      </c>
      <c r="AP48" s="34" t="str">
        <f>
CONCATENATE(if(countif(knap.lu2.sim,$D48),"K",""),
if(countif(np.lu2.sim,$D48),"P",""),
if(countif(imp.lu2.sim,$D48),"T",""),
if(countif(dd.lu2.sim,$D48),"D",""),
if(countif(nap.lu2.sim,$D48),"A",""),
if(countif(var.lu2.sim,$D48),"V",""))</f>
        <v/>
      </c>
      <c r="AQ48" s="34" t="str">
        <f>
CONCATENATE(if(countif(np.myc.sim,$D48),"P",""),
if(countif(imp.myc.sim,$D48),"T",""),
if(countif(nap.myc.sim,$D48),"A",""))
</f>
        <v/>
      </c>
      <c r="AR48" s="36" t="str">
        <f>
CONCATENATE(if(countif(knap.nar.sim,$D48),"K",""),
if(countif(np.nar.sim,$D48),"P",""),
if(countif(imp.nar.sim,$D48),"T",""),
if(countif(dd.nar.sim,$D48),"D",""),
if(countif(nap.nar.sim,$D48),"A",""),
if(countif(var.nar.sim,$D48),"V",""))</f>
        <v/>
      </c>
      <c r="AS48" s="34" t="str">
        <f>
CONCATENATE(if(countif(knap.que.sim,$D48),"K",""),
if(countif(np.que.sim,$D48),"P",""),
if(countif(imp.que.sim,$D48),"T",""),
if(countif(dd.que.sim,$D48),"D",""),
if(countif(nap.que.sim,$D48),"A",""),
if(countif(var.que.sim,$D48),"V",""))</f>
        <v/>
      </c>
      <c r="AT48" s="37"/>
      <c r="AU48" s="32" t="str">
        <f>IFERROR(__xludf.DUMMYFUNCTION("if(countif(kr.agi, CONCATENATE(regexextract($C48,""[\w]* [\w]*""), ""*"")),""X"","""")"),"X")</f>
        <v>X</v>
      </c>
      <c r="AV48" s="38" t="str">
        <f>IFERROR(__xludf.DUMMYFUNCTION("if(countif(kr.bun,CONCATENATE(regexextract($C48,""[\w]* [\w]*""), ""*"")),""X"","""")"),"X")</f>
        <v>X</v>
      </c>
      <c r="AW48" s="38" t="str">
        <f>IFERROR(__xludf.DUMMYFUNCTION("if(countif(kr.kxn,CONCATENATE(regexextract($C48,""[\w]* [\w]*""), ""*"")),""X"","""")"),"X")</f>
        <v>X</v>
      </c>
      <c r="AX48" s="38" t="str">
        <f>IFERROR(__xludf.DUMMYFUNCTION("if(countif(kr.hwb,CONCATENATE(regexextract($C48,""[\w]* [\w]*""), ""*"")),""X"","""")"),"X")</f>
        <v>X</v>
      </c>
      <c r="AY48" s="38" t="str">
        <f>IFERROR(__xludf.DUMMYFUNCTION("if(countif(kr.ec,CONCATENATE(regexextract($C48,""[\w]* [\w]*""), ""*"")),""X"","""")"),"X")</f>
        <v>X</v>
      </c>
      <c r="AZ48" s="38" t="str">
        <f>IFERROR(__xludf.DUMMYFUNCTION("if(countif(kr.egt,CONCATENATE(regexextract($C48,""[\w]* [\w]*""), ""*"")),""X"","""")"),"X")</f>
        <v>X</v>
      </c>
      <c r="BA48" s="38"/>
      <c r="BB48" s="38" t="str">
        <f>IFERROR(__xludf.DUMMYFUNCTION("if(countif(kr.erd,CONCATENATE(regexextract($C48,""[\w]* [\w]*""), ""*"")),""X"","""")"),"X")</f>
        <v>X</v>
      </c>
      <c r="BC48" s="38" t="str">
        <f>IFERROR(__xludf.DUMMYFUNCTION("if(countif(kr.gkxn,CONCATENATE(regexextract($C48,""[\w]* [\w]*""), ""*"")),""X"","""")"),"X")</f>
        <v>X</v>
      </c>
      <c r="BD48" s="38" t="str">
        <f>IFERROR(__xludf.DUMMYFUNCTION("if(countif(kr.gen,CONCATENATE(regexextract(C48,""[\w]* [\w]*""), ""*"")),""X"","""")"),"")</f>
        <v/>
      </c>
      <c r="BE48" s="38" t="str">
        <f>IFERROR(__xludf.DUMMYFUNCTION("if(countif(kr.hcc,CONCATENATE(regexextract($C48,""[\w]* [\w]*""), ""*"")),""X"","""")"),"X")</f>
        <v>X</v>
      </c>
      <c r="BF48" s="38" t="str">
        <f>IFERROR(__xludf.DUMMYFUNCTION("if(countif(kr.kmp,CONCATENATE(regexextract($C48,""[\w]* [\w]*""), ""*"")),""X"","""")"),"X")</f>
        <v>X</v>
      </c>
      <c r="BG48" s="38" t="str">
        <f>IFERROR(__xludf.DUMMYFUNCTION("if(countif(kr.lu2,CONCATENATE(regexextract($C48,""[\w]* [\w]*""), ""*"")),""X"","""")"),"X")</f>
        <v>X</v>
      </c>
      <c r="BH48" s="38" t="str">
        <f>IFERROR(__xludf.DUMMYFUNCTION("if(countif(kr.myc,CONCATENATE(regexextract($C48,""[\w]* [\w]*""), ""*"")),""X"","""")"),"X")</f>
        <v>X</v>
      </c>
      <c r="BI48" s="38" t="str">
        <f>IFERROR(__xludf.DUMMYFUNCTION("if(countif(kr.nar,CONCATENATE(regexextract($C48,""[\w]* [\w]*""), ""*"")),""X"","""")"),"X")</f>
        <v>X</v>
      </c>
      <c r="BJ48" s="38" t="str">
        <f>IFERROR(__xludf.DUMMYFUNCTION("if(countif(kr.que,CONCATENATE(regexextract($C48,""[\w]* [\w]*""), ""*"")),""X"","""")"),"X")</f>
        <v>X</v>
      </c>
      <c r="BK48" s="39"/>
      <c r="BL48" s="40" t="str">
        <f>IFERROR(__xludf.DUMMYFUNCTION(" CONCATENATE( 
if (regexmatch(I48, ""^[A-Za-z\.\_]+""), ""L"", 
if(regexmatch(AB48, ""^[A-Za-z\.\_]+""),""S"","""")),
if(AU48=""X"",""K"",""""))"),"K")</f>
        <v>K</v>
      </c>
      <c r="BM48" s="40" t="str">
        <f>IFERROR(__xludf.DUMMYFUNCTION(" CONCATENATE( 
if (regexmatch(J48, ""^[A-Za-z\.\_]+""), ""L"", 
if(regexmatch(AC48, ""^[A-Za-z\.\_]+""),""S"","""")),
if(AV48=""X"",""K"",""""))"),"K")</f>
        <v>K</v>
      </c>
      <c r="BN48" s="40" t="str">
        <f>IFERROR(__xludf.DUMMYFUNCTION(" CONCATENATE( 
if (regexmatch(K48, ""^[A-Za-z\.\_]+""), ""L"", 
if(regexmatch(AD48, ""^[A-Za-z\.\_]+""),""S"","""")),
if(AW48=""X"",""K"",""""))"),"K")</f>
        <v>K</v>
      </c>
      <c r="BO48" s="40" t="str">
        <f>IFERROR(__xludf.DUMMYFUNCTION(" CONCATENATE( 
if (regexmatch(L48, ""^[A-Za-z\.\_]+""), ""L"", 
if(regexmatch(AE48, ""^[A-Za-z\.\_]+""),""S"","""")),
if(AX48=""X"",""K"",""""))"),"K")</f>
        <v>K</v>
      </c>
      <c r="BP48" s="40" t="str">
        <f>IFERROR(__xludf.DUMMYFUNCTION(" CONCATENATE( 
if (regexmatch(M48, ""^[A-Za-z\.\_]+""), ""L"", 
if(regexmatch(AF48, ""^[A-Za-z\.\_]+""),""S"","""")),
if(AY48=""X"",""K"",""""))"),"K")</f>
        <v>K</v>
      </c>
      <c r="BQ48" s="40" t="str">
        <f>IFERROR(__xludf.DUMMYFUNCTION("CONCATENATE( 
if (regexmatch(O48, ""^[A-Za-z\.\_]+""), ""L"", 
if(regexmatch(AH48, ""^[A-Za-z\.\_]+""),""S"","""")),
if(AZ48=""X"",""K"",""""))"),"K")</f>
        <v>K</v>
      </c>
      <c r="BR48" s="40" t="str">
        <f>IFERROR(__xludf.DUMMYFUNCTION("CONCATENATE( 
if (regexmatch(Q48, ""^[A-Za-z\.\_]+""), ""L"", 
if(regexmatch(AJ48, ""^[A-Za-z\.\_]+""),""S"","""")),
if(BA48=""X"",""K"",""""))"),"")</f>
        <v/>
      </c>
      <c r="BS48" s="40" t="str">
        <f>IFERROR(__xludf.DUMMYFUNCTION(" CONCATENATE( 
if (regexmatch(R48, ""^[A-Za-z\.\_]+""), ""L"", 
if(regexmatch(AK48, ""^[A-Za-z\.\_]+""),""S"","""")),
if(BB48=""X"",""K"",""""))"),"K")</f>
        <v>K</v>
      </c>
      <c r="BT48" s="40" t="str">
        <f>IFERROR(__xludf.DUMMYFUNCTION("CONCATENATE( 
if (regexmatch(S48, ""^[A-Za-z\.\_]+""), ""L"", 
if(regexmatch(AL48, ""^[A-Za-z\.\_]+""),""S"","""")),
if(BC48=""X"",""K"",""""))"),"K")</f>
        <v>K</v>
      </c>
      <c r="BU48" s="40" t="str">
        <f>IFERROR(__xludf.DUMMYFUNCTION("CONCATENATE( 
if (regexmatch(T48, ""^[A-Za-z\.\_]+""), ""L"", 
if(regexmatch(AM48, ""^[A-Za-z\.\_]+""),""S"","""")),
if(BD48=""X"",""K"",""""))"),"")</f>
        <v/>
      </c>
      <c r="BV48" s="40" t="str">
        <f>IFERROR(__xludf.DUMMYFUNCTION("CONCATENATE( 
if (regexmatch(U48, ""^[A-Za-z\.\_]+""), ""L"", 
if(regexmatch(AN48, ""^[A-Za-z\.\_]+""),""S"","""")),
if(BE48=""X"",""K"",""""))"),"K")</f>
        <v>K</v>
      </c>
      <c r="BW48" s="40" t="str">
        <f>IFERROR(__xludf.DUMMYFUNCTION(" CONCATENATE( 
if (regexmatch(V48, ""^[A-Za-z\.\_]+""), ""L"", 
if(regexmatch(AO48, ""^[A-Za-z\.\_]+""),""S"","""")),
if(BF48=""X"",""K"",""""))"),"K")</f>
        <v>K</v>
      </c>
      <c r="BX48" s="40" t="str">
        <f>IFERROR(__xludf.DUMMYFUNCTION("CONCATENATE( 
if (regexmatch(W48, ""^[A-Za-z\.\_]+""), ""L"", 
if(regexmatch(AP48, ""^[A-Za-z\.\_]+""),""S"","""")),
if(BG48=""X"",""K"",""""))"),"K")</f>
        <v>K</v>
      </c>
      <c r="BY48" s="40" t="str">
        <f>IFERROR(__xludf.DUMMYFUNCTION("CONCATENATE( 
if (regexmatch(X48, ""^[A-Za-z\.\_]+""), ""L"", 
if(regexmatch(AQ48, ""^[A-Za-z\.\_]+""),""S"","""")),
if(BH48=""X"",""K"",""""))"),"K")</f>
        <v>K</v>
      </c>
      <c r="BZ48" s="40" t="str">
        <f>IFERROR(__xludf.DUMMYFUNCTION("CONCATENATE( 
if (regexmatch(Y48, ""^[A-Za-z\.\_]+""), ""L"", 
if(regexmatch(AR48, ""^[A-Za-z\.\_]+""),""S"","""")),
if(BI48=""X"",""K"",""""))"),"K")</f>
        <v>K</v>
      </c>
      <c r="CA48" s="40" t="str">
        <f>IFERROR(__xludf.DUMMYFUNCTION("CONCATENATE( 
if (regexmatch(Z48, ""^[A-Za-z\.\_]+""), ""L"", 
if(regexmatch(AS48, ""^[A-Za-z\.\_]+""),""S"","""")),
if(BJ48=""X"",""K"",""""))"),"K")</f>
        <v>K</v>
      </c>
      <c r="CB48" s="39"/>
      <c r="CC48" s="39"/>
      <c r="CD48" s="39"/>
      <c r="CE48" s="39"/>
      <c r="CF48" s="39"/>
      <c r="CG48" s="39"/>
      <c r="CH48" s="39"/>
      <c r="CI48" s="39"/>
      <c r="CJ48" s="39"/>
      <c r="CK48" s="39"/>
      <c r="CL48" s="39"/>
      <c r="CM48" s="39"/>
      <c r="CN48" s="39"/>
      <c r="CO48" s="39"/>
      <c r="CP48" s="39"/>
      <c r="CQ48" s="39"/>
      <c r="CR48" s="39"/>
    </row>
    <row r="49" ht="15.75" customHeight="1">
      <c r="A49" s="25">
        <v>87.0</v>
      </c>
      <c r="B49" s="26" t="s">
        <v>221</v>
      </c>
      <c r="C49" s="27" t="s">
        <v>222</v>
      </c>
      <c r="D49" s="27" t="str">
        <f>IFERROR(__xludf.DUMMYFUNCTION("CONCATENATE(regexextract($C49,""[\w]* [\w]*""), ""*"")"),"Helianthus annuus*")</f>
        <v>Helianthus annuus*</v>
      </c>
      <c r="E49" s="26" t="s">
        <v>223</v>
      </c>
      <c r="F49" s="57">
        <v>4232.0</v>
      </c>
      <c r="G49" s="53"/>
      <c r="H49" s="31"/>
      <c r="I49" s="32" t="str">
        <f>CONCATENATE(
if(countif(dd.agi,$D49),"D",""),
if(countif(knap.agi,$D49),"K",""),
if(countif(mic.agi,$D49),"M",""),
if(countif(nap.agi,$D49),"N",""),
if(countif(np.agi,$D49),"P",""),
if(countif(imp.agi,$D49),"T",""),
if(countif(us.agi,$D49),"U",""),
if(countif(var.agi,$D49),"V","")
)</f>
        <v/>
      </c>
      <c r="J49" s="32" t="str">
        <f>
CONCATENATE(
if(countif(nap.bun,$D49),"N",""),
if(countif(np.bun,$D49),"P","")
)
</f>
        <v/>
      </c>
      <c r="K49" s="32" t="str">
        <f>CONCATENATE(
if(countif(dd.kxn,$D49),"D",""),
if(countif(knap.kxn,$D49),"K",""),
if(countif(mic.kxn,$D49),"M",""),
if(countif(nap.kxn,$D49),"N",""),
if(countif(np.kxn,$D49),"P",""),
if(countif(us.kxn,$D49),"U",""),
if(countif(var.kxn,$D49),"V","")
)</f>
        <v/>
      </c>
      <c r="L49" s="32" t="str">
        <f>
CONCATENATE(
if(countif(dd.hwb,$D49),"D",""),
if(countif(knap.hwb,$D49),"K",""),
if(countif(mic.hwb,$D49),"M",""),
if(countif(nap.hwb,$D49),"N",""),
if(countif(np.hwb,$D49),"P",""),
if(countif(us.hwb,$D49),"U",""),
if(countif(imp.hwb,$D49),"T",""),
if(countif(var.hwb,$D49),"V","")
)</f>
        <v/>
      </c>
      <c r="M49" s="32" t="str">
        <f>CONCATENATE(
if(countif(dd.epc,$D49),"D",""),
if(countif(knap.ekxn,$D49),"K",""),
if(countif(mic.ekxn,$D49),"M",""),
if(countif(nap.ekxn,$D49),"N",""),
if(countif(np.ekxn,$D49),"P",""),
if(countif(imp.epc,$D49),"T",""),
if(countif(us.ekxn,$D49),"U",""),
if(countif(var.ekxn,$D49),"V","")
)</f>
        <v/>
      </c>
      <c r="N49" s="32" t="str">
        <f>
CONCATENATE(
if(countif(dd.ecg,$D49),"D",""),
if(countif(mic.ecg,$D49),"M",""),
if(countif(np.ecg,$D49),"P",""),
if(countif(imp.ecg,$D49),"T",""),
if(countif(us.ecg,$D49),"U","")
)</f>
        <v/>
      </c>
      <c r="O49" s="32" t="str">
        <f>
CONCATENATE(
if(countif(dd.egt,$D49),"D",""),
if(countif(mic.egt,$D49),"M",""),
if(countif(nap.egt,$D49),"N",""),
if(countif(us.egt,$D49),"U",""),
if(countif(var.egt,$D49),"V",""))
</f>
        <v/>
      </c>
      <c r="P49" s="32" t="str">
        <f>CONCATENATE(
if(countif(knap.egcg,$D49),"K",""),
if(countif(mic.egcg,$D49),"M",""),
if(countif(np.egcg,$D49),"P",""),
if(countif(us.egcg,$D49),"U","")
)</f>
        <v/>
      </c>
      <c r="Q49" s="32" t="str">
        <f>CONCATENATE(if(countif(np.ecit,$D49),"P",""),
if(countif(nap.ecit,$D49),"A",""))</f>
        <v/>
      </c>
      <c r="R49" s="32" t="str">
        <f>
CONCATENATE(
if(countif(nap.erd,$D49),"N",""),
if(countif(np.erd,$D49),"P",""),
if(countif(var.erd,$D49),"V",""))</f>
        <v/>
      </c>
      <c r="S49" s="32" t="str">
        <f>
CONCATENATE(
if(countif(dd.gkxn,$D49),"D",""),
if(countif(knap.gkxn,$D49),"K",""),
if(countif(nap.gkxn,$D49),"N",""),
if(countif(np.gkxn,$D49),"P",""),
if(countif(imp.gkxn,$D49),"T",""),
if(countif(var.gkxn,$D49),"V",""))</f>
        <v/>
      </c>
      <c r="T49" s="32" t="str">
        <f>
CONCATENATE(
if(countif(dd.gen,$C49),"D",""),
if(countif(knap.gen,$C49),"K",""),
if(countif(nap.gen,$C49),"N",""),
if(countif(np.gen,$C49),"P",""),
if(countif(imp.gen,$C49),"T",""),
if(countif(var.gen,$C49),"V",""))</f>
        <v/>
      </c>
      <c r="U49" s="32" t="str">
        <f>
CONCATENATE(
if(countif(dd.hcc,$D49),"D",""),
if(countif(knap.hcc,$D49),"K",""),
if(countif(np.hcc,$D49),"P","")
)
</f>
        <v>D</v>
      </c>
      <c r="V49" s="32" t="str">
        <f>
CONCATENATE(
if(countif(dd.kmp,$D49),"D",""),
if(countif(knap.kmp,$D49),"K",""),
if(countif(mic.kmp,$D49),"M",""),
if(countif(nap.kmp,$D49),"N",""),
if(countif(np.kmp,$D49),"P",""),
if(countif(imp.kmp,$D49),"T",""),
if(countif(us.kmp,$D49),"U",""),
if(countif(var.kmp,$D49),"V",""))</f>
        <v/>
      </c>
      <c r="W49" s="32" t="str">
        <f>
CONCATENATE(
if(countif(dd.lu2,$D49),"D",""),
if(countif(knap.lu2,$D49),"K",""),
if(countif(mic.lu2,$D49),"M",""),
if(countif(nap.lu2,$D49),"N",""),
if(countif(np.lu2,$D49),"P",""),
if(countif(imp.lu2,$D49),"T",""),
if(countif(us.lu2,$D49),"U",""),
if(countif(var.lu2,$D49),"V",""))</f>
        <v>DN</v>
      </c>
      <c r="X49" s="32" t="str">
        <f>
CONCATENATE(
if(countif(dd.myc,$D49),"D",""),
if(countif(knap.myc,$D49),"K",""), 
if(countif(mic.myc,$D49),"M",""),
if(countif(nap.myc,$D49),"N",""),
if(countif(np.myc,$D49),"P",""),
if(countif(imp.myc,$D49),"T",""),
if(countif(us.myc,$D49),"U",""),
if(countif(var.myc,$D49),"V",""))</f>
        <v/>
      </c>
      <c r="Y49" s="32" t="str">
        <f>CONCATENATE(
if(countif(dd.nar,$D49),"D",""),
if(countif(knap.nar,$D49),"K",""),
if(countif(nap.nar,$D49),"N",""),
if(countif(np.nar,$D49),"P",""),
if(countif(imp.nar,$D49),"T",""),
if(countif(us.nar,$D49),"U",""),
if(countif(var.nar,$D49),"V",""))</f>
        <v/>
      </c>
      <c r="Z49" s="33" t="str">
        <f>
CONCATENATE(
if(countif(dd.que,$D49),"D",""),
if(countif(knap.que,$D49),"K",""),
if(countif(mic.que,$D49),"M",""),
if(countif(nap.que,$D49),"N",""),
if(countif(np.que,$D49),"P",""),
if(countif(imp.que,$D49),"T",""),
if(countif(us.que,$D49),"U",""),
if(countif(var.que,$D49),"V",""))</f>
        <v>DN</v>
      </c>
      <c r="AA49" s="32"/>
      <c r="AB49" s="34" t="str">
        <f>
CONCATENATE(if(countif(knap.agi.sim,$D49),"K",""),
if(countif(dd.agi.sim,$D49),"D",""),
if(countif(nap.agi.sim,$D49),"A",""),
if(countif(var.agi.sim,$D49),"V",""))</f>
        <v/>
      </c>
      <c r="AC49" s="34" t="str">
        <f>
if(countif(nap.bun.sim,$D49),"A","")</f>
        <v/>
      </c>
      <c r="AD49" s="34" t="str">
        <f>
CONCATENATE(if(countif(knap.kxn.sim,$D49),"K",""),
if(countif(np.kxn.sim,$D49),"P",""),
if(countif(dd.kxn.sim,$D49),"D",""),
if(countif(nap.kxn.sim,$D49),"A",""),
if(countif(var.kxn.sim,$D49),"V",""))</f>
        <v/>
      </c>
      <c r="AE49" s="34" t="str">
        <f>
CONCATENATE(if(countif(knap.hwb.sim,$D49),"K",""),
if(countif(np.hwb.sim,$D49),"P",""),
if(countif(mic.hwb.sim,$D49),"M",""),
if(countif(imp.hwb.sim,$D49),"T",""),
if(countif(dd.cyan.sim,$D49),"D",""),
if(countif(nap.hwb.sim,$D49),"A",""),
if(countif(var.hwb.sim,$D49),"V",""))</f>
        <v>KA</v>
      </c>
      <c r="AF49" s="34" t="str">
        <f>
CONCATENATE(if(countif(us.ekxn.sim,$D49),"U",""),
if(countif(knap.ekxn.sim,$D49),"K",""),
if(countif(np.ekxn.sim,$D49),"P",""),
if(countif(mic.ekxn.sim,$D49),"M",""),
if(countif(imp.epc.sim,$D49),"T",""),
if(countif(nap.ekxn.sim,$D49),"A",""))</f>
        <v/>
      </c>
      <c r="AG49" s="34"/>
      <c r="AH49" s="34" t="str">
        <f>
CONCATENATE(if(countif(us.egt.sim,$D49),"U",""),
if(countif(knap.egt.sim,$D49),"K",""),
if(countif(np.egt.sim,$D49),"P",""),
if(countif(mic.egt.sim,$D49),"M",""))</f>
        <v/>
      </c>
      <c r="AI49" s="34"/>
      <c r="AJ49" s="34" t="str">
        <f>if(countif(nap.ecit.sim,$D49),"A","")</f>
        <v/>
      </c>
      <c r="AK49" s="34" t="str">
        <f>
CONCATENATE(if(countif(nap.erd,$D49),"M",""),
if(countif(nap.erd.sim,$D49),"A",""),
if(countif(var.erd.sim,$D49),"V",""))</f>
        <v/>
      </c>
      <c r="AL49" s="34" t="str">
        <f>
CONCATENATE(if(countif(knap.gkxn.sim,$D49),"K",""),
if(countif(nap.gkxn.sim,$D49),"A",""))</f>
        <v/>
      </c>
      <c r="AM49" s="34" t="str">
        <f>
CONCATENATE(if(countif(knap.gen.sim,$C49),"K",""),
if(countif(imp.gen.sim,$C49),"T",""),
if(countif(dd.gen.sim,$C49),"D",""),
if(countif(nap.gen.sim,$C49),"A",""),
if(countif(var.gen.sim,$C49),"V",""))
</f>
        <v/>
      </c>
      <c r="AN49" s="34" t="str">
        <f>IFERROR(__xludf.DUMMYFUNCTION("
if(countif(#REF!,CONCATENATE(regexextract($C49,""[\w]* [\w]*""), ""*"")),""V"","""")"),"")</f>
        <v/>
      </c>
      <c r="AO49" s="34" t="str">
        <f>
CONCATENATE(if(countif(knap.kmp.sim,$D49),"K",""),
if(countif(np.kmp.sim,$D49),"P",""),
if(countif(imp.kmp.sim,$D49),"T",""),
if(countif(dd.kmp,$D49),"D",""),
if(countif(nap.kmp.sim,$D49),"A",""),
if(countif(var.kmp.sim,$D49),"V",""))</f>
        <v/>
      </c>
      <c r="AP49" s="34" t="str">
        <f>
CONCATENATE(if(countif(knap.lu2.sim,$D49),"K",""),
if(countif(np.lu2.sim,$D49),"P",""),
if(countif(imp.lu2.sim,$D49),"T",""),
if(countif(dd.lu2.sim,$D49),"D",""),
if(countif(nap.lu2.sim,$D49),"A",""),
if(countif(var.lu2.sim,$D49),"V",""))</f>
        <v/>
      </c>
      <c r="AQ49" s="34" t="str">
        <f>
CONCATENATE(if(countif(np.myc.sim,$D49),"P",""),
if(countif(imp.myc.sim,$D49),"T",""),
if(countif(nap.myc.sim,$D49),"A",""))
</f>
        <v/>
      </c>
      <c r="AR49" s="36" t="str">
        <f>
CONCATENATE(if(countif(knap.nar.sim,$D49),"K",""),
if(countif(np.nar.sim,$D49),"P",""),
if(countif(imp.nar.sim,$D49),"T",""),
if(countif(dd.nar.sim,$D49),"D",""),
if(countif(nap.nar.sim,$D49),"A",""),
if(countif(var.nar.sim,$D49),"V",""))</f>
        <v/>
      </c>
      <c r="AS49" s="34" t="str">
        <f>
CONCATENATE(if(countif(knap.que.sim,$D49),"K",""),
if(countif(np.que.sim,$D49),"P",""),
if(countif(imp.que.sim,$D49),"T",""),
if(countif(dd.que.sim,$D49),"D",""),
if(countif(nap.que.sim,$D49),"A",""),
if(countif(var.que.sim,$D49),"V",""))</f>
        <v>D</v>
      </c>
      <c r="AT49" s="37"/>
      <c r="AU49" s="32" t="str">
        <f>IFERROR(__xludf.DUMMYFUNCTION("if(countif(kr.agi, CONCATENATE(regexextract($C49,""[\w]* [\w]*""), ""*"")),""X"","""")"),"X")</f>
        <v>X</v>
      </c>
      <c r="AV49" s="38" t="str">
        <f>IFERROR(__xludf.DUMMYFUNCTION("if(countif(kr.bun,CONCATENATE(regexextract($C49,""[\w]* [\w]*""), ""*"")),""X"","""")"),"X")</f>
        <v>X</v>
      </c>
      <c r="AW49" s="38" t="str">
        <f>IFERROR(__xludf.DUMMYFUNCTION("if(countif(kr.kxn,CONCATENATE(regexextract($C49,""[\w]* [\w]*""), ""*"")),""X"","""")"),"X")</f>
        <v>X</v>
      </c>
      <c r="AX49" s="38" t="str">
        <f>IFERROR(__xludf.DUMMYFUNCTION("if(countif(kr.hwb,CONCATENATE(regexextract($C49,""[\w]* [\w]*""), ""*"")),""X"","""")"),"X")</f>
        <v>X</v>
      </c>
      <c r="AY49" s="38" t="str">
        <f>IFERROR(__xludf.DUMMYFUNCTION("if(countif(kr.ec,CONCATENATE(regexextract($C49,""[\w]* [\w]*""), ""*"")),""X"","""")"),"")</f>
        <v/>
      </c>
      <c r="AZ49" s="38" t="str">
        <f>IFERROR(__xludf.DUMMYFUNCTION("if(countif(kr.egt,CONCATENATE(regexextract($C49,""[\w]* [\w]*""), ""*"")),""X"","""")"),"")</f>
        <v/>
      </c>
      <c r="BA49" s="38"/>
      <c r="BB49" s="38" t="str">
        <f>IFERROR(__xludf.DUMMYFUNCTION("if(countif(kr.erd,CONCATENATE(regexextract($C49,""[\w]* [\w]*""), ""*"")),""X"","""")"),"X")</f>
        <v>X</v>
      </c>
      <c r="BC49" s="38" t="str">
        <f>IFERROR(__xludf.DUMMYFUNCTION("if(countif(kr.gkxn,CONCATENATE(regexextract($C49,""[\w]* [\w]*""), ""*"")),""X"","""")"),"")</f>
        <v/>
      </c>
      <c r="BD49" s="38" t="str">
        <f>IFERROR(__xludf.DUMMYFUNCTION("if(countif(kr.gen,CONCATENATE(regexextract(C49,""[\w]* [\w]*""), ""*"")),""X"","""")"),"")</f>
        <v/>
      </c>
      <c r="BE49" s="38" t="str">
        <f>IFERROR(__xludf.DUMMYFUNCTION("if(countif(kr.hcc,CONCATENATE(regexextract($C49,""[\w]* [\w]*""), ""*"")),""X"","""")"),"X")</f>
        <v>X</v>
      </c>
      <c r="BF49" s="38" t="str">
        <f>IFERROR(__xludf.DUMMYFUNCTION("if(countif(kr.kmp,CONCATENATE(regexextract($C49,""[\w]* [\w]*""), ""*"")),""X"","""")"),"X")</f>
        <v>X</v>
      </c>
      <c r="BG49" s="38" t="str">
        <f>IFERROR(__xludf.DUMMYFUNCTION("if(countif(kr.lu2,CONCATENATE(regexextract($C49,""[\w]* [\w]*""), ""*"")),""X"","""")"),"X")</f>
        <v>X</v>
      </c>
      <c r="BH49" s="38" t="str">
        <f>IFERROR(__xludf.DUMMYFUNCTION("if(countif(kr.myc,CONCATENATE(regexextract($C49,""[\w]* [\w]*""), ""*"")),""X"","""")"),"")</f>
        <v/>
      </c>
      <c r="BI49" s="38" t="str">
        <f>IFERROR(__xludf.DUMMYFUNCTION("if(countif(kr.nar,CONCATENATE(regexextract($C49,""[\w]* [\w]*""), ""*"")),""X"","""")"),"X")</f>
        <v>X</v>
      </c>
      <c r="BJ49" s="38" t="str">
        <f>IFERROR(__xludf.DUMMYFUNCTION("if(countif(kr.que,CONCATENATE(regexextract($C49,""[\w]* [\w]*""), ""*"")),""X"","""")"),"X")</f>
        <v>X</v>
      </c>
      <c r="BK49" s="39"/>
      <c r="BL49" s="40" t="str">
        <f>IFERROR(__xludf.DUMMYFUNCTION(" CONCATENATE( 
if (regexmatch(I49, ""^[A-Za-z\.\_]+""), ""L"", 
if(regexmatch(AB49, ""^[A-Za-z\.\_]+""),""S"","""")),
if(AU49=""X"",""K"",""""))"),"K")</f>
        <v>K</v>
      </c>
      <c r="BM49" s="40" t="str">
        <f>IFERROR(__xludf.DUMMYFUNCTION(" CONCATENATE( 
if (regexmatch(J49, ""^[A-Za-z\.\_]+""), ""L"", 
if(regexmatch(AC49, ""^[A-Za-z\.\_]+""),""S"","""")),
if(AV49=""X"",""K"",""""))"),"K")</f>
        <v>K</v>
      </c>
      <c r="BN49" s="40" t="str">
        <f>IFERROR(__xludf.DUMMYFUNCTION(" CONCATENATE( 
if (regexmatch(K49, ""^[A-Za-z\.\_]+""), ""L"", 
if(regexmatch(AD49, ""^[A-Za-z\.\_]+""),""S"","""")),
if(AW49=""X"",""K"",""""))"),"K")</f>
        <v>K</v>
      </c>
      <c r="BO49" s="40" t="str">
        <f>IFERROR(__xludf.DUMMYFUNCTION(" CONCATENATE( 
if (regexmatch(L49, ""^[A-Za-z\.\_]+""), ""L"", 
if(regexmatch(AE49, ""^[A-Za-z\.\_]+""),""S"","""")),
if(AX49=""X"",""K"",""""))"),"SK")</f>
        <v>SK</v>
      </c>
      <c r="BP49" s="40" t="str">
        <f>IFERROR(__xludf.DUMMYFUNCTION(" CONCATENATE( 
if (regexmatch(M49, ""^[A-Za-z\.\_]+""), ""L"", 
if(regexmatch(AF49, ""^[A-Za-z\.\_]+""),""S"","""")),
if(AY49=""X"",""K"",""""))"),"")</f>
        <v/>
      </c>
      <c r="BQ49" s="40" t="str">
        <f>IFERROR(__xludf.DUMMYFUNCTION("CONCATENATE( 
if (regexmatch(O49, ""^[A-Za-z\.\_]+""), ""L"", 
if(regexmatch(AH49, ""^[A-Za-z\.\_]+""),""S"","""")),
if(AZ49=""X"",""K"",""""))"),"")</f>
        <v/>
      </c>
      <c r="BR49" s="40" t="str">
        <f>IFERROR(__xludf.DUMMYFUNCTION("CONCATENATE( 
if (regexmatch(Q49, ""^[A-Za-z\.\_]+""), ""L"", 
if(regexmatch(AJ49, ""^[A-Za-z\.\_]+""),""S"","""")),
if(BA49=""X"",""K"",""""))"),"")</f>
        <v/>
      </c>
      <c r="BS49" s="40" t="str">
        <f>IFERROR(__xludf.DUMMYFUNCTION(" CONCATENATE( 
if (regexmatch(R49, ""^[A-Za-z\.\_]+""), ""L"", 
if(regexmatch(AK49, ""^[A-Za-z\.\_]+""),""S"","""")),
if(BB49=""X"",""K"",""""))"),"K")</f>
        <v>K</v>
      </c>
      <c r="BT49" s="40" t="str">
        <f>IFERROR(__xludf.DUMMYFUNCTION("CONCATENATE( 
if (regexmatch(S49, ""^[A-Za-z\.\_]+""), ""L"", 
if(regexmatch(AL49, ""^[A-Za-z\.\_]+""),""S"","""")),
if(BC49=""X"",""K"",""""))"),"")</f>
        <v/>
      </c>
      <c r="BU49" s="40" t="str">
        <f>IFERROR(__xludf.DUMMYFUNCTION("CONCATENATE( 
if (regexmatch(T49, ""^[A-Za-z\.\_]+""), ""L"", 
if(regexmatch(AM49, ""^[A-Za-z\.\_]+""),""S"","""")),
if(BD49=""X"",""K"",""""))"),"")</f>
        <v/>
      </c>
      <c r="BV49" s="40" t="str">
        <f>IFERROR(__xludf.DUMMYFUNCTION("CONCATENATE( 
if (regexmatch(U49, ""^[A-Za-z\.\_]+""), ""L"", 
if(regexmatch(AN49, ""^[A-Za-z\.\_]+""),""S"","""")),
if(BE49=""X"",""K"",""""))"),"LK")</f>
        <v>LK</v>
      </c>
      <c r="BW49" s="40" t="str">
        <f>IFERROR(__xludf.DUMMYFUNCTION(" CONCATENATE( 
if (regexmatch(V49, ""^[A-Za-z\.\_]+""), ""L"", 
if(regexmatch(AO49, ""^[A-Za-z\.\_]+""),""S"","""")),
if(BF49=""X"",""K"",""""))"),"K")</f>
        <v>K</v>
      </c>
      <c r="BX49" s="40" t="str">
        <f>IFERROR(__xludf.DUMMYFUNCTION("CONCATENATE( 
if (regexmatch(W49, ""^[A-Za-z\.\_]+""), ""L"", 
if(regexmatch(AP49, ""^[A-Za-z\.\_]+""),""S"","""")),
if(BG49=""X"",""K"",""""))"),"LK")</f>
        <v>LK</v>
      </c>
      <c r="BY49" s="40" t="str">
        <f>IFERROR(__xludf.DUMMYFUNCTION("CONCATENATE( 
if (regexmatch(X49, ""^[A-Za-z\.\_]+""), ""L"", 
if(regexmatch(AQ49, ""^[A-Za-z\.\_]+""),""S"","""")),
if(BH49=""X"",""K"",""""))"),"")</f>
        <v/>
      </c>
      <c r="BZ49" s="40" t="str">
        <f>IFERROR(__xludf.DUMMYFUNCTION("CONCATENATE( 
if (regexmatch(Y49, ""^[A-Za-z\.\_]+""), ""L"", 
if(regexmatch(AR49, ""^[A-Za-z\.\_]+""),""S"","""")),
if(BI49=""X"",""K"",""""))"),"K")</f>
        <v>K</v>
      </c>
      <c r="CA49" s="40" t="str">
        <f>IFERROR(__xludf.DUMMYFUNCTION("CONCATENATE( 
if (regexmatch(Z49, ""^[A-Za-z\.\_]+""), ""L"", 
if(regexmatch(AS49, ""^[A-Za-z\.\_]+""),""S"","""")),
if(BJ49=""X"",""K"",""""))"),"LK")</f>
        <v>LK</v>
      </c>
      <c r="CB49" s="39"/>
      <c r="CC49" s="39"/>
      <c r="CD49" s="39"/>
      <c r="CE49" s="39"/>
      <c r="CF49" s="39"/>
      <c r="CG49" s="39"/>
      <c r="CH49" s="39"/>
      <c r="CI49" s="39"/>
      <c r="CJ49" s="39"/>
      <c r="CK49" s="39"/>
      <c r="CL49" s="39"/>
      <c r="CM49" s="39"/>
      <c r="CN49" s="39"/>
      <c r="CO49" s="39"/>
      <c r="CP49" s="39"/>
      <c r="CQ49" s="39"/>
      <c r="CR49" s="39"/>
    </row>
    <row r="50" ht="15.75" customHeight="1">
      <c r="A50" s="25">
        <v>57.0</v>
      </c>
      <c r="B50" s="26" t="s">
        <v>224</v>
      </c>
      <c r="C50" s="27" t="s">
        <v>225</v>
      </c>
      <c r="D50" s="27" t="str">
        <f>IFERROR(__xludf.DUMMYFUNCTION("CONCATENATE(regexextract($C50,""[\w]* [\w]*""), ""*"")"),"Hevea brasiliensis*")</f>
        <v>Hevea brasiliensis*</v>
      </c>
      <c r="E50" s="26" t="s">
        <v>226</v>
      </c>
      <c r="F50" s="57">
        <v>3981.0</v>
      </c>
      <c r="G50" s="53"/>
      <c r="H50" s="31"/>
      <c r="I50" s="32" t="str">
        <f>CONCATENATE(
if(countif(dd.agi,$D50),"D",""),
if(countif(knap.agi,$D50),"K",""),
if(countif(mic.agi,$D50),"M",""),
if(countif(nap.agi,$D50),"N",""),
if(countif(np.agi,$D50),"P",""),
if(countif(imp.agi,$D50),"T",""),
if(countif(us.agi,$D50),"U",""),
if(countif(var.agi,$D50),"V","")
)</f>
        <v/>
      </c>
      <c r="J50" s="32" t="str">
        <f>
CONCATENATE(
if(countif(nap.bun,$D50),"N",""),
if(countif(np.bun,$D50),"P","")
)
</f>
        <v/>
      </c>
      <c r="K50" s="32" t="str">
        <f>CONCATENATE(
if(countif(dd.kxn,$D50),"D",""),
if(countif(knap.kxn,$D50),"K",""),
if(countif(mic.kxn,$D50),"M",""),
if(countif(nap.kxn,$D50),"N",""),
if(countif(np.kxn,$D50),"P",""),
if(countif(us.kxn,$D50),"U",""),
if(countif(var.kxn,$D50),"V","")
)</f>
        <v/>
      </c>
      <c r="L50" s="32" t="str">
        <f>
CONCATENATE(
if(countif(dd.hwb,$D50),"D",""),
if(countif(knap.hwb,$D50),"K",""),
if(countif(mic.hwb,$D50),"M",""),
if(countif(nap.hwb,$D50),"N",""),
if(countif(np.hwb,$D50),"P",""),
if(countif(us.hwb,$D50),"U",""),
if(countif(imp.hwb,$D50),"T",""),
if(countif(var.hwb,$D50),"V","")
)</f>
        <v/>
      </c>
      <c r="M50" s="32" t="str">
        <f>CONCATENATE(
if(countif(dd.epc,$D50),"D",""),
if(countif(knap.ekxn,$D50),"K",""),
if(countif(mic.ekxn,$D50),"M",""),
if(countif(nap.ekxn,$D50),"N",""),
if(countif(np.ekxn,$D50),"P",""),
if(countif(imp.epc,$D50),"T",""),
if(countif(us.ekxn,$D50),"U",""),
if(countif(var.ekxn,$D50),"V","")
)</f>
        <v/>
      </c>
      <c r="N50" s="32" t="str">
        <f>
CONCATENATE(
if(countif(dd.ecg,$D50),"D",""),
if(countif(mic.ecg,$D50),"M",""),
if(countif(np.ecg,$D50),"P",""),
if(countif(imp.ecg,$D50),"T",""),
if(countif(us.ecg,$D50),"U","")
)</f>
        <v/>
      </c>
      <c r="O50" s="32" t="str">
        <f>
CONCATENATE(
if(countif(dd.egt,$D50),"D",""),
if(countif(mic.egt,$D50),"M",""),
if(countif(nap.egt,$D50),"N",""),
if(countif(us.egt,$D50),"U",""),
if(countif(var.egt,$D50),"V",""))
</f>
        <v/>
      </c>
      <c r="P50" s="32" t="str">
        <f>CONCATENATE(
if(countif(knap.egcg,$D50),"K",""),
if(countif(mic.egcg,$D50),"M",""),
if(countif(np.egcg,$D50),"P",""),
if(countif(us.egcg,$D50),"U","")
)</f>
        <v/>
      </c>
      <c r="Q50" s="32" t="str">
        <f>CONCATENATE(if(countif(np.ecit,$D50),"P",""),
if(countif(nap.ecit,$D50),"A",""))</f>
        <v/>
      </c>
      <c r="R50" s="32" t="str">
        <f>
CONCATENATE(
if(countif(nap.erd,$D50),"N",""),
if(countif(np.erd,$D50),"P",""),
if(countif(var.erd,$D50),"V",""))</f>
        <v/>
      </c>
      <c r="S50" s="32" t="str">
        <f>
CONCATENATE(
if(countif(dd.gkxn,$D50),"D",""),
if(countif(knap.gkxn,$D50),"K",""),
if(countif(nap.gkxn,$D50),"N",""),
if(countif(np.gkxn,$D50),"P",""),
if(countif(imp.gkxn,$D50),"T",""),
if(countif(var.gkxn,$D50),"V",""))</f>
        <v/>
      </c>
      <c r="T50" s="32" t="str">
        <f>
CONCATENATE(
if(countif(dd.gen,$C50),"D",""),
if(countif(knap.gen,$C50),"K",""),
if(countif(nap.gen,$C50),"N",""),
if(countif(np.gen,$C50),"P",""),
if(countif(imp.gen,$C50),"T",""),
if(countif(var.gen,$C50),"V",""))</f>
        <v/>
      </c>
      <c r="U50" s="32" t="str">
        <f>
CONCATENATE(
if(countif(dd.hcc,$D50),"D",""),
if(countif(knap.hcc,$D50),"K",""),
if(countif(np.hcc,$D50),"P","")
)
</f>
        <v/>
      </c>
      <c r="V50" s="32" t="str">
        <f>
CONCATENATE(
if(countif(dd.kmp,$D50),"D",""),
if(countif(knap.kmp,$D50),"K",""),
if(countif(mic.kmp,$D50),"M",""),
if(countif(nap.kmp,$D50),"N",""),
if(countif(np.kmp,$D50),"P",""),
if(countif(imp.kmp,$D50),"T",""),
if(countif(us.kmp,$D50),"U",""),
if(countif(var.kmp,$D50),"V",""))</f>
        <v>N</v>
      </c>
      <c r="W50" s="32" t="str">
        <f>
CONCATENATE(
if(countif(dd.lu2,$D50),"D",""),
if(countif(knap.lu2,$D50),"K",""),
if(countif(mic.lu2,$D50),"M",""),
if(countif(nap.lu2,$D50),"N",""),
if(countif(np.lu2,$D50),"P",""),
if(countif(imp.lu2,$D50),"T",""),
if(countif(us.lu2,$D50),"U",""),
if(countif(var.lu2,$D50),"V",""))</f>
        <v/>
      </c>
      <c r="X50" s="32" t="str">
        <f>
CONCATENATE(
if(countif(dd.myc,$D50),"D",""),
if(countif(knap.myc,$D50),"K",""), 
if(countif(mic.myc,$D50),"M",""),
if(countif(nap.myc,$D50),"N",""),
if(countif(np.myc,$D50),"P",""),
if(countif(imp.myc,$D50),"T",""),
if(countif(us.myc,$D50),"U",""),
if(countif(var.myc,$D50),"V",""))</f>
        <v/>
      </c>
      <c r="Y50" s="32" t="str">
        <f>CONCATENATE(
if(countif(dd.nar,$D50),"D",""),
if(countif(knap.nar,$D50),"K",""),
if(countif(nap.nar,$D50),"N",""),
if(countif(np.nar,$D50),"P",""),
if(countif(imp.nar,$D50),"T",""),
if(countif(us.nar,$D50),"U",""),
if(countif(var.nar,$D50),"V",""))</f>
        <v/>
      </c>
      <c r="Z50" s="33" t="str">
        <f>
CONCATENATE(
if(countif(dd.que,$D50),"D",""),
if(countif(knap.que,$D50),"K",""),
if(countif(mic.que,$D50),"M",""),
if(countif(nap.que,$D50),"N",""),
if(countif(np.que,$D50),"P",""),
if(countif(imp.que,$D50),"T",""),
if(countif(us.que,$D50),"U",""),
if(countif(var.que,$D50),"V",""))</f>
        <v>N</v>
      </c>
      <c r="AA50" s="32"/>
      <c r="AB50" s="34" t="str">
        <f>
CONCATENATE(if(countif(knap.agi.sim,$D50),"K",""),
if(countif(dd.agi.sim,$D50),"D",""),
if(countif(nap.agi.sim,$D50),"A",""),
if(countif(var.agi.sim,$D50),"V",""))</f>
        <v/>
      </c>
      <c r="AC50" s="34" t="str">
        <f>
if(countif(nap.bun.sim,$D50),"A","")</f>
        <v/>
      </c>
      <c r="AD50" s="34" t="str">
        <f>
CONCATENATE(if(countif(knap.kxn.sim,$D50),"K",""),
if(countif(np.kxn.sim,$D50),"P",""),
if(countif(dd.kxn.sim,$D50),"D",""),
if(countif(nap.kxn.sim,$D50),"A",""),
if(countif(var.kxn.sim,$D50),"V",""))</f>
        <v/>
      </c>
      <c r="AE50" s="34" t="str">
        <f>
CONCATENATE(if(countif(knap.hwb.sim,$D50),"K",""),
if(countif(np.hwb.sim,$D50),"P",""),
if(countif(mic.hwb.sim,$D50),"M",""),
if(countif(imp.hwb.sim,$D50),"T",""),
if(countif(dd.cyan.sim,$D50),"D",""),
if(countif(nap.hwb.sim,$D50),"A",""),
if(countif(var.hwb.sim,$D50),"V",""))</f>
        <v/>
      </c>
      <c r="AF50" s="34" t="str">
        <f>
CONCATENATE(if(countif(us.ekxn.sim,$D50),"U",""),
if(countif(knap.ekxn.sim,$D50),"K",""),
if(countif(np.ekxn.sim,$D50),"P",""),
if(countif(mic.ekxn.sim,$D50),"M",""),
if(countif(imp.epc.sim,$D50),"T",""),
if(countif(nap.ekxn.sim,$D50),"A",""))</f>
        <v/>
      </c>
      <c r="AG50" s="34"/>
      <c r="AH50" s="34" t="str">
        <f>
CONCATENATE(if(countif(us.egt.sim,$D50),"U",""),
if(countif(knap.egt.sim,$D50),"K",""),
if(countif(np.egt.sim,$D50),"P",""),
if(countif(mic.egt.sim,$D50),"M",""))</f>
        <v/>
      </c>
      <c r="AI50" s="34"/>
      <c r="AJ50" s="34" t="str">
        <f>if(countif(nap.ecit.sim,$D50),"A","")</f>
        <v/>
      </c>
      <c r="AK50" s="34" t="str">
        <f>
CONCATENATE(if(countif(nap.erd,$D50),"M",""),
if(countif(nap.erd.sim,$D50),"A",""),
if(countif(var.erd.sim,$D50),"V",""))</f>
        <v/>
      </c>
      <c r="AL50" s="34" t="str">
        <f>
CONCATENATE(if(countif(knap.gkxn.sim,$D50),"K",""),
if(countif(nap.gkxn.sim,$D50),"A",""))</f>
        <v/>
      </c>
      <c r="AM50" s="34" t="str">
        <f>
CONCATENATE(if(countif(knap.gen.sim,$C50),"K",""),
if(countif(imp.gen.sim,$C50),"T",""),
if(countif(dd.gen.sim,$C50),"D",""),
if(countif(nap.gen.sim,$C50),"A",""),
if(countif(var.gen.sim,$C50),"V",""))
</f>
        <v/>
      </c>
      <c r="AN50" s="34" t="str">
        <f>IFERROR(__xludf.DUMMYFUNCTION("
if(countif(#REF!,CONCATENATE(regexextract($C50,""[\w]* [\w]*""), ""*"")),""V"","""")"),"")</f>
        <v/>
      </c>
      <c r="AO50" s="34" t="str">
        <f>
CONCATENATE(if(countif(knap.kmp.sim,$D50),"K",""),
if(countif(np.kmp.sim,$D50),"P",""),
if(countif(imp.kmp.sim,$D50),"T",""),
if(countif(dd.kmp,$D50),"D",""),
if(countif(nap.kmp.sim,$D50),"A",""),
if(countif(var.kmp.sim,$D50),"V",""))</f>
        <v/>
      </c>
      <c r="AP50" s="34" t="str">
        <f>
CONCATENATE(if(countif(knap.lu2.sim,$D50),"K",""),
if(countif(np.lu2.sim,$D50),"P",""),
if(countif(imp.lu2.sim,$D50),"T",""),
if(countif(dd.lu2.sim,$D50),"D",""),
if(countif(nap.lu2.sim,$D50),"A",""),
if(countif(var.lu2.sim,$D50),"V",""))</f>
        <v/>
      </c>
      <c r="AQ50" s="34" t="str">
        <f>
CONCATENATE(if(countif(np.myc.sim,$D50),"P",""),
if(countif(imp.myc.sim,$D50),"T",""),
if(countif(nap.myc.sim,$D50),"A",""))
</f>
        <v/>
      </c>
      <c r="AR50" s="36" t="str">
        <f>
CONCATENATE(if(countif(knap.nar.sim,$D50),"K",""),
if(countif(np.nar.sim,$D50),"P",""),
if(countif(imp.nar.sim,$D50),"T",""),
if(countif(dd.nar.sim,$D50),"D",""),
if(countif(nap.nar.sim,$D50),"A",""),
if(countif(var.nar.sim,$D50),"V",""))</f>
        <v/>
      </c>
      <c r="AS50" s="34" t="str">
        <f>
CONCATENATE(if(countif(knap.que.sim,$D50),"K",""),
if(countif(np.que.sim,$D50),"P",""),
if(countif(imp.que.sim,$D50),"T",""),
if(countif(dd.que.sim,$D50),"D",""),
if(countif(nap.que.sim,$D50),"A",""),
if(countif(var.que.sim,$D50),"V",""))</f>
        <v/>
      </c>
      <c r="AT50" s="37"/>
      <c r="AU50" s="32" t="str">
        <f>IFERROR(__xludf.DUMMYFUNCTION("if(countif(kr.agi, CONCATENATE(regexextract($C50,""[\w]* [\w]*""), ""*"")),""X"","""")"),"X")</f>
        <v>X</v>
      </c>
      <c r="AV50" s="38" t="str">
        <f>IFERROR(__xludf.DUMMYFUNCTION("if(countif(kr.bun,CONCATENATE(regexextract($C50,""[\w]* [\w]*""), ""*"")),""X"","""")"),"X")</f>
        <v>X</v>
      </c>
      <c r="AW50" s="38" t="str">
        <f>IFERROR(__xludf.DUMMYFUNCTION("if(countif(kr.kxn,CONCATENATE(regexextract($C50,""[\w]* [\w]*""), ""*"")),""X"","""")"),"X")</f>
        <v>X</v>
      </c>
      <c r="AX50" s="38" t="str">
        <f>IFERROR(__xludf.DUMMYFUNCTION("if(countif(kr.hwb,CONCATENATE(regexextract($C50,""[\w]* [\w]*""), ""*"")),""X"","""")"),"X")</f>
        <v>X</v>
      </c>
      <c r="AY50" s="38" t="str">
        <f>IFERROR(__xludf.DUMMYFUNCTION("if(countif(kr.ec,CONCATENATE(regexextract($C50,""[\w]* [\w]*""), ""*"")),""X"","""")"),"X")</f>
        <v>X</v>
      </c>
      <c r="AZ50" s="38" t="str">
        <f>IFERROR(__xludf.DUMMYFUNCTION("if(countif(kr.egt,CONCATENATE(regexextract($C50,""[\w]* [\w]*""), ""*"")),""X"","""")"),"X")</f>
        <v>X</v>
      </c>
      <c r="BA50" s="38"/>
      <c r="BB50" s="38" t="str">
        <f>IFERROR(__xludf.DUMMYFUNCTION("if(countif(kr.erd,CONCATENATE(regexextract($C50,""[\w]* [\w]*""), ""*"")),""X"","""")"),"X")</f>
        <v>X</v>
      </c>
      <c r="BC50" s="38" t="str">
        <f>IFERROR(__xludf.DUMMYFUNCTION("if(countif(kr.gkxn,CONCATENATE(regexextract($C50,""[\w]* [\w]*""), ""*"")),""X"","""")"),"X")</f>
        <v>X</v>
      </c>
      <c r="BD50" s="38" t="str">
        <f>IFERROR(__xludf.DUMMYFUNCTION("if(countif(kr.gen,CONCATENATE(regexextract(C50,""[\w]* [\w]*""), ""*"")),""X"","""")"),"")</f>
        <v/>
      </c>
      <c r="BE50" s="38" t="str">
        <f>IFERROR(__xludf.DUMMYFUNCTION("if(countif(kr.hcc,CONCATENATE(regexextract($C50,""[\w]* [\w]*""), ""*"")),""X"","""")"),"X")</f>
        <v>X</v>
      </c>
      <c r="BF50" s="38" t="str">
        <f>IFERROR(__xludf.DUMMYFUNCTION("if(countif(kr.kmp,CONCATENATE(regexextract($C50,""[\w]* [\w]*""), ""*"")),""X"","""")"),"X")</f>
        <v>X</v>
      </c>
      <c r="BG50" s="38" t="str">
        <f>IFERROR(__xludf.DUMMYFUNCTION("if(countif(kr.lu2,CONCATENATE(regexextract($C50,""[\w]* [\w]*""), ""*"")),""X"","""")"),"X")</f>
        <v>X</v>
      </c>
      <c r="BH50" s="38" t="str">
        <f>IFERROR(__xludf.DUMMYFUNCTION("if(countif(kr.myc,CONCATENATE(regexextract($C50,""[\w]* [\w]*""), ""*"")),""X"","""")"),"X")</f>
        <v>X</v>
      </c>
      <c r="BI50" s="38" t="str">
        <f>IFERROR(__xludf.DUMMYFUNCTION("if(countif(kr.nar,CONCATENATE(regexextract($C50,""[\w]* [\w]*""), ""*"")),""X"","""")"),"X")</f>
        <v>X</v>
      </c>
      <c r="BJ50" s="38" t="str">
        <f>IFERROR(__xludf.DUMMYFUNCTION("if(countif(kr.que,CONCATENATE(regexextract($C50,""[\w]* [\w]*""), ""*"")),""X"","""")"),"X")</f>
        <v>X</v>
      </c>
      <c r="BK50" s="39"/>
      <c r="BL50" s="40" t="str">
        <f>IFERROR(__xludf.DUMMYFUNCTION(" CONCATENATE( 
if (regexmatch(I50, ""^[A-Za-z\.\_]+""), ""L"", 
if(regexmatch(AB50, ""^[A-Za-z\.\_]+""),""S"","""")),
if(AU50=""X"",""K"",""""))"),"K")</f>
        <v>K</v>
      </c>
      <c r="BM50" s="40" t="str">
        <f>IFERROR(__xludf.DUMMYFUNCTION(" CONCATENATE( 
if (regexmatch(J50, ""^[A-Za-z\.\_]+""), ""L"", 
if(regexmatch(AC50, ""^[A-Za-z\.\_]+""),""S"","""")),
if(AV50=""X"",""K"",""""))"),"K")</f>
        <v>K</v>
      </c>
      <c r="BN50" s="40" t="str">
        <f>IFERROR(__xludf.DUMMYFUNCTION(" CONCATENATE( 
if (regexmatch(K50, ""^[A-Za-z\.\_]+""), ""L"", 
if(regexmatch(AD50, ""^[A-Za-z\.\_]+""),""S"","""")),
if(AW50=""X"",""K"",""""))"),"K")</f>
        <v>K</v>
      </c>
      <c r="BO50" s="40" t="str">
        <f>IFERROR(__xludf.DUMMYFUNCTION(" CONCATENATE( 
if (regexmatch(L50, ""^[A-Za-z\.\_]+""), ""L"", 
if(regexmatch(AE50, ""^[A-Za-z\.\_]+""),""S"","""")),
if(AX50=""X"",""K"",""""))"),"K")</f>
        <v>K</v>
      </c>
      <c r="BP50" s="40" t="str">
        <f>IFERROR(__xludf.DUMMYFUNCTION(" CONCATENATE( 
if (regexmatch(M50, ""^[A-Za-z\.\_]+""), ""L"", 
if(regexmatch(AF50, ""^[A-Za-z\.\_]+""),""S"","""")),
if(AY50=""X"",""K"",""""))"),"K")</f>
        <v>K</v>
      </c>
      <c r="BQ50" s="40" t="str">
        <f>IFERROR(__xludf.DUMMYFUNCTION("CONCATENATE( 
if (regexmatch(O50, ""^[A-Za-z\.\_]+""), ""L"", 
if(regexmatch(AH50, ""^[A-Za-z\.\_]+""),""S"","""")),
if(AZ50=""X"",""K"",""""))"),"K")</f>
        <v>K</v>
      </c>
      <c r="BR50" s="40" t="str">
        <f>IFERROR(__xludf.DUMMYFUNCTION("CONCATENATE( 
if (regexmatch(Q50, ""^[A-Za-z\.\_]+""), ""L"", 
if(regexmatch(AJ50, ""^[A-Za-z\.\_]+""),""S"","""")),
if(BA50=""X"",""K"",""""))"),"")</f>
        <v/>
      </c>
      <c r="BS50" s="40" t="str">
        <f>IFERROR(__xludf.DUMMYFUNCTION(" CONCATENATE( 
if (regexmatch(R50, ""^[A-Za-z\.\_]+""), ""L"", 
if(regexmatch(AK50, ""^[A-Za-z\.\_]+""),""S"","""")),
if(BB50=""X"",""K"",""""))"),"K")</f>
        <v>K</v>
      </c>
      <c r="BT50" s="40" t="str">
        <f>IFERROR(__xludf.DUMMYFUNCTION("CONCATENATE( 
if (regexmatch(S50, ""^[A-Za-z\.\_]+""), ""L"", 
if(regexmatch(AL50, ""^[A-Za-z\.\_]+""),""S"","""")),
if(BC50=""X"",""K"",""""))"),"K")</f>
        <v>K</v>
      </c>
      <c r="BU50" s="40" t="str">
        <f>IFERROR(__xludf.DUMMYFUNCTION("CONCATENATE( 
if (regexmatch(T50, ""^[A-Za-z\.\_]+""), ""L"", 
if(regexmatch(AM50, ""^[A-Za-z\.\_]+""),""S"","""")),
if(BD50=""X"",""K"",""""))"),"")</f>
        <v/>
      </c>
      <c r="BV50" s="40" t="str">
        <f>IFERROR(__xludf.DUMMYFUNCTION("CONCATENATE( 
if (regexmatch(U50, ""^[A-Za-z\.\_]+""), ""L"", 
if(regexmatch(AN50, ""^[A-Za-z\.\_]+""),""S"","""")),
if(BE50=""X"",""K"",""""))"),"K")</f>
        <v>K</v>
      </c>
      <c r="BW50" s="40" t="str">
        <f>IFERROR(__xludf.DUMMYFUNCTION(" CONCATENATE( 
if (regexmatch(V50, ""^[A-Za-z\.\_]+""), ""L"", 
if(regexmatch(AO50, ""^[A-Za-z\.\_]+""),""S"","""")),
if(BF50=""X"",""K"",""""))"),"LK")</f>
        <v>LK</v>
      </c>
      <c r="BX50" s="40" t="str">
        <f>IFERROR(__xludf.DUMMYFUNCTION("CONCATENATE( 
if (regexmatch(W50, ""^[A-Za-z\.\_]+""), ""L"", 
if(regexmatch(AP50, ""^[A-Za-z\.\_]+""),""S"","""")),
if(BG50=""X"",""K"",""""))"),"K")</f>
        <v>K</v>
      </c>
      <c r="BY50" s="40" t="str">
        <f>IFERROR(__xludf.DUMMYFUNCTION("CONCATENATE( 
if (regexmatch(X50, ""^[A-Za-z\.\_]+""), ""L"", 
if(regexmatch(AQ50, ""^[A-Za-z\.\_]+""),""S"","""")),
if(BH50=""X"",""K"",""""))"),"K")</f>
        <v>K</v>
      </c>
      <c r="BZ50" s="40" t="str">
        <f>IFERROR(__xludf.DUMMYFUNCTION("CONCATENATE( 
if (regexmatch(Y50, ""^[A-Za-z\.\_]+""), ""L"", 
if(regexmatch(AR50, ""^[A-Za-z\.\_]+""),""S"","""")),
if(BI50=""X"",""K"",""""))"),"K")</f>
        <v>K</v>
      </c>
      <c r="CA50" s="40" t="str">
        <f>IFERROR(__xludf.DUMMYFUNCTION("CONCATENATE( 
if (regexmatch(Z50, ""^[A-Za-z\.\_]+""), ""L"", 
if(regexmatch(AS50, ""^[A-Za-z\.\_]+""),""S"","""")),
if(BJ50=""X"",""K"",""""))"),"LK")</f>
        <v>LK</v>
      </c>
      <c r="CB50" s="39"/>
      <c r="CC50" s="39"/>
      <c r="CD50" s="39"/>
      <c r="CE50" s="39"/>
      <c r="CF50" s="39"/>
      <c r="CG50" s="39"/>
      <c r="CH50" s="39"/>
      <c r="CI50" s="39"/>
      <c r="CJ50" s="39"/>
      <c r="CK50" s="39"/>
      <c r="CL50" s="39"/>
      <c r="CM50" s="39"/>
      <c r="CN50" s="39"/>
      <c r="CO50" s="39"/>
      <c r="CP50" s="39"/>
      <c r="CQ50" s="39"/>
      <c r="CR50" s="39"/>
    </row>
    <row r="51" ht="15.75" customHeight="1">
      <c r="A51" s="25">
        <v>80.0</v>
      </c>
      <c r="B51" s="26" t="s">
        <v>227</v>
      </c>
      <c r="C51" s="27" t="s">
        <v>228</v>
      </c>
      <c r="D51" s="27" t="str">
        <f>IFERROR(__xludf.DUMMYFUNCTION("CONCATENATE(regexextract($C51,""[\w]* [\w]*""), ""*"")"),"Ipomoea nil*")</f>
        <v>Ipomoea nil*</v>
      </c>
      <c r="E51" s="26" t="s">
        <v>229</v>
      </c>
      <c r="F51" s="57">
        <v>35883.0</v>
      </c>
      <c r="G51" s="53"/>
      <c r="H51" s="31"/>
      <c r="I51" s="32" t="str">
        <f>CONCATENATE(
if(countif(dd.agi,$D51),"D",""),
if(countif(knap.agi,$D51),"K",""),
if(countif(mic.agi,$D51),"M",""),
if(countif(nap.agi,$D51),"N",""),
if(countif(np.agi,$D51),"P",""),
if(countif(imp.agi,$D51),"T",""),
if(countif(us.agi,$D51),"U",""),
if(countif(var.agi,$D51),"V","")
)</f>
        <v/>
      </c>
      <c r="J51" s="32" t="str">
        <f>
CONCATENATE(
if(countif(nap.bun,$D51),"N",""),
if(countif(np.bun,$D51),"P","")
)
</f>
        <v/>
      </c>
      <c r="K51" s="32" t="str">
        <f>CONCATENATE(
if(countif(dd.kxn,$D51),"D",""),
if(countif(knap.kxn,$D51),"K",""),
if(countif(mic.kxn,$D51),"M",""),
if(countif(nap.kxn,$D51),"N",""),
if(countif(np.kxn,$D51),"P",""),
if(countif(us.kxn,$D51),"U",""),
if(countif(var.kxn,$D51),"V","")
)</f>
        <v/>
      </c>
      <c r="L51" s="32" t="str">
        <f>
CONCATENATE(
if(countif(dd.hwb,$D51),"D",""),
if(countif(knap.hwb,$D51),"K",""),
if(countif(mic.hwb,$D51),"M",""),
if(countif(nap.hwb,$D51),"N",""),
if(countif(np.hwb,$D51),"P",""),
if(countif(us.hwb,$D51),"U",""),
if(countif(imp.hwb,$D51),"T",""),
if(countif(var.hwb,$D51),"V","")
)</f>
        <v>N</v>
      </c>
      <c r="M51" s="32" t="str">
        <f>CONCATENATE(
if(countif(dd.epc,$D51),"D",""),
if(countif(knap.ekxn,$D51),"K",""),
if(countif(mic.ekxn,$D51),"M",""),
if(countif(nap.ekxn,$D51),"N",""),
if(countif(np.ekxn,$D51),"P",""),
if(countif(imp.epc,$D51),"T",""),
if(countif(us.ekxn,$D51),"U",""),
if(countif(var.ekxn,$D51),"V","")
)</f>
        <v/>
      </c>
      <c r="N51" s="32" t="str">
        <f>
CONCATENATE(
if(countif(dd.ecg,$D51),"D",""),
if(countif(mic.ecg,$D51),"M",""),
if(countif(np.ecg,$D51),"P",""),
if(countif(imp.ecg,$D51),"T",""),
if(countif(us.ecg,$D51),"U","")
)</f>
        <v/>
      </c>
      <c r="O51" s="32" t="str">
        <f>
CONCATENATE(
if(countif(dd.egt,$D51),"D",""),
if(countif(mic.egt,$D51),"M",""),
if(countif(nap.egt,$D51),"N",""),
if(countif(us.egt,$D51),"U",""),
if(countif(var.egt,$D51),"V",""))
</f>
        <v/>
      </c>
      <c r="P51" s="32" t="str">
        <f>CONCATENATE(
if(countif(knap.egcg,$D51),"K",""),
if(countif(mic.egcg,$D51),"M",""),
if(countif(np.egcg,$D51),"P",""),
if(countif(us.egcg,$D51),"U","")
)</f>
        <v/>
      </c>
      <c r="Q51" s="32" t="str">
        <f>CONCATENATE(if(countif(np.ecit,$D51),"P",""),
if(countif(nap.ecit,$D51),"A",""))</f>
        <v/>
      </c>
      <c r="R51" s="32" t="str">
        <f>
CONCATENATE(
if(countif(nap.erd,$D51),"N",""),
if(countif(np.erd,$D51),"P",""),
if(countif(var.erd,$D51),"V",""))</f>
        <v/>
      </c>
      <c r="S51" s="32" t="str">
        <f>
CONCATENATE(
if(countif(dd.gkxn,$D51),"D",""),
if(countif(knap.gkxn,$D51),"K",""),
if(countif(nap.gkxn,$D51),"N",""),
if(countif(np.gkxn,$D51),"P",""),
if(countif(imp.gkxn,$D51),"T",""),
if(countif(var.gkxn,$D51),"V",""))</f>
        <v/>
      </c>
      <c r="T51" s="32" t="str">
        <f>
CONCATENATE(
if(countif(dd.gen,$C51),"D",""),
if(countif(knap.gen,$C51),"K",""),
if(countif(nap.gen,$C51),"N",""),
if(countif(np.gen,$C51),"P",""),
if(countif(imp.gen,$C51),"T",""),
if(countif(var.gen,$C51),"V",""))</f>
        <v/>
      </c>
      <c r="U51" s="32" t="str">
        <f>
CONCATENATE(
if(countif(dd.hcc,$D51),"D",""),
if(countif(knap.hcc,$D51),"K",""),
if(countif(np.hcc,$D51),"P","")
)
</f>
        <v/>
      </c>
      <c r="V51" s="32" t="str">
        <f>
CONCATENATE(
if(countif(dd.kmp,$D51),"D",""),
if(countif(knap.kmp,$D51),"K",""),
if(countif(mic.kmp,$D51),"M",""),
if(countif(nap.kmp,$D51),"N",""),
if(countif(np.kmp,$D51),"P",""),
if(countif(imp.kmp,$D51),"T",""),
if(countif(us.kmp,$D51),"U",""),
if(countif(var.kmp,$D51),"V",""))</f>
        <v/>
      </c>
      <c r="W51" s="32" t="str">
        <f>
CONCATENATE(
if(countif(dd.lu2,$D51),"D",""),
if(countif(knap.lu2,$D51),"K",""),
if(countif(mic.lu2,$D51),"M",""),
if(countif(nap.lu2,$D51),"N",""),
if(countif(np.lu2,$D51),"P",""),
if(countif(imp.lu2,$D51),"T",""),
if(countif(us.lu2,$D51),"U",""),
if(countif(var.lu2,$D51),"V",""))</f>
        <v/>
      </c>
      <c r="X51" s="32" t="str">
        <f>
CONCATENATE(
if(countif(dd.myc,$D51),"D",""),
if(countif(knap.myc,$D51),"K",""), 
if(countif(mic.myc,$D51),"M",""),
if(countif(nap.myc,$D51),"N",""),
if(countif(np.myc,$D51),"P",""),
if(countif(imp.myc,$D51),"T",""),
if(countif(us.myc,$D51),"U",""),
if(countif(var.myc,$D51),"V",""))</f>
        <v/>
      </c>
      <c r="Y51" s="32" t="str">
        <f>CONCATENATE(
if(countif(dd.nar,$D51),"D",""),
if(countif(knap.nar,$D51),"K",""),
if(countif(nap.nar,$D51),"N",""),
if(countif(np.nar,$D51),"P",""),
if(countif(imp.nar,$D51),"T",""),
if(countif(us.nar,$D51),"U",""),
if(countif(var.nar,$D51),"V",""))</f>
        <v/>
      </c>
      <c r="Z51" s="33" t="str">
        <f>
CONCATENATE(
if(countif(dd.que,$D51),"D",""),
if(countif(knap.que,$D51),"K",""),
if(countif(mic.que,$D51),"M",""),
if(countif(nap.que,$D51),"N",""),
if(countif(np.que,$D51),"P",""),
if(countif(imp.que,$D51),"T",""),
if(countif(us.que,$D51),"U",""),
if(countif(var.que,$D51),"V",""))</f>
        <v/>
      </c>
      <c r="AA51" s="32"/>
      <c r="AB51" s="34" t="str">
        <f>
CONCATENATE(if(countif(knap.agi.sim,$D51),"K",""),
if(countif(dd.agi.sim,$D51),"D",""),
if(countif(nap.agi.sim,$D51),"A",""),
if(countif(var.agi.sim,$D51),"V",""))</f>
        <v/>
      </c>
      <c r="AC51" s="34" t="str">
        <f>
if(countif(nap.bun.sim,$D51),"A","")</f>
        <v/>
      </c>
      <c r="AD51" s="34" t="str">
        <f>
CONCATENATE(if(countif(knap.kxn.sim,$D51),"K",""),
if(countif(np.kxn.sim,$D51),"P",""),
if(countif(dd.kxn.sim,$D51),"D",""),
if(countif(nap.kxn.sim,$D51),"A",""),
if(countif(var.kxn.sim,$D51),"V",""))</f>
        <v/>
      </c>
      <c r="AE51" s="34" t="str">
        <f>
CONCATENATE(if(countif(knap.hwb.sim,$D51),"K",""),
if(countif(np.hwb.sim,$D51),"P",""),
if(countif(mic.hwb.sim,$D51),"M",""),
if(countif(imp.hwb.sim,$D51),"T",""),
if(countif(dd.cyan.sim,$D51),"D",""),
if(countif(nap.hwb.sim,$D51),"A",""),
if(countif(var.hwb.sim,$D51),"V",""))</f>
        <v>K</v>
      </c>
      <c r="AF51" s="34" t="str">
        <f>
CONCATENATE(if(countif(us.ekxn.sim,$D51),"U",""),
if(countif(knap.ekxn.sim,$D51),"K",""),
if(countif(np.ekxn.sim,$D51),"P",""),
if(countif(mic.ekxn.sim,$D51),"M",""),
if(countif(imp.epc.sim,$D51),"T",""),
if(countif(nap.ekxn.sim,$D51),"A",""))</f>
        <v/>
      </c>
      <c r="AG51" s="34"/>
      <c r="AH51" s="34" t="str">
        <f>
CONCATENATE(if(countif(us.egt.sim,$D51),"U",""),
if(countif(knap.egt.sim,$D51),"K",""),
if(countif(np.egt.sim,$D51),"P",""),
if(countif(mic.egt.sim,$D51),"M",""))</f>
        <v/>
      </c>
      <c r="AI51" s="34"/>
      <c r="AJ51" s="34" t="str">
        <f>if(countif(nap.ecit.sim,$D51),"A","")</f>
        <v/>
      </c>
      <c r="AK51" s="34" t="str">
        <f>
CONCATENATE(if(countif(nap.erd,$D51),"M",""),
if(countif(nap.erd.sim,$D51),"A",""),
if(countif(var.erd.sim,$D51),"V",""))</f>
        <v/>
      </c>
      <c r="AL51" s="34" t="str">
        <f>
CONCATENATE(if(countif(knap.gkxn.sim,$D51),"K",""),
if(countif(nap.gkxn.sim,$D51),"A",""))</f>
        <v/>
      </c>
      <c r="AM51" s="34" t="str">
        <f>
CONCATENATE(if(countif(knap.gen.sim,$C51),"K",""),
if(countif(imp.gen.sim,$C51),"T",""),
if(countif(dd.gen.sim,$C51),"D",""),
if(countif(nap.gen.sim,$C51),"A",""),
if(countif(var.gen.sim,$C51),"V",""))
</f>
        <v/>
      </c>
      <c r="AN51" s="34" t="str">
        <f>IFERROR(__xludf.DUMMYFUNCTION("
if(countif(#REF!,CONCATENATE(regexextract($C51,""[\w]* [\w]*""), ""*"")),""V"","""")"),"")</f>
        <v/>
      </c>
      <c r="AO51" s="34" t="str">
        <f>
CONCATENATE(if(countif(knap.kmp.sim,$D51),"K",""),
if(countif(np.kmp.sim,$D51),"P",""),
if(countif(imp.kmp.sim,$D51),"T",""),
if(countif(dd.kmp,$D51),"D",""),
if(countif(nap.kmp.sim,$D51),"A",""),
if(countif(var.kmp.sim,$D51),"V",""))</f>
        <v>A</v>
      </c>
      <c r="AP51" s="34" t="str">
        <f>
CONCATENATE(if(countif(knap.lu2.sim,$D51),"K",""),
if(countif(np.lu2.sim,$D51),"P",""),
if(countif(imp.lu2.sim,$D51),"T",""),
if(countif(dd.lu2.sim,$D51),"D",""),
if(countif(nap.lu2.sim,$D51),"A",""),
if(countif(var.lu2.sim,$D51),"V",""))</f>
        <v/>
      </c>
      <c r="AQ51" s="34" t="str">
        <f>
CONCATENATE(if(countif(np.myc.sim,$D51),"P",""),
if(countif(imp.myc.sim,$D51),"T",""),
if(countif(nap.myc.sim,$D51),"A",""))
</f>
        <v/>
      </c>
      <c r="AR51" s="36" t="str">
        <f>
CONCATENATE(if(countif(knap.nar.sim,$D51),"K",""),
if(countif(np.nar.sim,$D51),"P",""),
if(countif(imp.nar.sim,$D51),"T",""),
if(countif(dd.nar.sim,$D51),"D",""),
if(countif(nap.nar.sim,$D51),"A",""),
if(countif(var.nar.sim,$D51),"V",""))</f>
        <v>A</v>
      </c>
      <c r="AS51" s="34" t="str">
        <f>
CONCATENATE(if(countif(knap.que.sim,$D51),"K",""),
if(countif(np.que.sim,$D51),"P",""),
if(countif(imp.que.sim,$D51),"T",""),
if(countif(dd.que.sim,$D51),"D",""),
if(countif(nap.que.sim,$D51),"A",""),
if(countif(var.que.sim,$D51),"V",""))</f>
        <v>A</v>
      </c>
      <c r="AT51" s="37"/>
      <c r="AU51" s="32" t="str">
        <f>IFERROR(__xludf.DUMMYFUNCTION("if(countif(kr.agi, CONCATENATE(regexextract($C51,""[\w]* [\w]*""), ""*"")),""X"","""")"),"")</f>
        <v/>
      </c>
      <c r="AV51" s="38" t="str">
        <f>IFERROR(__xludf.DUMMYFUNCTION("if(countif(kr.bun,CONCATENATE(regexextract($C51,""[\w]* [\w]*""), ""*"")),""X"","""")"),"X")</f>
        <v>X</v>
      </c>
      <c r="AW51" s="38" t="str">
        <f>IFERROR(__xludf.DUMMYFUNCTION("if(countif(kr.kxn,CONCATENATE(regexextract($C51,""[\w]* [\w]*""), ""*"")),""X"","""")"),"")</f>
        <v/>
      </c>
      <c r="AX51" s="38" t="str">
        <f>IFERROR(__xludf.DUMMYFUNCTION("if(countif(kr.hwb,CONCATENATE(regexextract($C51,""[\w]* [\w]*""), ""*"")),""X"","""")"),"X")</f>
        <v>X</v>
      </c>
      <c r="AY51" s="38" t="str">
        <f>IFERROR(__xludf.DUMMYFUNCTION("if(countif(kr.ec,CONCATENATE(regexextract($C51,""[\w]* [\w]*""), ""*"")),""X"","""")"),"")</f>
        <v/>
      </c>
      <c r="AZ51" s="38" t="str">
        <f>IFERROR(__xludf.DUMMYFUNCTION("if(countif(kr.egt,CONCATENATE(regexextract($C51,""[\w]* [\w]*""), ""*"")),""X"","""")"),"")</f>
        <v/>
      </c>
      <c r="BA51" s="38"/>
      <c r="BB51" s="38" t="str">
        <f>IFERROR(__xludf.DUMMYFUNCTION("if(countif(kr.erd,CONCATENATE(regexextract($C51,""[\w]* [\w]*""), ""*"")),""X"","""")"),"X")</f>
        <v>X</v>
      </c>
      <c r="BC51" s="38" t="str">
        <f>IFERROR(__xludf.DUMMYFUNCTION("if(countif(kr.gkxn,CONCATENATE(regexextract($C51,""[\w]* [\w]*""), ""*"")),""X"","""")"),"")</f>
        <v/>
      </c>
      <c r="BD51" s="38" t="str">
        <f>IFERROR(__xludf.DUMMYFUNCTION("if(countif(kr.gen,CONCATENATE(regexextract(C51,""[\w]* [\w]*""), ""*"")),""X"","""")"),"")</f>
        <v/>
      </c>
      <c r="BE51" s="38" t="str">
        <f>IFERROR(__xludf.DUMMYFUNCTION("if(countif(kr.hcc,CONCATENATE(regexextract($C51,""[\w]* [\w]*""), ""*"")),""X"","""")"),"X")</f>
        <v>X</v>
      </c>
      <c r="BF51" s="38" t="str">
        <f>IFERROR(__xludf.DUMMYFUNCTION("if(countif(kr.kmp,CONCATENATE(regexextract($C51,""[\w]* [\w]*""), ""*"")),""X"","""")"),"X")</f>
        <v>X</v>
      </c>
      <c r="BG51" s="38" t="str">
        <f>IFERROR(__xludf.DUMMYFUNCTION("if(countif(kr.lu2,CONCATENATE(regexextract($C51,""[\w]* [\w]*""), ""*"")),""X"","""")"),"")</f>
        <v/>
      </c>
      <c r="BH51" s="38" t="str">
        <f>IFERROR(__xludf.DUMMYFUNCTION("if(countif(kr.myc,CONCATENATE(regexextract($C51,""[\w]* [\w]*""), ""*"")),""X"","""")"),"")</f>
        <v/>
      </c>
      <c r="BI51" s="38" t="str">
        <f>IFERROR(__xludf.DUMMYFUNCTION("if(countif(kr.nar,CONCATENATE(regexextract($C51,""[\w]* [\w]*""), ""*"")),""X"","""")"),"X")</f>
        <v>X</v>
      </c>
      <c r="BJ51" s="38" t="str">
        <f>IFERROR(__xludf.DUMMYFUNCTION("if(countif(kr.que,CONCATENATE(regexextract($C51,""[\w]* [\w]*""), ""*"")),""X"","""")"),"X")</f>
        <v>X</v>
      </c>
      <c r="BK51" s="39"/>
      <c r="BL51" s="40" t="str">
        <f>IFERROR(__xludf.DUMMYFUNCTION(" CONCATENATE( 
if (regexmatch(I51, ""^[A-Za-z\.\_]+""), ""L"", 
if(regexmatch(AB51, ""^[A-Za-z\.\_]+""),""S"","""")),
if(AU51=""X"",""K"",""""))"),"")</f>
        <v/>
      </c>
      <c r="BM51" s="40" t="str">
        <f>IFERROR(__xludf.DUMMYFUNCTION(" CONCATENATE( 
if (regexmatch(J51, ""^[A-Za-z\.\_]+""), ""L"", 
if(regexmatch(AC51, ""^[A-Za-z\.\_]+""),""S"","""")),
if(AV51=""X"",""K"",""""))"),"K")</f>
        <v>K</v>
      </c>
      <c r="BN51" s="40" t="str">
        <f>IFERROR(__xludf.DUMMYFUNCTION(" CONCATENATE( 
if (regexmatch(K51, ""^[A-Za-z\.\_]+""), ""L"", 
if(regexmatch(AD51, ""^[A-Za-z\.\_]+""),""S"","""")),
if(AW51=""X"",""K"",""""))"),"")</f>
        <v/>
      </c>
      <c r="BO51" s="40" t="str">
        <f>IFERROR(__xludf.DUMMYFUNCTION(" CONCATENATE( 
if (regexmatch(L51, ""^[A-Za-z\.\_]+""), ""L"", 
if(regexmatch(AE51, ""^[A-Za-z\.\_]+""),""S"","""")),
if(AX51=""X"",""K"",""""))"),"LK")</f>
        <v>LK</v>
      </c>
      <c r="BP51" s="40" t="str">
        <f>IFERROR(__xludf.DUMMYFUNCTION(" CONCATENATE( 
if (regexmatch(M51, ""^[A-Za-z\.\_]+""), ""L"", 
if(regexmatch(AF51, ""^[A-Za-z\.\_]+""),""S"","""")),
if(AY51=""X"",""K"",""""))"),"")</f>
        <v/>
      </c>
      <c r="BQ51" s="40" t="str">
        <f>IFERROR(__xludf.DUMMYFUNCTION("CONCATENATE( 
if (regexmatch(O51, ""^[A-Za-z\.\_]+""), ""L"", 
if(regexmatch(AH51, ""^[A-Za-z\.\_]+""),""S"","""")),
if(AZ51=""X"",""K"",""""))"),"")</f>
        <v/>
      </c>
      <c r="BR51" s="40" t="str">
        <f>IFERROR(__xludf.DUMMYFUNCTION("CONCATENATE( 
if (regexmatch(Q51, ""^[A-Za-z\.\_]+""), ""L"", 
if(regexmatch(AJ51, ""^[A-Za-z\.\_]+""),""S"","""")),
if(BA51=""X"",""K"",""""))"),"")</f>
        <v/>
      </c>
      <c r="BS51" s="40" t="str">
        <f>IFERROR(__xludf.DUMMYFUNCTION(" CONCATENATE( 
if (regexmatch(R51, ""^[A-Za-z\.\_]+""), ""L"", 
if(regexmatch(AK51, ""^[A-Za-z\.\_]+""),""S"","""")),
if(BB51=""X"",""K"",""""))"),"K")</f>
        <v>K</v>
      </c>
      <c r="BT51" s="40" t="str">
        <f>IFERROR(__xludf.DUMMYFUNCTION("CONCATENATE( 
if (regexmatch(S51, ""^[A-Za-z\.\_]+""), ""L"", 
if(regexmatch(AL51, ""^[A-Za-z\.\_]+""),""S"","""")),
if(BC51=""X"",""K"",""""))"),"")</f>
        <v/>
      </c>
      <c r="BU51" s="40" t="str">
        <f>IFERROR(__xludf.DUMMYFUNCTION("CONCATENATE( 
if (regexmatch(T51, ""^[A-Za-z\.\_]+""), ""L"", 
if(regexmatch(AM51, ""^[A-Za-z\.\_]+""),""S"","""")),
if(BD51=""X"",""K"",""""))"),"")</f>
        <v/>
      </c>
      <c r="BV51" s="40" t="str">
        <f>IFERROR(__xludf.DUMMYFUNCTION("CONCATENATE( 
if (regexmatch(U51, ""^[A-Za-z\.\_]+""), ""L"", 
if(regexmatch(AN51, ""^[A-Za-z\.\_]+""),""S"","""")),
if(BE51=""X"",""K"",""""))"),"K")</f>
        <v>K</v>
      </c>
      <c r="BW51" s="40" t="str">
        <f>IFERROR(__xludf.DUMMYFUNCTION(" CONCATENATE( 
if (regexmatch(V51, ""^[A-Za-z\.\_]+""), ""L"", 
if(regexmatch(AO51, ""^[A-Za-z\.\_]+""),""S"","""")),
if(BF51=""X"",""K"",""""))"),"SK")</f>
        <v>SK</v>
      </c>
      <c r="BX51" s="40" t="str">
        <f>IFERROR(__xludf.DUMMYFUNCTION("CONCATENATE( 
if (regexmatch(W51, ""^[A-Za-z\.\_]+""), ""L"", 
if(regexmatch(AP51, ""^[A-Za-z\.\_]+""),""S"","""")),
if(BG51=""X"",""K"",""""))"),"")</f>
        <v/>
      </c>
      <c r="BY51" s="40" t="str">
        <f>IFERROR(__xludf.DUMMYFUNCTION("CONCATENATE( 
if (regexmatch(X51, ""^[A-Za-z\.\_]+""), ""L"", 
if(regexmatch(AQ51, ""^[A-Za-z\.\_]+""),""S"","""")),
if(BH51=""X"",""K"",""""))"),"")</f>
        <v/>
      </c>
      <c r="BZ51" s="40" t="str">
        <f>IFERROR(__xludf.DUMMYFUNCTION("CONCATENATE( 
if (regexmatch(Y51, ""^[A-Za-z\.\_]+""), ""L"", 
if(regexmatch(AR51, ""^[A-Za-z\.\_]+""),""S"","""")),
if(BI51=""X"",""K"",""""))"),"SK")</f>
        <v>SK</v>
      </c>
      <c r="CA51" s="40" t="str">
        <f>IFERROR(__xludf.DUMMYFUNCTION("CONCATENATE( 
if (regexmatch(Z51, ""^[A-Za-z\.\_]+""), ""L"", 
if(regexmatch(AS51, ""^[A-Za-z\.\_]+""),""S"","""")),
if(BJ51=""X"",""K"",""""))"),"SK")</f>
        <v>SK</v>
      </c>
      <c r="CB51" s="39"/>
      <c r="CC51" s="39"/>
      <c r="CD51" s="39"/>
      <c r="CE51" s="39"/>
      <c r="CF51" s="39"/>
      <c r="CG51" s="39"/>
      <c r="CH51" s="39"/>
      <c r="CI51" s="39"/>
      <c r="CJ51" s="39"/>
      <c r="CK51" s="39"/>
      <c r="CL51" s="39"/>
      <c r="CM51" s="39"/>
      <c r="CN51" s="39"/>
      <c r="CO51" s="39"/>
      <c r="CP51" s="39"/>
      <c r="CQ51" s="39"/>
      <c r="CR51" s="39"/>
    </row>
    <row r="52" ht="15.75" customHeight="1">
      <c r="A52" s="25">
        <v>58.0</v>
      </c>
      <c r="B52" s="26" t="s">
        <v>230</v>
      </c>
      <c r="C52" s="41" t="s">
        <v>231</v>
      </c>
      <c r="D52" s="27" t="str">
        <f>IFERROR(__xludf.DUMMYFUNCTION("CONCATENATE(regexextract($C52,""[\w]* [\w]*""), ""*"")"),"Jatropha curcas*")</f>
        <v>Jatropha curcas*</v>
      </c>
      <c r="E52" s="59" t="s">
        <v>232</v>
      </c>
      <c r="F52" s="58">
        <v>180498.0</v>
      </c>
      <c r="G52" s="53"/>
      <c r="H52" s="31"/>
      <c r="I52" s="32" t="str">
        <f>CONCATENATE(
if(countif(dd.agi,$D52),"D",""),
if(countif(knap.agi,$D52),"K",""),
if(countif(mic.agi,$D52),"M",""),
if(countif(nap.agi,$D52),"N",""),
if(countif(np.agi,$D52),"P",""),
if(countif(imp.agi,$D52),"T",""),
if(countif(us.agi,$D52),"U",""),
if(countif(var.agi,$D52),"V","")
)</f>
        <v>DN</v>
      </c>
      <c r="J52" s="32" t="str">
        <f>
CONCATENATE(
if(countif(nap.bun,$D52),"N",""),
if(countif(np.bun,$D52),"P","")
)
</f>
        <v/>
      </c>
      <c r="K52" s="32" t="str">
        <f>CONCATENATE(
if(countif(dd.kxn,$D52),"D",""),
if(countif(knap.kxn,$D52),"K",""),
if(countif(mic.kxn,$D52),"M",""),
if(countif(nap.kxn,$D52),"N",""),
if(countif(np.kxn,$D52),"P",""),
if(countif(us.kxn,$D52),"U",""),
if(countif(var.kxn,$D52),"V","")
)</f>
        <v>V</v>
      </c>
      <c r="L52" s="32" t="str">
        <f>
CONCATENATE(
if(countif(dd.hwb,$D52),"D",""),
if(countif(knap.hwb,$D52),"K",""),
if(countif(mic.hwb,$D52),"M",""),
if(countif(nap.hwb,$D52),"N",""),
if(countif(np.hwb,$D52),"P",""),
if(countif(us.hwb,$D52),"U",""),
if(countif(imp.hwb,$D52),"T",""),
if(countif(var.hwb,$D52),"V","")
)</f>
        <v/>
      </c>
      <c r="M52" s="32" t="str">
        <f>CONCATENATE(
if(countif(dd.epc,$D52),"D",""),
if(countif(knap.ekxn,$D52),"K",""),
if(countif(mic.ekxn,$D52),"M",""),
if(countif(nap.ekxn,$D52),"N",""),
if(countif(np.ekxn,$D52),"P",""),
if(countif(imp.epc,$D52),"T",""),
if(countif(us.ekxn,$D52),"U",""),
if(countif(var.ekxn,$D52),"V","")
)</f>
        <v/>
      </c>
      <c r="N52" s="32" t="str">
        <f>
CONCATENATE(
if(countif(dd.ecg,$D52),"D",""),
if(countif(mic.ecg,$D52),"M",""),
if(countif(np.ecg,$D52),"P",""),
if(countif(imp.ecg,$D52),"T",""),
if(countif(us.ecg,$D52),"U","")
)</f>
        <v/>
      </c>
      <c r="O52" s="32" t="str">
        <f>
CONCATENATE(
if(countif(dd.egt,$D52),"D",""),
if(countif(mic.egt,$D52),"M",""),
if(countif(nap.egt,$D52),"N",""),
if(countif(us.egt,$D52),"U",""),
if(countif(var.egt,$D52),"V",""))
</f>
        <v/>
      </c>
      <c r="P52" s="32" t="str">
        <f>CONCATENATE(
if(countif(knap.egcg,$D52),"K",""),
if(countif(mic.egcg,$D52),"M",""),
if(countif(np.egcg,$D52),"P",""),
if(countif(us.egcg,$D52),"U","")
)</f>
        <v/>
      </c>
      <c r="Q52" s="32" t="str">
        <f>CONCATENATE(if(countif(np.ecit,$D52),"P",""),
if(countif(nap.ecit,$D52),"A",""))</f>
        <v/>
      </c>
      <c r="R52" s="32" t="str">
        <f>
CONCATENATE(
if(countif(nap.erd,$D52),"N",""),
if(countif(np.erd,$D52),"P",""),
if(countif(var.erd,$D52),"V",""))</f>
        <v/>
      </c>
      <c r="S52" s="32" t="str">
        <f>
CONCATENATE(
if(countif(dd.gkxn,$D52),"D",""),
if(countif(knap.gkxn,$D52),"K",""),
if(countif(nap.gkxn,$D52),"N",""),
if(countif(np.gkxn,$D52),"P",""),
if(countif(imp.gkxn,$D52),"T",""),
if(countif(var.gkxn,$D52),"V",""))</f>
        <v/>
      </c>
      <c r="T52" s="32" t="str">
        <f>
CONCATENATE(
if(countif(dd.gen,$C52),"D",""),
if(countif(knap.gen,$C52),"K",""),
if(countif(nap.gen,$C52),"N",""),
if(countif(np.gen,$C52),"P",""),
if(countif(imp.gen,$C52),"T",""),
if(countif(var.gen,$C52),"V",""))</f>
        <v/>
      </c>
      <c r="U52" s="32" t="str">
        <f>
CONCATENATE(
if(countif(dd.hcc,$D52),"D",""),
if(countif(knap.hcc,$D52),"K",""),
if(countif(np.hcc,$D52),"P","")
)
</f>
        <v/>
      </c>
      <c r="V52" s="32" t="str">
        <f>
CONCATENATE(
if(countif(dd.kmp,$D52),"D",""),
if(countif(knap.kmp,$D52),"K",""),
if(countif(mic.kmp,$D52),"M",""),
if(countif(nap.kmp,$D52),"N",""),
if(countif(np.kmp,$D52),"P",""),
if(countif(imp.kmp,$D52),"T",""),
if(countif(us.kmp,$D52),"U",""),
if(countif(var.kmp,$D52),"V",""))</f>
        <v/>
      </c>
      <c r="W52" s="32" t="str">
        <f>
CONCATENATE(
if(countif(dd.lu2,$D52),"D",""),
if(countif(knap.lu2,$D52),"K",""),
if(countif(mic.lu2,$D52),"M",""),
if(countif(nap.lu2,$D52),"N",""),
if(countif(np.lu2,$D52),"P",""),
if(countif(imp.lu2,$D52),"T",""),
if(countif(us.lu2,$D52),"U",""),
if(countif(var.lu2,$D52),"V",""))</f>
        <v/>
      </c>
      <c r="X52" s="32" t="str">
        <f>
CONCATENATE(
if(countif(dd.myc,$D52),"D",""),
if(countif(knap.myc,$D52),"K",""), 
if(countif(mic.myc,$D52),"M",""),
if(countif(nap.myc,$D52),"N",""),
if(countif(np.myc,$D52),"P",""),
if(countif(imp.myc,$D52),"T",""),
if(countif(us.myc,$D52),"U",""),
if(countif(var.myc,$D52),"V",""))</f>
        <v/>
      </c>
      <c r="Y52" s="32" t="str">
        <f>CONCATENATE(
if(countif(dd.nar,$D52),"D",""),
if(countif(knap.nar,$D52),"K",""),
if(countif(nap.nar,$D52),"N",""),
if(countif(np.nar,$D52),"P",""),
if(countif(imp.nar,$D52),"T",""),
if(countif(us.nar,$D52),"U",""),
if(countif(var.nar,$D52),"V",""))</f>
        <v/>
      </c>
      <c r="Z52" s="33" t="str">
        <f>
CONCATENATE(
if(countif(dd.que,$D52),"D",""),
if(countif(knap.que,$D52),"K",""),
if(countif(mic.que,$D52),"M",""),
if(countif(nap.que,$D52),"N",""),
if(countif(np.que,$D52),"P",""),
if(countif(imp.que,$D52),"T",""),
if(countif(us.que,$D52),"U",""),
if(countif(var.que,$D52),"V",""))</f>
        <v>V</v>
      </c>
      <c r="AA52" s="32"/>
      <c r="AB52" s="34" t="str">
        <f>
CONCATENATE(if(countif(knap.agi.sim,$D52),"K",""),
if(countif(dd.agi.sim,$D52),"D",""),
if(countif(nap.agi.sim,$D52),"A",""),
if(countif(var.agi.sim,$D52),"V",""))</f>
        <v>D</v>
      </c>
      <c r="AC52" s="34" t="str">
        <f>
if(countif(nap.bun.sim,$D52),"A","")</f>
        <v/>
      </c>
      <c r="AD52" s="34" t="str">
        <f>
CONCATENATE(if(countif(knap.kxn.sim,$D52),"K",""),
if(countif(np.kxn.sim,$D52),"P",""),
if(countif(dd.kxn.sim,$D52),"D",""),
if(countif(nap.kxn.sim,$D52),"A",""),
if(countif(var.kxn.sim,$D52),"V",""))</f>
        <v/>
      </c>
      <c r="AE52" s="34" t="str">
        <f>
CONCATENATE(if(countif(knap.hwb.sim,$D52),"K",""),
if(countif(np.hwb.sim,$D52),"P",""),
if(countif(mic.hwb.sim,$D52),"M",""),
if(countif(imp.hwb.sim,$D52),"T",""),
if(countif(dd.cyan.sim,$D52),"D",""),
if(countif(nap.hwb.sim,$D52),"A",""),
if(countif(var.hwb.sim,$D52),"V",""))</f>
        <v/>
      </c>
      <c r="AF52" s="34" t="str">
        <f>
CONCATENATE(if(countif(us.ekxn.sim,$D52),"U",""),
if(countif(knap.ekxn.sim,$D52),"K",""),
if(countif(np.ekxn.sim,$D52),"P",""),
if(countif(mic.ekxn.sim,$D52),"M",""),
if(countif(imp.epc.sim,$D52),"T",""),
if(countif(nap.ekxn.sim,$D52),"A",""))</f>
        <v/>
      </c>
      <c r="AG52" s="34"/>
      <c r="AH52" s="34" t="str">
        <f>
CONCATENATE(if(countif(us.egt.sim,$D52),"U",""),
if(countif(knap.egt.sim,$D52),"K",""),
if(countif(np.egt.sim,$D52),"P",""),
if(countif(mic.egt.sim,$D52),"M",""))</f>
        <v/>
      </c>
      <c r="AI52" s="34"/>
      <c r="AJ52" s="34" t="str">
        <f>if(countif(nap.ecit.sim,$D52),"A","")</f>
        <v/>
      </c>
      <c r="AK52" s="34" t="str">
        <f>
CONCATENATE(if(countif(nap.erd,$D52),"M",""),
if(countif(nap.erd.sim,$D52),"A",""),
if(countif(var.erd.sim,$D52),"V",""))</f>
        <v/>
      </c>
      <c r="AL52" s="34" t="str">
        <f>
CONCATENATE(if(countif(knap.gkxn.sim,$D52),"K",""),
if(countif(nap.gkxn.sim,$D52),"A",""))</f>
        <v/>
      </c>
      <c r="AM52" s="34" t="str">
        <f>
CONCATENATE(if(countif(knap.gen.sim,$C52),"K",""),
if(countif(imp.gen.sim,$C52),"T",""),
if(countif(dd.gen.sim,$C52),"D",""),
if(countif(nap.gen.sim,$C52),"A",""),
if(countif(var.gen.sim,$C52),"V",""))
</f>
        <v/>
      </c>
      <c r="AN52" s="34" t="str">
        <f>IFERROR(__xludf.DUMMYFUNCTION("
if(countif(#REF!,CONCATENATE(regexextract($C52,""[\w]* [\w]*""), ""*"")),""V"","""")"),"")</f>
        <v/>
      </c>
      <c r="AO52" s="34" t="str">
        <f>
CONCATENATE(if(countif(knap.kmp.sim,$D52),"K",""),
if(countif(np.kmp.sim,$D52),"P",""),
if(countif(imp.kmp.sim,$D52),"T",""),
if(countif(dd.kmp,$D52),"D",""),
if(countif(nap.kmp.sim,$D52),"A",""),
if(countif(var.kmp.sim,$D52),"V",""))</f>
        <v/>
      </c>
      <c r="AP52" s="34" t="str">
        <f>
CONCATENATE(if(countif(knap.lu2.sim,$D52),"K",""),
if(countif(np.lu2.sim,$D52),"P",""),
if(countif(imp.lu2.sim,$D52),"T",""),
if(countif(dd.lu2.sim,$D52),"D",""),
if(countif(nap.lu2.sim,$D52),"A",""),
if(countif(var.lu2.sim,$D52),"V",""))</f>
        <v/>
      </c>
      <c r="AQ52" s="34" t="str">
        <f>
CONCATENATE(if(countif(np.myc.sim,$D52),"P",""),
if(countif(imp.myc.sim,$D52),"T",""),
if(countif(nap.myc.sim,$D52),"A",""))
</f>
        <v/>
      </c>
      <c r="AR52" s="36" t="str">
        <f>
CONCATENATE(if(countif(knap.nar.sim,$D52),"K",""),
if(countif(np.nar.sim,$D52),"P",""),
if(countif(imp.nar.sim,$D52),"T",""),
if(countif(dd.nar.sim,$D52),"D",""),
if(countif(nap.nar.sim,$D52),"A",""),
if(countif(var.nar.sim,$D52),"V",""))</f>
        <v/>
      </c>
      <c r="AS52" s="34" t="str">
        <f>
CONCATENATE(if(countif(knap.que.sim,$D52),"K",""),
if(countif(np.que.sim,$D52),"P",""),
if(countif(imp.que.sim,$D52),"T",""),
if(countif(dd.que.sim,$D52),"D",""),
if(countif(nap.que.sim,$D52),"A",""),
if(countif(var.que.sim,$D52),"V",""))</f>
        <v/>
      </c>
      <c r="AT52" s="37"/>
      <c r="AU52" s="32" t="str">
        <f>IFERROR(__xludf.DUMMYFUNCTION("if(countif(kr.agi, CONCATENATE(regexextract($C52,""[\w]* [\w]*""), ""*"")),""X"","""")"),"")</f>
        <v/>
      </c>
      <c r="AV52" s="38" t="str">
        <f>IFERROR(__xludf.DUMMYFUNCTION("if(countif(kr.bun,CONCATENATE(regexextract($C52,""[\w]* [\w]*""), ""*"")),""X"","""")"),"X")</f>
        <v>X</v>
      </c>
      <c r="AW52" s="38" t="str">
        <f>IFERROR(__xludf.DUMMYFUNCTION("if(countif(kr.kxn,CONCATENATE(regexextract($C52,""[\w]* [\w]*""), ""*"")),""X"","""")"),"X")</f>
        <v>X</v>
      </c>
      <c r="AX52" s="38" t="str">
        <f>IFERROR(__xludf.DUMMYFUNCTION("if(countif(kr.hwb,CONCATENATE(regexextract($C52,""[\w]* [\w]*""), ""*"")),""X"","""")"),"X")</f>
        <v>X</v>
      </c>
      <c r="AY52" s="38" t="str">
        <f>IFERROR(__xludf.DUMMYFUNCTION("if(countif(kr.ec,CONCATENATE(regexextract($C52,""[\w]* [\w]*""), ""*"")),""X"","""")"),"X")</f>
        <v>X</v>
      </c>
      <c r="AZ52" s="38" t="str">
        <f>IFERROR(__xludf.DUMMYFUNCTION("if(countif(kr.egt,CONCATENATE(regexextract($C52,""[\w]* [\w]*""), ""*"")),""X"","""")"),"X")</f>
        <v>X</v>
      </c>
      <c r="BA52" s="38"/>
      <c r="BB52" s="38" t="str">
        <f>IFERROR(__xludf.DUMMYFUNCTION("if(countif(kr.erd,CONCATENATE(regexextract($C52,""[\w]* [\w]*""), ""*"")),""X"","""")"),"X")</f>
        <v>X</v>
      </c>
      <c r="BC52" s="38" t="str">
        <f>IFERROR(__xludf.DUMMYFUNCTION("if(countif(kr.gkxn,CONCATENATE(regexextract($C52,""[\w]* [\w]*""), ""*"")),""X"","""")"),"X")</f>
        <v>X</v>
      </c>
      <c r="BD52" s="38" t="str">
        <f>IFERROR(__xludf.DUMMYFUNCTION("if(countif(kr.gen,CONCATENATE(regexextract(C52,""[\w]* [\w]*""), ""*"")),""X"","""")"),"")</f>
        <v/>
      </c>
      <c r="BE52" s="38" t="str">
        <f>IFERROR(__xludf.DUMMYFUNCTION("if(countif(kr.hcc,CONCATENATE(regexextract($C52,""[\w]* [\w]*""), ""*"")),""X"","""")"),"X")</f>
        <v>X</v>
      </c>
      <c r="BF52" s="38" t="str">
        <f>IFERROR(__xludf.DUMMYFUNCTION("if(countif(kr.kmp,CONCATENATE(regexextract($C52,""[\w]* [\w]*""), ""*"")),""X"","""")"),"X")</f>
        <v>X</v>
      </c>
      <c r="BG52" s="38" t="str">
        <f>IFERROR(__xludf.DUMMYFUNCTION("if(countif(kr.lu2,CONCATENATE(regexextract($C52,""[\w]* [\w]*""), ""*"")),""X"","""")"),"")</f>
        <v/>
      </c>
      <c r="BH52" s="38" t="str">
        <f>IFERROR(__xludf.DUMMYFUNCTION("if(countif(kr.myc,CONCATENATE(regexextract($C52,""[\w]* [\w]*""), ""*"")),""X"","""")"),"X")</f>
        <v>X</v>
      </c>
      <c r="BI52" s="38" t="str">
        <f>IFERROR(__xludf.DUMMYFUNCTION("if(countif(kr.nar,CONCATENATE(regexextract($C52,""[\w]* [\w]*""), ""*"")),""X"","""")"),"X")</f>
        <v>X</v>
      </c>
      <c r="BJ52" s="38" t="str">
        <f>IFERROR(__xludf.DUMMYFUNCTION("if(countif(kr.que,CONCATENATE(regexextract($C52,""[\w]* [\w]*""), ""*"")),""X"","""")"),"X")</f>
        <v>X</v>
      </c>
      <c r="BK52" s="39"/>
      <c r="BL52" s="40" t="str">
        <f>IFERROR(__xludf.DUMMYFUNCTION(" CONCATENATE( 
if (regexmatch(I52, ""^[A-Za-z\.\_]+""), ""L"", 
if(regexmatch(AB52, ""^[A-Za-z\.\_]+""),""S"","""")),
if(AU52=""X"",""K"",""""))"),"L")</f>
        <v>L</v>
      </c>
      <c r="BM52" s="40" t="str">
        <f>IFERROR(__xludf.DUMMYFUNCTION(" CONCATENATE( 
if (regexmatch(J52, ""^[A-Za-z\.\_]+""), ""L"", 
if(regexmatch(AC52, ""^[A-Za-z\.\_]+""),""S"","""")),
if(AV52=""X"",""K"",""""))"),"K")</f>
        <v>K</v>
      </c>
      <c r="BN52" s="40" t="str">
        <f>IFERROR(__xludf.DUMMYFUNCTION(" CONCATENATE( 
if (regexmatch(K52, ""^[A-Za-z\.\_]+""), ""L"", 
if(regexmatch(AD52, ""^[A-Za-z\.\_]+""),""S"","""")),
if(AW52=""X"",""K"",""""))"),"LK")</f>
        <v>LK</v>
      </c>
      <c r="BO52" s="40" t="str">
        <f>IFERROR(__xludf.DUMMYFUNCTION(" CONCATENATE( 
if (regexmatch(L52, ""^[A-Za-z\.\_]+""), ""L"", 
if(regexmatch(AE52, ""^[A-Za-z\.\_]+""),""S"","""")),
if(AX52=""X"",""K"",""""))"),"K")</f>
        <v>K</v>
      </c>
      <c r="BP52" s="40" t="str">
        <f>IFERROR(__xludf.DUMMYFUNCTION(" CONCATENATE( 
if (regexmatch(M52, ""^[A-Za-z\.\_]+""), ""L"", 
if(regexmatch(AF52, ""^[A-Za-z\.\_]+""),""S"","""")),
if(AY52=""X"",""K"",""""))"),"K")</f>
        <v>K</v>
      </c>
      <c r="BQ52" s="40" t="str">
        <f>IFERROR(__xludf.DUMMYFUNCTION("CONCATENATE( 
if (regexmatch(O52, ""^[A-Za-z\.\_]+""), ""L"", 
if(regexmatch(AH52, ""^[A-Za-z\.\_]+""),""S"","""")),
if(AZ52=""X"",""K"",""""))"),"K")</f>
        <v>K</v>
      </c>
      <c r="BR52" s="40" t="str">
        <f>IFERROR(__xludf.DUMMYFUNCTION("CONCATENATE( 
if (regexmatch(Q52, ""^[A-Za-z\.\_]+""), ""L"", 
if(regexmatch(AJ52, ""^[A-Za-z\.\_]+""),""S"","""")),
if(BA52=""X"",""K"",""""))"),"")</f>
        <v/>
      </c>
      <c r="BS52" s="40" t="str">
        <f>IFERROR(__xludf.DUMMYFUNCTION(" CONCATENATE( 
if (regexmatch(R52, ""^[A-Za-z\.\_]+""), ""L"", 
if(regexmatch(AK52, ""^[A-Za-z\.\_]+""),""S"","""")),
if(BB52=""X"",""K"",""""))"),"K")</f>
        <v>K</v>
      </c>
      <c r="BT52" s="40" t="str">
        <f>IFERROR(__xludf.DUMMYFUNCTION("CONCATENATE( 
if (regexmatch(S52, ""^[A-Za-z\.\_]+""), ""L"", 
if(regexmatch(AL52, ""^[A-Za-z\.\_]+""),""S"","""")),
if(BC52=""X"",""K"",""""))"),"K")</f>
        <v>K</v>
      </c>
      <c r="BU52" s="40" t="str">
        <f>IFERROR(__xludf.DUMMYFUNCTION("CONCATENATE( 
if (regexmatch(T52, ""^[A-Za-z\.\_]+""), ""L"", 
if(regexmatch(AM52, ""^[A-Za-z\.\_]+""),""S"","""")),
if(BD52=""X"",""K"",""""))"),"")</f>
        <v/>
      </c>
      <c r="BV52" s="40" t="str">
        <f>IFERROR(__xludf.DUMMYFUNCTION("CONCATENATE( 
if (regexmatch(U52, ""^[A-Za-z\.\_]+""), ""L"", 
if(regexmatch(AN52, ""^[A-Za-z\.\_]+""),""S"","""")),
if(BE52=""X"",""K"",""""))"),"K")</f>
        <v>K</v>
      </c>
      <c r="BW52" s="40" t="str">
        <f>IFERROR(__xludf.DUMMYFUNCTION(" CONCATENATE( 
if (regexmatch(V52, ""^[A-Za-z\.\_]+""), ""L"", 
if(regexmatch(AO52, ""^[A-Za-z\.\_]+""),""S"","""")),
if(BF52=""X"",""K"",""""))"),"K")</f>
        <v>K</v>
      </c>
      <c r="BX52" s="40" t="str">
        <f>IFERROR(__xludf.DUMMYFUNCTION("CONCATENATE( 
if (regexmatch(W52, ""^[A-Za-z\.\_]+""), ""L"", 
if(regexmatch(AP52, ""^[A-Za-z\.\_]+""),""S"","""")),
if(BG52=""X"",""K"",""""))"),"")</f>
        <v/>
      </c>
      <c r="BY52" s="40" t="str">
        <f>IFERROR(__xludf.DUMMYFUNCTION("CONCATENATE( 
if (regexmatch(X52, ""^[A-Za-z\.\_]+""), ""L"", 
if(regexmatch(AQ52, ""^[A-Za-z\.\_]+""),""S"","""")),
if(BH52=""X"",""K"",""""))"),"K")</f>
        <v>K</v>
      </c>
      <c r="BZ52" s="40" t="str">
        <f>IFERROR(__xludf.DUMMYFUNCTION("CONCATENATE( 
if (regexmatch(Y52, ""^[A-Za-z\.\_]+""), ""L"", 
if(regexmatch(AR52, ""^[A-Za-z\.\_]+""),""S"","""")),
if(BI52=""X"",""K"",""""))"),"K")</f>
        <v>K</v>
      </c>
      <c r="CA52" s="40" t="str">
        <f>IFERROR(__xludf.DUMMYFUNCTION("CONCATENATE( 
if (regexmatch(Z52, ""^[A-Za-z\.\_]+""), ""L"", 
if(regexmatch(AS52, ""^[A-Za-z\.\_]+""),""S"","""")),
if(BJ52=""X"",""K"",""""))"),"LK")</f>
        <v>LK</v>
      </c>
      <c r="CB52" s="39"/>
      <c r="CC52" s="39"/>
      <c r="CD52" s="39"/>
      <c r="CE52" s="39"/>
      <c r="CF52" s="39"/>
      <c r="CG52" s="39"/>
      <c r="CH52" s="39"/>
      <c r="CI52" s="39"/>
      <c r="CJ52" s="39"/>
      <c r="CK52" s="39"/>
      <c r="CL52" s="39"/>
      <c r="CM52" s="39"/>
      <c r="CN52" s="39"/>
      <c r="CO52" s="39"/>
      <c r="CP52" s="39"/>
      <c r="CQ52" s="39"/>
      <c r="CR52" s="39"/>
    </row>
    <row r="53" ht="15.75" customHeight="1">
      <c r="A53" s="25">
        <v>65.0</v>
      </c>
      <c r="B53" s="26" t="s">
        <v>233</v>
      </c>
      <c r="C53" s="27" t="s">
        <v>234</v>
      </c>
      <c r="D53" s="27" t="str">
        <f>IFERROR(__xludf.DUMMYFUNCTION("CONCATENATE(regexextract($C53,""[\w]* [\w]*""), ""*"")"),"Juglans regia*")</f>
        <v>Juglans regia*</v>
      </c>
      <c r="E53" s="59" t="s">
        <v>235</v>
      </c>
      <c r="F53" s="57">
        <v>51240.0</v>
      </c>
      <c r="G53" s="53"/>
      <c r="H53" s="31"/>
      <c r="I53" s="32" t="str">
        <f>CONCATENATE(
if(countif(dd.agi,$D53),"D",""),
if(countif(knap.agi,$D53),"K",""),
if(countif(mic.agi,$D53),"M",""),
if(countif(nap.agi,$D53),"N",""),
if(countif(np.agi,$D53),"P",""),
if(countif(imp.agi,$D53),"T",""),
if(countif(us.agi,$D53),"U",""),
if(countif(var.agi,$D53),"V","")
)</f>
        <v>DM</v>
      </c>
      <c r="J53" s="32" t="str">
        <f>
CONCATENATE(
if(countif(nap.bun,$D53),"N",""),
if(countif(np.bun,$D53),"P","")
)
</f>
        <v/>
      </c>
      <c r="K53" s="32" t="str">
        <f>CONCATENATE(
if(countif(dd.kxn,$D53),"D",""),
if(countif(knap.kxn,$D53),"K",""),
if(countif(mic.kxn,$D53),"M",""),
if(countif(nap.kxn,$D53),"N",""),
if(countif(np.kxn,$D53),"P",""),
if(countif(us.kxn,$D53),"U",""),
if(countif(var.kxn,$D53),"V","")
)</f>
        <v>N</v>
      </c>
      <c r="L53" s="32" t="str">
        <f>
CONCATENATE(
if(countif(dd.hwb,$D53),"D",""),
if(countif(knap.hwb,$D53),"K",""),
if(countif(mic.hwb,$D53),"M",""),
if(countif(nap.hwb,$D53),"N",""),
if(countif(np.hwb,$D53),"P",""),
if(countif(us.hwb,$D53),"U",""),
if(countif(imp.hwb,$D53),"T",""),
if(countif(var.hwb,$D53),"V","")
)</f>
        <v>U</v>
      </c>
      <c r="M53" s="32" t="str">
        <f>CONCATENATE(
if(countif(dd.epc,$D53),"D",""),
if(countif(knap.ekxn,$D53),"K",""),
if(countif(mic.ekxn,$D53),"M",""),
if(countif(nap.ekxn,$D53),"N",""),
if(countif(np.ekxn,$D53),"P",""),
if(countif(imp.epc,$D53),"T",""),
if(countif(us.ekxn,$D53),"U",""),
if(countif(var.ekxn,$D53),"V","")
)</f>
        <v>V</v>
      </c>
      <c r="N53" s="32" t="str">
        <f>
CONCATENATE(
if(countif(dd.ecg,$D53),"D",""),
if(countif(mic.ecg,$D53),"M",""),
if(countif(np.ecg,$D53),"P",""),
if(countif(imp.ecg,$D53),"T",""),
if(countif(us.ecg,$D53),"U","")
)</f>
        <v/>
      </c>
      <c r="O53" s="32" t="str">
        <f>
CONCATENATE(
if(countif(dd.egt,$D53),"D",""),
if(countif(mic.egt,$D53),"M",""),
if(countif(nap.egt,$D53),"N",""),
if(countif(us.egt,$D53),"U",""),
if(countif(var.egt,$D53),"V",""))
</f>
        <v/>
      </c>
      <c r="P53" s="32" t="str">
        <f>CONCATENATE(
if(countif(knap.egcg,$D53),"K",""),
if(countif(mic.egcg,$D53),"M",""),
if(countif(np.egcg,$D53),"P",""),
if(countif(us.egcg,$D53),"U","")
)</f>
        <v/>
      </c>
      <c r="Q53" s="32" t="str">
        <f>CONCATENATE(if(countif(np.ecit,$D53),"P",""),
if(countif(nap.ecit,$D53),"A",""))</f>
        <v/>
      </c>
      <c r="R53" s="32" t="str">
        <f>
CONCATENATE(
if(countif(nap.erd,$D53),"N",""),
if(countif(np.erd,$D53),"P",""),
if(countif(var.erd,$D53),"V",""))</f>
        <v/>
      </c>
      <c r="S53" s="32" t="str">
        <f>
CONCATENATE(
if(countif(dd.gkxn,$D53),"D",""),
if(countif(knap.gkxn,$D53),"K",""),
if(countif(nap.gkxn,$D53),"N",""),
if(countif(np.gkxn,$D53),"P",""),
if(countif(imp.gkxn,$D53),"T",""),
if(countif(var.gkxn,$D53),"V",""))</f>
        <v>T</v>
      </c>
      <c r="T53" s="32" t="str">
        <f>
CONCATENATE(
if(countif(dd.gen,$C53),"D",""),
if(countif(knap.gen,$C53),"K",""),
if(countif(nap.gen,$C53),"N",""),
if(countif(np.gen,$C53),"P",""),
if(countif(imp.gen,$C53),"T",""),
if(countif(var.gen,$C53),"V",""))</f>
        <v/>
      </c>
      <c r="U53" s="32" t="str">
        <f>
CONCATENATE(
if(countif(dd.hcc,$D53),"D",""),
if(countif(knap.hcc,$D53),"K",""),
if(countif(np.hcc,$D53),"P","")
)
</f>
        <v/>
      </c>
      <c r="V53" s="32" t="str">
        <f>
CONCATENATE(
if(countif(dd.kmp,$D53),"D",""),
if(countif(knap.kmp,$D53),"K",""),
if(countif(mic.kmp,$D53),"M",""),
if(countif(nap.kmp,$D53),"N",""),
if(countif(np.kmp,$D53),"P",""),
if(countif(imp.kmp,$D53),"T",""),
if(countif(us.kmp,$D53),"U",""),
if(countif(var.kmp,$D53),"V",""))</f>
        <v>D</v>
      </c>
      <c r="W53" s="32" t="str">
        <f>
CONCATENATE(
if(countif(dd.lu2,$D53),"D",""),
if(countif(knap.lu2,$D53),"K",""),
if(countif(mic.lu2,$D53),"M",""),
if(countif(nap.lu2,$D53),"N",""),
if(countif(np.lu2,$D53),"P",""),
if(countif(imp.lu2,$D53),"T",""),
if(countif(us.lu2,$D53),"U",""),
if(countif(var.lu2,$D53),"V",""))</f>
        <v/>
      </c>
      <c r="X53" s="32" t="str">
        <f>
CONCATENATE(
if(countif(dd.myc,$D53),"D",""),
if(countif(knap.myc,$D53),"K",""), 
if(countif(mic.myc,$D53),"M",""),
if(countif(nap.myc,$D53),"N",""),
if(countif(np.myc,$D53),"P",""),
if(countif(imp.myc,$D53),"T",""),
if(countif(us.myc,$D53),"U",""),
if(countif(var.myc,$D53),"V",""))</f>
        <v>V</v>
      </c>
      <c r="Y53" s="32" t="str">
        <f>CONCATENATE(
if(countif(dd.nar,$D53),"D",""),
if(countif(knap.nar,$D53),"K",""),
if(countif(nap.nar,$D53),"N",""),
if(countif(np.nar,$D53),"P",""),
if(countif(imp.nar,$D53),"T",""),
if(countif(us.nar,$D53),"U",""),
if(countif(var.nar,$D53),"V",""))</f>
        <v>V</v>
      </c>
      <c r="Z53" s="33" t="str">
        <f>
CONCATENATE(
if(countif(dd.que,$D53),"D",""),
if(countif(knap.que,$D53),"K",""),
if(countif(mic.que,$D53),"M",""),
if(countif(nap.que,$D53),"N",""),
if(countif(np.que,$D53),"P",""),
if(countif(imp.que,$D53),"T",""),
if(countif(us.que,$D53),"U",""),
if(countif(var.que,$D53),"V",""))</f>
        <v>DN</v>
      </c>
      <c r="AA53" s="32"/>
      <c r="AB53" s="34" t="str">
        <f>
CONCATENATE(if(countif(knap.agi.sim,$D53),"K",""),
if(countif(dd.agi.sim,$D53),"D",""),
if(countif(nap.agi.sim,$D53),"A",""),
if(countif(var.agi.sim,$D53),"V",""))</f>
        <v/>
      </c>
      <c r="AC53" s="34" t="str">
        <f>
if(countif(nap.bun.sim,$D53),"A","")</f>
        <v/>
      </c>
      <c r="AD53" s="34" t="str">
        <f>
CONCATENATE(if(countif(knap.kxn.sim,$D53),"K",""),
if(countif(np.kxn.sim,$D53),"P",""),
if(countif(dd.kxn.sim,$D53),"D",""),
if(countif(nap.kxn.sim,$D53),"A",""),
if(countif(var.kxn.sim,$D53),"V",""))</f>
        <v/>
      </c>
      <c r="AE53" s="34" t="str">
        <f>
CONCATENATE(if(countif(knap.hwb.sim,$D53),"K",""),
if(countif(np.hwb.sim,$D53),"P",""),
if(countif(mic.hwb.sim,$D53),"M",""),
if(countif(imp.hwb.sim,$D53),"T",""),
if(countif(dd.cyan.sim,$D53),"D",""),
if(countif(nap.hwb.sim,$D53),"A",""),
if(countif(var.hwb.sim,$D53),"V",""))</f>
        <v/>
      </c>
      <c r="AF53" s="34" t="str">
        <f>
CONCATENATE(if(countif(us.ekxn.sim,$D53),"U",""),
if(countif(knap.ekxn.sim,$D53),"K",""),
if(countif(np.ekxn.sim,$D53),"P",""),
if(countif(mic.ekxn.sim,$D53),"M",""),
if(countif(imp.epc.sim,$D53),"T",""),
if(countif(nap.ekxn.sim,$D53),"A",""))</f>
        <v/>
      </c>
      <c r="AG53" s="34"/>
      <c r="AH53" s="34" t="str">
        <f>
CONCATENATE(if(countif(us.egt.sim,$D53),"U",""),
if(countif(knap.egt.sim,$D53),"K",""),
if(countif(np.egt.sim,$D53),"P",""),
if(countif(mic.egt.sim,$D53),"M",""))</f>
        <v/>
      </c>
      <c r="AI53" s="34"/>
      <c r="AJ53" s="34" t="str">
        <f>if(countif(nap.ecit.sim,$D53),"A","")</f>
        <v/>
      </c>
      <c r="AK53" s="34" t="str">
        <f>
CONCATENATE(if(countif(nap.erd,$D53),"M",""),
if(countif(nap.erd.sim,$D53),"A",""),
if(countif(var.erd.sim,$D53),"V",""))</f>
        <v/>
      </c>
      <c r="AL53" s="34" t="str">
        <f>
CONCATENATE(if(countif(knap.gkxn.sim,$D53),"K",""),
if(countif(nap.gkxn.sim,$D53),"A",""))</f>
        <v/>
      </c>
      <c r="AM53" s="34" t="str">
        <f>
CONCATENATE(if(countif(knap.gen.sim,$C53),"K",""),
if(countif(imp.gen.sim,$C53),"T",""),
if(countif(dd.gen.sim,$C53),"D",""),
if(countif(nap.gen.sim,$C53),"A",""),
if(countif(var.gen.sim,$C53),"V",""))
</f>
        <v/>
      </c>
      <c r="AN53" s="34" t="str">
        <f>IFERROR(__xludf.DUMMYFUNCTION("
if(countif(#REF!,CONCATENATE(regexextract($C53,""[\w]* [\w]*""), ""*"")),""V"","""")"),"")</f>
        <v/>
      </c>
      <c r="AO53" s="34" t="str">
        <f>
CONCATENATE(if(countif(knap.kmp.sim,$D53),"K",""),
if(countif(np.kmp.sim,$D53),"P",""),
if(countif(imp.kmp.sim,$D53),"T",""),
if(countif(dd.kmp,$D53),"D",""),
if(countif(nap.kmp.sim,$D53),"A",""),
if(countif(var.kmp.sim,$D53),"V",""))</f>
        <v>D</v>
      </c>
      <c r="AP53" s="34" t="str">
        <f>
CONCATENATE(if(countif(knap.lu2.sim,$D53),"K",""),
if(countif(np.lu2.sim,$D53),"P",""),
if(countif(imp.lu2.sim,$D53),"T",""),
if(countif(dd.lu2.sim,$D53),"D",""),
if(countif(nap.lu2.sim,$D53),"A",""),
if(countif(var.lu2.sim,$D53),"V",""))</f>
        <v/>
      </c>
      <c r="AQ53" s="34" t="str">
        <f>
CONCATENATE(if(countif(np.myc.sim,$D53),"P",""),
if(countif(imp.myc.sim,$D53),"T",""),
if(countif(nap.myc.sim,$D53),"A",""))
</f>
        <v/>
      </c>
      <c r="AR53" s="36" t="str">
        <f>
CONCATENATE(if(countif(knap.nar.sim,$D53),"K",""),
if(countif(np.nar.sim,$D53),"P",""),
if(countif(imp.nar.sim,$D53),"T",""),
if(countif(dd.nar.sim,$D53),"D",""),
if(countif(nap.nar.sim,$D53),"A",""),
if(countif(var.nar.sim,$D53),"V",""))</f>
        <v/>
      </c>
      <c r="AS53" s="34" t="str">
        <f>
CONCATENATE(if(countif(knap.que.sim,$D53),"K",""),
if(countif(np.que.sim,$D53),"P",""),
if(countif(imp.que.sim,$D53),"T",""),
if(countif(dd.que.sim,$D53),"D",""),
if(countif(nap.que.sim,$D53),"A",""),
if(countif(var.que.sim,$D53),"V",""))</f>
        <v>TDA</v>
      </c>
      <c r="AT53" s="37"/>
      <c r="AU53" s="32" t="str">
        <f>IFERROR(__xludf.DUMMYFUNCTION("if(countif(kr.agi, CONCATENATE(regexextract($C53,""[\w]* [\w]*""), ""*"")),""X"","""")"),"")</f>
        <v/>
      </c>
      <c r="AV53" s="38" t="str">
        <f>IFERROR(__xludf.DUMMYFUNCTION("if(countif(kr.bun,CONCATENATE(regexextract($C53,""[\w]* [\w]*""), ""*"")),""X"","""")"),"X")</f>
        <v>X</v>
      </c>
      <c r="AW53" s="38" t="str">
        <f>IFERROR(__xludf.DUMMYFUNCTION("if(countif(kr.kxn,CONCATENATE(regexextract($C53,""[\w]* [\w]*""), ""*"")),""X"","""")"),"X")</f>
        <v>X</v>
      </c>
      <c r="AX53" s="38" t="str">
        <f>IFERROR(__xludf.DUMMYFUNCTION("if(countif(kr.hwb,CONCATENATE(regexextract($C53,""[\w]* [\w]*""), ""*"")),""X"","""")"),"X")</f>
        <v>X</v>
      </c>
      <c r="AY53" s="38" t="str">
        <f>IFERROR(__xludf.DUMMYFUNCTION("if(countif(kr.ec,CONCATENATE(regexextract($C53,""[\w]* [\w]*""), ""*"")),""X"","""")"),"X")</f>
        <v>X</v>
      </c>
      <c r="AZ53" s="38" t="str">
        <f>IFERROR(__xludf.DUMMYFUNCTION("if(countif(kr.egt,CONCATENATE(regexextract($C53,""[\w]* [\w]*""), ""*"")),""X"","""")"),"X")</f>
        <v>X</v>
      </c>
      <c r="BA53" s="38"/>
      <c r="BB53" s="38" t="str">
        <f>IFERROR(__xludf.DUMMYFUNCTION("if(countif(kr.erd,CONCATENATE(regexextract($C53,""[\w]* [\w]*""), ""*"")),""X"","""")"),"X")</f>
        <v>X</v>
      </c>
      <c r="BC53" s="38" t="str">
        <f>IFERROR(__xludf.DUMMYFUNCTION("if(countif(kr.gkxn,CONCATENATE(regexextract($C53,""[\w]* [\w]*""), ""*"")),""X"","""")"),"X")</f>
        <v>X</v>
      </c>
      <c r="BD53" s="38" t="str">
        <f>IFERROR(__xludf.DUMMYFUNCTION("if(countif(kr.gen,CONCATENATE(regexextract(C53,""[\w]* [\w]*""), ""*"")),""X"","""")"),"")</f>
        <v/>
      </c>
      <c r="BE53" s="38" t="str">
        <f>IFERROR(__xludf.DUMMYFUNCTION("if(countif(kr.hcc,CONCATENATE(regexextract($C53,""[\w]* [\w]*""), ""*"")),""X"","""")"),"X")</f>
        <v>X</v>
      </c>
      <c r="BF53" s="38" t="str">
        <f>IFERROR(__xludf.DUMMYFUNCTION("if(countif(kr.kmp,CONCATENATE(regexextract($C53,""[\w]* [\w]*""), ""*"")),""X"","""")"),"X")</f>
        <v>X</v>
      </c>
      <c r="BG53" s="38" t="str">
        <f>IFERROR(__xludf.DUMMYFUNCTION("if(countif(kr.lu2,CONCATENATE(regexextract($C53,""[\w]* [\w]*""), ""*"")),""X"","""")"),"")</f>
        <v/>
      </c>
      <c r="BH53" s="38" t="str">
        <f>IFERROR(__xludf.DUMMYFUNCTION("if(countif(kr.myc,CONCATENATE(regexextract($C53,""[\w]* [\w]*""), ""*"")),""X"","""")"),"X")</f>
        <v>X</v>
      </c>
      <c r="BI53" s="38" t="str">
        <f>IFERROR(__xludf.DUMMYFUNCTION("if(countif(kr.nar,CONCATENATE(regexextract($C53,""[\w]* [\w]*""), ""*"")),""X"","""")"),"X")</f>
        <v>X</v>
      </c>
      <c r="BJ53" s="38" t="str">
        <f>IFERROR(__xludf.DUMMYFUNCTION("if(countif(kr.que,CONCATENATE(regexextract($C53,""[\w]* [\w]*""), ""*"")),""X"","""")"),"X")</f>
        <v>X</v>
      </c>
      <c r="BK53" s="39"/>
      <c r="BL53" s="40" t="str">
        <f>IFERROR(__xludf.DUMMYFUNCTION(" CONCATENATE( 
if (regexmatch(I53, ""^[A-Za-z\.\_]+""), ""L"", 
if(regexmatch(AB53, ""^[A-Za-z\.\_]+""),""S"","""")),
if(AU53=""X"",""K"",""""))"),"L")</f>
        <v>L</v>
      </c>
      <c r="BM53" s="40" t="str">
        <f>IFERROR(__xludf.DUMMYFUNCTION(" CONCATENATE( 
if (regexmatch(J53, ""^[A-Za-z\.\_]+""), ""L"", 
if(regexmatch(AC53, ""^[A-Za-z\.\_]+""),""S"","""")),
if(AV53=""X"",""K"",""""))"),"K")</f>
        <v>K</v>
      </c>
      <c r="BN53" s="40" t="str">
        <f>IFERROR(__xludf.DUMMYFUNCTION(" CONCATENATE( 
if (regexmatch(K53, ""^[A-Za-z\.\_]+""), ""L"", 
if(regexmatch(AD53, ""^[A-Za-z\.\_]+""),""S"","""")),
if(AW53=""X"",""K"",""""))"),"LK")</f>
        <v>LK</v>
      </c>
      <c r="BO53" s="40" t="str">
        <f>IFERROR(__xludf.DUMMYFUNCTION(" CONCATENATE( 
if (regexmatch(L53, ""^[A-Za-z\.\_]+""), ""L"", 
if(regexmatch(AE53, ""^[A-Za-z\.\_]+""),""S"","""")),
if(AX53=""X"",""K"",""""))"),"LK")</f>
        <v>LK</v>
      </c>
      <c r="BP53" s="40" t="str">
        <f>IFERROR(__xludf.DUMMYFUNCTION(" CONCATENATE( 
if (regexmatch(M53, ""^[A-Za-z\.\_]+""), ""L"", 
if(regexmatch(AF53, ""^[A-Za-z\.\_]+""),""S"","""")),
if(AY53=""X"",""K"",""""))"),"LK")</f>
        <v>LK</v>
      </c>
      <c r="BQ53" s="40" t="str">
        <f>IFERROR(__xludf.DUMMYFUNCTION("CONCATENATE( 
if (regexmatch(O53, ""^[A-Za-z\.\_]+""), ""L"", 
if(regexmatch(AH53, ""^[A-Za-z\.\_]+""),""S"","""")),
if(AZ53=""X"",""K"",""""))"),"K")</f>
        <v>K</v>
      </c>
      <c r="BR53" s="40" t="str">
        <f>IFERROR(__xludf.DUMMYFUNCTION("CONCATENATE( 
if (regexmatch(Q53, ""^[A-Za-z\.\_]+""), ""L"", 
if(regexmatch(AJ53, ""^[A-Za-z\.\_]+""),""S"","""")),
if(BA53=""X"",""K"",""""))"),"")</f>
        <v/>
      </c>
      <c r="BS53" s="40" t="str">
        <f>IFERROR(__xludf.DUMMYFUNCTION(" CONCATENATE( 
if (regexmatch(R53, ""^[A-Za-z\.\_]+""), ""L"", 
if(regexmatch(AK53, ""^[A-Za-z\.\_]+""),""S"","""")),
if(BB53=""X"",""K"",""""))"),"K")</f>
        <v>K</v>
      </c>
      <c r="BT53" s="40" t="str">
        <f>IFERROR(__xludf.DUMMYFUNCTION("CONCATENATE( 
if (regexmatch(S53, ""^[A-Za-z\.\_]+""), ""L"", 
if(regexmatch(AL53, ""^[A-Za-z\.\_]+""),""S"","""")),
if(BC53=""X"",""K"",""""))"),"LK")</f>
        <v>LK</v>
      </c>
      <c r="BU53" s="40" t="str">
        <f>IFERROR(__xludf.DUMMYFUNCTION("CONCATENATE( 
if (regexmatch(T53, ""^[A-Za-z\.\_]+""), ""L"", 
if(regexmatch(AM53, ""^[A-Za-z\.\_]+""),""S"","""")),
if(BD53=""X"",""K"",""""))"),"")</f>
        <v/>
      </c>
      <c r="BV53" s="40" t="str">
        <f>IFERROR(__xludf.DUMMYFUNCTION("CONCATENATE( 
if (regexmatch(U53, ""^[A-Za-z\.\_]+""), ""L"", 
if(regexmatch(AN53, ""^[A-Za-z\.\_]+""),""S"","""")),
if(BE53=""X"",""K"",""""))"),"K")</f>
        <v>K</v>
      </c>
      <c r="BW53" s="40" t="str">
        <f>IFERROR(__xludf.DUMMYFUNCTION(" CONCATENATE( 
if (regexmatch(V53, ""^[A-Za-z\.\_]+""), ""L"", 
if(regexmatch(AO53, ""^[A-Za-z\.\_]+""),""S"","""")),
if(BF53=""X"",""K"",""""))"),"LK")</f>
        <v>LK</v>
      </c>
      <c r="BX53" s="40" t="str">
        <f>IFERROR(__xludf.DUMMYFUNCTION("CONCATENATE( 
if (regexmatch(W53, ""^[A-Za-z\.\_]+""), ""L"", 
if(regexmatch(AP53, ""^[A-Za-z\.\_]+""),""S"","""")),
if(BG53=""X"",""K"",""""))"),"")</f>
        <v/>
      </c>
      <c r="BY53" s="40" t="str">
        <f>IFERROR(__xludf.DUMMYFUNCTION("CONCATENATE( 
if (regexmatch(X53, ""^[A-Za-z\.\_]+""), ""L"", 
if(regexmatch(AQ53, ""^[A-Za-z\.\_]+""),""S"","""")),
if(BH53=""X"",""K"",""""))"),"LK")</f>
        <v>LK</v>
      </c>
      <c r="BZ53" s="40" t="str">
        <f>IFERROR(__xludf.DUMMYFUNCTION("CONCATENATE( 
if (regexmatch(Y53, ""^[A-Za-z\.\_]+""), ""L"", 
if(regexmatch(AR53, ""^[A-Za-z\.\_]+""),""S"","""")),
if(BI53=""X"",""K"",""""))"),"LK")</f>
        <v>LK</v>
      </c>
      <c r="CA53" s="40" t="str">
        <f>IFERROR(__xludf.DUMMYFUNCTION("CONCATENATE( 
if (regexmatch(Z53, ""^[A-Za-z\.\_]+""), ""L"", 
if(regexmatch(AS53, ""^[A-Za-z\.\_]+""),""S"","""")),
if(BJ53=""X"",""K"",""""))"),"LK")</f>
        <v>LK</v>
      </c>
      <c r="CB53" s="39"/>
      <c r="CC53" s="39"/>
      <c r="CD53" s="39"/>
      <c r="CE53" s="39"/>
      <c r="CF53" s="39"/>
      <c r="CG53" s="39"/>
      <c r="CH53" s="39"/>
      <c r="CI53" s="39"/>
      <c r="CJ53" s="39"/>
      <c r="CK53" s="39"/>
      <c r="CL53" s="39"/>
      <c r="CM53" s="39"/>
      <c r="CN53" s="39"/>
      <c r="CO53" s="39"/>
      <c r="CP53" s="39"/>
      <c r="CQ53" s="39"/>
      <c r="CR53" s="39"/>
    </row>
    <row r="54" ht="15.75" customHeight="1">
      <c r="A54" s="25">
        <v>88.0</v>
      </c>
      <c r="B54" s="26" t="s">
        <v>236</v>
      </c>
      <c r="C54" s="27" t="s">
        <v>237</v>
      </c>
      <c r="D54" s="27" t="str">
        <f>IFERROR(__xludf.DUMMYFUNCTION("CONCATENATE(regexextract($C54,""[\w]* [\w]*""), ""*"")"),"Lactuca sativa*")</f>
        <v>Lactuca sativa*</v>
      </c>
      <c r="E54" s="26" t="s">
        <v>238</v>
      </c>
      <c r="F54" s="57">
        <v>4236.0</v>
      </c>
      <c r="G54" s="53"/>
      <c r="H54" s="31"/>
      <c r="I54" s="32" t="str">
        <f>CONCATENATE(
if(countif(dd.agi,$D54),"D",""),
if(countif(knap.agi,$D54),"K",""),
if(countif(mic.agi,$D54),"M",""),
if(countif(nap.agi,$D54),"N",""),
if(countif(np.agi,$D54),"P",""),
if(countif(imp.agi,$D54),"T",""),
if(countif(us.agi,$D54),"U",""),
if(countif(var.agi,$D54),"V","")
)</f>
        <v>N</v>
      </c>
      <c r="J54" s="32" t="str">
        <f>
CONCATENATE(
if(countif(nap.bun,$D54),"N",""),
if(countif(np.bun,$D54),"P","")
)
</f>
        <v/>
      </c>
      <c r="K54" s="32" t="str">
        <f>CONCATENATE(
if(countif(dd.kxn,$D54),"D",""),
if(countif(knap.kxn,$D54),"K",""),
if(countif(mic.kxn,$D54),"M",""),
if(countif(nap.kxn,$D54),"N",""),
if(countif(np.kxn,$D54),"P",""),
if(countif(us.kxn,$D54),"U",""),
if(countif(var.kxn,$D54),"V","")
)</f>
        <v/>
      </c>
      <c r="L54" s="32" t="str">
        <f>
CONCATENATE(
if(countif(dd.hwb,$D54),"D",""),
if(countif(knap.hwb,$D54),"K",""),
if(countif(mic.hwb,$D54),"M",""),
if(countif(nap.hwb,$D54),"N",""),
if(countif(np.hwb,$D54),"P",""),
if(countif(us.hwb,$D54),"U",""),
if(countif(imp.hwb,$D54),"T",""),
if(countif(var.hwb,$D54),"V","")
)</f>
        <v>T</v>
      </c>
      <c r="M54" s="32" t="str">
        <f>CONCATENATE(
if(countif(dd.epc,$D54),"D",""),
if(countif(knap.ekxn,$D54),"K",""),
if(countif(mic.ekxn,$D54),"M",""),
if(countif(nap.ekxn,$D54),"N",""),
if(countif(np.ekxn,$D54),"P",""),
if(countif(imp.epc,$D54),"T",""),
if(countif(us.ekxn,$D54),"U",""),
if(countif(var.ekxn,$D54),"V","")
)</f>
        <v/>
      </c>
      <c r="N54" s="32" t="str">
        <f>
CONCATENATE(
if(countif(dd.ecg,$D54),"D",""),
if(countif(mic.ecg,$D54),"M",""),
if(countif(np.ecg,$D54),"P",""),
if(countif(imp.ecg,$D54),"T",""),
if(countif(us.ecg,$D54),"U","")
)</f>
        <v/>
      </c>
      <c r="O54" s="32" t="str">
        <f>
CONCATENATE(
if(countif(dd.egt,$D54),"D",""),
if(countif(mic.egt,$D54),"M",""),
if(countif(nap.egt,$D54),"N",""),
if(countif(us.egt,$D54),"U",""),
if(countif(var.egt,$D54),"V",""))
</f>
        <v/>
      </c>
      <c r="P54" s="32" t="str">
        <f>CONCATENATE(
if(countif(knap.egcg,$D54),"K",""),
if(countif(mic.egcg,$D54),"M",""),
if(countif(np.egcg,$D54),"P",""),
if(countif(us.egcg,$D54),"U","")
)</f>
        <v/>
      </c>
      <c r="Q54" s="32" t="str">
        <f>CONCATENATE(if(countif(np.ecit,$D54),"P",""),
if(countif(nap.ecit,$D54),"A",""))</f>
        <v/>
      </c>
      <c r="R54" s="32" t="str">
        <f>
CONCATENATE(
if(countif(nap.erd,$D54),"N",""),
if(countif(np.erd,$D54),"P",""),
if(countif(var.erd,$D54),"V",""))</f>
        <v/>
      </c>
      <c r="S54" s="32" t="str">
        <f>
CONCATENATE(
if(countif(dd.gkxn,$D54),"D",""),
if(countif(knap.gkxn,$D54),"K",""),
if(countif(nap.gkxn,$D54),"N",""),
if(countif(np.gkxn,$D54),"P",""),
if(countif(imp.gkxn,$D54),"T",""),
if(countif(var.gkxn,$D54),"V",""))</f>
        <v/>
      </c>
      <c r="T54" s="32" t="str">
        <f>
CONCATENATE(
if(countif(dd.gen,$C54),"D",""),
if(countif(knap.gen,$C54),"K",""),
if(countif(nap.gen,$C54),"N",""),
if(countif(np.gen,$C54),"P",""),
if(countif(imp.gen,$C54),"T",""),
if(countif(var.gen,$C54),"V",""))</f>
        <v/>
      </c>
      <c r="U54" s="32" t="str">
        <f>
CONCATENATE(
if(countif(dd.hcc,$D54),"D",""),
if(countif(knap.hcc,$D54),"K",""),
if(countif(np.hcc,$D54),"P","")
)
</f>
        <v/>
      </c>
      <c r="V54" s="32" t="str">
        <f>
CONCATENATE(
if(countif(dd.kmp,$D54),"D",""),
if(countif(knap.kmp,$D54),"K",""),
if(countif(mic.kmp,$D54),"M",""),
if(countif(nap.kmp,$D54),"N",""),
if(countif(np.kmp,$D54),"P",""),
if(countif(imp.kmp,$D54),"T",""),
if(countif(us.kmp,$D54),"U",""),
if(countif(var.kmp,$D54),"V",""))</f>
        <v>DN</v>
      </c>
      <c r="W54" s="32" t="str">
        <f>
CONCATENATE(
if(countif(dd.lu2,$D54),"D",""),
if(countif(knap.lu2,$D54),"K",""),
if(countif(mic.lu2,$D54),"M",""),
if(countif(nap.lu2,$D54),"N",""),
if(countif(np.lu2,$D54),"P",""),
if(countif(imp.lu2,$D54),"T",""),
if(countif(us.lu2,$D54),"U",""),
if(countif(var.lu2,$D54),"V",""))</f>
        <v>DN</v>
      </c>
      <c r="X54" s="32" t="str">
        <f>
CONCATENATE(
if(countif(dd.myc,$D54),"D",""),
if(countif(knap.myc,$D54),"K",""), 
if(countif(mic.myc,$D54),"M",""),
if(countif(nap.myc,$D54),"N",""),
if(countif(np.myc,$D54),"P",""),
if(countif(imp.myc,$D54),"T",""),
if(countif(us.myc,$D54),"U",""),
if(countif(var.myc,$D54),"V",""))</f>
        <v/>
      </c>
      <c r="Y54" s="32" t="str">
        <f>CONCATENATE(
if(countif(dd.nar,$D54),"D",""),
if(countif(knap.nar,$D54),"K",""),
if(countif(nap.nar,$D54),"N",""),
if(countif(np.nar,$D54),"P",""),
if(countif(imp.nar,$D54),"T",""),
if(countif(us.nar,$D54),"U",""),
if(countif(var.nar,$D54),"V",""))</f>
        <v/>
      </c>
      <c r="Z54" s="33" t="str">
        <f>
CONCATENATE(
if(countif(dd.que,$D54),"D",""),
if(countif(knap.que,$D54),"K",""),
if(countif(mic.que,$D54),"M",""),
if(countif(nap.que,$D54),"N",""),
if(countif(np.que,$D54),"P",""),
if(countif(imp.que,$D54),"T",""),
if(countif(us.que,$D54),"U",""),
if(countif(var.que,$D54),"V",""))</f>
        <v>DNT</v>
      </c>
      <c r="AA54" s="32"/>
      <c r="AB54" s="34" t="str">
        <f>
CONCATENATE(if(countif(knap.agi.sim,$D54),"K",""),
if(countif(dd.agi.sim,$D54),"D",""),
if(countif(nap.agi.sim,$D54),"A",""),
if(countif(var.agi.sim,$D54),"V",""))</f>
        <v>A</v>
      </c>
      <c r="AC54" s="34" t="str">
        <f>
if(countif(nap.bun.sim,$D54),"A","")</f>
        <v/>
      </c>
      <c r="AD54" s="34" t="str">
        <f>
CONCATENATE(if(countif(knap.kxn.sim,$D54),"K",""),
if(countif(np.kxn.sim,$D54),"P",""),
if(countif(dd.kxn.sim,$D54),"D",""),
if(countif(nap.kxn.sim,$D54),"A",""),
if(countif(var.kxn.sim,$D54),"V",""))</f>
        <v/>
      </c>
      <c r="AE54" s="34" t="str">
        <f>
CONCATENATE(if(countif(knap.hwb.sim,$D54),"K",""),
if(countif(np.hwb.sim,$D54),"P",""),
if(countif(mic.hwb.sim,$D54),"M",""),
if(countif(imp.hwb.sim,$D54),"T",""),
if(countif(dd.cyan.sim,$D54),"D",""),
if(countif(nap.hwb.sim,$D54),"A",""),
if(countif(var.hwb.sim,$D54),"V",""))</f>
        <v>K</v>
      </c>
      <c r="AF54" s="34" t="str">
        <f>
CONCATENATE(if(countif(us.ekxn.sim,$D54),"U",""),
if(countif(knap.ekxn.sim,$D54),"K",""),
if(countif(np.ekxn.sim,$D54),"P",""),
if(countif(mic.ekxn.sim,$D54),"M",""),
if(countif(imp.epc.sim,$D54),"T",""),
if(countif(nap.ekxn.sim,$D54),"A",""))</f>
        <v/>
      </c>
      <c r="AG54" s="34"/>
      <c r="AH54" s="34" t="str">
        <f>
CONCATENATE(if(countif(us.egt.sim,$D54),"U",""),
if(countif(knap.egt.sim,$D54),"K",""),
if(countif(np.egt.sim,$D54),"P",""),
if(countif(mic.egt.sim,$D54),"M",""))</f>
        <v/>
      </c>
      <c r="AI54" s="34"/>
      <c r="AJ54" s="34" t="str">
        <f>if(countif(nap.ecit.sim,$D54),"A","")</f>
        <v/>
      </c>
      <c r="AK54" s="34" t="str">
        <f>
CONCATENATE(if(countif(nap.erd,$D54),"M",""),
if(countif(nap.erd.sim,$D54),"A",""),
if(countif(var.erd.sim,$D54),"V",""))</f>
        <v/>
      </c>
      <c r="AL54" s="34" t="str">
        <f>
CONCATENATE(if(countif(knap.gkxn.sim,$D54),"K",""),
if(countif(nap.gkxn.sim,$D54),"A",""))</f>
        <v/>
      </c>
      <c r="AM54" s="34" t="str">
        <f>
CONCATENATE(if(countif(knap.gen.sim,$C54),"K",""),
if(countif(imp.gen.sim,$C54),"T",""),
if(countif(dd.gen.sim,$C54),"D",""),
if(countif(nap.gen.sim,$C54),"A",""),
if(countif(var.gen.sim,$C54),"V",""))
</f>
        <v/>
      </c>
      <c r="AN54" s="34" t="str">
        <f>IFERROR(__xludf.DUMMYFUNCTION("
if(countif(#REF!,CONCATENATE(regexextract($C54,""[\w]* [\w]*""), ""*"")),""V"","""")"),"")</f>
        <v/>
      </c>
      <c r="AO54" s="34" t="str">
        <f>
CONCATENATE(if(countif(knap.kmp.sim,$D54),"K",""),
if(countif(np.kmp.sim,$D54),"P",""),
if(countif(imp.kmp.sim,$D54),"T",""),
if(countif(dd.kmp,$D54),"D",""),
if(countif(nap.kmp.sim,$D54),"A",""),
if(countif(var.kmp.sim,$D54),"V",""))</f>
        <v>D</v>
      </c>
      <c r="AP54" s="34" t="str">
        <f>
CONCATENATE(if(countif(knap.lu2.sim,$D54),"K",""),
if(countif(np.lu2.sim,$D54),"P",""),
if(countif(imp.lu2.sim,$D54),"T",""),
if(countif(dd.lu2.sim,$D54),"D",""),
if(countif(nap.lu2.sim,$D54),"A",""),
if(countif(var.lu2.sim,$D54),"V",""))</f>
        <v/>
      </c>
      <c r="AQ54" s="34" t="str">
        <f>
CONCATENATE(if(countif(np.myc.sim,$D54),"P",""),
if(countif(imp.myc.sim,$D54),"T",""),
if(countif(nap.myc.sim,$D54),"A",""))
</f>
        <v/>
      </c>
      <c r="AR54" s="36" t="str">
        <f>
CONCATENATE(if(countif(knap.nar.sim,$D54),"K",""),
if(countif(np.nar.sim,$D54),"P",""),
if(countif(imp.nar.sim,$D54),"T",""),
if(countif(dd.nar.sim,$D54),"D",""),
if(countif(nap.nar.sim,$D54),"A",""),
if(countif(var.nar.sim,$D54),"V",""))</f>
        <v/>
      </c>
      <c r="AS54" s="34" t="str">
        <f>
CONCATENATE(if(countif(knap.que.sim,$D54),"K",""),
if(countif(np.que.sim,$D54),"P",""),
if(countif(imp.que.sim,$D54),"T",""),
if(countif(dd.que.sim,$D54),"D",""),
if(countif(nap.que.sim,$D54),"A",""),
if(countif(var.que.sim,$D54),"V",""))</f>
        <v>KT</v>
      </c>
      <c r="AT54" s="37"/>
      <c r="AU54" s="32" t="str">
        <f>IFERROR(__xludf.DUMMYFUNCTION("if(countif(kr.agi, CONCATENATE(regexextract($C54,""[\w]* [\w]*""), ""*"")),""X"","""")"),"X")</f>
        <v>X</v>
      </c>
      <c r="AV54" s="38" t="str">
        <f>IFERROR(__xludf.DUMMYFUNCTION("if(countif(kr.bun,CONCATENATE(regexextract($C54,""[\w]* [\w]*""), ""*"")),""X"","""")"),"X")</f>
        <v>X</v>
      </c>
      <c r="AW54" s="38" t="str">
        <f>IFERROR(__xludf.DUMMYFUNCTION("if(countif(kr.kxn,CONCATENATE(regexextract($C54,""[\w]* [\w]*""), ""*"")),""X"","""")"),"")</f>
        <v/>
      </c>
      <c r="AX54" s="38" t="str">
        <f>IFERROR(__xludf.DUMMYFUNCTION("if(countif(kr.hwb,CONCATENATE(regexextract($C54,""[\w]* [\w]*""), ""*"")),""X"","""")"),"")</f>
        <v/>
      </c>
      <c r="AY54" s="38" t="str">
        <f>IFERROR(__xludf.DUMMYFUNCTION("if(countif(kr.ec,CONCATENATE(regexextract($C54,""[\w]* [\w]*""), ""*"")),""X"","""")"),"")</f>
        <v/>
      </c>
      <c r="AZ54" s="38" t="str">
        <f>IFERROR(__xludf.DUMMYFUNCTION("if(countif(kr.egt,CONCATENATE(regexextract($C54,""[\w]* [\w]*""), ""*"")),""X"","""")"),"")</f>
        <v/>
      </c>
      <c r="BA54" s="38"/>
      <c r="BB54" s="38" t="str">
        <f>IFERROR(__xludf.DUMMYFUNCTION("if(countif(kr.erd,CONCATENATE(regexextract($C54,""[\w]* [\w]*""), ""*"")),""X"","""")"),"X")</f>
        <v>X</v>
      </c>
      <c r="BC54" s="38" t="str">
        <f>IFERROR(__xludf.DUMMYFUNCTION("if(countif(kr.gkxn,CONCATENATE(regexextract($C54,""[\w]* [\w]*""), ""*"")),""X"","""")"),"")</f>
        <v/>
      </c>
      <c r="BD54" s="38" t="str">
        <f>IFERROR(__xludf.DUMMYFUNCTION("if(countif(kr.gen,CONCATENATE(regexextract(C54,""[\w]* [\w]*""), ""*"")),""X"","""")"),"")</f>
        <v/>
      </c>
      <c r="BE54" s="38" t="str">
        <f>IFERROR(__xludf.DUMMYFUNCTION("if(countif(kr.hcc,CONCATENATE(regexextract($C54,""[\w]* [\w]*""), ""*"")),""X"","""")"),"X")</f>
        <v>X</v>
      </c>
      <c r="BF54" s="38" t="str">
        <f>IFERROR(__xludf.DUMMYFUNCTION("if(countif(kr.kmp,CONCATENATE(regexextract($C54,""[\w]* [\w]*""), ""*"")),""X"","""")"),"X")</f>
        <v>X</v>
      </c>
      <c r="BG54" s="38" t="str">
        <f>IFERROR(__xludf.DUMMYFUNCTION("if(countif(kr.lu2,CONCATENATE(regexextract($C54,""[\w]* [\w]*""), ""*"")),""X"","""")"),"X")</f>
        <v>X</v>
      </c>
      <c r="BH54" s="38" t="str">
        <f>IFERROR(__xludf.DUMMYFUNCTION("if(countif(kr.myc,CONCATENATE(regexextract($C54,""[\w]* [\w]*""), ""*"")),""X"","""")"),"")</f>
        <v/>
      </c>
      <c r="BI54" s="38" t="str">
        <f>IFERROR(__xludf.DUMMYFUNCTION("if(countif(kr.nar,CONCATENATE(regexextract($C54,""[\w]* [\w]*""), ""*"")),""X"","""")"),"X")</f>
        <v>X</v>
      </c>
      <c r="BJ54" s="38" t="str">
        <f>IFERROR(__xludf.DUMMYFUNCTION("if(countif(kr.que,CONCATENATE(regexextract($C54,""[\w]* [\w]*""), ""*"")),""X"","""")"),"X")</f>
        <v>X</v>
      </c>
      <c r="BK54" s="39"/>
      <c r="BL54" s="40" t="str">
        <f>IFERROR(__xludf.DUMMYFUNCTION(" CONCATENATE( 
if (regexmatch(I54, ""^[A-Za-z\.\_]+""), ""L"", 
if(regexmatch(AB54, ""^[A-Za-z\.\_]+""),""S"","""")),
if(AU54=""X"",""K"",""""))"),"LK")</f>
        <v>LK</v>
      </c>
      <c r="BM54" s="40" t="str">
        <f>IFERROR(__xludf.DUMMYFUNCTION(" CONCATENATE( 
if (regexmatch(J54, ""^[A-Za-z\.\_]+""), ""L"", 
if(regexmatch(AC54, ""^[A-Za-z\.\_]+""),""S"","""")),
if(AV54=""X"",""K"",""""))"),"K")</f>
        <v>K</v>
      </c>
      <c r="BN54" s="40" t="str">
        <f>IFERROR(__xludf.DUMMYFUNCTION(" CONCATENATE( 
if (regexmatch(K54, ""^[A-Za-z\.\_]+""), ""L"", 
if(regexmatch(AD54, ""^[A-Za-z\.\_]+""),""S"","""")),
if(AW54=""X"",""K"",""""))"),"")</f>
        <v/>
      </c>
      <c r="BO54" s="40" t="str">
        <f>IFERROR(__xludf.DUMMYFUNCTION(" CONCATENATE( 
if (regexmatch(L54, ""^[A-Za-z\.\_]+""), ""L"", 
if(regexmatch(AE54, ""^[A-Za-z\.\_]+""),""S"","""")),
if(AX54=""X"",""K"",""""))"),"L")</f>
        <v>L</v>
      </c>
      <c r="BP54" s="40" t="str">
        <f>IFERROR(__xludf.DUMMYFUNCTION(" CONCATENATE( 
if (regexmatch(M54, ""^[A-Za-z\.\_]+""), ""L"", 
if(regexmatch(AF54, ""^[A-Za-z\.\_]+""),""S"","""")),
if(AY54=""X"",""K"",""""))"),"")</f>
        <v/>
      </c>
      <c r="BQ54" s="40" t="str">
        <f>IFERROR(__xludf.DUMMYFUNCTION("CONCATENATE( 
if (regexmatch(O54, ""^[A-Za-z\.\_]+""), ""L"", 
if(regexmatch(AH54, ""^[A-Za-z\.\_]+""),""S"","""")),
if(AZ54=""X"",""K"",""""))"),"")</f>
        <v/>
      </c>
      <c r="BR54" s="40" t="str">
        <f>IFERROR(__xludf.DUMMYFUNCTION("CONCATENATE( 
if (regexmatch(Q54, ""^[A-Za-z\.\_]+""), ""L"", 
if(regexmatch(AJ54, ""^[A-Za-z\.\_]+""),""S"","""")),
if(BA54=""X"",""K"",""""))"),"")</f>
        <v/>
      </c>
      <c r="BS54" s="40" t="str">
        <f>IFERROR(__xludf.DUMMYFUNCTION(" CONCATENATE( 
if (regexmatch(R54, ""^[A-Za-z\.\_]+""), ""L"", 
if(regexmatch(AK54, ""^[A-Za-z\.\_]+""),""S"","""")),
if(BB54=""X"",""K"",""""))"),"K")</f>
        <v>K</v>
      </c>
      <c r="BT54" s="40" t="str">
        <f>IFERROR(__xludf.DUMMYFUNCTION("CONCATENATE( 
if (regexmatch(S54, ""^[A-Za-z\.\_]+""), ""L"", 
if(regexmatch(AL54, ""^[A-Za-z\.\_]+""),""S"","""")),
if(BC54=""X"",""K"",""""))"),"")</f>
        <v/>
      </c>
      <c r="BU54" s="40" t="str">
        <f>IFERROR(__xludf.DUMMYFUNCTION("CONCATENATE( 
if (regexmatch(T54, ""^[A-Za-z\.\_]+""), ""L"", 
if(regexmatch(AM54, ""^[A-Za-z\.\_]+""),""S"","""")),
if(BD54=""X"",""K"",""""))"),"")</f>
        <v/>
      </c>
      <c r="BV54" s="40" t="str">
        <f>IFERROR(__xludf.DUMMYFUNCTION("CONCATENATE( 
if (regexmatch(U54, ""^[A-Za-z\.\_]+""), ""L"", 
if(regexmatch(AN54, ""^[A-Za-z\.\_]+""),""S"","""")),
if(BE54=""X"",""K"",""""))"),"K")</f>
        <v>K</v>
      </c>
      <c r="BW54" s="40" t="str">
        <f>IFERROR(__xludf.DUMMYFUNCTION(" CONCATENATE( 
if (regexmatch(V54, ""^[A-Za-z\.\_]+""), ""L"", 
if(regexmatch(AO54, ""^[A-Za-z\.\_]+""),""S"","""")),
if(BF54=""X"",""K"",""""))"),"LK")</f>
        <v>LK</v>
      </c>
      <c r="BX54" s="40" t="str">
        <f>IFERROR(__xludf.DUMMYFUNCTION("CONCATENATE( 
if (regexmatch(W54, ""^[A-Za-z\.\_]+""), ""L"", 
if(regexmatch(AP54, ""^[A-Za-z\.\_]+""),""S"","""")),
if(BG54=""X"",""K"",""""))"),"LK")</f>
        <v>LK</v>
      </c>
      <c r="BY54" s="40" t="str">
        <f>IFERROR(__xludf.DUMMYFUNCTION("CONCATENATE( 
if (regexmatch(X54, ""^[A-Za-z\.\_]+""), ""L"", 
if(regexmatch(AQ54, ""^[A-Za-z\.\_]+""),""S"","""")),
if(BH54=""X"",""K"",""""))"),"")</f>
        <v/>
      </c>
      <c r="BZ54" s="40" t="str">
        <f>IFERROR(__xludf.DUMMYFUNCTION("CONCATENATE( 
if (regexmatch(Y54, ""^[A-Za-z\.\_]+""), ""L"", 
if(regexmatch(AR54, ""^[A-Za-z\.\_]+""),""S"","""")),
if(BI54=""X"",""K"",""""))"),"K")</f>
        <v>K</v>
      </c>
      <c r="CA54" s="40" t="str">
        <f>IFERROR(__xludf.DUMMYFUNCTION("CONCATENATE( 
if (regexmatch(Z54, ""^[A-Za-z\.\_]+""), ""L"", 
if(regexmatch(AS54, ""^[A-Za-z\.\_]+""),""S"","""")),
if(BJ54=""X"",""K"",""""))"),"LK")</f>
        <v>LK</v>
      </c>
      <c r="CB54" s="39"/>
      <c r="CC54" s="39"/>
      <c r="CD54" s="39"/>
      <c r="CE54" s="39"/>
      <c r="CF54" s="39"/>
      <c r="CG54" s="39"/>
      <c r="CH54" s="39"/>
      <c r="CI54" s="39"/>
      <c r="CJ54" s="39"/>
      <c r="CK54" s="39"/>
      <c r="CL54" s="39"/>
      <c r="CM54" s="39"/>
      <c r="CN54" s="39"/>
      <c r="CO54" s="39"/>
      <c r="CP54" s="39"/>
      <c r="CQ54" s="39"/>
      <c r="CR54" s="39"/>
    </row>
    <row r="55" ht="15.75" customHeight="1">
      <c r="A55" s="25">
        <v>32.0</v>
      </c>
      <c r="B55" s="26" t="s">
        <v>239</v>
      </c>
      <c r="C55" s="41" t="s">
        <v>240</v>
      </c>
      <c r="D55" s="27" t="str">
        <f>IFERROR(__xludf.DUMMYFUNCTION("CONCATENATE(regexextract($C55,""[\w]* [\w]*""), ""*"")"),"Lotus japonicus*")</f>
        <v>Lotus japonicus*</v>
      </c>
      <c r="E55" s="59" t="s">
        <v>241</v>
      </c>
      <c r="F55" s="58">
        <v>34305.0</v>
      </c>
      <c r="G55" s="53"/>
      <c r="H55" s="31"/>
      <c r="I55" s="32" t="str">
        <f>CONCATENATE(
if(countif(dd.agi,$D55),"D",""),
if(countif(knap.agi,$D55),"K",""),
if(countif(mic.agi,$D55),"M",""),
if(countif(nap.agi,$D55),"N",""),
if(countif(np.agi,$D55),"P",""),
if(countif(imp.agi,$D55),"T",""),
if(countif(us.agi,$D55),"U",""),
if(countif(var.agi,$D55),"V","")
)</f>
        <v/>
      </c>
      <c r="J55" s="32" t="str">
        <f>
CONCATENATE(
if(countif(nap.bun,$D55),"N",""),
if(countif(np.bun,$D55),"P","")
)
</f>
        <v/>
      </c>
      <c r="K55" s="32" t="str">
        <f>CONCATENATE(
if(countif(dd.kxn,$D55),"D",""),
if(countif(knap.kxn,$D55),"K",""),
if(countif(mic.kxn,$D55),"M",""),
if(countif(nap.kxn,$D55),"N",""),
if(countif(np.kxn,$D55),"P",""),
if(countif(us.kxn,$D55),"U",""),
if(countif(var.kxn,$D55),"V","")
)</f>
        <v/>
      </c>
      <c r="L55" s="32" t="str">
        <f>
CONCATENATE(
if(countif(dd.hwb,$D55),"D",""),
if(countif(knap.hwb,$D55),"K",""),
if(countif(mic.hwb,$D55),"M",""),
if(countif(nap.hwb,$D55),"N",""),
if(countif(np.hwb,$D55),"P",""),
if(countif(us.hwb,$D55),"U",""),
if(countif(imp.hwb,$D55),"T",""),
if(countif(var.hwb,$D55),"V","")
)</f>
        <v>P</v>
      </c>
      <c r="M55" s="32" t="str">
        <f>CONCATENATE(
if(countif(dd.epc,$D55),"D",""),
if(countif(knap.ekxn,$D55),"K",""),
if(countif(mic.ekxn,$D55),"M",""),
if(countif(nap.ekxn,$D55),"N",""),
if(countif(np.ekxn,$D55),"P",""),
if(countif(imp.epc,$D55),"T",""),
if(countif(us.ekxn,$D55),"U",""),
if(countif(var.ekxn,$D55),"V","")
)</f>
        <v/>
      </c>
      <c r="N55" s="32" t="str">
        <f>
CONCATENATE(
if(countif(dd.ecg,$D55),"D",""),
if(countif(mic.ecg,$D55),"M",""),
if(countif(np.ecg,$D55),"P",""),
if(countif(imp.ecg,$D55),"T",""),
if(countif(us.ecg,$D55),"U","")
)</f>
        <v>P</v>
      </c>
      <c r="O55" s="32" t="str">
        <f>
CONCATENATE(
if(countif(dd.egt,$D55),"D",""),
if(countif(mic.egt,$D55),"M",""),
if(countif(nap.egt,$D55),"N",""),
if(countif(us.egt,$D55),"U",""),
if(countif(var.egt,$D55),"V",""))
</f>
        <v/>
      </c>
      <c r="P55" s="32" t="str">
        <f>CONCATENATE(
if(countif(knap.egcg,$D55),"K",""),
if(countif(mic.egcg,$D55),"M",""),
if(countif(np.egcg,$D55),"P",""),
if(countif(us.egcg,$D55),"U","")
)</f>
        <v>KP</v>
      </c>
      <c r="Q55" s="32" t="str">
        <f>CONCATENATE(if(countif(np.ecit,$D55),"P",""),
if(countif(nap.ecit,$D55),"A",""))</f>
        <v/>
      </c>
      <c r="R55" s="32" t="str">
        <f>
CONCATENATE(
if(countif(nap.erd,$D55),"N",""),
if(countif(np.erd,$D55),"P",""),
if(countif(var.erd,$D55),"V",""))</f>
        <v/>
      </c>
      <c r="S55" s="32" t="str">
        <f>
CONCATENATE(
if(countif(dd.gkxn,$D55),"D",""),
if(countif(knap.gkxn,$D55),"K",""),
if(countif(nap.gkxn,$D55),"N",""),
if(countif(np.gkxn,$D55),"P",""),
if(countif(imp.gkxn,$D55),"T",""),
if(countif(var.gkxn,$D55),"V",""))</f>
        <v/>
      </c>
      <c r="T55" s="32" t="str">
        <f>
CONCATENATE(
if(countif(dd.gen,$C55),"D",""),
if(countif(knap.gen,$C55),"K",""),
if(countif(nap.gen,$C55),"N",""),
if(countif(np.gen,$C55),"P",""),
if(countif(imp.gen,$C55),"T",""),
if(countif(var.gen,$C55),"V",""))</f>
        <v/>
      </c>
      <c r="U55" s="32" t="str">
        <f>
CONCATENATE(
if(countif(dd.hcc,$D55),"D",""),
if(countif(knap.hcc,$D55),"K",""),
if(countif(np.hcc,$D55),"P","")
)
</f>
        <v/>
      </c>
      <c r="V55" s="32" t="str">
        <f>
CONCATENATE(
if(countif(dd.kmp,$D55),"D",""),
if(countif(knap.kmp,$D55),"K",""),
if(countif(mic.kmp,$D55),"M",""),
if(countif(nap.kmp,$D55),"N",""),
if(countif(np.kmp,$D55),"P",""),
if(countif(imp.kmp,$D55),"T",""),
if(countif(us.kmp,$D55),"U",""),
if(countif(var.kmp,$D55),"V",""))</f>
        <v>P</v>
      </c>
      <c r="W55" s="32" t="str">
        <f>
CONCATENATE(
if(countif(dd.lu2,$D55),"D",""),
if(countif(knap.lu2,$D55),"K",""),
if(countif(mic.lu2,$D55),"M",""),
if(countif(nap.lu2,$D55),"N",""),
if(countif(np.lu2,$D55),"P",""),
if(countif(imp.lu2,$D55),"T",""),
if(countif(us.lu2,$D55),"U",""),
if(countif(var.lu2,$D55),"V",""))</f>
        <v/>
      </c>
      <c r="X55" s="32" t="str">
        <f>
CONCATENATE(
if(countif(dd.myc,$D55),"D",""),
if(countif(knap.myc,$D55),"K",""), 
if(countif(mic.myc,$D55),"M",""),
if(countif(nap.myc,$D55),"N",""),
if(countif(np.myc,$D55),"P",""),
if(countif(imp.myc,$D55),"T",""),
if(countif(us.myc,$D55),"U",""),
if(countif(var.myc,$D55),"V",""))</f>
        <v>P</v>
      </c>
      <c r="Y55" s="32" t="str">
        <f>CONCATENATE(
if(countif(dd.nar,$D55),"D",""),
if(countif(knap.nar,$D55),"K",""),
if(countif(nap.nar,$D55),"N",""),
if(countif(np.nar,$D55),"P",""),
if(countif(imp.nar,$D55),"T",""),
if(countif(us.nar,$D55),"U",""),
if(countif(var.nar,$D55),"V",""))</f>
        <v/>
      </c>
      <c r="Z55" s="33" t="str">
        <f>
CONCATENATE(
if(countif(dd.que,$D55),"D",""),
if(countif(knap.que,$D55),"K",""),
if(countif(mic.que,$D55),"M",""),
if(countif(nap.que,$D55),"N",""),
if(countif(np.que,$D55),"P",""),
if(countif(imp.que,$D55),"T",""),
if(countif(us.que,$D55),"U",""),
if(countif(var.que,$D55),"V",""))</f>
        <v>P</v>
      </c>
      <c r="AA55" s="32"/>
      <c r="AB55" s="34" t="str">
        <f>
CONCATENATE(if(countif(knap.agi.sim,$D55),"K",""),
if(countif(dd.agi.sim,$D55),"D",""),
if(countif(nap.agi.sim,$D55),"A",""),
if(countif(var.agi.sim,$D55),"V",""))</f>
        <v/>
      </c>
      <c r="AC55" s="34" t="str">
        <f>
if(countif(nap.bun.sim,$D55),"A","")</f>
        <v/>
      </c>
      <c r="AD55" s="34" t="str">
        <f>
CONCATENATE(if(countif(knap.kxn.sim,$D55),"K",""),
if(countif(np.kxn.sim,$D55),"P",""),
if(countif(dd.kxn.sim,$D55),"D",""),
if(countif(nap.kxn.sim,$D55),"A",""),
if(countif(var.kxn.sim,$D55),"V",""))</f>
        <v>P</v>
      </c>
      <c r="AE55" s="34" t="str">
        <f>
CONCATENATE(if(countif(knap.hwb.sim,$D55),"K",""),
if(countif(np.hwb.sim,$D55),"P",""),
if(countif(mic.hwb.sim,$D55),"M",""),
if(countif(imp.hwb.sim,$D55),"T",""),
if(countif(dd.cyan.sim,$D55),"D",""),
if(countif(nap.hwb.sim,$D55),"A",""),
if(countif(var.hwb.sim,$D55),"V",""))</f>
        <v/>
      </c>
      <c r="AF55" s="34" t="str">
        <f>
CONCATENATE(if(countif(us.ekxn.sim,$D55),"U",""),
if(countif(knap.ekxn.sim,$D55),"K",""),
if(countif(np.ekxn.sim,$D55),"P",""),
if(countif(mic.ekxn.sim,$D55),"M",""),
if(countif(imp.epc.sim,$D55),"T",""),
if(countif(nap.ekxn.sim,$D55),"A",""))</f>
        <v>P</v>
      </c>
      <c r="AG55" s="34"/>
      <c r="AH55" s="34" t="str">
        <f>
CONCATENATE(if(countif(us.egt.sim,$D55),"U",""),
if(countif(knap.egt.sim,$D55),"K",""),
if(countif(np.egt.sim,$D55),"P",""),
if(countif(mic.egt.sim,$D55),"M",""))</f>
        <v>P</v>
      </c>
      <c r="AI55" s="34"/>
      <c r="AJ55" s="34" t="str">
        <f>if(countif(nap.ecit.sim,$D55),"A","")</f>
        <v/>
      </c>
      <c r="AK55" s="34" t="str">
        <f>
CONCATENATE(if(countif(nap.erd,$D55),"M",""),
if(countif(nap.erd.sim,$D55),"A",""),
if(countif(var.erd.sim,$D55),"V",""))</f>
        <v/>
      </c>
      <c r="AL55" s="34" t="str">
        <f>
CONCATENATE(if(countif(knap.gkxn.sim,$D55),"K",""),
if(countif(nap.gkxn.sim,$D55),"A",""))</f>
        <v/>
      </c>
      <c r="AM55" s="34" t="str">
        <f>
CONCATENATE(if(countif(knap.gen.sim,$C55),"K",""),
if(countif(imp.gen.sim,$C55),"T",""),
if(countif(dd.gen.sim,$C55),"D",""),
if(countif(nap.gen.sim,$C55),"A",""),
if(countif(var.gen.sim,$C55),"V",""))
</f>
        <v/>
      </c>
      <c r="AN55" s="34" t="str">
        <f>IFERROR(__xludf.DUMMYFUNCTION("
if(countif(#REF!,CONCATENATE(regexextract($C55,""[\w]* [\w]*""), ""*"")),""V"","""")"),"")</f>
        <v/>
      </c>
      <c r="AO55" s="34" t="str">
        <f>
CONCATENATE(if(countif(knap.kmp.sim,$D55),"K",""),
if(countif(np.kmp.sim,$D55),"P",""),
if(countif(imp.kmp.sim,$D55),"T",""),
if(countif(dd.kmp,$D55),"D",""),
if(countif(nap.kmp.sim,$D55),"A",""),
if(countif(var.kmp.sim,$D55),"V",""))</f>
        <v>K</v>
      </c>
      <c r="AP55" s="34" t="str">
        <f>
CONCATENATE(if(countif(knap.lu2.sim,$D55),"K",""),
if(countif(np.lu2.sim,$D55),"P",""),
if(countif(imp.lu2.sim,$D55),"T",""),
if(countif(dd.lu2.sim,$D55),"D",""),
if(countif(nap.lu2.sim,$D55),"A",""),
if(countif(var.lu2.sim,$D55),"V",""))</f>
        <v/>
      </c>
      <c r="AQ55" s="34" t="str">
        <f>
CONCATENATE(if(countif(np.myc.sim,$D55),"P",""),
if(countif(imp.myc.sim,$D55),"T",""),
if(countif(nap.myc.sim,$D55),"A",""))
</f>
        <v/>
      </c>
      <c r="AR55" s="36" t="str">
        <f>
CONCATENATE(if(countif(knap.nar.sim,$D55),"K",""),
if(countif(np.nar.sim,$D55),"P",""),
if(countif(imp.nar.sim,$D55),"T",""),
if(countif(dd.nar.sim,$D55),"D",""),
if(countif(nap.nar.sim,$D55),"A",""),
if(countif(var.nar.sim,$D55),"V",""))</f>
        <v/>
      </c>
      <c r="AS55" s="34" t="str">
        <f>
CONCATENATE(if(countif(knap.que.sim,$D55),"K",""),
if(countif(np.que.sim,$D55),"P",""),
if(countif(imp.que.sim,$D55),"T",""),
if(countif(dd.que.sim,$D55),"D",""),
if(countif(nap.que.sim,$D55),"A",""),
if(countif(var.que.sim,$D55),"V",""))</f>
        <v>KP</v>
      </c>
      <c r="AT55" s="37"/>
      <c r="AU55" s="32" t="str">
        <f>IFERROR(__xludf.DUMMYFUNCTION("if(countif(kr.agi, CONCATENATE(regexextract($C55,""[\w]* [\w]*""), ""*"")),""X"","""")"),"")</f>
        <v/>
      </c>
      <c r="AV55" s="38" t="str">
        <f>IFERROR(__xludf.DUMMYFUNCTION("if(countif(kr.bun,CONCATENATE(regexextract($C55,""[\w]* [\w]*""), ""*"")),""X"","""")"),"X")</f>
        <v>X</v>
      </c>
      <c r="AW55" s="38" t="str">
        <f>IFERROR(__xludf.DUMMYFUNCTION("if(countif(kr.kxn,CONCATENATE(regexextract($C55,""[\w]* [\w]*""), ""*"")),""X"","""")"),"X")</f>
        <v>X</v>
      </c>
      <c r="AX55" s="38" t="str">
        <f>IFERROR(__xludf.DUMMYFUNCTION("if(countif(kr.hwb,CONCATENATE(regexextract($C55,""[\w]* [\w]*""), ""*"")),""X"","""")"),"X")</f>
        <v>X</v>
      </c>
      <c r="AY55" s="38" t="str">
        <f>IFERROR(__xludf.DUMMYFUNCTION("if(countif(kr.ec,CONCATENATE(regexextract($C55,""[\w]* [\w]*""), ""*"")),""X"","""")"),"X")</f>
        <v>X</v>
      </c>
      <c r="AZ55" s="38" t="str">
        <f>IFERROR(__xludf.DUMMYFUNCTION("if(countif(kr.egt,CONCATENATE(regexextract($C55,""[\w]* [\w]*""), ""*"")),""X"","""")"),"X")</f>
        <v>X</v>
      </c>
      <c r="BA55" s="38"/>
      <c r="BB55" s="38" t="str">
        <f>IFERROR(__xludf.DUMMYFUNCTION("if(countif(kr.erd,CONCATENATE(regexextract($C55,""[\w]* [\w]*""), ""*"")),""X"","""")"),"X")</f>
        <v>X</v>
      </c>
      <c r="BC55" s="38" t="str">
        <f>IFERROR(__xludf.DUMMYFUNCTION("if(countif(kr.gkxn,CONCATENATE(regexextract($C55,""[\w]* [\w]*""), ""*"")),""X"","""")"),"X")</f>
        <v>X</v>
      </c>
      <c r="BD55" s="38" t="str">
        <f>IFERROR(__xludf.DUMMYFUNCTION("if(countif(kr.gen,CONCATENATE(regexextract(C55,""[\w]* [\w]*""), ""*"")),""X"","""")"),"")</f>
        <v/>
      </c>
      <c r="BE55" s="38" t="str">
        <f>IFERROR(__xludf.DUMMYFUNCTION("if(countif(kr.hcc,CONCATENATE(regexextract($C55,""[\w]* [\w]*""), ""*"")),""X"","""")"),"X")</f>
        <v>X</v>
      </c>
      <c r="BF55" s="38" t="str">
        <f>IFERROR(__xludf.DUMMYFUNCTION("if(countif(kr.kmp,CONCATENATE(regexextract($C55,""[\w]* [\w]*""), ""*"")),""X"","""")"),"X")</f>
        <v>X</v>
      </c>
      <c r="BG55" s="38" t="str">
        <f>IFERROR(__xludf.DUMMYFUNCTION("if(countif(kr.lu2,CONCATENATE(regexextract($C55,""[\w]* [\w]*""), ""*"")),""X"","""")"),"")</f>
        <v/>
      </c>
      <c r="BH55" s="38" t="str">
        <f>IFERROR(__xludf.DUMMYFUNCTION("if(countif(kr.myc,CONCATENATE(regexextract($C55,""[\w]* [\w]*""), ""*"")),""X"","""")"),"X")</f>
        <v>X</v>
      </c>
      <c r="BI55" s="38" t="str">
        <f>IFERROR(__xludf.DUMMYFUNCTION("if(countif(kr.nar,CONCATENATE(regexextract($C55,""[\w]* [\w]*""), ""*"")),""X"","""")"),"X")</f>
        <v>X</v>
      </c>
      <c r="BJ55" s="38" t="str">
        <f>IFERROR(__xludf.DUMMYFUNCTION("if(countif(kr.que,CONCATENATE(regexextract($C55,""[\w]* [\w]*""), ""*"")),""X"","""")"),"X")</f>
        <v>X</v>
      </c>
      <c r="BK55" s="39"/>
      <c r="BL55" s="40" t="str">
        <f>IFERROR(__xludf.DUMMYFUNCTION(" CONCATENATE( 
if (regexmatch(I55, ""^[A-Za-z\.\_]+""), ""L"", 
if(regexmatch(AB55, ""^[A-Za-z\.\_]+""),""S"","""")),
if(AU55=""X"",""K"",""""))"),"")</f>
        <v/>
      </c>
      <c r="BM55" s="40" t="str">
        <f>IFERROR(__xludf.DUMMYFUNCTION(" CONCATENATE( 
if (regexmatch(J55, ""^[A-Za-z\.\_]+""), ""L"", 
if(regexmatch(AC55, ""^[A-Za-z\.\_]+""),""S"","""")),
if(AV55=""X"",""K"",""""))"),"K")</f>
        <v>K</v>
      </c>
      <c r="BN55" s="40" t="str">
        <f>IFERROR(__xludf.DUMMYFUNCTION(" CONCATENATE( 
if (regexmatch(K55, ""^[A-Za-z\.\_]+""), ""L"", 
if(regexmatch(AD55, ""^[A-Za-z\.\_]+""),""S"","""")),
if(AW55=""X"",""K"",""""))"),"SK")</f>
        <v>SK</v>
      </c>
      <c r="BO55" s="40" t="str">
        <f>IFERROR(__xludf.DUMMYFUNCTION(" CONCATENATE( 
if (regexmatch(L55, ""^[A-Za-z\.\_]+""), ""L"", 
if(regexmatch(AE55, ""^[A-Za-z\.\_]+""),""S"","""")),
if(AX55=""X"",""K"",""""))"),"LK")</f>
        <v>LK</v>
      </c>
      <c r="BP55" s="40" t="str">
        <f>IFERROR(__xludf.DUMMYFUNCTION(" CONCATENATE( 
if (regexmatch(M55, ""^[A-Za-z\.\_]+""), ""L"", 
if(regexmatch(AF55, ""^[A-Za-z\.\_]+""),""S"","""")),
if(AY55=""X"",""K"",""""))"),"SK")</f>
        <v>SK</v>
      </c>
      <c r="BQ55" s="40" t="str">
        <f>IFERROR(__xludf.DUMMYFUNCTION("CONCATENATE( 
if (regexmatch(O55, ""^[A-Za-z\.\_]+""), ""L"", 
if(regexmatch(AH55, ""^[A-Za-z\.\_]+""),""S"","""")),
if(AZ55=""X"",""K"",""""))"),"SK")</f>
        <v>SK</v>
      </c>
      <c r="BR55" s="40" t="str">
        <f>IFERROR(__xludf.DUMMYFUNCTION("CONCATENATE( 
if (regexmatch(Q55, ""^[A-Za-z\.\_]+""), ""L"", 
if(regexmatch(AJ55, ""^[A-Za-z\.\_]+""),""S"","""")),
if(BA55=""X"",""K"",""""))"),"")</f>
        <v/>
      </c>
      <c r="BS55" s="40" t="str">
        <f>IFERROR(__xludf.DUMMYFUNCTION(" CONCATENATE( 
if (regexmatch(R55, ""^[A-Za-z\.\_]+""), ""L"", 
if(regexmatch(AK55, ""^[A-Za-z\.\_]+""),""S"","""")),
if(BB55=""X"",""K"",""""))"),"K")</f>
        <v>K</v>
      </c>
      <c r="BT55" s="40" t="str">
        <f>IFERROR(__xludf.DUMMYFUNCTION("CONCATENATE( 
if (regexmatch(S55, ""^[A-Za-z\.\_]+""), ""L"", 
if(regexmatch(AL55, ""^[A-Za-z\.\_]+""),""S"","""")),
if(BC55=""X"",""K"",""""))"),"K")</f>
        <v>K</v>
      </c>
      <c r="BU55" s="40" t="str">
        <f>IFERROR(__xludf.DUMMYFUNCTION("CONCATENATE( 
if (regexmatch(T55, ""^[A-Za-z\.\_]+""), ""L"", 
if(regexmatch(AM55, ""^[A-Za-z\.\_]+""),""S"","""")),
if(BD55=""X"",""K"",""""))"),"")</f>
        <v/>
      </c>
      <c r="BV55" s="40" t="str">
        <f>IFERROR(__xludf.DUMMYFUNCTION("CONCATENATE( 
if (regexmatch(U55, ""^[A-Za-z\.\_]+""), ""L"", 
if(regexmatch(AN55, ""^[A-Za-z\.\_]+""),""S"","""")),
if(BE55=""X"",""K"",""""))"),"K")</f>
        <v>K</v>
      </c>
      <c r="BW55" s="40" t="str">
        <f>IFERROR(__xludf.DUMMYFUNCTION(" CONCATENATE( 
if (regexmatch(V55, ""^[A-Za-z\.\_]+""), ""L"", 
if(regexmatch(AO55, ""^[A-Za-z\.\_]+""),""S"","""")),
if(BF55=""X"",""K"",""""))"),"LK")</f>
        <v>LK</v>
      </c>
      <c r="BX55" s="40" t="str">
        <f>IFERROR(__xludf.DUMMYFUNCTION("CONCATENATE( 
if (regexmatch(W55, ""^[A-Za-z\.\_]+""), ""L"", 
if(regexmatch(AP55, ""^[A-Za-z\.\_]+""),""S"","""")),
if(BG55=""X"",""K"",""""))"),"")</f>
        <v/>
      </c>
      <c r="BY55" s="40" t="str">
        <f>IFERROR(__xludf.DUMMYFUNCTION("CONCATENATE( 
if (regexmatch(X55, ""^[A-Za-z\.\_]+""), ""L"", 
if(regexmatch(AQ55, ""^[A-Za-z\.\_]+""),""S"","""")),
if(BH55=""X"",""K"",""""))"),"LK")</f>
        <v>LK</v>
      </c>
      <c r="BZ55" s="40" t="str">
        <f>IFERROR(__xludf.DUMMYFUNCTION("CONCATENATE( 
if (regexmatch(Y55, ""^[A-Za-z\.\_]+""), ""L"", 
if(regexmatch(AR55, ""^[A-Za-z\.\_]+""),""S"","""")),
if(BI55=""X"",""K"",""""))"),"K")</f>
        <v>K</v>
      </c>
      <c r="CA55" s="40" t="str">
        <f>IFERROR(__xludf.DUMMYFUNCTION("CONCATENATE( 
if (regexmatch(Z55, ""^[A-Za-z\.\_]+""), ""L"", 
if(regexmatch(AS55, ""^[A-Za-z\.\_]+""),""S"","""")),
if(BJ55=""X"",""K"",""""))"),"LK")</f>
        <v>LK</v>
      </c>
      <c r="CB55" s="39"/>
      <c r="CC55" s="39"/>
      <c r="CD55" s="39"/>
      <c r="CE55" s="39"/>
      <c r="CF55" s="39"/>
      <c r="CG55" s="39"/>
      <c r="CH55" s="39"/>
      <c r="CI55" s="39"/>
      <c r="CJ55" s="39"/>
      <c r="CK55" s="39"/>
      <c r="CL55" s="39"/>
      <c r="CM55" s="39"/>
      <c r="CN55" s="39"/>
      <c r="CO55" s="39"/>
      <c r="CP55" s="39"/>
      <c r="CQ55" s="39"/>
      <c r="CR55" s="39"/>
    </row>
    <row r="56" ht="15.75" customHeight="1">
      <c r="A56" s="25">
        <v>33.0</v>
      </c>
      <c r="B56" s="26" t="s">
        <v>242</v>
      </c>
      <c r="C56" s="41" t="s">
        <v>243</v>
      </c>
      <c r="D56" s="27" t="str">
        <f>IFERROR(__xludf.DUMMYFUNCTION("CONCATENATE(regexextract($C56,""[\w]* [\w]*""), ""*"")"),"Lupinus angustifolius*")</f>
        <v>Lupinus angustifolius*</v>
      </c>
      <c r="E56" s="59" t="s">
        <v>244</v>
      </c>
      <c r="F56" s="58">
        <v>3871.0</v>
      </c>
      <c r="G56" s="53"/>
      <c r="H56" s="31"/>
      <c r="I56" s="32" t="str">
        <f>CONCATENATE(
if(countif(dd.agi,$D56),"D",""),
if(countif(knap.agi,$D56),"K",""),
if(countif(mic.agi,$D56),"M",""),
if(countif(nap.agi,$D56),"N",""),
if(countif(np.agi,$D56),"P",""),
if(countif(imp.agi,$D56),"T",""),
if(countif(us.agi,$D56),"U",""),
if(countif(var.agi,$D56),"V","")
)</f>
        <v>N</v>
      </c>
      <c r="J56" s="32" t="str">
        <f>
CONCATENATE(
if(countif(nap.bun,$D56),"N",""),
if(countif(np.bun,$D56),"P","")
)
</f>
        <v/>
      </c>
      <c r="K56" s="32" t="str">
        <f>CONCATENATE(
if(countif(dd.kxn,$D56),"D",""),
if(countif(knap.kxn,$D56),"K",""),
if(countif(mic.kxn,$D56),"M",""),
if(countif(nap.kxn,$D56),"N",""),
if(countif(np.kxn,$D56),"P",""),
if(countif(us.kxn,$D56),"U",""),
if(countif(var.kxn,$D56),"V","")
)</f>
        <v/>
      </c>
      <c r="L56" s="32" t="str">
        <f>
CONCATENATE(
if(countif(dd.hwb,$D56),"D",""),
if(countif(knap.hwb,$D56),"K",""),
if(countif(mic.hwb,$D56),"M",""),
if(countif(nap.hwb,$D56),"N",""),
if(countif(np.hwb,$D56),"P",""),
if(countif(us.hwb,$D56),"U",""),
if(countif(imp.hwb,$D56),"T",""),
if(countif(var.hwb,$D56),"V","")
)</f>
        <v/>
      </c>
      <c r="M56" s="32" t="str">
        <f>CONCATENATE(
if(countif(dd.epc,$D56),"D",""),
if(countif(knap.ekxn,$D56),"K",""),
if(countif(mic.ekxn,$D56),"M",""),
if(countif(nap.ekxn,$D56),"N",""),
if(countif(np.ekxn,$D56),"P",""),
if(countif(imp.epc,$D56),"T",""),
if(countif(us.ekxn,$D56),"U",""),
if(countif(var.ekxn,$D56),"V","")
)</f>
        <v/>
      </c>
      <c r="N56" s="32" t="str">
        <f>
CONCATENATE(
if(countif(dd.ecg,$D56),"D",""),
if(countif(mic.ecg,$D56),"M",""),
if(countif(np.ecg,$D56),"P",""),
if(countif(imp.ecg,$D56),"T",""),
if(countif(us.ecg,$D56),"U","")
)</f>
        <v/>
      </c>
      <c r="O56" s="32" t="str">
        <f>
CONCATENATE(
if(countif(dd.egt,$D56),"D",""),
if(countif(mic.egt,$D56),"M",""),
if(countif(nap.egt,$D56),"N",""),
if(countif(us.egt,$D56),"U",""),
if(countif(var.egt,$D56),"V",""))
</f>
        <v/>
      </c>
      <c r="P56" s="32" t="str">
        <f>CONCATENATE(
if(countif(knap.egcg,$D56),"K",""),
if(countif(mic.egcg,$D56),"M",""),
if(countif(np.egcg,$D56),"P",""),
if(countif(us.egcg,$D56),"U","")
)</f>
        <v/>
      </c>
      <c r="Q56" s="32" t="str">
        <f>CONCATENATE(if(countif(np.ecit,$D56),"P",""),
if(countif(nap.ecit,$D56),"A",""))</f>
        <v/>
      </c>
      <c r="R56" s="32" t="str">
        <f>
CONCATENATE(
if(countif(nap.erd,$D56),"N",""),
if(countif(np.erd,$D56),"P",""),
if(countif(var.erd,$D56),"V",""))</f>
        <v/>
      </c>
      <c r="S56" s="32" t="str">
        <f>
CONCATENATE(
if(countif(dd.gkxn,$D56),"D",""),
if(countif(knap.gkxn,$D56),"K",""),
if(countif(nap.gkxn,$D56),"N",""),
if(countif(np.gkxn,$D56),"P",""),
if(countif(imp.gkxn,$D56),"T",""),
if(countif(var.gkxn,$D56),"V",""))</f>
        <v/>
      </c>
      <c r="T56" s="32" t="str">
        <f>
CONCATENATE(
if(countif(dd.gen,$C56),"D",""),
if(countif(knap.gen,$C56),"K",""),
if(countif(nap.gen,$C56),"N",""),
if(countif(np.gen,$C56),"P",""),
if(countif(imp.gen,$C56),"T",""),
if(countif(var.gen,$C56),"V",""))</f>
        <v>N</v>
      </c>
      <c r="U56" s="32" t="str">
        <f>
CONCATENATE(
if(countif(dd.hcc,$D56),"D",""),
if(countif(knap.hcc,$D56),"K",""),
if(countif(np.hcc,$D56),"P","")
)
</f>
        <v/>
      </c>
      <c r="V56" s="32" t="str">
        <f>
CONCATENATE(
if(countif(dd.kmp,$D56),"D",""),
if(countif(knap.kmp,$D56),"K",""),
if(countif(mic.kmp,$D56),"M",""),
if(countif(nap.kmp,$D56),"N",""),
if(countif(np.kmp,$D56),"P",""),
if(countif(imp.kmp,$D56),"T",""),
if(countif(us.kmp,$D56),"U",""),
if(countif(var.kmp,$D56),"V",""))</f>
        <v>N</v>
      </c>
      <c r="W56" s="32" t="str">
        <f>
CONCATENATE(
if(countif(dd.lu2,$D56),"D",""),
if(countif(knap.lu2,$D56),"K",""),
if(countif(mic.lu2,$D56),"M",""),
if(countif(nap.lu2,$D56),"N",""),
if(countif(np.lu2,$D56),"P",""),
if(countif(imp.lu2,$D56),"T",""),
if(countif(us.lu2,$D56),"U",""),
if(countif(var.lu2,$D56),"V",""))</f>
        <v>N</v>
      </c>
      <c r="X56" s="32" t="str">
        <f>
CONCATENATE(
if(countif(dd.myc,$D56),"D",""),
if(countif(knap.myc,$D56),"K",""), 
if(countif(mic.myc,$D56),"M",""),
if(countif(nap.myc,$D56),"N",""),
if(countif(np.myc,$D56),"P",""),
if(countif(imp.myc,$D56),"T",""),
if(countif(us.myc,$D56),"U",""),
if(countif(var.myc,$D56),"V",""))</f>
        <v/>
      </c>
      <c r="Y56" s="32" t="str">
        <f>CONCATENATE(
if(countif(dd.nar,$D56),"D",""),
if(countif(knap.nar,$D56),"K",""),
if(countif(nap.nar,$D56),"N",""),
if(countif(np.nar,$D56),"P",""),
if(countif(imp.nar,$D56),"T",""),
if(countif(us.nar,$D56),"U",""),
if(countif(var.nar,$D56),"V",""))</f>
        <v/>
      </c>
      <c r="Z56" s="33" t="str">
        <f>
CONCATENATE(
if(countif(dd.que,$D56),"D",""),
if(countif(knap.que,$D56),"K",""),
if(countif(mic.que,$D56),"M",""),
if(countif(nap.que,$D56),"N",""),
if(countif(np.que,$D56),"P",""),
if(countif(imp.que,$D56),"T",""),
if(countif(us.que,$D56),"U",""),
if(countif(var.que,$D56),"V",""))</f>
        <v>N</v>
      </c>
      <c r="AA56" s="32"/>
      <c r="AB56" s="34" t="str">
        <f>
CONCATENATE(if(countif(knap.agi.sim,$D56),"K",""),
if(countif(dd.agi.sim,$D56),"D",""),
if(countif(nap.agi.sim,$D56),"A",""),
if(countif(var.agi.sim,$D56),"V",""))</f>
        <v>AV</v>
      </c>
      <c r="AC56" s="34" t="str">
        <f>
if(countif(nap.bun.sim,$D56),"A","")</f>
        <v/>
      </c>
      <c r="AD56" s="34" t="str">
        <f>
CONCATENATE(if(countif(knap.kxn.sim,$D56),"K",""),
if(countif(np.kxn.sim,$D56),"P",""),
if(countif(dd.kxn.sim,$D56),"D",""),
if(countif(nap.kxn.sim,$D56),"A",""),
if(countif(var.kxn.sim,$D56),"V",""))</f>
        <v/>
      </c>
      <c r="AE56" s="34" t="str">
        <f>
CONCATENATE(if(countif(knap.hwb.sim,$D56),"K",""),
if(countif(np.hwb.sim,$D56),"P",""),
if(countif(mic.hwb.sim,$D56),"M",""),
if(countif(imp.hwb.sim,$D56),"T",""),
if(countif(dd.cyan.sim,$D56),"D",""),
if(countif(nap.hwb.sim,$D56),"A",""),
if(countif(var.hwb.sim,$D56),"V",""))</f>
        <v/>
      </c>
      <c r="AF56" s="34" t="str">
        <f>
CONCATENATE(if(countif(us.ekxn.sim,$D56),"U",""),
if(countif(knap.ekxn.sim,$D56),"K",""),
if(countif(np.ekxn.sim,$D56),"P",""),
if(countif(mic.ekxn.sim,$D56),"M",""),
if(countif(imp.epc.sim,$D56),"T",""),
if(countif(nap.ekxn.sim,$D56),"A",""))</f>
        <v>K</v>
      </c>
      <c r="AG56" s="34"/>
      <c r="AH56" s="34" t="str">
        <f>
CONCATENATE(if(countif(us.egt.sim,$D56),"U",""),
if(countif(knap.egt.sim,$D56),"K",""),
if(countif(np.egt.sim,$D56),"P",""),
if(countif(mic.egt.sim,$D56),"M",""))</f>
        <v/>
      </c>
      <c r="AI56" s="34"/>
      <c r="AJ56" s="34" t="str">
        <f>if(countif(nap.ecit.sim,$D56),"A","")</f>
        <v/>
      </c>
      <c r="AK56" s="34" t="str">
        <f>
CONCATENATE(if(countif(nap.erd,$D56),"M",""),
if(countif(nap.erd.sim,$D56),"A",""),
if(countif(var.erd.sim,$D56),"V",""))</f>
        <v/>
      </c>
      <c r="AL56" s="34" t="str">
        <f>
CONCATENATE(if(countif(knap.gkxn.sim,$D56),"K",""),
if(countif(nap.gkxn.sim,$D56),"A",""))</f>
        <v/>
      </c>
      <c r="AM56" s="34" t="str">
        <f>
CONCATENATE(if(countif(knap.gen.sim,$C56),"K",""),
if(countif(imp.gen.sim,$C56),"T",""),
if(countif(dd.gen.sim,$C56),"D",""),
if(countif(nap.gen.sim,$C56),"A",""),
if(countif(var.gen.sim,$C56),"V",""))
</f>
        <v>KDAV</v>
      </c>
      <c r="AN56" s="34" t="str">
        <f>IFERROR(__xludf.DUMMYFUNCTION("
if(countif(#REF!,CONCATENATE(regexextract($C56,""[\w]* [\w]*""), ""*"")),""V"","""")"),"")</f>
        <v/>
      </c>
      <c r="AO56" s="34" t="str">
        <f>
CONCATENATE(if(countif(knap.kmp.sim,$D56),"K",""),
if(countif(np.kmp.sim,$D56),"P",""),
if(countif(imp.kmp.sim,$D56),"T",""),
if(countif(dd.kmp,$D56),"D",""),
if(countif(nap.kmp.sim,$D56),"A",""),
if(countif(var.kmp.sim,$D56),"V",""))</f>
        <v/>
      </c>
      <c r="AP56" s="34" t="str">
        <f>
CONCATENATE(if(countif(knap.lu2.sim,$D56),"K",""),
if(countif(np.lu2.sim,$D56),"P",""),
if(countif(imp.lu2.sim,$D56),"T",""),
if(countif(dd.lu2.sim,$D56),"D",""),
if(countif(nap.lu2.sim,$D56),"A",""),
if(countif(var.lu2.sim,$D56),"V",""))</f>
        <v>V</v>
      </c>
      <c r="AQ56" s="34" t="str">
        <f>
CONCATENATE(if(countif(np.myc.sim,$D56),"P",""),
if(countif(imp.myc.sim,$D56),"T",""),
if(countif(nap.myc.sim,$D56),"A",""))
</f>
        <v/>
      </c>
      <c r="AR56" s="36" t="str">
        <f>
CONCATENATE(if(countif(knap.nar.sim,$D56),"K",""),
if(countif(np.nar.sim,$D56),"P",""),
if(countif(imp.nar.sim,$D56),"T",""),
if(countif(dd.nar.sim,$D56),"D",""),
if(countif(nap.nar.sim,$D56),"A",""),
if(countif(var.nar.sim,$D56),"V",""))</f>
        <v/>
      </c>
      <c r="AS56" s="34" t="str">
        <f>
CONCATENATE(if(countif(knap.que.sim,$D56),"K",""),
if(countif(np.que.sim,$D56),"P",""),
if(countif(imp.que.sim,$D56),"T",""),
if(countif(dd.que.sim,$D56),"D",""),
if(countif(nap.que.sim,$D56),"A",""),
if(countif(var.que.sim,$D56),"V",""))</f>
        <v/>
      </c>
      <c r="AT56" s="37"/>
      <c r="AU56" s="32" t="str">
        <f>IFERROR(__xludf.DUMMYFUNCTION("if(countif(kr.agi, CONCATENATE(regexextract($C56,""[\w]* [\w]*""), ""*"")),""X"","""")"),"X")</f>
        <v>X</v>
      </c>
      <c r="AV56" s="38" t="str">
        <f>IFERROR(__xludf.DUMMYFUNCTION("if(countif(kr.bun,CONCATENATE(regexextract($C56,""[\w]* [\w]*""), ""*"")),""X"","""")"),"X")</f>
        <v>X</v>
      </c>
      <c r="AW56" s="38" t="str">
        <f>IFERROR(__xludf.DUMMYFUNCTION("if(countif(kr.kxn,CONCATENATE(regexextract($C56,""[\w]* [\w]*""), ""*"")),""X"","""")"),"X")</f>
        <v>X</v>
      </c>
      <c r="AX56" s="38" t="str">
        <f>IFERROR(__xludf.DUMMYFUNCTION("if(countif(kr.hwb,CONCATENATE(regexextract($C56,""[\w]* [\w]*""), ""*"")),""X"","""")"),"X")</f>
        <v>X</v>
      </c>
      <c r="AY56" s="38" t="str">
        <f>IFERROR(__xludf.DUMMYFUNCTION("if(countif(kr.ec,CONCATENATE(regexextract($C56,""[\w]* [\w]*""), ""*"")),""X"","""")"),"X")</f>
        <v>X</v>
      </c>
      <c r="AZ56" s="38" t="str">
        <f>IFERROR(__xludf.DUMMYFUNCTION("if(countif(kr.egt,CONCATENATE(regexextract($C56,""[\w]* [\w]*""), ""*"")),""X"","""")"),"X")</f>
        <v>X</v>
      </c>
      <c r="BA56" s="38"/>
      <c r="BB56" s="38" t="str">
        <f>IFERROR(__xludf.DUMMYFUNCTION("if(countif(kr.erd,CONCATENATE(regexextract($C56,""[\w]* [\w]*""), ""*"")),""X"","""")"),"X")</f>
        <v>X</v>
      </c>
      <c r="BC56" s="38" t="str">
        <f>IFERROR(__xludf.DUMMYFUNCTION("if(countif(kr.gkxn,CONCATENATE(regexextract($C56,""[\w]* [\w]*""), ""*"")),""X"","""")"),"X")</f>
        <v>X</v>
      </c>
      <c r="BD56" s="38" t="str">
        <f>IFERROR(__xludf.DUMMYFUNCTION("if(countif(kr.gen,CONCATENATE(regexextract(C56,""[\w]* [\w]*""), ""*"")),""X"","""")"),"X")</f>
        <v>X</v>
      </c>
      <c r="BE56" s="38" t="str">
        <f>IFERROR(__xludf.DUMMYFUNCTION("if(countif(kr.hcc,CONCATENATE(regexextract($C56,""[\w]* [\w]*""), ""*"")),""X"","""")"),"X")</f>
        <v>X</v>
      </c>
      <c r="BF56" s="38" t="str">
        <f>IFERROR(__xludf.DUMMYFUNCTION("if(countif(kr.kmp,CONCATENATE(regexextract($C56,""[\w]* [\w]*""), ""*"")),""X"","""")"),"X")</f>
        <v>X</v>
      </c>
      <c r="BG56" s="38" t="str">
        <f>IFERROR(__xludf.DUMMYFUNCTION("if(countif(kr.lu2,CONCATENATE(regexextract($C56,""[\w]* [\w]*""), ""*"")),""X"","""")"),"X")</f>
        <v>X</v>
      </c>
      <c r="BH56" s="38" t="str">
        <f>IFERROR(__xludf.DUMMYFUNCTION("if(countif(kr.myc,CONCATENATE(regexextract($C56,""[\w]* [\w]*""), ""*"")),""X"","""")"),"X")</f>
        <v>X</v>
      </c>
      <c r="BI56" s="38" t="str">
        <f>IFERROR(__xludf.DUMMYFUNCTION("if(countif(kr.nar,CONCATENATE(regexextract($C56,""[\w]* [\w]*""), ""*"")),""X"","""")"),"X")</f>
        <v>X</v>
      </c>
      <c r="BJ56" s="38" t="str">
        <f>IFERROR(__xludf.DUMMYFUNCTION("if(countif(kr.que,CONCATENATE(regexextract($C56,""[\w]* [\w]*""), ""*"")),""X"","""")"),"X")</f>
        <v>X</v>
      </c>
      <c r="BK56" s="39"/>
      <c r="BL56" s="40" t="str">
        <f>IFERROR(__xludf.DUMMYFUNCTION(" CONCATENATE( 
if (regexmatch(I56, ""^[A-Za-z\.\_]+""), ""L"", 
if(regexmatch(AB56, ""^[A-Za-z\.\_]+""),""S"","""")),
if(AU56=""X"",""K"",""""))"),"LK")</f>
        <v>LK</v>
      </c>
      <c r="BM56" s="40" t="str">
        <f>IFERROR(__xludf.DUMMYFUNCTION(" CONCATENATE( 
if (regexmatch(J56, ""^[A-Za-z\.\_]+""), ""L"", 
if(regexmatch(AC56, ""^[A-Za-z\.\_]+""),""S"","""")),
if(AV56=""X"",""K"",""""))"),"K")</f>
        <v>K</v>
      </c>
      <c r="BN56" s="40" t="str">
        <f>IFERROR(__xludf.DUMMYFUNCTION(" CONCATENATE( 
if (regexmatch(K56, ""^[A-Za-z\.\_]+""), ""L"", 
if(regexmatch(AD56, ""^[A-Za-z\.\_]+""),""S"","""")),
if(AW56=""X"",""K"",""""))"),"K")</f>
        <v>K</v>
      </c>
      <c r="BO56" s="40" t="str">
        <f>IFERROR(__xludf.DUMMYFUNCTION(" CONCATENATE( 
if (regexmatch(L56, ""^[A-Za-z\.\_]+""), ""L"", 
if(regexmatch(AE56, ""^[A-Za-z\.\_]+""),""S"","""")),
if(AX56=""X"",""K"",""""))"),"K")</f>
        <v>K</v>
      </c>
      <c r="BP56" s="40" t="str">
        <f>IFERROR(__xludf.DUMMYFUNCTION(" CONCATENATE( 
if (regexmatch(M56, ""^[A-Za-z\.\_]+""), ""L"", 
if(regexmatch(AF56, ""^[A-Za-z\.\_]+""),""S"","""")),
if(AY56=""X"",""K"",""""))"),"SK")</f>
        <v>SK</v>
      </c>
      <c r="BQ56" s="40" t="str">
        <f>IFERROR(__xludf.DUMMYFUNCTION("CONCATENATE( 
if (regexmatch(O56, ""^[A-Za-z\.\_]+""), ""L"", 
if(regexmatch(AH56, ""^[A-Za-z\.\_]+""),""S"","""")),
if(AZ56=""X"",""K"",""""))"),"K")</f>
        <v>K</v>
      </c>
      <c r="BR56" s="40" t="str">
        <f>IFERROR(__xludf.DUMMYFUNCTION("CONCATENATE( 
if (regexmatch(Q56, ""^[A-Za-z\.\_]+""), ""L"", 
if(regexmatch(AJ56, ""^[A-Za-z\.\_]+""),""S"","""")),
if(BA56=""X"",""K"",""""))"),"")</f>
        <v/>
      </c>
      <c r="BS56" s="40" t="str">
        <f>IFERROR(__xludf.DUMMYFUNCTION(" CONCATENATE( 
if (regexmatch(R56, ""^[A-Za-z\.\_]+""), ""L"", 
if(regexmatch(AK56, ""^[A-Za-z\.\_]+""),""S"","""")),
if(BB56=""X"",""K"",""""))"),"K")</f>
        <v>K</v>
      </c>
      <c r="BT56" s="40" t="str">
        <f>IFERROR(__xludf.DUMMYFUNCTION("CONCATENATE( 
if (regexmatch(S56, ""^[A-Za-z\.\_]+""), ""L"", 
if(regexmatch(AL56, ""^[A-Za-z\.\_]+""),""S"","""")),
if(BC56=""X"",""K"",""""))"),"K")</f>
        <v>K</v>
      </c>
      <c r="BU56" s="40" t="str">
        <f>IFERROR(__xludf.DUMMYFUNCTION("CONCATENATE( 
if (regexmatch(T56, ""^[A-Za-z\.\_]+""), ""L"", 
if(regexmatch(AM56, ""^[A-Za-z\.\_]+""),""S"","""")),
if(BD56=""X"",""K"",""""))"),"LK")</f>
        <v>LK</v>
      </c>
      <c r="BV56" s="40" t="str">
        <f>IFERROR(__xludf.DUMMYFUNCTION("CONCATENATE( 
if (regexmatch(U56, ""^[A-Za-z\.\_]+""), ""L"", 
if(regexmatch(AN56, ""^[A-Za-z\.\_]+""),""S"","""")),
if(BE56=""X"",""K"",""""))"),"K")</f>
        <v>K</v>
      </c>
      <c r="BW56" s="40" t="str">
        <f>IFERROR(__xludf.DUMMYFUNCTION(" CONCATENATE( 
if (regexmatch(V56, ""^[A-Za-z\.\_]+""), ""L"", 
if(regexmatch(AO56, ""^[A-Za-z\.\_]+""),""S"","""")),
if(BF56=""X"",""K"",""""))"),"LK")</f>
        <v>LK</v>
      </c>
      <c r="BX56" s="40" t="str">
        <f>IFERROR(__xludf.DUMMYFUNCTION("CONCATENATE( 
if (regexmatch(W56, ""^[A-Za-z\.\_]+""), ""L"", 
if(regexmatch(AP56, ""^[A-Za-z\.\_]+""),""S"","""")),
if(BG56=""X"",""K"",""""))"),"LK")</f>
        <v>LK</v>
      </c>
      <c r="BY56" s="40" t="str">
        <f>IFERROR(__xludf.DUMMYFUNCTION("CONCATENATE( 
if (regexmatch(X56, ""^[A-Za-z\.\_]+""), ""L"", 
if(regexmatch(AQ56, ""^[A-Za-z\.\_]+""),""S"","""")),
if(BH56=""X"",""K"",""""))"),"K")</f>
        <v>K</v>
      </c>
      <c r="BZ56" s="40" t="str">
        <f>IFERROR(__xludf.DUMMYFUNCTION("CONCATENATE( 
if (regexmatch(Y56, ""^[A-Za-z\.\_]+""), ""L"", 
if(regexmatch(AR56, ""^[A-Za-z\.\_]+""),""S"","""")),
if(BI56=""X"",""K"",""""))"),"K")</f>
        <v>K</v>
      </c>
      <c r="CA56" s="40" t="str">
        <f>IFERROR(__xludf.DUMMYFUNCTION("CONCATENATE( 
if (regexmatch(Z56, ""^[A-Za-z\.\_]+""), ""L"", 
if(regexmatch(AS56, ""^[A-Za-z\.\_]+""),""S"","""")),
if(BJ56=""X"",""K"",""""))"),"LK")</f>
        <v>LK</v>
      </c>
      <c r="CB56" s="39"/>
      <c r="CC56" s="39"/>
      <c r="CD56" s="39"/>
      <c r="CE56" s="39"/>
      <c r="CF56" s="39"/>
      <c r="CG56" s="39"/>
      <c r="CH56" s="39"/>
      <c r="CI56" s="39"/>
      <c r="CJ56" s="39"/>
      <c r="CK56" s="39"/>
      <c r="CL56" s="39"/>
      <c r="CM56" s="39"/>
      <c r="CN56" s="39"/>
      <c r="CO56" s="39"/>
      <c r="CP56" s="39"/>
      <c r="CQ56" s="39"/>
      <c r="CR56" s="39"/>
    </row>
    <row r="57" ht="15.75" customHeight="1">
      <c r="A57" s="25">
        <v>41.0</v>
      </c>
      <c r="B57" s="26" t="s">
        <v>245</v>
      </c>
      <c r="C57" s="27" t="s">
        <v>246</v>
      </c>
      <c r="D57" s="27" t="str">
        <f>IFERROR(__xludf.DUMMYFUNCTION("CONCATENATE(regexextract($C57,""[\w]* [\w]*""), ""*"")"),"Malus domestica*")</f>
        <v>Malus domestica*</v>
      </c>
      <c r="E57" s="59" t="s">
        <v>247</v>
      </c>
      <c r="F57" s="57">
        <v>3750.0</v>
      </c>
      <c r="G57" s="53"/>
      <c r="H57" s="31"/>
      <c r="I57" s="32" t="str">
        <f>CONCATENATE(
if(countif(dd.agi,$D57),"D",""),
if(countif(knap.agi,$D57),"K",""),
if(countif(mic.agi,$D57),"M",""),
if(countif(nap.agi,$D57),"N",""),
if(countif(np.agi,$D57),"P",""),
if(countif(imp.agi,$D57),"T",""),
if(countif(us.agi,$D57),"U",""),
if(countif(var.agi,$D57),"V","")
)</f>
        <v/>
      </c>
      <c r="J57" s="32" t="str">
        <f>
CONCATENATE(
if(countif(nap.bun,$D57),"N",""),
if(countif(np.bun,$D57),"P","")
)
</f>
        <v/>
      </c>
      <c r="K57" s="32" t="str">
        <f>CONCATENATE(
if(countif(dd.kxn,$D57),"D",""),
if(countif(knap.kxn,$D57),"K",""),
if(countif(mic.kxn,$D57),"M",""),
if(countif(nap.kxn,$D57),"N",""),
if(countif(np.kxn,$D57),"P",""),
if(countif(us.kxn,$D57),"U",""),
if(countif(var.kxn,$D57),"V","")
)</f>
        <v>DU</v>
      </c>
      <c r="L57" s="32" t="str">
        <f>
CONCATENATE(
if(countif(dd.hwb,$D57),"D",""),
if(countif(knap.hwb,$D57),"K",""),
if(countif(mic.hwb,$D57),"M",""),
if(countif(nap.hwb,$D57),"N",""),
if(countif(np.hwb,$D57),"P",""),
if(countif(us.hwb,$D57),"U",""),
if(countif(imp.hwb,$D57),"T",""),
if(countif(var.hwb,$D57),"V","")
)</f>
        <v>DMU</v>
      </c>
      <c r="M57" s="32" t="str">
        <f>CONCATENATE(
if(countif(dd.epc,$D57),"D",""),
if(countif(knap.ekxn,$D57),"K",""),
if(countif(mic.ekxn,$D57),"M",""),
if(countif(nap.ekxn,$D57),"N",""),
if(countif(np.ekxn,$D57),"P",""),
if(countif(imp.epc,$D57),"T",""),
if(countif(us.ekxn,$D57),"U",""),
if(countif(var.ekxn,$D57),"V","")
)</f>
        <v>DMU</v>
      </c>
      <c r="N57" s="32" t="str">
        <f>
CONCATENATE(
if(countif(dd.ecg,$D57),"D",""),
if(countif(mic.ecg,$D57),"M",""),
if(countif(np.ecg,$D57),"P",""),
if(countif(imp.ecg,$D57),"T",""),
if(countif(us.ecg,$D57),"U","")
)</f>
        <v>MU</v>
      </c>
      <c r="O57" s="32" t="str">
        <f>
CONCATENATE(
if(countif(dd.egt,$D57),"D",""),
if(countif(mic.egt,$D57),"M",""),
if(countif(nap.egt,$D57),"N",""),
if(countif(us.egt,$D57),"U",""),
if(countif(var.egt,$D57),"V",""))
</f>
        <v>U</v>
      </c>
      <c r="P57" s="32" t="str">
        <f>CONCATENATE(
if(countif(knap.egcg,$D57),"K",""),
if(countif(mic.egcg,$D57),"M",""),
if(countif(np.egcg,$D57),"P",""),
if(countif(us.egcg,$D57),"U","")
)</f>
        <v>MU</v>
      </c>
      <c r="Q57" s="32" t="str">
        <f>CONCATENATE(if(countif(np.ecit,$D57),"P",""),
if(countif(nap.ecit,$D57),"A",""))</f>
        <v/>
      </c>
      <c r="R57" s="32" t="str">
        <f>
CONCATENATE(
if(countif(nap.erd,$D57),"N",""),
if(countif(np.erd,$D57),"P",""),
if(countif(var.erd,$D57),"V",""))</f>
        <v>V</v>
      </c>
      <c r="S57" s="32" t="str">
        <f>
CONCATENATE(
if(countif(dd.gkxn,$D57),"D",""),
if(countif(knap.gkxn,$D57),"K",""),
if(countif(nap.gkxn,$D57),"N",""),
if(countif(np.gkxn,$D57),"P",""),
if(countif(imp.gkxn,$D57),"T",""),
if(countif(var.gkxn,$D57),"V",""))</f>
        <v/>
      </c>
      <c r="T57" s="32" t="str">
        <f>
CONCATENATE(
if(countif(dd.gen,$C57),"D",""),
if(countif(knap.gen,$C57),"K",""),
if(countif(nap.gen,$C57),"N",""),
if(countif(np.gen,$C57),"P",""),
if(countif(imp.gen,$C57),"T",""),
if(countif(var.gen,$C57),"V",""))</f>
        <v/>
      </c>
      <c r="U57" s="32" t="str">
        <f>
CONCATENATE(
if(countif(dd.hcc,$D57),"D",""),
if(countif(knap.hcc,$D57),"K",""),
if(countif(np.hcc,$D57),"P","")
)
</f>
        <v/>
      </c>
      <c r="V57" s="32" t="str">
        <f>
CONCATENATE(
if(countif(dd.kmp,$D57),"D",""),
if(countif(knap.kmp,$D57),"K",""),
if(countif(mic.kmp,$D57),"M",""),
if(countif(nap.kmp,$D57),"N",""),
if(countif(np.kmp,$D57),"P",""),
if(countif(imp.kmp,$D57),"T",""),
if(countif(us.kmp,$D57),"U",""),
if(countif(var.kmp,$D57),"V",""))</f>
        <v>DMU</v>
      </c>
      <c r="W57" s="32" t="str">
        <f>
CONCATENATE(
if(countif(dd.lu2,$D57),"D",""),
if(countif(knap.lu2,$D57),"K",""),
if(countif(mic.lu2,$D57),"M",""),
if(countif(nap.lu2,$D57),"N",""),
if(countif(np.lu2,$D57),"P",""),
if(countif(imp.lu2,$D57),"T",""),
if(countif(us.lu2,$D57),"U",""),
if(countif(var.lu2,$D57),"V",""))</f>
        <v>DMU</v>
      </c>
      <c r="X57" s="32" t="str">
        <f>
CONCATENATE(
if(countif(dd.myc,$D57),"D",""),
if(countif(knap.myc,$D57),"K",""), 
if(countif(mic.myc,$D57),"M",""),
if(countif(nap.myc,$D57),"N",""),
if(countif(np.myc,$D57),"P",""),
if(countif(imp.myc,$D57),"T",""),
if(countif(us.myc,$D57),"U",""),
if(countif(var.myc,$D57),"V",""))</f>
        <v>MV</v>
      </c>
      <c r="Y57" s="32" t="str">
        <f>CONCATENATE(
if(countif(dd.nar,$D57),"D",""),
if(countif(knap.nar,$D57),"K",""),
if(countif(nap.nar,$D57),"N",""),
if(countif(np.nar,$D57),"P",""),
if(countif(imp.nar,$D57),"T",""),
if(countif(us.nar,$D57),"U",""),
if(countif(var.nar,$D57),"V",""))</f>
        <v/>
      </c>
      <c r="Z57" s="33" t="str">
        <f>
CONCATENATE(
if(countif(dd.que,$D57),"D",""),
if(countif(knap.que,$D57),"K",""),
if(countif(mic.que,$D57),"M",""),
if(countif(nap.que,$D57),"N",""),
if(countif(np.que,$D57),"P",""),
if(countif(imp.que,$D57),"T",""),
if(countif(us.que,$D57),"U",""),
if(countif(var.que,$D57),"V",""))</f>
        <v>DMU</v>
      </c>
      <c r="AA57" s="32"/>
      <c r="AB57" s="34" t="str">
        <f>
CONCATENATE(if(countif(knap.agi.sim,$D57),"K",""),
if(countif(dd.agi.sim,$D57),"D",""),
if(countif(nap.agi.sim,$D57),"A",""),
if(countif(var.agi.sim,$D57),"V",""))</f>
        <v/>
      </c>
      <c r="AC57" s="34" t="str">
        <f>
if(countif(nap.bun.sim,$D57),"A","")</f>
        <v/>
      </c>
      <c r="AD57" s="34" t="str">
        <f>
CONCATENATE(if(countif(knap.kxn.sim,$D57),"K",""),
if(countif(np.kxn.sim,$D57),"P",""),
if(countif(dd.kxn.sim,$D57),"D",""),
if(countif(nap.kxn.sim,$D57),"A",""),
if(countif(var.kxn.sim,$D57),"V",""))</f>
        <v/>
      </c>
      <c r="AE57" s="34" t="str">
        <f>
CONCATENATE(if(countif(knap.hwb.sim,$D57),"K",""),
if(countif(np.hwb.sim,$D57),"P",""),
if(countif(mic.hwb.sim,$D57),"M",""),
if(countif(imp.hwb.sim,$D57),"T",""),
if(countif(dd.cyan.sim,$D57),"D",""),
if(countif(nap.hwb.sim,$D57),"A",""),
if(countif(var.hwb.sim,$D57),"V",""))</f>
        <v>D</v>
      </c>
      <c r="AF57" s="34" t="str">
        <f>
CONCATENATE(if(countif(us.ekxn.sim,$D57),"U",""),
if(countif(knap.ekxn.sim,$D57),"K",""),
if(countif(np.ekxn.sim,$D57),"P",""),
if(countif(mic.ekxn.sim,$D57),"M",""),
if(countif(imp.epc.sim,$D57),"T",""),
if(countif(nap.ekxn.sim,$D57),"A",""))</f>
        <v>UM</v>
      </c>
      <c r="AG57" s="34"/>
      <c r="AH57" s="34" t="str">
        <f>
CONCATENATE(if(countif(us.egt.sim,$D57),"U",""),
if(countif(knap.egt.sim,$D57),"K",""),
if(countif(np.egt.sim,$D57),"P",""),
if(countif(mic.egt.sim,$D57),"M",""))</f>
        <v>UM</v>
      </c>
      <c r="AI57" s="34"/>
      <c r="AJ57" s="34" t="str">
        <f>if(countif(nap.ecit.sim,$D57),"A","")</f>
        <v/>
      </c>
      <c r="AK57" s="34" t="str">
        <f>
CONCATENATE(if(countif(nap.erd,$D57),"M",""),
if(countif(nap.erd.sim,$D57),"A",""),
if(countif(var.erd.sim,$D57),"V",""))</f>
        <v/>
      </c>
      <c r="AL57" s="34" t="str">
        <f>
CONCATENATE(if(countif(knap.gkxn.sim,$D57),"K",""),
if(countif(nap.gkxn.sim,$D57),"A",""))</f>
        <v/>
      </c>
      <c r="AM57" s="34" t="str">
        <f>
CONCATENATE(if(countif(knap.gen.sim,$C57),"K",""),
if(countif(imp.gen.sim,$C57),"T",""),
if(countif(dd.gen.sim,$C57),"D",""),
if(countif(nap.gen.sim,$C57),"A",""),
if(countif(var.gen.sim,$C57),"V",""))
</f>
        <v/>
      </c>
      <c r="AN57" s="34" t="str">
        <f>IFERROR(__xludf.DUMMYFUNCTION("
if(countif(#REF!,CONCATENATE(regexextract($C57,""[\w]* [\w]*""), ""*"")),""V"","""")"),"")</f>
        <v/>
      </c>
      <c r="AO57" s="34" t="str">
        <f>
CONCATENATE(if(countif(knap.kmp.sim,$D57),"K",""),
if(countif(np.kmp.sim,$D57),"P",""),
if(countif(imp.kmp.sim,$D57),"T",""),
if(countif(dd.kmp,$D57),"D",""),
if(countif(nap.kmp.sim,$D57),"A",""),
if(countif(var.kmp.sim,$D57),"V",""))</f>
        <v>D</v>
      </c>
      <c r="AP57" s="34" t="str">
        <f>
CONCATENATE(if(countif(knap.lu2.sim,$D57),"K",""),
if(countif(np.lu2.sim,$D57),"P",""),
if(countif(imp.lu2.sim,$D57),"T",""),
if(countif(dd.lu2.sim,$D57),"D",""),
if(countif(nap.lu2.sim,$D57),"A",""),
if(countif(var.lu2.sim,$D57),"V",""))</f>
        <v/>
      </c>
      <c r="AQ57" s="34" t="str">
        <f>
CONCATENATE(if(countif(np.myc.sim,$D57),"P",""),
if(countif(imp.myc.sim,$D57),"T",""),
if(countif(nap.myc.sim,$D57),"A",""))
</f>
        <v/>
      </c>
      <c r="AR57" s="36" t="str">
        <f>
CONCATENATE(if(countif(knap.nar.sim,$D57),"K",""),
if(countif(np.nar.sim,$D57),"P",""),
if(countif(imp.nar.sim,$D57),"T",""),
if(countif(dd.nar.sim,$D57),"D",""),
if(countif(nap.nar.sim,$D57),"A",""),
if(countif(var.nar.sim,$D57),"V",""))</f>
        <v/>
      </c>
      <c r="AS57" s="34" t="str">
        <f>
CONCATENATE(if(countif(knap.que.sim,$D57),"K",""),
if(countif(np.que.sim,$D57),"P",""),
if(countif(imp.que.sim,$D57),"T",""),
if(countif(dd.que.sim,$D57),"D",""),
if(countif(nap.que.sim,$D57),"A",""),
if(countif(var.que.sim,$D57),"V",""))</f>
        <v>D</v>
      </c>
      <c r="AT57" s="37"/>
      <c r="AU57" s="32" t="str">
        <f>IFERROR(__xludf.DUMMYFUNCTION("if(countif(kr.agi, CONCATENATE(regexextract($C57,""[\w]* [\w]*""), ""*"")),""X"","""")"),"")</f>
        <v/>
      </c>
      <c r="AV57" s="38" t="str">
        <f>IFERROR(__xludf.DUMMYFUNCTION("if(countif(kr.bun,CONCATENATE(regexextract($C57,""[\w]* [\w]*""), ""*"")),""X"","""")"),"X")</f>
        <v>X</v>
      </c>
      <c r="AW57" s="38" t="str">
        <f>IFERROR(__xludf.DUMMYFUNCTION("if(countif(kr.kxn,CONCATENATE(regexextract($C57,""[\w]* [\w]*""), ""*"")),""X"","""")"),"X")</f>
        <v>X</v>
      </c>
      <c r="AX57" s="38" t="str">
        <f>IFERROR(__xludf.DUMMYFUNCTION("if(countif(kr.hwb,CONCATENATE(regexextract($C57,""[\w]* [\w]*""), ""*"")),""X"","""")"),"X")</f>
        <v>X</v>
      </c>
      <c r="AY57" s="38" t="str">
        <f>IFERROR(__xludf.DUMMYFUNCTION("if(countif(kr.ec,CONCATENATE(regexextract($C57,""[\w]* [\w]*""), ""*"")),""X"","""")"),"X")</f>
        <v>X</v>
      </c>
      <c r="AZ57" s="38" t="str">
        <f>IFERROR(__xludf.DUMMYFUNCTION("if(countif(kr.egt,CONCATENATE(regexextract($C57,""[\w]* [\w]*""), ""*"")),""X"","""")"),"")</f>
        <v/>
      </c>
      <c r="BA57" s="38"/>
      <c r="BB57" s="38" t="str">
        <f>IFERROR(__xludf.DUMMYFUNCTION("if(countif(kr.erd,CONCATENATE(regexextract($C57,""[\w]* [\w]*""), ""*"")),""X"","""")"),"X")</f>
        <v>X</v>
      </c>
      <c r="BC57" s="38" t="str">
        <f>IFERROR(__xludf.DUMMYFUNCTION("if(countif(kr.gkxn,CONCATENATE(regexextract($C57,""[\w]* [\w]*""), ""*"")),""X"","""")"),"")</f>
        <v/>
      </c>
      <c r="BD57" s="38" t="str">
        <f>IFERROR(__xludf.DUMMYFUNCTION("if(countif(kr.gen,CONCATENATE(regexextract(C57,""[\w]* [\w]*""), ""*"")),""X"","""")"),"")</f>
        <v/>
      </c>
      <c r="BE57" s="38" t="str">
        <f>IFERROR(__xludf.DUMMYFUNCTION("if(countif(kr.hcc,CONCATENATE(regexextract($C57,""[\w]* [\w]*""), ""*"")),""X"","""")"),"X")</f>
        <v>X</v>
      </c>
      <c r="BF57" s="38" t="str">
        <f>IFERROR(__xludf.DUMMYFUNCTION("if(countif(kr.kmp,CONCATENATE(regexextract($C57,""[\w]* [\w]*""), ""*"")),""X"","""")"),"X")</f>
        <v>X</v>
      </c>
      <c r="BG57" s="38" t="str">
        <f>IFERROR(__xludf.DUMMYFUNCTION("if(countif(kr.lu2,CONCATENATE(regexextract($C57,""[\w]* [\w]*""), ""*"")),""X"","""")"),"")</f>
        <v/>
      </c>
      <c r="BH57" s="38" t="str">
        <f>IFERROR(__xludf.DUMMYFUNCTION("if(countif(kr.myc,CONCATENATE(regexextract($C57,""[\w]* [\w]*""), ""*"")),""X"","""")"),"")</f>
        <v/>
      </c>
      <c r="BI57" s="38" t="str">
        <f>IFERROR(__xludf.DUMMYFUNCTION("if(countif(kr.nar,CONCATENATE(regexextract($C57,""[\w]* [\w]*""), ""*"")),""X"","""")"),"X")</f>
        <v>X</v>
      </c>
      <c r="BJ57" s="38" t="str">
        <f>IFERROR(__xludf.DUMMYFUNCTION("if(countif(kr.que,CONCATENATE(regexextract($C57,""[\w]* [\w]*""), ""*"")),""X"","""")"),"X")</f>
        <v>X</v>
      </c>
      <c r="BK57" s="39"/>
      <c r="BL57" s="40" t="str">
        <f>IFERROR(__xludf.DUMMYFUNCTION(" CONCATENATE( 
if (regexmatch(I57, ""^[A-Za-z\.\_]+""), ""L"", 
if(regexmatch(AB57, ""^[A-Za-z\.\_]+""),""S"","""")),
if(AU57=""X"",""K"",""""))"),"")</f>
        <v/>
      </c>
      <c r="BM57" s="40" t="str">
        <f>IFERROR(__xludf.DUMMYFUNCTION(" CONCATENATE( 
if (regexmatch(J57, ""^[A-Za-z\.\_]+""), ""L"", 
if(regexmatch(AC57, ""^[A-Za-z\.\_]+""),""S"","""")),
if(AV57=""X"",""K"",""""))"),"K")</f>
        <v>K</v>
      </c>
      <c r="BN57" s="40" t="str">
        <f>IFERROR(__xludf.DUMMYFUNCTION(" CONCATENATE( 
if (regexmatch(K57, ""^[A-Za-z\.\_]+""), ""L"", 
if(regexmatch(AD57, ""^[A-Za-z\.\_]+""),""S"","""")),
if(AW57=""X"",""K"",""""))"),"LK")</f>
        <v>LK</v>
      </c>
      <c r="BO57" s="40" t="str">
        <f>IFERROR(__xludf.DUMMYFUNCTION(" CONCATENATE( 
if (regexmatch(L57, ""^[A-Za-z\.\_]+""), ""L"", 
if(regexmatch(AE57, ""^[A-Za-z\.\_]+""),""S"","""")),
if(AX57=""X"",""K"",""""))"),"LK")</f>
        <v>LK</v>
      </c>
      <c r="BP57" s="40" t="str">
        <f>IFERROR(__xludf.DUMMYFUNCTION(" CONCATENATE( 
if (regexmatch(M57, ""^[A-Za-z\.\_]+""), ""L"", 
if(regexmatch(AF57, ""^[A-Za-z\.\_]+""),""S"","""")),
if(AY57=""X"",""K"",""""))"),"LK")</f>
        <v>LK</v>
      </c>
      <c r="BQ57" s="40" t="str">
        <f>IFERROR(__xludf.DUMMYFUNCTION("CONCATENATE( 
if (regexmatch(O57, ""^[A-Za-z\.\_]+""), ""L"", 
if(regexmatch(AH57, ""^[A-Za-z\.\_]+""),""S"","""")),
if(AZ57=""X"",""K"",""""))"),"L")</f>
        <v>L</v>
      </c>
      <c r="BR57" s="40" t="str">
        <f>IFERROR(__xludf.DUMMYFUNCTION("CONCATENATE( 
if (regexmatch(Q57, ""^[A-Za-z\.\_]+""), ""L"", 
if(regexmatch(AJ57, ""^[A-Za-z\.\_]+""),""S"","""")),
if(BA57=""X"",""K"",""""))"),"")</f>
        <v/>
      </c>
      <c r="BS57" s="40" t="str">
        <f>IFERROR(__xludf.DUMMYFUNCTION(" CONCATENATE( 
if (regexmatch(R57, ""^[A-Za-z\.\_]+""), ""L"", 
if(regexmatch(AK57, ""^[A-Za-z\.\_]+""),""S"","""")),
if(BB57=""X"",""K"",""""))"),"LK")</f>
        <v>LK</v>
      </c>
      <c r="BT57" s="40" t="str">
        <f>IFERROR(__xludf.DUMMYFUNCTION("CONCATENATE( 
if (regexmatch(S57, ""^[A-Za-z\.\_]+""), ""L"", 
if(regexmatch(AL57, ""^[A-Za-z\.\_]+""),""S"","""")),
if(BC57=""X"",""K"",""""))"),"")</f>
        <v/>
      </c>
      <c r="BU57" s="40" t="str">
        <f>IFERROR(__xludf.DUMMYFUNCTION("CONCATENATE( 
if (regexmatch(T57, ""^[A-Za-z\.\_]+""), ""L"", 
if(regexmatch(AM57, ""^[A-Za-z\.\_]+""),""S"","""")),
if(BD57=""X"",""K"",""""))"),"")</f>
        <v/>
      </c>
      <c r="BV57" s="40" t="str">
        <f>IFERROR(__xludf.DUMMYFUNCTION("CONCATENATE( 
if (regexmatch(U57, ""^[A-Za-z\.\_]+""), ""L"", 
if(regexmatch(AN57, ""^[A-Za-z\.\_]+""),""S"","""")),
if(BE57=""X"",""K"",""""))"),"K")</f>
        <v>K</v>
      </c>
      <c r="BW57" s="40" t="str">
        <f>IFERROR(__xludf.DUMMYFUNCTION(" CONCATENATE( 
if (regexmatch(V57, ""^[A-Za-z\.\_]+""), ""L"", 
if(regexmatch(AO57, ""^[A-Za-z\.\_]+""),""S"","""")),
if(BF57=""X"",""K"",""""))"),"LK")</f>
        <v>LK</v>
      </c>
      <c r="BX57" s="40" t="str">
        <f>IFERROR(__xludf.DUMMYFUNCTION("CONCATENATE( 
if (regexmatch(W57, ""^[A-Za-z\.\_]+""), ""L"", 
if(regexmatch(AP57, ""^[A-Za-z\.\_]+""),""S"","""")),
if(BG57=""X"",""K"",""""))"),"L")</f>
        <v>L</v>
      </c>
      <c r="BY57" s="40" t="str">
        <f>IFERROR(__xludf.DUMMYFUNCTION("CONCATENATE( 
if (regexmatch(X57, ""^[A-Za-z\.\_]+""), ""L"", 
if(regexmatch(AQ57, ""^[A-Za-z\.\_]+""),""S"","""")),
if(BH57=""X"",""K"",""""))"),"L")</f>
        <v>L</v>
      </c>
      <c r="BZ57" s="40" t="str">
        <f>IFERROR(__xludf.DUMMYFUNCTION("CONCATENATE( 
if (regexmatch(Y57, ""^[A-Za-z\.\_]+""), ""L"", 
if(regexmatch(AR57, ""^[A-Za-z\.\_]+""),""S"","""")),
if(BI57=""X"",""K"",""""))"),"K")</f>
        <v>K</v>
      </c>
      <c r="CA57" s="40" t="str">
        <f>IFERROR(__xludf.DUMMYFUNCTION("CONCATENATE( 
if (regexmatch(Z57, ""^[A-Za-z\.\_]+""), ""L"", 
if(regexmatch(AS57, ""^[A-Za-z\.\_]+""),""S"","""")),
if(BJ57=""X"",""K"",""""))"),"LK")</f>
        <v>LK</v>
      </c>
      <c r="CB57" s="39"/>
      <c r="CC57" s="39"/>
      <c r="CD57" s="39"/>
      <c r="CE57" s="39"/>
      <c r="CF57" s="39"/>
      <c r="CG57" s="39"/>
      <c r="CH57" s="39"/>
      <c r="CI57" s="39"/>
      <c r="CJ57" s="39"/>
      <c r="CK57" s="39"/>
      <c r="CL57" s="39"/>
      <c r="CM57" s="39"/>
      <c r="CN57" s="39"/>
      <c r="CO57" s="39"/>
      <c r="CP57" s="39"/>
      <c r="CQ57" s="39"/>
      <c r="CR57" s="39"/>
    </row>
    <row r="58" ht="15.75" customHeight="1">
      <c r="A58" s="25">
        <v>59.0</v>
      </c>
      <c r="B58" s="26" t="s">
        <v>248</v>
      </c>
      <c r="C58" s="27" t="s">
        <v>249</v>
      </c>
      <c r="D58" s="27" t="str">
        <f>IFERROR(__xludf.DUMMYFUNCTION("CONCATENATE(regexextract($C58,""[\w]* [\w]*""), ""*"")"),"Manihot esculenta*")</f>
        <v>Manihot esculenta*</v>
      </c>
      <c r="E58" s="59" t="s">
        <v>250</v>
      </c>
      <c r="F58" s="57">
        <v>3983.0</v>
      </c>
      <c r="G58" s="53"/>
      <c r="H58" s="31"/>
      <c r="I58" s="32" t="str">
        <f>CONCATENATE(
if(countif(dd.agi,$D58),"D",""),
if(countif(knap.agi,$D58),"K",""),
if(countif(mic.agi,$D58),"M",""),
if(countif(nap.agi,$D58),"N",""),
if(countif(np.agi,$D58),"P",""),
if(countif(imp.agi,$D58),"T",""),
if(countif(us.agi,$D58),"U",""),
if(countif(var.agi,$D58),"V","")
)</f>
        <v/>
      </c>
      <c r="J58" s="32" t="str">
        <f>
CONCATENATE(
if(countif(nap.bun,$D58),"N",""),
if(countif(np.bun,$D58),"P","")
)
</f>
        <v/>
      </c>
      <c r="K58" s="32" t="str">
        <f>CONCATENATE(
if(countif(dd.kxn,$D58),"D",""),
if(countif(knap.kxn,$D58),"K",""),
if(countif(mic.kxn,$D58),"M",""),
if(countif(nap.kxn,$D58),"N",""),
if(countif(np.kxn,$D58),"P",""),
if(countif(us.kxn,$D58),"U",""),
if(countif(var.kxn,$D58),"V","")
)</f>
        <v>V</v>
      </c>
      <c r="L58" s="32" t="str">
        <f>
CONCATENATE(
if(countif(dd.hwb,$D58),"D",""),
if(countif(knap.hwb,$D58),"K",""),
if(countif(mic.hwb,$D58),"M",""),
if(countif(nap.hwb,$D58),"N",""),
if(countif(np.hwb,$D58),"P",""),
if(countif(us.hwb,$D58),"U",""),
if(countif(imp.hwb,$D58),"T",""),
if(countif(var.hwb,$D58),"V","")
)</f>
        <v/>
      </c>
      <c r="M58" s="32" t="str">
        <f>CONCATENATE(
if(countif(dd.epc,$D58),"D",""),
if(countif(knap.ekxn,$D58),"K",""),
if(countif(mic.ekxn,$D58),"M",""),
if(countif(nap.ekxn,$D58),"N",""),
if(countif(np.ekxn,$D58),"P",""),
if(countif(imp.epc,$D58),"T",""),
if(countif(us.ekxn,$D58),"U",""),
if(countif(var.ekxn,$D58),"V","")
)</f>
        <v/>
      </c>
      <c r="N58" s="32" t="str">
        <f>
CONCATENATE(
if(countif(dd.ecg,$D58),"D",""),
if(countif(mic.ecg,$D58),"M",""),
if(countif(np.ecg,$D58),"P",""),
if(countif(imp.ecg,$D58),"T",""),
if(countif(us.ecg,$D58),"U","")
)</f>
        <v/>
      </c>
      <c r="O58" s="32" t="str">
        <f>
CONCATENATE(
if(countif(dd.egt,$D58),"D",""),
if(countif(mic.egt,$D58),"M",""),
if(countif(nap.egt,$D58),"N",""),
if(countif(us.egt,$D58),"U",""),
if(countif(var.egt,$D58),"V",""))
</f>
        <v/>
      </c>
      <c r="P58" s="32" t="str">
        <f>CONCATENATE(
if(countif(knap.egcg,$D58),"K",""),
if(countif(mic.egcg,$D58),"M",""),
if(countif(np.egcg,$D58),"P",""),
if(countif(us.egcg,$D58),"U","")
)</f>
        <v/>
      </c>
      <c r="Q58" s="32" t="str">
        <f>CONCATENATE(if(countif(np.ecit,$D58),"P",""),
if(countif(nap.ecit,$D58),"A",""))</f>
        <v/>
      </c>
      <c r="R58" s="32" t="str">
        <f>
CONCATENATE(
if(countif(nap.erd,$D58),"N",""),
if(countif(np.erd,$D58),"P",""),
if(countif(var.erd,$D58),"V",""))</f>
        <v/>
      </c>
      <c r="S58" s="32" t="str">
        <f>
CONCATENATE(
if(countif(dd.gkxn,$D58),"D",""),
if(countif(knap.gkxn,$D58),"K",""),
if(countif(nap.gkxn,$D58),"N",""),
if(countif(np.gkxn,$D58),"P",""),
if(countif(imp.gkxn,$D58),"T",""),
if(countif(var.gkxn,$D58),"V",""))</f>
        <v/>
      </c>
      <c r="T58" s="32" t="str">
        <f>
CONCATENATE(
if(countif(dd.gen,$C58),"D",""),
if(countif(knap.gen,$C58),"K",""),
if(countif(nap.gen,$C58),"N",""),
if(countif(np.gen,$C58),"P",""),
if(countif(imp.gen,$C58),"T",""),
if(countif(var.gen,$C58),"V",""))</f>
        <v/>
      </c>
      <c r="U58" s="32" t="str">
        <f>
CONCATENATE(
if(countif(dd.hcc,$D58),"D",""),
if(countif(knap.hcc,$D58),"K",""),
if(countif(np.hcc,$D58),"P","")
)
</f>
        <v/>
      </c>
      <c r="V58" s="32" t="str">
        <f>
CONCATENATE(
if(countif(dd.kmp,$D58),"D",""),
if(countif(knap.kmp,$D58),"K",""),
if(countif(mic.kmp,$D58),"M",""),
if(countif(nap.kmp,$D58),"N",""),
if(countif(np.kmp,$D58),"P",""),
if(countif(imp.kmp,$D58),"T",""),
if(countif(us.kmp,$D58),"U",""),
if(countif(var.kmp,$D58),"V",""))</f>
        <v/>
      </c>
      <c r="W58" s="32" t="str">
        <f>
CONCATENATE(
if(countif(dd.lu2,$D58),"D",""),
if(countif(knap.lu2,$D58),"K",""),
if(countif(mic.lu2,$D58),"M",""),
if(countif(nap.lu2,$D58),"N",""),
if(countif(np.lu2,$D58),"P",""),
if(countif(imp.lu2,$D58),"T",""),
if(countif(us.lu2,$D58),"U",""),
if(countif(var.lu2,$D58),"V",""))</f>
        <v/>
      </c>
      <c r="X58" s="32" t="str">
        <f>
CONCATENATE(
if(countif(dd.myc,$D58),"D",""),
if(countif(knap.myc,$D58),"K",""), 
if(countif(mic.myc,$D58),"M",""),
if(countif(nap.myc,$D58),"N",""),
if(countif(np.myc,$D58),"P",""),
if(countif(imp.myc,$D58),"T",""),
if(countif(us.myc,$D58),"U",""),
if(countif(var.myc,$D58),"V",""))</f>
        <v/>
      </c>
      <c r="Y58" s="32" t="str">
        <f>CONCATENATE(
if(countif(dd.nar,$D58),"D",""),
if(countif(knap.nar,$D58),"K",""),
if(countif(nap.nar,$D58),"N",""),
if(countif(np.nar,$D58),"P",""),
if(countif(imp.nar,$D58),"T",""),
if(countif(us.nar,$D58),"U",""),
if(countif(var.nar,$D58),"V",""))</f>
        <v/>
      </c>
      <c r="Z58" s="33" t="str">
        <f>
CONCATENATE(
if(countif(dd.que,$D58),"D",""),
if(countif(knap.que,$D58),"K",""),
if(countif(mic.que,$D58),"M",""),
if(countif(nap.que,$D58),"N",""),
if(countif(np.que,$D58),"P",""),
if(countif(imp.que,$D58),"T",""),
if(countif(us.que,$D58),"U",""),
if(countif(var.que,$D58),"V",""))</f>
        <v>N</v>
      </c>
      <c r="AA58" s="32"/>
      <c r="AB58" s="34" t="str">
        <f>
CONCATENATE(if(countif(knap.agi.sim,$D58),"K",""),
if(countif(dd.agi.sim,$D58),"D",""),
if(countif(nap.agi.sim,$D58),"A",""),
if(countif(var.agi.sim,$D58),"V",""))</f>
        <v/>
      </c>
      <c r="AC58" s="34" t="str">
        <f>
if(countif(nap.bun.sim,$D58),"A","")</f>
        <v/>
      </c>
      <c r="AD58" s="34" t="str">
        <f>
CONCATENATE(if(countif(knap.kxn.sim,$D58),"K",""),
if(countif(np.kxn.sim,$D58),"P",""),
if(countif(dd.kxn.sim,$D58),"D",""),
if(countif(nap.kxn.sim,$D58),"A",""),
if(countif(var.kxn.sim,$D58),"V",""))</f>
        <v/>
      </c>
      <c r="AE58" s="34" t="str">
        <f>
CONCATENATE(if(countif(knap.hwb.sim,$D58),"K",""),
if(countif(np.hwb.sim,$D58),"P",""),
if(countif(mic.hwb.sim,$D58),"M",""),
if(countif(imp.hwb.sim,$D58),"T",""),
if(countif(dd.cyan.sim,$D58),"D",""),
if(countif(nap.hwb.sim,$D58),"A",""),
if(countif(var.hwb.sim,$D58),"V",""))</f>
        <v/>
      </c>
      <c r="AF58" s="34" t="str">
        <f>
CONCATENATE(if(countif(us.ekxn.sim,$D58),"U",""),
if(countif(knap.ekxn.sim,$D58),"K",""),
if(countif(np.ekxn.sim,$D58),"P",""),
if(countif(mic.ekxn.sim,$D58),"M",""),
if(countif(imp.epc.sim,$D58),"T",""),
if(countif(nap.ekxn.sim,$D58),"A",""))</f>
        <v/>
      </c>
      <c r="AG58" s="34"/>
      <c r="AH58" s="34" t="str">
        <f>
CONCATENATE(if(countif(us.egt.sim,$D58),"U",""),
if(countif(knap.egt.sim,$D58),"K",""),
if(countif(np.egt.sim,$D58),"P",""),
if(countif(mic.egt.sim,$D58),"M",""))</f>
        <v/>
      </c>
      <c r="AI58" s="34"/>
      <c r="AJ58" s="34" t="str">
        <f>if(countif(nap.ecit.sim,$D58),"A","")</f>
        <v/>
      </c>
      <c r="AK58" s="34" t="str">
        <f>
CONCATENATE(if(countif(nap.erd,$D58),"M",""),
if(countif(nap.erd.sim,$D58),"A",""),
if(countif(var.erd.sim,$D58),"V",""))</f>
        <v/>
      </c>
      <c r="AL58" s="34" t="str">
        <f>
CONCATENATE(if(countif(knap.gkxn.sim,$D58),"K",""),
if(countif(nap.gkxn.sim,$D58),"A",""))</f>
        <v/>
      </c>
      <c r="AM58" s="34" t="str">
        <f>
CONCATENATE(if(countif(knap.gen.sim,$C58),"K",""),
if(countif(imp.gen.sim,$C58),"T",""),
if(countif(dd.gen.sim,$C58),"D",""),
if(countif(nap.gen.sim,$C58),"A",""),
if(countif(var.gen.sim,$C58),"V",""))
</f>
        <v/>
      </c>
      <c r="AN58" s="34" t="str">
        <f>IFERROR(__xludf.DUMMYFUNCTION("
if(countif(#REF!,CONCATENATE(regexextract($C58,""[\w]* [\w]*""), ""*"")),""V"","""")"),"")</f>
        <v/>
      </c>
      <c r="AO58" s="34" t="str">
        <f>
CONCATENATE(if(countif(knap.kmp.sim,$D58),"K",""),
if(countif(np.kmp.sim,$D58),"P",""),
if(countif(imp.kmp.sim,$D58),"T",""),
if(countif(dd.kmp,$D58),"D",""),
if(countif(nap.kmp.sim,$D58),"A",""),
if(countif(var.kmp.sim,$D58),"V",""))</f>
        <v/>
      </c>
      <c r="AP58" s="34" t="str">
        <f>
CONCATENATE(if(countif(knap.lu2.sim,$D58),"K",""),
if(countif(np.lu2.sim,$D58),"P",""),
if(countif(imp.lu2.sim,$D58),"T",""),
if(countif(dd.lu2.sim,$D58),"D",""),
if(countif(nap.lu2.sim,$D58),"A",""),
if(countif(var.lu2.sim,$D58),"V",""))</f>
        <v/>
      </c>
      <c r="AQ58" s="34" t="str">
        <f>
CONCATENATE(if(countif(np.myc.sim,$D58),"P",""),
if(countif(imp.myc.sim,$D58),"T",""),
if(countif(nap.myc.sim,$D58),"A",""))
</f>
        <v/>
      </c>
      <c r="AR58" s="36" t="str">
        <f>
CONCATENATE(if(countif(knap.nar.sim,$D58),"K",""),
if(countif(np.nar.sim,$D58),"P",""),
if(countif(imp.nar.sim,$D58),"T",""),
if(countif(dd.nar.sim,$D58),"D",""),
if(countif(nap.nar.sim,$D58),"A",""),
if(countif(var.nar.sim,$D58),"V",""))</f>
        <v/>
      </c>
      <c r="AS58" s="34" t="str">
        <f>
CONCATENATE(if(countif(knap.que.sim,$D58),"K",""),
if(countif(np.que.sim,$D58),"P",""),
if(countif(imp.que.sim,$D58),"T",""),
if(countif(dd.que.sim,$D58),"D",""),
if(countif(nap.que.sim,$D58),"A",""),
if(countif(var.que.sim,$D58),"V",""))</f>
        <v>A</v>
      </c>
      <c r="AT58" s="37"/>
      <c r="AU58" s="32" t="str">
        <f>IFERROR(__xludf.DUMMYFUNCTION("if(countif(kr.agi, CONCATENATE(regexextract($C58,""[\w]* [\w]*""), ""*"")),""X"","""")"),"X")</f>
        <v>X</v>
      </c>
      <c r="AV58" s="38" t="str">
        <f>IFERROR(__xludf.DUMMYFUNCTION("if(countif(kr.bun,CONCATENATE(regexextract($C58,""[\w]* [\w]*""), ""*"")),""X"","""")"),"X")</f>
        <v>X</v>
      </c>
      <c r="AW58" s="38" t="str">
        <f>IFERROR(__xludf.DUMMYFUNCTION("if(countif(kr.kxn,CONCATENATE(regexextract($C58,""[\w]* [\w]*""), ""*"")),""X"","""")"),"X")</f>
        <v>X</v>
      </c>
      <c r="AX58" s="38" t="str">
        <f>IFERROR(__xludf.DUMMYFUNCTION("if(countif(kr.hwb,CONCATENATE(regexextract($C58,""[\w]* [\w]*""), ""*"")),""X"","""")"),"X")</f>
        <v>X</v>
      </c>
      <c r="AY58" s="38" t="str">
        <f>IFERROR(__xludf.DUMMYFUNCTION("if(countif(kr.ec,CONCATENATE(regexextract($C58,""[\w]* [\w]*""), ""*"")),""X"","""")"),"X")</f>
        <v>X</v>
      </c>
      <c r="AZ58" s="38" t="str">
        <f>IFERROR(__xludf.DUMMYFUNCTION("if(countif(kr.egt,CONCATENATE(regexextract($C58,""[\w]* [\w]*""), ""*"")),""X"","""")"),"X")</f>
        <v>X</v>
      </c>
      <c r="BA58" s="38"/>
      <c r="BB58" s="38" t="str">
        <f>IFERROR(__xludf.DUMMYFUNCTION("if(countif(kr.erd,CONCATENATE(regexextract($C58,""[\w]* [\w]*""), ""*"")),""X"","""")"),"X")</f>
        <v>X</v>
      </c>
      <c r="BC58" s="38" t="str">
        <f>IFERROR(__xludf.DUMMYFUNCTION("if(countif(kr.gkxn,CONCATENATE(regexextract($C58,""[\w]* [\w]*""), ""*"")),""X"","""")"),"X")</f>
        <v>X</v>
      </c>
      <c r="BD58" s="38" t="str">
        <f>IFERROR(__xludf.DUMMYFUNCTION("if(countif(kr.gen,CONCATENATE(regexextract(C58,""[\w]* [\w]*""), ""*"")),""X"","""")"),"")</f>
        <v/>
      </c>
      <c r="BE58" s="38" t="str">
        <f>IFERROR(__xludf.DUMMYFUNCTION("if(countif(kr.hcc,CONCATENATE(regexextract($C58,""[\w]* [\w]*""), ""*"")),""X"","""")"),"X")</f>
        <v>X</v>
      </c>
      <c r="BF58" s="38" t="str">
        <f>IFERROR(__xludf.DUMMYFUNCTION("if(countif(kr.kmp,CONCATENATE(regexextract($C58,""[\w]* [\w]*""), ""*"")),""X"","""")"),"X")</f>
        <v>X</v>
      </c>
      <c r="BG58" s="38" t="str">
        <f>IFERROR(__xludf.DUMMYFUNCTION("if(countif(kr.lu2,CONCATENATE(regexextract($C58,""[\w]* [\w]*""), ""*"")),""X"","""")"),"X")</f>
        <v>X</v>
      </c>
      <c r="BH58" s="38" t="str">
        <f>IFERROR(__xludf.DUMMYFUNCTION("if(countif(kr.myc,CONCATENATE(regexextract($C58,""[\w]* [\w]*""), ""*"")),""X"","""")"),"X")</f>
        <v>X</v>
      </c>
      <c r="BI58" s="38" t="str">
        <f>IFERROR(__xludf.DUMMYFUNCTION("if(countif(kr.nar,CONCATENATE(regexextract($C58,""[\w]* [\w]*""), ""*"")),""X"","""")"),"X")</f>
        <v>X</v>
      </c>
      <c r="BJ58" s="38" t="str">
        <f>IFERROR(__xludf.DUMMYFUNCTION("if(countif(kr.que,CONCATENATE(regexextract($C58,""[\w]* [\w]*""), ""*"")),""X"","""")"),"X")</f>
        <v>X</v>
      </c>
      <c r="BK58" s="39"/>
      <c r="BL58" s="40" t="str">
        <f>IFERROR(__xludf.DUMMYFUNCTION(" CONCATENATE( 
if (regexmatch(I58, ""^[A-Za-z\.\_]+""), ""L"", 
if(regexmatch(AB58, ""^[A-Za-z\.\_]+""),""S"","""")),
if(AU58=""X"",""K"",""""))"),"K")</f>
        <v>K</v>
      </c>
      <c r="BM58" s="40" t="str">
        <f>IFERROR(__xludf.DUMMYFUNCTION(" CONCATENATE( 
if (regexmatch(J58, ""^[A-Za-z\.\_]+""), ""L"", 
if(regexmatch(AC58, ""^[A-Za-z\.\_]+""),""S"","""")),
if(AV58=""X"",""K"",""""))"),"K")</f>
        <v>K</v>
      </c>
      <c r="BN58" s="40" t="str">
        <f>IFERROR(__xludf.DUMMYFUNCTION(" CONCATENATE( 
if (regexmatch(K58, ""^[A-Za-z\.\_]+""), ""L"", 
if(regexmatch(AD58, ""^[A-Za-z\.\_]+""),""S"","""")),
if(AW58=""X"",""K"",""""))"),"LK")</f>
        <v>LK</v>
      </c>
      <c r="BO58" s="40" t="str">
        <f>IFERROR(__xludf.DUMMYFUNCTION(" CONCATENATE( 
if (regexmatch(L58, ""^[A-Za-z\.\_]+""), ""L"", 
if(regexmatch(AE58, ""^[A-Za-z\.\_]+""),""S"","""")),
if(AX58=""X"",""K"",""""))"),"K")</f>
        <v>K</v>
      </c>
      <c r="BP58" s="40" t="str">
        <f>IFERROR(__xludf.DUMMYFUNCTION(" CONCATENATE( 
if (regexmatch(M58, ""^[A-Za-z\.\_]+""), ""L"", 
if(regexmatch(AF58, ""^[A-Za-z\.\_]+""),""S"","""")),
if(AY58=""X"",""K"",""""))"),"K")</f>
        <v>K</v>
      </c>
      <c r="BQ58" s="40" t="str">
        <f>IFERROR(__xludf.DUMMYFUNCTION("CONCATENATE( 
if (regexmatch(O58, ""^[A-Za-z\.\_]+""), ""L"", 
if(regexmatch(AH58, ""^[A-Za-z\.\_]+""),""S"","""")),
if(AZ58=""X"",""K"",""""))"),"K")</f>
        <v>K</v>
      </c>
      <c r="BR58" s="40" t="str">
        <f>IFERROR(__xludf.DUMMYFUNCTION("CONCATENATE( 
if (regexmatch(Q58, ""^[A-Za-z\.\_]+""), ""L"", 
if(regexmatch(AJ58, ""^[A-Za-z\.\_]+""),""S"","""")),
if(BA58=""X"",""K"",""""))"),"")</f>
        <v/>
      </c>
      <c r="BS58" s="40" t="str">
        <f>IFERROR(__xludf.DUMMYFUNCTION(" CONCATENATE( 
if (regexmatch(R58, ""^[A-Za-z\.\_]+""), ""L"", 
if(regexmatch(AK58, ""^[A-Za-z\.\_]+""),""S"","""")),
if(BB58=""X"",""K"",""""))"),"K")</f>
        <v>K</v>
      </c>
      <c r="BT58" s="40" t="str">
        <f>IFERROR(__xludf.DUMMYFUNCTION("CONCATENATE( 
if (regexmatch(S58, ""^[A-Za-z\.\_]+""), ""L"", 
if(regexmatch(AL58, ""^[A-Za-z\.\_]+""),""S"","""")),
if(BC58=""X"",""K"",""""))"),"K")</f>
        <v>K</v>
      </c>
      <c r="BU58" s="40" t="str">
        <f>IFERROR(__xludf.DUMMYFUNCTION("CONCATENATE( 
if (regexmatch(T58, ""^[A-Za-z\.\_]+""), ""L"", 
if(regexmatch(AM58, ""^[A-Za-z\.\_]+""),""S"","""")),
if(BD58=""X"",""K"",""""))"),"")</f>
        <v/>
      </c>
      <c r="BV58" s="40" t="str">
        <f>IFERROR(__xludf.DUMMYFUNCTION("CONCATENATE( 
if (regexmatch(U58, ""^[A-Za-z\.\_]+""), ""L"", 
if(regexmatch(AN58, ""^[A-Za-z\.\_]+""),""S"","""")),
if(BE58=""X"",""K"",""""))"),"K")</f>
        <v>K</v>
      </c>
      <c r="BW58" s="40" t="str">
        <f>IFERROR(__xludf.DUMMYFUNCTION(" CONCATENATE( 
if (regexmatch(V58, ""^[A-Za-z\.\_]+""), ""L"", 
if(regexmatch(AO58, ""^[A-Za-z\.\_]+""),""S"","""")),
if(BF58=""X"",""K"",""""))"),"K")</f>
        <v>K</v>
      </c>
      <c r="BX58" s="40" t="str">
        <f>IFERROR(__xludf.DUMMYFUNCTION("CONCATENATE( 
if (regexmatch(W58, ""^[A-Za-z\.\_]+""), ""L"", 
if(regexmatch(AP58, ""^[A-Za-z\.\_]+""),""S"","""")),
if(BG58=""X"",""K"",""""))"),"K")</f>
        <v>K</v>
      </c>
      <c r="BY58" s="40" t="str">
        <f>IFERROR(__xludf.DUMMYFUNCTION("CONCATENATE( 
if (regexmatch(X58, ""^[A-Za-z\.\_]+""), ""L"", 
if(regexmatch(AQ58, ""^[A-Za-z\.\_]+""),""S"","""")),
if(BH58=""X"",""K"",""""))"),"K")</f>
        <v>K</v>
      </c>
      <c r="BZ58" s="40" t="str">
        <f>IFERROR(__xludf.DUMMYFUNCTION("CONCATENATE( 
if (regexmatch(Y58, ""^[A-Za-z\.\_]+""), ""L"", 
if(regexmatch(AR58, ""^[A-Za-z\.\_]+""),""S"","""")),
if(BI58=""X"",""K"",""""))"),"K")</f>
        <v>K</v>
      </c>
      <c r="CA58" s="40" t="str">
        <f>IFERROR(__xludf.DUMMYFUNCTION("CONCATENATE( 
if (regexmatch(Z58, ""^[A-Za-z\.\_]+""), ""L"", 
if(regexmatch(AS58, ""^[A-Za-z\.\_]+""),""S"","""")),
if(BJ58=""X"",""K"",""""))"),"LK")</f>
        <v>LK</v>
      </c>
      <c r="CB58" s="39"/>
      <c r="CC58" s="39"/>
      <c r="CD58" s="39"/>
      <c r="CE58" s="39"/>
      <c r="CF58" s="39"/>
      <c r="CG58" s="39"/>
      <c r="CH58" s="39"/>
      <c r="CI58" s="39"/>
      <c r="CJ58" s="39"/>
      <c r="CK58" s="39"/>
      <c r="CL58" s="39"/>
      <c r="CM58" s="39"/>
      <c r="CN58" s="39"/>
      <c r="CO58" s="39"/>
      <c r="CP58" s="39"/>
      <c r="CQ58" s="39"/>
      <c r="CR58" s="39"/>
    </row>
    <row r="59" ht="15.75" customHeight="1">
      <c r="A59" s="25">
        <v>34.0</v>
      </c>
      <c r="B59" s="26" t="s">
        <v>251</v>
      </c>
      <c r="C59" s="27" t="s">
        <v>252</v>
      </c>
      <c r="D59" s="27" t="str">
        <f>IFERROR(__xludf.DUMMYFUNCTION("CONCATENATE(regexextract($C59,""[\w]* [\w]*""), ""*"")"),"Medicago truncatula*")</f>
        <v>Medicago truncatula*</v>
      </c>
      <c r="E59" s="26" t="s">
        <v>253</v>
      </c>
      <c r="F59" s="57">
        <v>3880.0</v>
      </c>
      <c r="G59" s="53"/>
      <c r="H59" s="31"/>
      <c r="I59" s="32" t="str">
        <f>CONCATENATE(
if(countif(dd.agi,$D59),"D",""),
if(countif(knap.agi,$D59),"K",""),
if(countif(mic.agi,$D59),"M",""),
if(countif(nap.agi,$D59),"N",""),
if(countif(np.agi,$D59),"P",""),
if(countif(imp.agi,$D59),"T",""),
if(countif(us.agi,$D59),"U",""),
if(countif(var.agi,$D59),"V","")
)</f>
        <v>K</v>
      </c>
      <c r="J59" s="32" t="str">
        <f>
CONCATENATE(
if(countif(nap.bun,$D59),"N",""),
if(countif(np.bun,$D59),"P","")
)
</f>
        <v/>
      </c>
      <c r="K59" s="32" t="str">
        <f>CONCATENATE(
if(countif(dd.kxn,$D59),"D",""),
if(countif(knap.kxn,$D59),"K",""),
if(countif(mic.kxn,$D59),"M",""),
if(countif(nap.kxn,$D59),"N",""),
if(countif(np.kxn,$D59),"P",""),
if(countif(us.kxn,$D59),"U",""),
if(countif(var.kxn,$D59),"V","")
)</f>
        <v>K</v>
      </c>
      <c r="L59" s="32" t="str">
        <f>
CONCATENATE(
if(countif(dd.hwb,$D59),"D",""),
if(countif(knap.hwb,$D59),"K",""),
if(countif(mic.hwb,$D59),"M",""),
if(countif(nap.hwb,$D59),"N",""),
if(countif(np.hwb,$D59),"P",""),
if(countif(us.hwb,$D59),"U",""),
if(countif(imp.hwb,$D59),"T",""),
if(countif(var.hwb,$D59),"V","")
)</f>
        <v>K</v>
      </c>
      <c r="M59" s="32" t="str">
        <f>CONCATENATE(
if(countif(dd.epc,$D59),"D",""),
if(countif(knap.ekxn,$D59),"K",""),
if(countif(mic.ekxn,$D59),"M",""),
if(countif(nap.ekxn,$D59),"N",""),
if(countif(np.ekxn,$D59),"P",""),
if(countif(imp.epc,$D59),"T",""),
if(countif(us.ekxn,$D59),"U",""),
if(countif(var.ekxn,$D59),"V","")
)</f>
        <v>K</v>
      </c>
      <c r="N59" s="32" t="str">
        <f>
CONCATENATE(
if(countif(dd.ecg,$D59),"D",""),
if(countif(mic.ecg,$D59),"M",""),
if(countif(np.ecg,$D59),"P",""),
if(countif(imp.ecg,$D59),"T",""),
if(countif(us.ecg,$D59),"U","")
)</f>
        <v/>
      </c>
      <c r="O59" s="32" t="str">
        <f>
CONCATENATE(
if(countif(dd.egt,$D59),"D",""),
if(countif(mic.egt,$D59),"M",""),
if(countif(nap.egt,$D59),"N",""),
if(countif(us.egt,$D59),"U",""),
if(countif(var.egt,$D59),"V",""))
</f>
        <v/>
      </c>
      <c r="P59" s="32" t="str">
        <f>CONCATENATE(
if(countif(knap.egcg,$D59),"K",""),
if(countif(mic.egcg,$D59),"M",""),
if(countif(np.egcg,$D59),"P",""),
if(countif(us.egcg,$D59),"U","")
)</f>
        <v/>
      </c>
      <c r="Q59" s="32" t="str">
        <f>CONCATENATE(if(countif(np.ecit,$D59),"P",""),
if(countif(nap.ecit,$D59),"A",""))</f>
        <v/>
      </c>
      <c r="R59" s="32" t="str">
        <f>
CONCATENATE(
if(countif(nap.erd,$D59),"N",""),
if(countif(np.erd,$D59),"P",""),
if(countif(var.erd,$D59),"V",""))</f>
        <v/>
      </c>
      <c r="S59" s="32" t="str">
        <f>
CONCATENATE(
if(countif(dd.gkxn,$D59),"D",""),
if(countif(knap.gkxn,$D59),"K",""),
if(countif(nap.gkxn,$D59),"N",""),
if(countif(np.gkxn,$D59),"P",""),
if(countif(imp.gkxn,$D59),"T",""),
if(countif(var.gkxn,$D59),"V",""))</f>
        <v>K</v>
      </c>
      <c r="T59" s="32" t="str">
        <f>
CONCATENATE(
if(countif(dd.gen,$C59),"D",""),
if(countif(knap.gen,$C59),"K",""),
if(countif(nap.gen,$C59),"N",""),
if(countif(np.gen,$C59),"P",""),
if(countif(imp.gen,$C59),"T",""),
if(countif(var.gen,$C59),"V",""))</f>
        <v>K</v>
      </c>
      <c r="U59" s="32" t="str">
        <f>
CONCATENATE(
if(countif(dd.hcc,$D59),"D",""),
if(countif(knap.hcc,$D59),"K",""),
if(countif(np.hcc,$D59),"P","")
)
</f>
        <v>K</v>
      </c>
      <c r="V59" s="32" t="str">
        <f>
CONCATENATE(
if(countif(dd.kmp,$D59),"D",""),
if(countif(knap.kmp,$D59),"K",""),
if(countif(mic.kmp,$D59),"M",""),
if(countif(nap.kmp,$D59),"N",""),
if(countif(np.kmp,$D59),"P",""),
if(countif(imp.kmp,$D59),"T",""),
if(countif(us.kmp,$D59),"U",""),
if(countif(var.kmp,$D59),"V",""))</f>
        <v>KN</v>
      </c>
      <c r="W59" s="32" t="str">
        <f>
CONCATENATE(
if(countif(dd.lu2,$D59),"D",""),
if(countif(knap.lu2,$D59),"K",""),
if(countif(mic.lu2,$D59),"M",""),
if(countif(nap.lu2,$D59),"N",""),
if(countif(np.lu2,$D59),"P",""),
if(countif(imp.lu2,$D59),"T",""),
if(countif(us.lu2,$D59),"U",""),
if(countif(var.lu2,$D59),"V",""))</f>
        <v>K</v>
      </c>
      <c r="X59" s="32" t="str">
        <f>
CONCATENATE(
if(countif(dd.myc,$D59),"D",""),
if(countif(knap.myc,$D59),"K",""), 
if(countif(mic.myc,$D59),"M",""),
if(countif(nap.myc,$D59),"N",""),
if(countif(np.myc,$D59),"P",""),
if(countif(imp.myc,$D59),"T",""),
if(countif(us.myc,$D59),"U",""),
if(countif(var.myc,$D59),"V",""))</f>
        <v>KN</v>
      </c>
      <c r="Y59" s="32" t="str">
        <f>CONCATENATE(
if(countif(dd.nar,$D59),"D",""),
if(countif(knap.nar,$D59),"K",""),
if(countif(nap.nar,$D59),"N",""),
if(countif(np.nar,$D59),"P",""),
if(countif(imp.nar,$D59),"T",""),
if(countif(us.nar,$D59),"U",""),
if(countif(var.nar,$D59),"V",""))</f>
        <v>K</v>
      </c>
      <c r="Z59" s="33" t="str">
        <f>
CONCATENATE(
if(countif(dd.que,$D59),"D",""),
if(countif(knap.que,$D59),"K",""),
if(countif(mic.que,$D59),"M",""),
if(countif(nap.que,$D59),"N",""),
if(countif(np.que,$D59),"P",""),
if(countif(imp.que,$D59),"T",""),
if(countif(us.que,$D59),"U",""),
if(countif(var.que,$D59),"V",""))</f>
        <v>KN</v>
      </c>
      <c r="AA59" s="32"/>
      <c r="AB59" s="34" t="str">
        <f>
CONCATENATE(if(countif(knap.agi.sim,$D59),"K",""),
if(countif(dd.agi.sim,$D59),"D",""),
if(countif(nap.agi.sim,$D59),"A",""),
if(countif(var.agi.sim,$D59),"V",""))</f>
        <v>K</v>
      </c>
      <c r="AC59" s="34" t="str">
        <f>
if(countif(nap.bun.sim,$D59),"A","")</f>
        <v/>
      </c>
      <c r="AD59" s="34" t="str">
        <f>
CONCATENATE(if(countif(knap.kxn.sim,$D59),"K",""),
if(countif(np.kxn.sim,$D59),"P",""),
if(countif(dd.kxn.sim,$D59),"D",""),
if(countif(nap.kxn.sim,$D59),"A",""),
if(countif(var.kxn.sim,$D59),"V",""))</f>
        <v/>
      </c>
      <c r="AE59" s="34" t="str">
        <f>
CONCATENATE(if(countif(knap.hwb.sim,$D59),"K",""),
if(countif(np.hwb.sim,$D59),"P",""),
if(countif(mic.hwb.sim,$D59),"M",""),
if(countif(imp.hwb.sim,$D59),"T",""),
if(countif(dd.cyan.sim,$D59),"D",""),
if(countif(nap.hwb.sim,$D59),"A",""),
if(countif(var.hwb.sim,$D59),"V",""))</f>
        <v>K</v>
      </c>
      <c r="AF59" s="34" t="str">
        <f>
CONCATENATE(if(countif(us.ekxn.sim,$D59),"U",""),
if(countif(knap.ekxn.sim,$D59),"K",""),
if(countif(np.ekxn.sim,$D59),"P",""),
if(countif(mic.ekxn.sim,$D59),"M",""),
if(countif(imp.epc.sim,$D59),"T",""),
if(countif(nap.ekxn.sim,$D59),"A",""))</f>
        <v/>
      </c>
      <c r="AG59" s="34"/>
      <c r="AH59" s="34" t="str">
        <f>
CONCATENATE(if(countif(us.egt.sim,$D59),"U",""),
if(countif(knap.egt.sim,$D59),"K",""),
if(countif(np.egt.sim,$D59),"P",""),
if(countif(mic.egt.sim,$D59),"M",""))</f>
        <v/>
      </c>
      <c r="AI59" s="34"/>
      <c r="AJ59" s="34" t="str">
        <f>if(countif(nap.ecit.sim,$D59),"A","")</f>
        <v/>
      </c>
      <c r="AK59" s="34" t="str">
        <f>
CONCATENATE(if(countif(nap.erd,$D59),"M",""),
if(countif(nap.erd.sim,$D59),"A",""),
if(countif(var.erd.sim,$D59),"V",""))</f>
        <v/>
      </c>
      <c r="AL59" s="34" t="str">
        <f>
CONCATENATE(if(countif(knap.gkxn.sim,$D59),"K",""),
if(countif(nap.gkxn.sim,$D59),"A",""))</f>
        <v/>
      </c>
      <c r="AM59" s="34" t="str">
        <f>
CONCATENATE(if(countif(knap.gen.sim,$C59),"K",""),
if(countif(imp.gen.sim,$C59),"T",""),
if(countif(dd.gen.sim,$C59),"D",""),
if(countif(nap.gen.sim,$C59),"A",""),
if(countif(var.gen.sim,$C59),"V",""))
</f>
        <v>K</v>
      </c>
      <c r="AN59" s="34" t="str">
        <f>IFERROR(__xludf.DUMMYFUNCTION("
if(countif(#REF!,CONCATENATE(regexextract($C59,""[\w]* [\w]*""), ""*"")),""V"","""")"),"")</f>
        <v/>
      </c>
      <c r="AO59" s="34" t="str">
        <f>
CONCATENATE(if(countif(knap.kmp.sim,$D59),"K",""),
if(countif(np.kmp.sim,$D59),"P",""),
if(countif(imp.kmp.sim,$D59),"T",""),
if(countif(dd.kmp,$D59),"D",""),
if(countif(nap.kmp.sim,$D59),"A",""),
if(countif(var.kmp.sim,$D59),"V",""))</f>
        <v/>
      </c>
      <c r="AP59" s="34" t="str">
        <f>
CONCATENATE(if(countif(knap.lu2.sim,$D59),"K",""),
if(countif(np.lu2.sim,$D59),"P",""),
if(countif(imp.lu2.sim,$D59),"T",""),
if(countif(dd.lu2.sim,$D59),"D",""),
if(countif(nap.lu2.sim,$D59),"A",""),
if(countif(var.lu2.sim,$D59),"V",""))</f>
        <v/>
      </c>
      <c r="AQ59" s="34" t="str">
        <f>
CONCATENATE(if(countif(np.myc.sim,$D59),"P",""),
if(countif(imp.myc.sim,$D59),"T",""),
if(countif(nap.myc.sim,$D59),"A",""))
</f>
        <v/>
      </c>
      <c r="AR59" s="36" t="str">
        <f>
CONCATENATE(if(countif(knap.nar.sim,$D59),"K",""),
if(countif(np.nar.sim,$D59),"P",""),
if(countif(imp.nar.sim,$D59),"T",""),
if(countif(dd.nar.sim,$D59),"D",""),
if(countif(nap.nar.sim,$D59),"A",""),
if(countif(var.nar.sim,$D59),"V",""))</f>
        <v>K</v>
      </c>
      <c r="AS59" s="34" t="str">
        <f>
CONCATENATE(if(countif(knap.que.sim,$D59),"K",""),
if(countif(np.que.sim,$D59),"P",""),
if(countif(imp.que.sim,$D59),"T",""),
if(countif(dd.que.sim,$D59),"D",""),
if(countif(nap.que.sim,$D59),"A",""),
if(countif(var.que.sim,$D59),"V",""))</f>
        <v>K</v>
      </c>
      <c r="AT59" s="37"/>
      <c r="AU59" s="32" t="str">
        <f>IFERROR(__xludf.DUMMYFUNCTION("if(countif(kr.agi, CONCATENATE(regexextract($C59,""[\w]* [\w]*""), ""*"")),""X"","""")"),"X")</f>
        <v>X</v>
      </c>
      <c r="AV59" s="38" t="str">
        <f>IFERROR(__xludf.DUMMYFUNCTION("if(countif(kr.bun,CONCATENATE(regexextract($C59,""[\w]* [\w]*""), ""*"")),""X"","""")"),"X")</f>
        <v>X</v>
      </c>
      <c r="AW59" s="38" t="str">
        <f>IFERROR(__xludf.DUMMYFUNCTION("if(countif(kr.kxn,CONCATENATE(regexextract($C59,""[\w]* [\w]*""), ""*"")),""X"","""")"),"X")</f>
        <v>X</v>
      </c>
      <c r="AX59" s="38" t="str">
        <f>IFERROR(__xludf.DUMMYFUNCTION("if(countif(kr.hwb,CONCATENATE(regexextract($C59,""[\w]* [\w]*""), ""*"")),""X"","""")"),"X")</f>
        <v>X</v>
      </c>
      <c r="AY59" s="38" t="str">
        <f>IFERROR(__xludf.DUMMYFUNCTION("if(countif(kr.ec,CONCATENATE(regexextract($C59,""[\w]* [\w]*""), ""*"")),""X"","""")"),"X")</f>
        <v>X</v>
      </c>
      <c r="AZ59" s="38" t="str">
        <f>IFERROR(__xludf.DUMMYFUNCTION("if(countif(kr.egt,CONCATENATE(regexextract($C59,""[\w]* [\w]*""), ""*"")),""X"","""")"),"X")</f>
        <v>X</v>
      </c>
      <c r="BA59" s="38"/>
      <c r="BB59" s="38" t="str">
        <f>IFERROR(__xludf.DUMMYFUNCTION("if(countif(kr.erd,CONCATENATE(regexextract($C59,""[\w]* [\w]*""), ""*"")),""X"","""")"),"X")</f>
        <v>X</v>
      </c>
      <c r="BC59" s="38" t="str">
        <f>IFERROR(__xludf.DUMMYFUNCTION("if(countif(kr.gkxn,CONCATENATE(regexextract($C59,""[\w]* [\w]*""), ""*"")),""X"","""")"),"X")</f>
        <v>X</v>
      </c>
      <c r="BD59" s="38" t="str">
        <f>IFERROR(__xludf.DUMMYFUNCTION("if(countif(kr.gen,CONCATENATE(regexextract(C59,""[\w]* [\w]*""), ""*"")),""X"","""")"),"")</f>
        <v/>
      </c>
      <c r="BE59" s="38" t="str">
        <f>IFERROR(__xludf.DUMMYFUNCTION("if(countif(kr.hcc,CONCATENATE(regexextract($C59,""[\w]* [\w]*""), ""*"")),""X"","""")"),"X")</f>
        <v>X</v>
      </c>
      <c r="BF59" s="38" t="str">
        <f>IFERROR(__xludf.DUMMYFUNCTION("if(countif(kr.kmp,CONCATENATE(regexextract($C59,""[\w]* [\w]*""), ""*"")),""X"","""")"),"X")</f>
        <v>X</v>
      </c>
      <c r="BG59" s="38" t="str">
        <f>IFERROR(__xludf.DUMMYFUNCTION("if(countif(kr.lu2,CONCATENATE(regexextract($C59,""[\w]* [\w]*""), ""*"")),""X"","""")"),"X")</f>
        <v>X</v>
      </c>
      <c r="BH59" s="38" t="str">
        <f>IFERROR(__xludf.DUMMYFUNCTION("if(countif(kr.myc,CONCATENATE(regexextract($C59,""[\w]* [\w]*""), ""*"")),""X"","""")"),"X")</f>
        <v>X</v>
      </c>
      <c r="BI59" s="38" t="str">
        <f>IFERROR(__xludf.DUMMYFUNCTION("if(countif(kr.nar,CONCATENATE(regexextract($C59,""[\w]* [\w]*""), ""*"")),""X"","""")"),"X")</f>
        <v>X</v>
      </c>
      <c r="BJ59" s="38" t="str">
        <f>IFERROR(__xludf.DUMMYFUNCTION("if(countif(kr.que,CONCATENATE(regexextract($C59,""[\w]* [\w]*""), ""*"")),""X"","""")"),"X")</f>
        <v>X</v>
      </c>
      <c r="BK59" s="39"/>
      <c r="BL59" s="40" t="str">
        <f>IFERROR(__xludf.DUMMYFUNCTION(" CONCATENATE( 
if (regexmatch(I59, ""^[A-Za-z\.\_]+""), ""L"", 
if(regexmatch(AB59, ""^[A-Za-z\.\_]+""),""S"","""")),
if(AU59=""X"",""K"",""""))"),"LK")</f>
        <v>LK</v>
      </c>
      <c r="BM59" s="40" t="str">
        <f>IFERROR(__xludf.DUMMYFUNCTION(" CONCATENATE( 
if (regexmatch(J59, ""^[A-Za-z\.\_]+""), ""L"", 
if(regexmatch(AC59, ""^[A-Za-z\.\_]+""),""S"","""")),
if(AV59=""X"",""K"",""""))"),"K")</f>
        <v>K</v>
      </c>
      <c r="BN59" s="40" t="str">
        <f>IFERROR(__xludf.DUMMYFUNCTION(" CONCATENATE( 
if (regexmatch(K59, ""^[A-Za-z\.\_]+""), ""L"", 
if(regexmatch(AD59, ""^[A-Za-z\.\_]+""),""S"","""")),
if(AW59=""X"",""K"",""""))"),"LK")</f>
        <v>LK</v>
      </c>
      <c r="BO59" s="40" t="str">
        <f>IFERROR(__xludf.DUMMYFUNCTION(" CONCATENATE( 
if (regexmatch(L59, ""^[A-Za-z\.\_]+""), ""L"", 
if(regexmatch(AE59, ""^[A-Za-z\.\_]+""),""S"","""")),
if(AX59=""X"",""K"",""""))"),"LK")</f>
        <v>LK</v>
      </c>
      <c r="BP59" s="40" t="str">
        <f>IFERROR(__xludf.DUMMYFUNCTION(" CONCATENATE( 
if (regexmatch(M59, ""^[A-Za-z\.\_]+""), ""L"", 
if(regexmatch(AF59, ""^[A-Za-z\.\_]+""),""S"","""")),
if(AY59=""X"",""K"",""""))"),"LK")</f>
        <v>LK</v>
      </c>
      <c r="BQ59" s="40" t="str">
        <f>IFERROR(__xludf.DUMMYFUNCTION("CONCATENATE( 
if (regexmatch(O59, ""^[A-Za-z\.\_]+""), ""L"", 
if(regexmatch(AH59, ""^[A-Za-z\.\_]+""),""S"","""")),
if(AZ59=""X"",""K"",""""))"),"K")</f>
        <v>K</v>
      </c>
      <c r="BR59" s="40" t="str">
        <f>IFERROR(__xludf.DUMMYFUNCTION("CONCATENATE( 
if (regexmatch(Q59, ""^[A-Za-z\.\_]+""), ""L"", 
if(regexmatch(AJ59, ""^[A-Za-z\.\_]+""),""S"","""")),
if(BA59=""X"",""K"",""""))"),"")</f>
        <v/>
      </c>
      <c r="BS59" s="40" t="str">
        <f>IFERROR(__xludf.DUMMYFUNCTION(" CONCATENATE( 
if (regexmatch(R59, ""^[A-Za-z\.\_]+""), ""L"", 
if(regexmatch(AK59, ""^[A-Za-z\.\_]+""),""S"","""")),
if(BB59=""X"",""K"",""""))"),"K")</f>
        <v>K</v>
      </c>
      <c r="BT59" s="40" t="str">
        <f>IFERROR(__xludf.DUMMYFUNCTION("CONCATENATE( 
if (regexmatch(S59, ""^[A-Za-z\.\_]+""), ""L"", 
if(regexmatch(AL59, ""^[A-Za-z\.\_]+""),""S"","""")),
if(BC59=""X"",""K"",""""))"),"LK")</f>
        <v>LK</v>
      </c>
      <c r="BU59" s="40" t="str">
        <f>IFERROR(__xludf.DUMMYFUNCTION("CONCATENATE( 
if (regexmatch(T59, ""^[A-Za-z\.\_]+""), ""L"", 
if(regexmatch(AM59, ""^[A-Za-z\.\_]+""),""S"","""")),
if(BD59=""X"",""K"",""""))"),"L")</f>
        <v>L</v>
      </c>
      <c r="BV59" s="40" t="str">
        <f>IFERROR(__xludf.DUMMYFUNCTION("CONCATENATE( 
if (regexmatch(U59, ""^[A-Za-z\.\_]+""), ""L"", 
if(regexmatch(AN59, ""^[A-Za-z\.\_]+""),""S"","""")),
if(BE59=""X"",""K"",""""))"),"LK")</f>
        <v>LK</v>
      </c>
      <c r="BW59" s="40" t="str">
        <f>IFERROR(__xludf.DUMMYFUNCTION(" CONCATENATE( 
if (regexmatch(V59, ""^[A-Za-z\.\_]+""), ""L"", 
if(regexmatch(AO59, ""^[A-Za-z\.\_]+""),""S"","""")),
if(BF59=""X"",""K"",""""))"),"LK")</f>
        <v>LK</v>
      </c>
      <c r="BX59" s="40" t="str">
        <f>IFERROR(__xludf.DUMMYFUNCTION("CONCATENATE( 
if (regexmatch(W59, ""^[A-Za-z\.\_]+""), ""L"", 
if(regexmatch(AP59, ""^[A-Za-z\.\_]+""),""S"","""")),
if(BG59=""X"",""K"",""""))"),"LK")</f>
        <v>LK</v>
      </c>
      <c r="BY59" s="40" t="str">
        <f>IFERROR(__xludf.DUMMYFUNCTION("CONCATENATE( 
if (regexmatch(X59, ""^[A-Za-z\.\_]+""), ""L"", 
if(regexmatch(AQ59, ""^[A-Za-z\.\_]+""),""S"","""")),
if(BH59=""X"",""K"",""""))"),"LK")</f>
        <v>LK</v>
      </c>
      <c r="BZ59" s="40" t="str">
        <f>IFERROR(__xludf.DUMMYFUNCTION("CONCATENATE( 
if (regexmatch(Y59, ""^[A-Za-z\.\_]+""), ""L"", 
if(regexmatch(AR59, ""^[A-Za-z\.\_]+""),""S"","""")),
if(BI59=""X"",""K"",""""))"),"LK")</f>
        <v>LK</v>
      </c>
      <c r="CA59" s="40" t="str">
        <f>IFERROR(__xludf.DUMMYFUNCTION("CONCATENATE( 
if (regexmatch(Z59, ""^[A-Za-z\.\_]+""), ""L"", 
if(regexmatch(AS59, ""^[A-Za-z\.\_]+""),""S"","""")),
if(BJ59=""X"",""K"",""""))"),"LK")</f>
        <v>LK</v>
      </c>
      <c r="CB59" s="39"/>
      <c r="CC59" s="39"/>
      <c r="CD59" s="39"/>
      <c r="CE59" s="39"/>
      <c r="CF59" s="39"/>
      <c r="CG59" s="39"/>
      <c r="CH59" s="39"/>
      <c r="CI59" s="39"/>
      <c r="CJ59" s="39"/>
      <c r="CK59" s="39"/>
      <c r="CL59" s="39"/>
      <c r="CM59" s="39"/>
      <c r="CN59" s="39"/>
      <c r="CO59" s="39"/>
      <c r="CP59" s="39"/>
      <c r="CQ59" s="39"/>
      <c r="CR59" s="39"/>
    </row>
    <row r="60" ht="15.75" customHeight="1">
      <c r="A60" s="25">
        <v>130.0</v>
      </c>
      <c r="B60" s="26" t="s">
        <v>254</v>
      </c>
      <c r="C60" s="27" t="s">
        <v>255</v>
      </c>
      <c r="D60" s="27" t="str">
        <f>IFERROR(__xludf.DUMMYFUNCTION("CONCATENATE(regexextract($C60,""[\w]* [\w]*""), ""*"")"),"Micromonas commoda*")</f>
        <v>Micromonas commoda*</v>
      </c>
      <c r="E60" s="26" t="s">
        <v>256</v>
      </c>
      <c r="F60" s="57">
        <v>296587.0</v>
      </c>
      <c r="G60" s="53"/>
      <c r="H60" s="31"/>
      <c r="I60" s="32" t="str">
        <f>CONCATENATE(
if(countif(dd.agi,$D60),"D",""),
if(countif(knap.agi,$D60),"K",""),
if(countif(mic.agi,$D60),"M",""),
if(countif(nap.agi,$D60),"N",""),
if(countif(np.agi,$D60),"P",""),
if(countif(imp.agi,$D60),"T",""),
if(countif(us.agi,$D60),"U",""),
if(countif(var.agi,$D60),"V","")
)</f>
        <v/>
      </c>
      <c r="J60" s="32" t="str">
        <f>
CONCATENATE(
if(countif(nap.bun,$D60),"N",""),
if(countif(np.bun,$D60),"P","")
)
</f>
        <v/>
      </c>
      <c r="K60" s="32" t="str">
        <f>CONCATENATE(
if(countif(dd.kxn,$D60),"D",""),
if(countif(knap.kxn,$D60),"K",""),
if(countif(mic.kxn,$D60),"M",""),
if(countif(nap.kxn,$D60),"N",""),
if(countif(np.kxn,$D60),"P",""),
if(countif(us.kxn,$D60),"U",""),
if(countif(var.kxn,$D60),"V","")
)</f>
        <v/>
      </c>
      <c r="L60" s="32" t="str">
        <f>
CONCATENATE(
if(countif(dd.hwb,$D60),"D",""),
if(countif(knap.hwb,$D60),"K",""),
if(countif(mic.hwb,$D60),"M",""),
if(countif(nap.hwb,$D60),"N",""),
if(countif(np.hwb,$D60),"P",""),
if(countif(us.hwb,$D60),"U",""),
if(countif(imp.hwb,$D60),"T",""),
if(countif(var.hwb,$D60),"V","")
)</f>
        <v/>
      </c>
      <c r="M60" s="32" t="str">
        <f>CONCATENATE(
if(countif(dd.epc,$D60),"D",""),
if(countif(knap.ekxn,$D60),"K",""),
if(countif(mic.ekxn,$D60),"M",""),
if(countif(nap.ekxn,$D60),"N",""),
if(countif(np.ekxn,$D60),"P",""),
if(countif(imp.epc,$D60),"T",""),
if(countif(us.ekxn,$D60),"U",""),
if(countif(var.ekxn,$D60),"V","")
)</f>
        <v/>
      </c>
      <c r="N60" s="32" t="str">
        <f>
CONCATENATE(
if(countif(dd.ecg,$D60),"D",""),
if(countif(mic.ecg,$D60),"M",""),
if(countif(np.ecg,$D60),"P",""),
if(countif(imp.ecg,$D60),"T",""),
if(countif(us.ecg,$D60),"U","")
)</f>
        <v/>
      </c>
      <c r="O60" s="32" t="str">
        <f>
CONCATENATE(
if(countif(dd.egt,$D60),"D",""),
if(countif(mic.egt,$D60),"M",""),
if(countif(nap.egt,$D60),"N",""),
if(countif(us.egt,$D60),"U",""),
if(countif(var.egt,$D60),"V",""))
</f>
        <v/>
      </c>
      <c r="P60" s="32" t="str">
        <f>CONCATENATE(
if(countif(knap.egcg,$D60),"K",""),
if(countif(mic.egcg,$D60),"M",""),
if(countif(np.egcg,$D60),"P",""),
if(countif(us.egcg,$D60),"U","")
)</f>
        <v/>
      </c>
      <c r="Q60" s="32" t="str">
        <f>CONCATENATE(if(countif(np.ecit,$D60),"P",""),
if(countif(nap.ecit,$D60),"A",""))</f>
        <v/>
      </c>
      <c r="R60" s="32" t="str">
        <f>
CONCATENATE(
if(countif(nap.erd,$D60),"N",""),
if(countif(np.erd,$D60),"P",""),
if(countif(var.erd,$D60),"V",""))</f>
        <v/>
      </c>
      <c r="S60" s="32" t="str">
        <f>
CONCATENATE(
if(countif(dd.gkxn,$D60),"D",""),
if(countif(knap.gkxn,$D60),"K",""),
if(countif(nap.gkxn,$D60),"N",""),
if(countif(np.gkxn,$D60),"P",""),
if(countif(imp.gkxn,$D60),"T",""),
if(countif(var.gkxn,$D60),"V",""))</f>
        <v/>
      </c>
      <c r="T60" s="32" t="str">
        <f>
CONCATENATE(
if(countif(dd.gen,$C60),"D",""),
if(countif(knap.gen,$C60),"K",""),
if(countif(nap.gen,$C60),"N",""),
if(countif(np.gen,$C60),"P",""),
if(countif(imp.gen,$C60),"T",""),
if(countif(var.gen,$C60),"V",""))</f>
        <v/>
      </c>
      <c r="U60" s="32" t="str">
        <f>
CONCATENATE(
if(countif(dd.hcc,$D60),"D",""),
if(countif(knap.hcc,$D60),"K",""),
if(countif(np.hcc,$D60),"P","")
)
</f>
        <v/>
      </c>
      <c r="V60" s="32" t="str">
        <f>
CONCATENATE(
if(countif(dd.kmp,$D60),"D",""),
if(countif(knap.kmp,$D60),"K",""),
if(countif(mic.kmp,$D60),"M",""),
if(countif(nap.kmp,$D60),"N",""),
if(countif(np.kmp,$D60),"P",""),
if(countif(imp.kmp,$D60),"T",""),
if(countif(us.kmp,$D60),"U",""),
if(countif(var.kmp,$D60),"V",""))</f>
        <v/>
      </c>
      <c r="W60" s="32" t="str">
        <f>
CONCATENATE(
if(countif(dd.lu2,$D60),"D",""),
if(countif(knap.lu2,$D60),"K",""),
if(countif(mic.lu2,$D60),"M",""),
if(countif(nap.lu2,$D60),"N",""),
if(countif(np.lu2,$D60),"P",""),
if(countif(imp.lu2,$D60),"T",""),
if(countif(us.lu2,$D60),"U",""),
if(countif(var.lu2,$D60),"V",""))</f>
        <v/>
      </c>
      <c r="X60" s="32" t="str">
        <f>
CONCATENATE(
if(countif(dd.myc,$D60),"D",""),
if(countif(knap.myc,$D60),"K",""), 
if(countif(mic.myc,$D60),"M",""),
if(countif(nap.myc,$D60),"N",""),
if(countif(np.myc,$D60),"P",""),
if(countif(imp.myc,$D60),"T",""),
if(countif(us.myc,$D60),"U",""),
if(countif(var.myc,$D60),"V",""))</f>
        <v/>
      </c>
      <c r="Y60" s="32" t="str">
        <f>CONCATENATE(
if(countif(dd.nar,$D60),"D",""),
if(countif(knap.nar,$D60),"K",""),
if(countif(nap.nar,$D60),"N",""),
if(countif(np.nar,$D60),"P",""),
if(countif(imp.nar,$D60),"T",""),
if(countif(us.nar,$D60),"U",""),
if(countif(var.nar,$D60),"V",""))</f>
        <v/>
      </c>
      <c r="Z60" s="33" t="str">
        <f>
CONCATENATE(
if(countif(dd.que,$D60),"D",""),
if(countif(knap.que,$D60),"K",""),
if(countif(mic.que,$D60),"M",""),
if(countif(nap.que,$D60),"N",""),
if(countif(np.que,$D60),"P",""),
if(countif(imp.que,$D60),"T",""),
if(countif(us.que,$D60),"U",""),
if(countif(var.que,$D60),"V",""))</f>
        <v/>
      </c>
      <c r="AA60" s="32"/>
      <c r="AB60" s="34" t="str">
        <f>
CONCATENATE(if(countif(knap.agi.sim,$D60),"K",""),
if(countif(dd.agi.sim,$D60),"D",""),
if(countif(nap.agi.sim,$D60),"A",""),
if(countif(var.agi.sim,$D60),"V",""))</f>
        <v/>
      </c>
      <c r="AC60" s="34" t="str">
        <f>
if(countif(nap.bun.sim,$D60),"A","")</f>
        <v/>
      </c>
      <c r="AD60" s="34" t="str">
        <f>
CONCATENATE(if(countif(knap.kxn.sim,$D60),"K",""),
if(countif(np.kxn.sim,$D60),"P",""),
if(countif(dd.kxn.sim,$D60),"D",""),
if(countif(nap.kxn.sim,$D60),"A",""),
if(countif(var.kxn.sim,$D60),"V",""))</f>
        <v/>
      </c>
      <c r="AE60" s="34" t="str">
        <f>
CONCATENATE(if(countif(knap.hwb.sim,$D60),"K",""),
if(countif(np.hwb.sim,$D60),"P",""),
if(countif(mic.hwb.sim,$D60),"M",""),
if(countif(imp.hwb.sim,$D60),"T",""),
if(countif(dd.cyan.sim,$D60),"D",""),
if(countif(nap.hwb.sim,$D60),"A",""),
if(countif(var.hwb.sim,$D60),"V",""))</f>
        <v/>
      </c>
      <c r="AF60" s="34" t="str">
        <f>
CONCATENATE(if(countif(us.ekxn.sim,$D60),"U",""),
if(countif(knap.ekxn.sim,$D60),"K",""),
if(countif(np.ekxn.sim,$D60),"P",""),
if(countif(mic.ekxn.sim,$D60),"M",""),
if(countif(imp.epc.sim,$D60),"T",""),
if(countif(nap.ekxn.sim,$D60),"A",""))</f>
        <v/>
      </c>
      <c r="AG60" s="34"/>
      <c r="AH60" s="34" t="str">
        <f>
CONCATENATE(if(countif(us.egt.sim,$D60),"U",""),
if(countif(knap.egt.sim,$D60),"K",""),
if(countif(np.egt.sim,$D60),"P",""),
if(countif(mic.egt.sim,$D60),"M",""))</f>
        <v/>
      </c>
      <c r="AI60" s="34"/>
      <c r="AJ60" s="34" t="str">
        <f>if(countif(nap.ecit.sim,$D60),"A","")</f>
        <v/>
      </c>
      <c r="AK60" s="34" t="str">
        <f>
CONCATENATE(if(countif(nap.erd,$D60),"M",""),
if(countif(nap.erd.sim,$D60),"A",""),
if(countif(var.erd.sim,$D60),"V",""))</f>
        <v/>
      </c>
      <c r="AL60" s="34" t="str">
        <f>
CONCATENATE(if(countif(knap.gkxn.sim,$D60),"K",""),
if(countif(nap.gkxn.sim,$D60),"A",""))</f>
        <v/>
      </c>
      <c r="AM60" s="34" t="str">
        <f>
CONCATENATE(if(countif(knap.gen.sim,$C60),"K",""),
if(countif(imp.gen.sim,$C60),"T",""),
if(countif(dd.gen.sim,$C60),"D",""),
if(countif(nap.gen.sim,$C60),"A",""),
if(countif(var.gen.sim,$C60),"V",""))
</f>
        <v/>
      </c>
      <c r="AN60" s="34" t="str">
        <f>IFERROR(__xludf.DUMMYFUNCTION("
if(countif(#REF!,CONCATENATE(regexextract($C60,""[\w]* [\w]*""), ""*"")),""V"","""")"),"")</f>
        <v/>
      </c>
      <c r="AO60" s="34" t="str">
        <f>
CONCATENATE(if(countif(knap.kmp.sim,$D60),"K",""),
if(countif(np.kmp.sim,$D60),"P",""),
if(countif(imp.kmp.sim,$D60),"T",""),
if(countif(dd.kmp,$D60),"D",""),
if(countif(nap.kmp.sim,$D60),"A",""),
if(countif(var.kmp.sim,$D60),"V",""))</f>
        <v/>
      </c>
      <c r="AP60" s="34" t="str">
        <f>
CONCATENATE(if(countif(knap.lu2.sim,$D60),"K",""),
if(countif(np.lu2.sim,$D60),"P",""),
if(countif(imp.lu2.sim,$D60),"T",""),
if(countif(dd.lu2.sim,$D60),"D",""),
if(countif(nap.lu2.sim,$D60),"A",""),
if(countif(var.lu2.sim,$D60),"V",""))</f>
        <v/>
      </c>
      <c r="AQ60" s="34" t="str">
        <f>
CONCATENATE(if(countif(np.myc.sim,$D60),"P",""),
if(countif(imp.myc.sim,$D60),"T",""),
if(countif(nap.myc.sim,$D60),"A",""))
</f>
        <v/>
      </c>
      <c r="AR60" s="36" t="str">
        <f>
CONCATENATE(if(countif(knap.nar.sim,$D60),"K",""),
if(countif(np.nar.sim,$D60),"P",""),
if(countif(imp.nar.sim,$D60),"T",""),
if(countif(dd.nar.sim,$D60),"D",""),
if(countif(nap.nar.sim,$D60),"A",""),
if(countif(var.nar.sim,$D60),"V",""))</f>
        <v/>
      </c>
      <c r="AS60" s="34" t="str">
        <f>
CONCATENATE(if(countif(knap.que.sim,$D60),"K",""),
if(countif(np.que.sim,$D60),"P",""),
if(countif(imp.que.sim,$D60),"T",""),
if(countif(dd.que.sim,$D60),"D",""),
if(countif(nap.que.sim,$D60),"A",""),
if(countif(var.que.sim,$D60),"V",""))</f>
        <v/>
      </c>
      <c r="AT60" s="37"/>
      <c r="AU60" s="32" t="str">
        <f>IFERROR(__xludf.DUMMYFUNCTION("if(countif(kr.agi, CONCATENATE(regexextract($C60,""[\w]* [\w]*""), ""*"")),""X"","""")"),"")</f>
        <v/>
      </c>
      <c r="AV60" s="38" t="str">
        <f>IFERROR(__xludf.DUMMYFUNCTION("if(countif(kr.bun,CONCATENATE(regexextract($C60,""[\w]* [\w]*""), ""*"")),""X"","""")"),"")</f>
        <v/>
      </c>
      <c r="AW60" s="38" t="str">
        <f>IFERROR(__xludf.DUMMYFUNCTION("if(countif(kr.kxn,CONCATENATE(regexextract($C60,""[\w]* [\w]*""), ""*"")),""X"","""")"),"")</f>
        <v/>
      </c>
      <c r="AX60" s="38" t="str">
        <f>IFERROR(__xludf.DUMMYFUNCTION("if(countif(kr.hwb,CONCATENATE(regexextract($C60,""[\w]* [\w]*""), ""*"")),""X"","""")"),"")</f>
        <v/>
      </c>
      <c r="AY60" s="38" t="str">
        <f>IFERROR(__xludf.DUMMYFUNCTION("if(countif(kr.ec,CONCATENATE(regexextract($C60,""[\w]* [\w]*""), ""*"")),""X"","""")"),"")</f>
        <v/>
      </c>
      <c r="AZ60" s="38" t="str">
        <f>IFERROR(__xludf.DUMMYFUNCTION("if(countif(kr.egt,CONCATENATE(regexextract($C60,""[\w]* [\w]*""), ""*"")),""X"","""")"),"")</f>
        <v/>
      </c>
      <c r="BA60" s="38"/>
      <c r="BB60" s="38" t="str">
        <f>IFERROR(__xludf.DUMMYFUNCTION("if(countif(kr.erd,CONCATENATE(regexextract($C60,""[\w]* [\w]*""), ""*"")),""X"","""")"),"")</f>
        <v/>
      </c>
      <c r="BC60" s="38" t="str">
        <f>IFERROR(__xludf.DUMMYFUNCTION("if(countif(kr.gkxn,CONCATENATE(regexextract($C60,""[\w]* [\w]*""), ""*"")),""X"","""")"),"")</f>
        <v/>
      </c>
      <c r="BD60" s="38" t="str">
        <f>IFERROR(__xludf.DUMMYFUNCTION("if(countif(kr.gen,CONCATENATE(regexextract(C60,""[\w]* [\w]*""), ""*"")),""X"","""")"),"")</f>
        <v/>
      </c>
      <c r="BE60" s="38" t="str">
        <f>IFERROR(__xludf.DUMMYFUNCTION("if(countif(kr.hcc,CONCATENATE(regexextract($C60,""[\w]* [\w]*""), ""*"")),""X"","""")"),"")</f>
        <v/>
      </c>
      <c r="BF60" s="38" t="str">
        <f>IFERROR(__xludf.DUMMYFUNCTION("if(countif(kr.kmp,CONCATENATE(regexextract($C60,""[\w]* [\w]*""), ""*"")),""X"","""")"),"")</f>
        <v/>
      </c>
      <c r="BG60" s="38" t="str">
        <f>IFERROR(__xludf.DUMMYFUNCTION("if(countif(kr.lu2,CONCATENATE(regexextract($C60,""[\w]* [\w]*""), ""*"")),""X"","""")"),"")</f>
        <v/>
      </c>
      <c r="BH60" s="38" t="str">
        <f>IFERROR(__xludf.DUMMYFUNCTION("if(countif(kr.myc,CONCATENATE(regexextract($C60,""[\w]* [\w]*""), ""*"")),""X"","""")"),"")</f>
        <v/>
      </c>
      <c r="BI60" s="38" t="str">
        <f>IFERROR(__xludf.DUMMYFUNCTION("if(countif(kr.nar,CONCATENATE(regexextract($C60,""[\w]* [\w]*""), ""*"")),""X"","""")"),"")</f>
        <v/>
      </c>
      <c r="BJ60" s="38" t="str">
        <f>IFERROR(__xludf.DUMMYFUNCTION("if(countif(kr.que,CONCATENATE(regexextract($C60,""[\w]* [\w]*""), ""*"")),""X"","""")"),"")</f>
        <v/>
      </c>
      <c r="BK60" s="39"/>
      <c r="BL60" s="40" t="str">
        <f>IFERROR(__xludf.DUMMYFUNCTION(" CONCATENATE( 
if (regexmatch(I60, ""^[A-Za-z\.\_]+""), ""L"", 
if(regexmatch(AB60, ""^[A-Za-z\.\_]+""),""S"","""")),
if(AU60=""X"",""K"",""""))"),"")</f>
        <v/>
      </c>
      <c r="BM60" s="40" t="str">
        <f>IFERROR(__xludf.DUMMYFUNCTION(" CONCATENATE( 
if (regexmatch(J60, ""^[A-Za-z\.\_]+""), ""L"", 
if(regexmatch(AC60, ""^[A-Za-z\.\_]+""),""S"","""")),
if(AV60=""X"",""K"",""""))"),"")</f>
        <v/>
      </c>
      <c r="BN60" s="40" t="str">
        <f>IFERROR(__xludf.DUMMYFUNCTION(" CONCATENATE( 
if (regexmatch(K60, ""^[A-Za-z\.\_]+""), ""L"", 
if(regexmatch(AD60, ""^[A-Za-z\.\_]+""),""S"","""")),
if(AW60=""X"",""K"",""""))"),"")</f>
        <v/>
      </c>
      <c r="BO60" s="40" t="str">
        <f>IFERROR(__xludf.DUMMYFUNCTION(" CONCATENATE( 
if (regexmatch(L60, ""^[A-Za-z\.\_]+""), ""L"", 
if(regexmatch(AE60, ""^[A-Za-z\.\_]+""),""S"","""")),
if(AX60=""X"",""K"",""""))"),"")</f>
        <v/>
      </c>
      <c r="BP60" s="40" t="str">
        <f>IFERROR(__xludf.DUMMYFUNCTION(" CONCATENATE( 
if (regexmatch(M60, ""^[A-Za-z\.\_]+""), ""L"", 
if(regexmatch(AF60, ""^[A-Za-z\.\_]+""),""S"","""")),
if(AY60=""X"",""K"",""""))"),"")</f>
        <v/>
      </c>
      <c r="BQ60" s="40" t="str">
        <f>IFERROR(__xludf.DUMMYFUNCTION("CONCATENATE( 
if (regexmatch(O60, ""^[A-Za-z\.\_]+""), ""L"", 
if(regexmatch(AH60, ""^[A-Za-z\.\_]+""),""S"","""")),
if(AZ60=""X"",""K"",""""))"),"")</f>
        <v/>
      </c>
      <c r="BR60" s="40" t="str">
        <f>IFERROR(__xludf.DUMMYFUNCTION("CONCATENATE( 
if (regexmatch(Q60, ""^[A-Za-z\.\_]+""), ""L"", 
if(regexmatch(AJ60, ""^[A-Za-z\.\_]+""),""S"","""")),
if(BA60=""X"",""K"",""""))"),"")</f>
        <v/>
      </c>
      <c r="BS60" s="40" t="str">
        <f>IFERROR(__xludf.DUMMYFUNCTION(" CONCATENATE( 
if (regexmatch(R60, ""^[A-Za-z\.\_]+""), ""L"", 
if(regexmatch(AK60, ""^[A-Za-z\.\_]+""),""S"","""")),
if(BB60=""X"",""K"",""""))"),"")</f>
        <v/>
      </c>
      <c r="BT60" s="40" t="str">
        <f>IFERROR(__xludf.DUMMYFUNCTION("CONCATENATE( 
if (regexmatch(S60, ""^[A-Za-z\.\_]+""), ""L"", 
if(regexmatch(AL60, ""^[A-Za-z\.\_]+""),""S"","""")),
if(BC60=""X"",""K"",""""))"),"")</f>
        <v/>
      </c>
      <c r="BU60" s="40" t="str">
        <f>IFERROR(__xludf.DUMMYFUNCTION("CONCATENATE( 
if (regexmatch(T60, ""^[A-Za-z\.\_]+""), ""L"", 
if(regexmatch(AM60, ""^[A-Za-z\.\_]+""),""S"","""")),
if(BD60=""X"",""K"",""""))"),"")</f>
        <v/>
      </c>
      <c r="BV60" s="40" t="str">
        <f>IFERROR(__xludf.DUMMYFUNCTION("CONCATENATE( 
if (regexmatch(U60, ""^[A-Za-z\.\_]+""), ""L"", 
if(regexmatch(AN60, ""^[A-Za-z\.\_]+""),""S"","""")),
if(BE60=""X"",""K"",""""))"),"")</f>
        <v/>
      </c>
      <c r="BW60" s="40" t="str">
        <f>IFERROR(__xludf.DUMMYFUNCTION(" CONCATENATE( 
if (regexmatch(V60, ""^[A-Za-z\.\_]+""), ""L"", 
if(regexmatch(AO60, ""^[A-Za-z\.\_]+""),""S"","""")),
if(BF60=""X"",""K"",""""))"),"")</f>
        <v/>
      </c>
      <c r="BX60" s="40" t="str">
        <f>IFERROR(__xludf.DUMMYFUNCTION("CONCATENATE( 
if (regexmatch(W60, ""^[A-Za-z\.\_]+""), ""L"", 
if(regexmatch(AP60, ""^[A-Za-z\.\_]+""),""S"","""")),
if(BG60=""X"",""K"",""""))"),"")</f>
        <v/>
      </c>
      <c r="BY60" s="40" t="str">
        <f>IFERROR(__xludf.DUMMYFUNCTION("CONCATENATE( 
if (regexmatch(X60, ""^[A-Za-z\.\_]+""), ""L"", 
if(regexmatch(AQ60, ""^[A-Za-z\.\_]+""),""S"","""")),
if(BH60=""X"",""K"",""""))"),"")</f>
        <v/>
      </c>
      <c r="BZ60" s="40" t="str">
        <f>IFERROR(__xludf.DUMMYFUNCTION("CONCATENATE( 
if (regexmatch(Y60, ""^[A-Za-z\.\_]+""), ""L"", 
if(regexmatch(AR60, ""^[A-Za-z\.\_]+""),""S"","""")),
if(BI60=""X"",""K"",""""))"),"")</f>
        <v/>
      </c>
      <c r="CA60" s="40" t="str">
        <f>IFERROR(__xludf.DUMMYFUNCTION("CONCATENATE( 
if (regexmatch(Z60, ""^[A-Za-z\.\_]+""), ""L"", 
if(regexmatch(AS60, ""^[A-Za-z\.\_]+""),""S"","""")),
if(BJ60=""X"",""K"",""""))"),"")</f>
        <v/>
      </c>
      <c r="CB60" s="39"/>
      <c r="CC60" s="39"/>
      <c r="CD60" s="39"/>
      <c r="CE60" s="39"/>
      <c r="CF60" s="39"/>
      <c r="CG60" s="39"/>
      <c r="CH60" s="39"/>
      <c r="CI60" s="39"/>
      <c r="CJ60" s="39"/>
      <c r="CK60" s="39"/>
      <c r="CL60" s="39"/>
      <c r="CM60" s="39"/>
      <c r="CN60" s="39"/>
      <c r="CO60" s="39"/>
      <c r="CP60" s="39"/>
      <c r="CQ60" s="39"/>
      <c r="CR60" s="39"/>
    </row>
    <row r="61" ht="15.75" customHeight="1">
      <c r="A61" s="25">
        <v>131.0</v>
      </c>
      <c r="B61" s="26" t="s">
        <v>257</v>
      </c>
      <c r="C61" s="27" t="s">
        <v>258</v>
      </c>
      <c r="D61" s="27" t="str">
        <f>IFERROR(__xludf.DUMMYFUNCTION("CONCATENATE(regexextract($C61,""[\w]* [\w]*""), ""*"")"),"Micromonas pusilla*")</f>
        <v>Micromonas pusilla*</v>
      </c>
      <c r="E61" s="26" t="s">
        <v>256</v>
      </c>
      <c r="F61" s="57">
        <v>38833.0</v>
      </c>
      <c r="G61" s="53"/>
      <c r="H61" s="31"/>
      <c r="I61" s="32" t="str">
        <f>CONCATENATE(
if(countif(dd.agi,$D61),"D",""),
if(countif(knap.agi,$D61),"K",""),
if(countif(mic.agi,$D61),"M",""),
if(countif(nap.agi,$D61),"N",""),
if(countif(np.agi,$D61),"P",""),
if(countif(imp.agi,$D61),"T",""),
if(countif(us.agi,$D61),"U",""),
if(countif(var.agi,$D61),"V","")
)</f>
        <v/>
      </c>
      <c r="J61" s="32" t="str">
        <f>
CONCATENATE(
if(countif(nap.bun,$D61),"N",""),
if(countif(np.bun,$D61),"P","")
)
</f>
        <v/>
      </c>
      <c r="K61" s="32" t="str">
        <f>CONCATENATE(
if(countif(dd.kxn,$D61),"D",""),
if(countif(knap.kxn,$D61),"K",""),
if(countif(mic.kxn,$D61),"M",""),
if(countif(nap.kxn,$D61),"N",""),
if(countif(np.kxn,$D61),"P",""),
if(countif(us.kxn,$D61),"U",""),
if(countif(var.kxn,$D61),"V","")
)</f>
        <v/>
      </c>
      <c r="L61" s="32" t="str">
        <f>
CONCATENATE(
if(countif(dd.hwb,$D61),"D",""),
if(countif(knap.hwb,$D61),"K",""),
if(countif(mic.hwb,$D61),"M",""),
if(countif(nap.hwb,$D61),"N",""),
if(countif(np.hwb,$D61),"P",""),
if(countif(us.hwb,$D61),"U",""),
if(countif(imp.hwb,$D61),"T",""),
if(countif(var.hwb,$D61),"V","")
)</f>
        <v/>
      </c>
      <c r="M61" s="32" t="str">
        <f>CONCATENATE(
if(countif(dd.epc,$D61),"D",""),
if(countif(knap.ekxn,$D61),"K",""),
if(countif(mic.ekxn,$D61),"M",""),
if(countif(nap.ekxn,$D61),"N",""),
if(countif(np.ekxn,$D61),"P",""),
if(countif(imp.epc,$D61),"T",""),
if(countif(us.ekxn,$D61),"U",""),
if(countif(var.ekxn,$D61),"V","")
)</f>
        <v/>
      </c>
      <c r="N61" s="32" t="str">
        <f>
CONCATENATE(
if(countif(dd.ecg,$D61),"D",""),
if(countif(mic.ecg,$D61),"M",""),
if(countif(np.ecg,$D61),"P",""),
if(countif(imp.ecg,$D61),"T",""),
if(countif(us.ecg,$D61),"U","")
)</f>
        <v/>
      </c>
      <c r="O61" s="32" t="str">
        <f>
CONCATENATE(
if(countif(dd.egt,$D61),"D",""),
if(countif(mic.egt,$D61),"M",""),
if(countif(nap.egt,$D61),"N",""),
if(countif(us.egt,$D61),"U",""),
if(countif(var.egt,$D61),"V",""))
</f>
        <v/>
      </c>
      <c r="P61" s="32" t="str">
        <f>CONCATENATE(
if(countif(knap.egcg,$D61),"K",""),
if(countif(mic.egcg,$D61),"M",""),
if(countif(np.egcg,$D61),"P",""),
if(countif(us.egcg,$D61),"U","")
)</f>
        <v/>
      </c>
      <c r="Q61" s="32" t="str">
        <f>CONCATENATE(if(countif(np.ecit,$D61),"P",""),
if(countif(nap.ecit,$D61),"A",""))</f>
        <v/>
      </c>
      <c r="R61" s="32" t="str">
        <f>
CONCATENATE(
if(countif(nap.erd,$D61),"N",""),
if(countif(np.erd,$D61),"P",""),
if(countif(var.erd,$D61),"V",""))</f>
        <v/>
      </c>
      <c r="S61" s="32" t="str">
        <f>
CONCATENATE(
if(countif(dd.gkxn,$D61),"D",""),
if(countif(knap.gkxn,$D61),"K",""),
if(countif(nap.gkxn,$D61),"N",""),
if(countif(np.gkxn,$D61),"P",""),
if(countif(imp.gkxn,$D61),"T",""),
if(countif(var.gkxn,$D61),"V",""))</f>
        <v/>
      </c>
      <c r="T61" s="32" t="str">
        <f>
CONCATENATE(
if(countif(dd.gen,$C61),"D",""),
if(countif(knap.gen,$C61),"K",""),
if(countif(nap.gen,$C61),"N",""),
if(countif(np.gen,$C61),"P",""),
if(countif(imp.gen,$C61),"T",""),
if(countif(var.gen,$C61),"V",""))</f>
        <v/>
      </c>
      <c r="U61" s="32" t="str">
        <f>
CONCATENATE(
if(countif(dd.hcc,$D61),"D",""),
if(countif(knap.hcc,$D61),"K",""),
if(countif(np.hcc,$D61),"P","")
)
</f>
        <v/>
      </c>
      <c r="V61" s="32" t="str">
        <f>
CONCATENATE(
if(countif(dd.kmp,$D61),"D",""),
if(countif(knap.kmp,$D61),"K",""),
if(countif(mic.kmp,$D61),"M",""),
if(countif(nap.kmp,$D61),"N",""),
if(countif(np.kmp,$D61),"P",""),
if(countif(imp.kmp,$D61),"T",""),
if(countif(us.kmp,$D61),"U",""),
if(countif(var.kmp,$D61),"V",""))</f>
        <v/>
      </c>
      <c r="W61" s="32" t="str">
        <f>
CONCATENATE(
if(countif(dd.lu2,$D61),"D",""),
if(countif(knap.lu2,$D61),"K",""),
if(countif(mic.lu2,$D61),"M",""),
if(countif(nap.lu2,$D61),"N",""),
if(countif(np.lu2,$D61),"P",""),
if(countif(imp.lu2,$D61),"T",""),
if(countif(us.lu2,$D61),"U",""),
if(countif(var.lu2,$D61),"V",""))</f>
        <v/>
      </c>
      <c r="X61" s="32" t="str">
        <f>
CONCATENATE(
if(countif(dd.myc,$D61),"D",""),
if(countif(knap.myc,$D61),"K",""), 
if(countif(mic.myc,$D61),"M",""),
if(countif(nap.myc,$D61),"N",""),
if(countif(np.myc,$D61),"P",""),
if(countif(imp.myc,$D61),"T",""),
if(countif(us.myc,$D61),"U",""),
if(countif(var.myc,$D61),"V",""))</f>
        <v/>
      </c>
      <c r="Y61" s="32" t="str">
        <f>CONCATENATE(
if(countif(dd.nar,$D61),"D",""),
if(countif(knap.nar,$D61),"K",""),
if(countif(nap.nar,$D61),"N",""),
if(countif(np.nar,$D61),"P",""),
if(countif(imp.nar,$D61),"T",""),
if(countif(us.nar,$D61),"U",""),
if(countif(var.nar,$D61),"V",""))</f>
        <v/>
      </c>
      <c r="Z61" s="33" t="str">
        <f>
CONCATENATE(
if(countif(dd.que,$D61),"D",""),
if(countif(knap.que,$D61),"K",""),
if(countif(mic.que,$D61),"M",""),
if(countif(nap.que,$D61),"N",""),
if(countif(np.que,$D61),"P",""),
if(countif(imp.que,$D61),"T",""),
if(countif(us.que,$D61),"U",""),
if(countif(var.que,$D61),"V",""))</f>
        <v/>
      </c>
      <c r="AA61" s="32"/>
      <c r="AB61" s="34" t="str">
        <f>
CONCATENATE(if(countif(knap.agi.sim,$D61),"K",""),
if(countif(dd.agi.sim,$D61),"D",""),
if(countif(nap.agi.sim,$D61),"A",""),
if(countif(var.agi.sim,$D61),"V",""))</f>
        <v/>
      </c>
      <c r="AC61" s="34" t="str">
        <f>
if(countif(nap.bun.sim,$D61),"A","")</f>
        <v/>
      </c>
      <c r="AD61" s="34" t="str">
        <f>
CONCATENATE(if(countif(knap.kxn.sim,$D61),"K",""),
if(countif(np.kxn.sim,$D61),"P",""),
if(countif(dd.kxn.sim,$D61),"D",""),
if(countif(nap.kxn.sim,$D61),"A",""),
if(countif(var.kxn.sim,$D61),"V",""))</f>
        <v/>
      </c>
      <c r="AE61" s="34" t="str">
        <f>
CONCATENATE(if(countif(knap.hwb.sim,$D61),"K",""),
if(countif(np.hwb.sim,$D61),"P",""),
if(countif(mic.hwb.sim,$D61),"M",""),
if(countif(imp.hwb.sim,$D61),"T",""),
if(countif(dd.cyan.sim,$D61),"D",""),
if(countif(nap.hwb.sim,$D61),"A",""),
if(countif(var.hwb.sim,$D61),"V",""))</f>
        <v/>
      </c>
      <c r="AF61" s="34" t="str">
        <f>
CONCATENATE(if(countif(us.ekxn.sim,$D61),"U",""),
if(countif(knap.ekxn.sim,$D61),"K",""),
if(countif(np.ekxn.sim,$D61),"P",""),
if(countif(mic.ekxn.sim,$D61),"M",""),
if(countif(imp.epc.sim,$D61),"T",""),
if(countif(nap.ekxn.sim,$D61),"A",""))</f>
        <v/>
      </c>
      <c r="AG61" s="34"/>
      <c r="AH61" s="34" t="str">
        <f>
CONCATENATE(if(countif(us.egt.sim,$D61),"U",""),
if(countif(knap.egt.sim,$D61),"K",""),
if(countif(np.egt.sim,$D61),"P",""),
if(countif(mic.egt.sim,$D61),"M",""))</f>
        <v/>
      </c>
      <c r="AI61" s="34"/>
      <c r="AJ61" s="34" t="str">
        <f>if(countif(nap.ecit.sim,$D61),"A","")</f>
        <v/>
      </c>
      <c r="AK61" s="34" t="str">
        <f>
CONCATENATE(if(countif(nap.erd,$D61),"M",""),
if(countif(nap.erd.sim,$D61),"A",""),
if(countif(var.erd.sim,$D61),"V",""))</f>
        <v/>
      </c>
      <c r="AL61" s="34" t="str">
        <f>
CONCATENATE(if(countif(knap.gkxn.sim,$D61),"K",""),
if(countif(nap.gkxn.sim,$D61),"A",""))</f>
        <v/>
      </c>
      <c r="AM61" s="34" t="str">
        <f>
CONCATENATE(if(countif(knap.gen.sim,$C61),"K",""),
if(countif(imp.gen.sim,$C61),"T",""),
if(countif(dd.gen.sim,$C61),"D",""),
if(countif(nap.gen.sim,$C61),"A",""),
if(countif(var.gen.sim,$C61),"V",""))
</f>
        <v/>
      </c>
      <c r="AN61" s="34" t="str">
        <f>IFERROR(__xludf.DUMMYFUNCTION("
if(countif(#REF!,CONCATENATE(regexextract($C61,""[\w]* [\w]*""), ""*"")),""V"","""")"),"")</f>
        <v/>
      </c>
      <c r="AO61" s="34" t="str">
        <f>
CONCATENATE(if(countif(knap.kmp.sim,$D61),"K",""),
if(countif(np.kmp.sim,$D61),"P",""),
if(countif(imp.kmp.sim,$D61),"T",""),
if(countif(dd.kmp,$D61),"D",""),
if(countif(nap.kmp.sim,$D61),"A",""),
if(countif(var.kmp.sim,$D61),"V",""))</f>
        <v/>
      </c>
      <c r="AP61" s="34" t="str">
        <f>
CONCATENATE(if(countif(knap.lu2.sim,$D61),"K",""),
if(countif(np.lu2.sim,$D61),"P",""),
if(countif(imp.lu2.sim,$D61),"T",""),
if(countif(dd.lu2.sim,$D61),"D",""),
if(countif(nap.lu2.sim,$D61),"A",""),
if(countif(var.lu2.sim,$D61),"V",""))</f>
        <v/>
      </c>
      <c r="AQ61" s="34" t="str">
        <f>
CONCATENATE(if(countif(np.myc.sim,$D61),"P",""),
if(countif(imp.myc.sim,$D61),"T",""),
if(countif(nap.myc.sim,$D61),"A",""))
</f>
        <v/>
      </c>
      <c r="AR61" s="36" t="str">
        <f>
CONCATENATE(if(countif(knap.nar.sim,$D61),"K",""),
if(countif(np.nar.sim,$D61),"P",""),
if(countif(imp.nar.sim,$D61),"T",""),
if(countif(dd.nar.sim,$D61),"D",""),
if(countif(nap.nar.sim,$D61),"A",""),
if(countif(var.nar.sim,$D61),"V",""))</f>
        <v/>
      </c>
      <c r="AS61" s="34" t="str">
        <f>
CONCATENATE(if(countif(knap.que.sim,$D61),"K",""),
if(countif(np.que.sim,$D61),"P",""),
if(countif(imp.que.sim,$D61),"T",""),
if(countif(dd.que.sim,$D61),"D",""),
if(countif(nap.que.sim,$D61),"A",""),
if(countif(var.que.sim,$D61),"V",""))</f>
        <v/>
      </c>
      <c r="AT61" s="37"/>
      <c r="AU61" s="32" t="str">
        <f>IFERROR(__xludf.DUMMYFUNCTION("if(countif(kr.agi, CONCATENATE(regexextract($C61,""[\w]* [\w]*""), ""*"")),""X"","""")"),"")</f>
        <v/>
      </c>
      <c r="AV61" s="38" t="str">
        <f>IFERROR(__xludf.DUMMYFUNCTION("if(countif(kr.bun,CONCATENATE(regexextract($C61,""[\w]* [\w]*""), ""*"")),""X"","""")"),"")</f>
        <v/>
      </c>
      <c r="AW61" s="38" t="str">
        <f>IFERROR(__xludf.DUMMYFUNCTION("if(countif(kr.kxn,CONCATENATE(regexextract($C61,""[\w]* [\w]*""), ""*"")),""X"","""")"),"")</f>
        <v/>
      </c>
      <c r="AX61" s="38" t="str">
        <f>IFERROR(__xludf.DUMMYFUNCTION("if(countif(kr.hwb,CONCATENATE(regexextract($C61,""[\w]* [\w]*""), ""*"")),""X"","""")"),"")</f>
        <v/>
      </c>
      <c r="AY61" s="38" t="str">
        <f>IFERROR(__xludf.DUMMYFUNCTION("if(countif(kr.ec,CONCATENATE(regexextract($C61,""[\w]* [\w]*""), ""*"")),""X"","""")"),"")</f>
        <v/>
      </c>
      <c r="AZ61" s="38" t="str">
        <f>IFERROR(__xludf.DUMMYFUNCTION("if(countif(kr.egt,CONCATENATE(regexextract($C61,""[\w]* [\w]*""), ""*"")),""X"","""")"),"")</f>
        <v/>
      </c>
      <c r="BA61" s="38"/>
      <c r="BB61" s="38" t="str">
        <f>IFERROR(__xludf.DUMMYFUNCTION("if(countif(kr.erd,CONCATENATE(regexextract($C61,""[\w]* [\w]*""), ""*"")),""X"","""")"),"")</f>
        <v/>
      </c>
      <c r="BC61" s="38" t="str">
        <f>IFERROR(__xludf.DUMMYFUNCTION("if(countif(kr.gkxn,CONCATENATE(regexextract($C61,""[\w]* [\w]*""), ""*"")),""X"","""")"),"")</f>
        <v/>
      </c>
      <c r="BD61" s="38" t="str">
        <f>IFERROR(__xludf.DUMMYFUNCTION("if(countif(kr.gen,CONCATENATE(regexextract(C61,""[\w]* [\w]*""), ""*"")),""X"","""")"),"")</f>
        <v/>
      </c>
      <c r="BE61" s="38" t="str">
        <f>IFERROR(__xludf.DUMMYFUNCTION("if(countif(kr.hcc,CONCATENATE(regexextract($C61,""[\w]* [\w]*""), ""*"")),""X"","""")"),"")</f>
        <v/>
      </c>
      <c r="BF61" s="38" t="str">
        <f>IFERROR(__xludf.DUMMYFUNCTION("if(countif(kr.kmp,CONCATENATE(regexextract($C61,""[\w]* [\w]*""), ""*"")),""X"","""")"),"")</f>
        <v/>
      </c>
      <c r="BG61" s="38" t="str">
        <f>IFERROR(__xludf.DUMMYFUNCTION("if(countif(kr.lu2,CONCATENATE(regexextract($C61,""[\w]* [\w]*""), ""*"")),""X"","""")"),"")</f>
        <v/>
      </c>
      <c r="BH61" s="38" t="str">
        <f>IFERROR(__xludf.DUMMYFUNCTION("if(countif(kr.myc,CONCATENATE(regexextract($C61,""[\w]* [\w]*""), ""*"")),""X"","""")"),"")</f>
        <v/>
      </c>
      <c r="BI61" s="38" t="str">
        <f>IFERROR(__xludf.DUMMYFUNCTION("if(countif(kr.nar,CONCATENATE(regexextract($C61,""[\w]* [\w]*""), ""*"")),""X"","""")"),"")</f>
        <v/>
      </c>
      <c r="BJ61" s="38" t="str">
        <f>IFERROR(__xludf.DUMMYFUNCTION("if(countif(kr.que,CONCATENATE(regexextract($C61,""[\w]* [\w]*""), ""*"")),""X"","""")"),"")</f>
        <v/>
      </c>
      <c r="BK61" s="39"/>
      <c r="BL61" s="40" t="str">
        <f>IFERROR(__xludf.DUMMYFUNCTION(" CONCATENATE( 
if (regexmatch(I61, ""^[A-Za-z\.\_]+""), ""L"", 
if(regexmatch(AB61, ""^[A-Za-z\.\_]+""),""S"","""")),
if(AU61=""X"",""K"",""""))"),"")</f>
        <v/>
      </c>
      <c r="BM61" s="40" t="str">
        <f>IFERROR(__xludf.DUMMYFUNCTION(" CONCATENATE( 
if (regexmatch(J61, ""^[A-Za-z\.\_]+""), ""L"", 
if(regexmatch(AC61, ""^[A-Za-z\.\_]+""),""S"","""")),
if(AV61=""X"",""K"",""""))"),"")</f>
        <v/>
      </c>
      <c r="BN61" s="40" t="str">
        <f>IFERROR(__xludf.DUMMYFUNCTION(" CONCATENATE( 
if (regexmatch(K61, ""^[A-Za-z\.\_]+""), ""L"", 
if(regexmatch(AD61, ""^[A-Za-z\.\_]+""),""S"","""")),
if(AW61=""X"",""K"",""""))"),"")</f>
        <v/>
      </c>
      <c r="BO61" s="40" t="str">
        <f>IFERROR(__xludf.DUMMYFUNCTION(" CONCATENATE( 
if (regexmatch(L61, ""^[A-Za-z\.\_]+""), ""L"", 
if(regexmatch(AE61, ""^[A-Za-z\.\_]+""),""S"","""")),
if(AX61=""X"",""K"",""""))"),"")</f>
        <v/>
      </c>
      <c r="BP61" s="40" t="str">
        <f>IFERROR(__xludf.DUMMYFUNCTION(" CONCATENATE( 
if (regexmatch(M61, ""^[A-Za-z\.\_]+""), ""L"", 
if(regexmatch(AF61, ""^[A-Za-z\.\_]+""),""S"","""")),
if(AY61=""X"",""K"",""""))"),"")</f>
        <v/>
      </c>
      <c r="BQ61" s="40" t="str">
        <f>IFERROR(__xludf.DUMMYFUNCTION("CONCATENATE( 
if (regexmatch(O61, ""^[A-Za-z\.\_]+""), ""L"", 
if(regexmatch(AH61, ""^[A-Za-z\.\_]+""),""S"","""")),
if(AZ61=""X"",""K"",""""))"),"")</f>
        <v/>
      </c>
      <c r="BR61" s="40" t="str">
        <f>IFERROR(__xludf.DUMMYFUNCTION("CONCATENATE( 
if (regexmatch(Q61, ""^[A-Za-z\.\_]+""), ""L"", 
if(regexmatch(AJ61, ""^[A-Za-z\.\_]+""),""S"","""")),
if(BA61=""X"",""K"",""""))"),"")</f>
        <v/>
      </c>
      <c r="BS61" s="40" t="str">
        <f>IFERROR(__xludf.DUMMYFUNCTION(" CONCATENATE( 
if (regexmatch(R61, ""^[A-Za-z\.\_]+""), ""L"", 
if(regexmatch(AK61, ""^[A-Za-z\.\_]+""),""S"","""")),
if(BB61=""X"",""K"",""""))"),"")</f>
        <v/>
      </c>
      <c r="BT61" s="40" t="str">
        <f>IFERROR(__xludf.DUMMYFUNCTION("CONCATENATE( 
if (regexmatch(S61, ""^[A-Za-z\.\_]+""), ""L"", 
if(regexmatch(AL61, ""^[A-Za-z\.\_]+""),""S"","""")),
if(BC61=""X"",""K"",""""))"),"")</f>
        <v/>
      </c>
      <c r="BU61" s="40" t="str">
        <f>IFERROR(__xludf.DUMMYFUNCTION("CONCATENATE( 
if (regexmatch(T61, ""^[A-Za-z\.\_]+""), ""L"", 
if(regexmatch(AM61, ""^[A-Za-z\.\_]+""),""S"","""")),
if(BD61=""X"",""K"",""""))"),"")</f>
        <v/>
      </c>
      <c r="BV61" s="40" t="str">
        <f>IFERROR(__xludf.DUMMYFUNCTION("CONCATENATE( 
if (regexmatch(U61, ""^[A-Za-z\.\_]+""), ""L"", 
if(regexmatch(AN61, ""^[A-Za-z\.\_]+""),""S"","""")),
if(BE61=""X"",""K"",""""))"),"")</f>
        <v/>
      </c>
      <c r="BW61" s="40" t="str">
        <f>IFERROR(__xludf.DUMMYFUNCTION(" CONCATENATE( 
if (regexmatch(V61, ""^[A-Za-z\.\_]+""), ""L"", 
if(regexmatch(AO61, ""^[A-Za-z\.\_]+""),""S"","""")),
if(BF61=""X"",""K"",""""))"),"")</f>
        <v/>
      </c>
      <c r="BX61" s="40" t="str">
        <f>IFERROR(__xludf.DUMMYFUNCTION("CONCATENATE( 
if (regexmatch(W61, ""^[A-Za-z\.\_]+""), ""L"", 
if(regexmatch(AP61, ""^[A-Za-z\.\_]+""),""S"","""")),
if(BG61=""X"",""K"",""""))"),"")</f>
        <v/>
      </c>
      <c r="BY61" s="40" t="str">
        <f>IFERROR(__xludf.DUMMYFUNCTION("CONCATENATE( 
if (regexmatch(X61, ""^[A-Za-z\.\_]+""), ""L"", 
if(regexmatch(AQ61, ""^[A-Za-z\.\_]+""),""S"","""")),
if(BH61=""X"",""K"",""""))"),"")</f>
        <v/>
      </c>
      <c r="BZ61" s="40" t="str">
        <f>IFERROR(__xludf.DUMMYFUNCTION("CONCATENATE( 
if (regexmatch(Y61, ""^[A-Za-z\.\_]+""), ""L"", 
if(regexmatch(AR61, ""^[A-Za-z\.\_]+""),""S"","""")),
if(BI61=""X"",""K"",""""))"),"")</f>
        <v/>
      </c>
      <c r="CA61" s="40" t="str">
        <f>IFERROR(__xludf.DUMMYFUNCTION("CONCATENATE( 
if (regexmatch(Z61, ""^[A-Za-z\.\_]+""), ""L"", 
if(regexmatch(AS61, ""^[A-Za-z\.\_]+""),""S"","""")),
if(BJ61=""X"",""K"",""""))"),"")</f>
        <v/>
      </c>
      <c r="CB61" s="39"/>
      <c r="CC61" s="39"/>
      <c r="CD61" s="39"/>
      <c r="CE61" s="39"/>
      <c r="CF61" s="39"/>
      <c r="CG61" s="39"/>
      <c r="CH61" s="39"/>
      <c r="CI61" s="39"/>
      <c r="CJ61" s="39"/>
      <c r="CK61" s="39"/>
      <c r="CL61" s="39"/>
      <c r="CM61" s="39"/>
      <c r="CN61" s="39"/>
      <c r="CO61" s="39"/>
      <c r="CP61" s="39"/>
      <c r="CQ61" s="39"/>
      <c r="CR61" s="39"/>
    </row>
    <row r="62" ht="15.75" customHeight="1">
      <c r="A62" s="25">
        <v>55.0</v>
      </c>
      <c r="B62" s="26" t="s">
        <v>259</v>
      </c>
      <c r="C62" s="41" t="s">
        <v>260</v>
      </c>
      <c r="D62" s="27" t="str">
        <f>IFERROR(__xludf.DUMMYFUNCTION("CONCATENATE(regexextract($C62,""[\w]* [\w]*""), ""*"")"),"Momordica charantia*")</f>
        <v>Momordica charantia*</v>
      </c>
      <c r="E62" s="26" t="s">
        <v>261</v>
      </c>
      <c r="F62" s="58">
        <v>3673.0</v>
      </c>
      <c r="G62" s="53"/>
      <c r="H62" s="31"/>
      <c r="I62" s="32" t="str">
        <f>CONCATENATE(
if(countif(dd.agi,$D62),"D",""),
if(countif(knap.agi,$D62),"K",""),
if(countif(mic.agi,$D62),"M",""),
if(countif(nap.agi,$D62),"N",""),
if(countif(np.agi,$D62),"P",""),
if(countif(imp.agi,$D62),"T",""),
if(countif(us.agi,$D62),"U",""),
if(countif(var.agi,$D62),"V","")
)</f>
        <v/>
      </c>
      <c r="J62" s="32" t="str">
        <f>
CONCATENATE(
if(countif(nap.bun,$D62),"N",""),
if(countif(np.bun,$D62),"P","")
)
</f>
        <v/>
      </c>
      <c r="K62" s="32" t="str">
        <f>CONCATENATE(
if(countif(dd.kxn,$D62),"D",""),
if(countif(knap.kxn,$D62),"K",""),
if(countif(mic.kxn,$D62),"M",""),
if(countif(nap.kxn,$D62),"N",""),
if(countif(np.kxn,$D62),"P",""),
if(countif(us.kxn,$D62),"U",""),
if(countif(var.kxn,$D62),"V","")
)</f>
        <v>K</v>
      </c>
      <c r="L62" s="32" t="str">
        <f>
CONCATENATE(
if(countif(dd.hwb,$D62),"D",""),
if(countif(knap.hwb,$D62),"K",""),
if(countif(mic.hwb,$D62),"M",""),
if(countif(nap.hwb,$D62),"N",""),
if(countif(np.hwb,$D62),"P",""),
if(countif(us.hwb,$D62),"U",""),
if(countif(imp.hwb,$D62),"T",""),
if(countif(var.hwb,$D62),"V","")
)</f>
        <v/>
      </c>
      <c r="M62" s="32" t="str">
        <f>CONCATENATE(
if(countif(dd.epc,$D62),"D",""),
if(countif(knap.ekxn,$D62),"K",""),
if(countif(mic.ekxn,$D62),"M",""),
if(countif(nap.ekxn,$D62),"N",""),
if(countif(np.ekxn,$D62),"P",""),
if(countif(imp.epc,$D62),"T",""),
if(countif(us.ekxn,$D62),"U",""),
if(countif(var.ekxn,$D62),"V","")
)</f>
        <v>K</v>
      </c>
      <c r="N62" s="32" t="str">
        <f>
CONCATENATE(
if(countif(dd.ecg,$D62),"D",""),
if(countif(mic.ecg,$D62),"M",""),
if(countif(np.ecg,$D62),"P",""),
if(countif(imp.ecg,$D62),"T",""),
if(countif(us.ecg,$D62),"U","")
)</f>
        <v/>
      </c>
      <c r="O62" s="32" t="str">
        <f>
CONCATENATE(
if(countif(dd.egt,$D62),"D",""),
if(countif(mic.egt,$D62),"M",""),
if(countif(nap.egt,$D62),"N",""),
if(countif(us.egt,$D62),"U",""),
if(countif(var.egt,$D62),"V",""))
</f>
        <v/>
      </c>
      <c r="P62" s="32" t="str">
        <f>CONCATENATE(
if(countif(knap.egcg,$D62),"K",""),
if(countif(mic.egcg,$D62),"M",""),
if(countif(np.egcg,$D62),"P",""),
if(countif(us.egcg,$D62),"U","")
)</f>
        <v/>
      </c>
      <c r="Q62" s="32" t="str">
        <f>CONCATENATE(if(countif(np.ecit,$D62),"P",""),
if(countif(nap.ecit,$D62),"A",""))</f>
        <v/>
      </c>
      <c r="R62" s="32" t="str">
        <f>
CONCATENATE(
if(countif(nap.erd,$D62),"N",""),
if(countif(np.erd,$D62),"P",""),
if(countif(var.erd,$D62),"V",""))</f>
        <v/>
      </c>
      <c r="S62" s="32" t="str">
        <f>
CONCATENATE(
if(countif(dd.gkxn,$D62),"D",""),
if(countif(knap.gkxn,$D62),"K",""),
if(countif(nap.gkxn,$D62),"N",""),
if(countif(np.gkxn,$D62),"P",""),
if(countif(imp.gkxn,$D62),"T",""),
if(countif(var.gkxn,$D62),"V",""))</f>
        <v/>
      </c>
      <c r="T62" s="32" t="str">
        <f>
CONCATENATE(
if(countif(dd.gen,$C62),"D",""),
if(countif(knap.gen,$C62),"K",""),
if(countif(nap.gen,$C62),"N",""),
if(countif(np.gen,$C62),"P",""),
if(countif(imp.gen,$C62),"T",""),
if(countif(var.gen,$C62),"V",""))</f>
        <v/>
      </c>
      <c r="U62" s="32" t="str">
        <f>
CONCATENATE(
if(countif(dd.hcc,$D62),"D",""),
if(countif(knap.hcc,$D62),"K",""),
if(countif(np.hcc,$D62),"P","")
)
</f>
        <v/>
      </c>
      <c r="V62" s="32" t="str">
        <f>
CONCATENATE(
if(countif(dd.kmp,$D62),"D",""),
if(countif(knap.kmp,$D62),"K",""),
if(countif(mic.kmp,$D62),"M",""),
if(countif(nap.kmp,$D62),"N",""),
if(countif(np.kmp,$D62),"P",""),
if(countif(imp.kmp,$D62),"T",""),
if(countif(us.kmp,$D62),"U",""),
if(countif(var.kmp,$D62),"V",""))</f>
        <v>K</v>
      </c>
      <c r="W62" s="32" t="str">
        <f>
CONCATENATE(
if(countif(dd.lu2,$D62),"D",""),
if(countif(knap.lu2,$D62),"K",""),
if(countif(mic.lu2,$D62),"M",""),
if(countif(nap.lu2,$D62),"N",""),
if(countif(np.lu2,$D62),"P",""),
if(countif(imp.lu2,$D62),"T",""),
if(countif(us.lu2,$D62),"U",""),
if(countif(var.lu2,$D62),"V",""))</f>
        <v>T</v>
      </c>
      <c r="X62" s="32" t="str">
        <f>
CONCATENATE(
if(countif(dd.myc,$D62),"D",""),
if(countif(knap.myc,$D62),"K",""), 
if(countif(mic.myc,$D62),"M",""),
if(countif(nap.myc,$D62),"N",""),
if(countif(np.myc,$D62),"P",""),
if(countif(imp.myc,$D62),"T",""),
if(countif(us.myc,$D62),"U",""),
if(countif(var.myc,$D62),"V",""))</f>
        <v/>
      </c>
      <c r="Y62" s="32" t="str">
        <f>CONCATENATE(
if(countif(dd.nar,$D62),"D",""),
if(countif(knap.nar,$D62),"K",""),
if(countif(nap.nar,$D62),"N",""),
if(countif(np.nar,$D62),"P",""),
if(countif(imp.nar,$D62),"T",""),
if(countif(us.nar,$D62),"U",""),
if(countif(var.nar,$D62),"V",""))</f>
        <v>K</v>
      </c>
      <c r="Z62" s="33" t="str">
        <f>
CONCATENATE(
if(countif(dd.que,$D62),"D",""),
if(countif(knap.que,$D62),"K",""),
if(countif(mic.que,$D62),"M",""),
if(countif(nap.que,$D62),"N",""),
if(countif(np.que,$D62),"P",""),
if(countif(imp.que,$D62),"T",""),
if(countif(us.que,$D62),"U",""),
if(countif(var.que,$D62),"V",""))</f>
        <v>K</v>
      </c>
      <c r="AA62" s="32"/>
      <c r="AB62" s="34" t="str">
        <f>
CONCATENATE(if(countif(knap.agi.sim,$D62),"K",""),
if(countif(dd.agi.sim,$D62),"D",""),
if(countif(nap.agi.sim,$D62),"A",""),
if(countif(var.agi.sim,$D62),"V",""))</f>
        <v/>
      </c>
      <c r="AC62" s="34" t="str">
        <f>
if(countif(nap.bun.sim,$D62),"A","")</f>
        <v/>
      </c>
      <c r="AD62" s="34" t="str">
        <f>
CONCATENATE(if(countif(knap.kxn.sim,$D62),"K",""),
if(countif(np.kxn.sim,$D62),"P",""),
if(countif(dd.kxn.sim,$D62),"D",""),
if(countif(nap.kxn.sim,$D62),"A",""),
if(countif(var.kxn.sim,$D62),"V",""))</f>
        <v/>
      </c>
      <c r="AE62" s="34" t="str">
        <f>
CONCATENATE(if(countif(knap.hwb.sim,$D62),"K",""),
if(countif(np.hwb.sim,$D62),"P",""),
if(countif(mic.hwb.sim,$D62),"M",""),
if(countif(imp.hwb.sim,$D62),"T",""),
if(countif(dd.cyan.sim,$D62),"D",""),
if(countif(nap.hwb.sim,$D62),"A",""),
if(countif(var.hwb.sim,$D62),"V",""))</f>
        <v>K</v>
      </c>
      <c r="AF62" s="34" t="str">
        <f>
CONCATENATE(if(countif(us.ekxn.sim,$D62),"U",""),
if(countif(knap.ekxn.sim,$D62),"K",""),
if(countif(np.ekxn.sim,$D62),"P",""),
if(countif(mic.ekxn.sim,$D62),"M",""),
if(countif(imp.epc.sim,$D62),"T",""),
if(countif(nap.ekxn.sim,$D62),"A",""))</f>
        <v/>
      </c>
      <c r="AG62" s="34"/>
      <c r="AH62" s="34" t="str">
        <f>
CONCATENATE(if(countif(us.egt.sim,$D62),"U",""),
if(countif(knap.egt.sim,$D62),"K",""),
if(countif(np.egt.sim,$D62),"P",""),
if(countif(mic.egt.sim,$D62),"M",""))</f>
        <v/>
      </c>
      <c r="AI62" s="34"/>
      <c r="AJ62" s="34" t="str">
        <f>if(countif(nap.ecit.sim,$D62),"A","")</f>
        <v/>
      </c>
      <c r="AK62" s="34" t="str">
        <f>
CONCATENATE(if(countif(nap.erd,$D62),"M",""),
if(countif(nap.erd.sim,$D62),"A",""),
if(countif(var.erd.sim,$D62),"V",""))</f>
        <v/>
      </c>
      <c r="AL62" s="34" t="str">
        <f>
CONCATENATE(if(countif(knap.gkxn.sim,$D62),"K",""),
if(countif(nap.gkxn.sim,$D62),"A",""))</f>
        <v/>
      </c>
      <c r="AM62" s="34" t="str">
        <f>
CONCATENATE(if(countif(knap.gen.sim,$C62),"K",""),
if(countif(imp.gen.sim,$C62),"T",""),
if(countif(dd.gen.sim,$C62),"D",""),
if(countif(nap.gen.sim,$C62),"A",""),
if(countif(var.gen.sim,$C62),"V",""))
</f>
        <v/>
      </c>
      <c r="AN62" s="34" t="str">
        <f>IFERROR(__xludf.DUMMYFUNCTION("
if(countif(#REF!,CONCATENATE(regexextract($C62,""[\w]* [\w]*""), ""*"")),""V"","""")"),"")</f>
        <v/>
      </c>
      <c r="AO62" s="34" t="str">
        <f>
CONCATENATE(if(countif(knap.kmp.sim,$D62),"K",""),
if(countif(np.kmp.sim,$D62),"P",""),
if(countif(imp.kmp.sim,$D62),"T",""),
if(countif(dd.kmp,$D62),"D",""),
if(countif(nap.kmp.sim,$D62),"A",""),
if(countif(var.kmp.sim,$D62),"V",""))</f>
        <v>K</v>
      </c>
      <c r="AP62" s="34" t="str">
        <f>
CONCATENATE(if(countif(knap.lu2.sim,$D62),"K",""),
if(countif(np.lu2.sim,$D62),"P",""),
if(countif(imp.lu2.sim,$D62),"T",""),
if(countif(dd.lu2.sim,$D62),"D",""),
if(countif(nap.lu2.sim,$D62),"A",""),
if(countif(var.lu2.sim,$D62),"V",""))</f>
        <v/>
      </c>
      <c r="AQ62" s="34" t="str">
        <f>
CONCATENATE(if(countif(np.myc.sim,$D62),"P",""),
if(countif(imp.myc.sim,$D62),"T",""),
if(countif(nap.myc.sim,$D62),"A",""))
</f>
        <v/>
      </c>
      <c r="AR62" s="36" t="str">
        <f>
CONCATENATE(if(countif(knap.nar.sim,$D62),"K",""),
if(countif(np.nar.sim,$D62),"P",""),
if(countif(imp.nar.sim,$D62),"T",""),
if(countif(dd.nar.sim,$D62),"D",""),
if(countif(nap.nar.sim,$D62),"A",""),
if(countif(var.nar.sim,$D62),"V",""))</f>
        <v>K</v>
      </c>
      <c r="AS62" s="34" t="str">
        <f>
CONCATENATE(if(countif(knap.que.sim,$D62),"K",""),
if(countif(np.que.sim,$D62),"P",""),
if(countif(imp.que.sim,$D62),"T",""),
if(countif(dd.que.sim,$D62),"D",""),
if(countif(nap.que.sim,$D62),"A",""),
if(countif(var.que.sim,$D62),"V",""))</f>
        <v>K</v>
      </c>
      <c r="AT62" s="37"/>
      <c r="AU62" s="32" t="str">
        <f>IFERROR(__xludf.DUMMYFUNCTION("if(countif(kr.agi, CONCATENATE(regexextract($C62,""[\w]* [\w]*""), ""*"")),""X"","""")"),"")</f>
        <v/>
      </c>
      <c r="AV62" s="38" t="str">
        <f>IFERROR(__xludf.DUMMYFUNCTION("if(countif(kr.bun,CONCATENATE(regexextract($C62,""[\w]* [\w]*""), ""*"")),""X"","""")"),"X")</f>
        <v>X</v>
      </c>
      <c r="AW62" s="38" t="str">
        <f>IFERROR(__xludf.DUMMYFUNCTION("if(countif(kr.kxn,CONCATENATE(regexextract($C62,""[\w]* [\w]*""), ""*"")),""X"","""")"),"")</f>
        <v/>
      </c>
      <c r="AX62" s="38" t="str">
        <f>IFERROR(__xludf.DUMMYFUNCTION("if(countif(kr.hwb,CONCATENATE(regexextract($C62,""[\w]* [\w]*""), ""*"")),""X"","""")"),"")</f>
        <v/>
      </c>
      <c r="AY62" s="38" t="str">
        <f>IFERROR(__xludf.DUMMYFUNCTION("if(countif(kr.ec,CONCATENATE(regexextract($C62,""[\w]* [\w]*""), ""*"")),""X"","""")"),"")</f>
        <v/>
      </c>
      <c r="AZ62" s="38" t="str">
        <f>IFERROR(__xludf.DUMMYFUNCTION("if(countif(kr.egt,CONCATENATE(regexextract($C62,""[\w]* [\w]*""), ""*"")),""X"","""")"),"")</f>
        <v/>
      </c>
      <c r="BA62" s="38"/>
      <c r="BB62" s="38" t="str">
        <f>IFERROR(__xludf.DUMMYFUNCTION("if(countif(kr.erd,CONCATENATE(regexextract($C62,""[\w]* [\w]*""), ""*"")),""X"","""")"),"")</f>
        <v/>
      </c>
      <c r="BC62" s="38" t="str">
        <f>IFERROR(__xludf.DUMMYFUNCTION("if(countif(kr.gkxn,CONCATENATE(regexextract($C62,""[\w]* [\w]*""), ""*"")),""X"","""")"),"")</f>
        <v/>
      </c>
      <c r="BD62" s="38" t="str">
        <f>IFERROR(__xludf.DUMMYFUNCTION("if(countif(kr.gen,CONCATENATE(regexextract(C62,""[\w]* [\w]*""), ""*"")),""X"","""")"),"")</f>
        <v/>
      </c>
      <c r="BE62" s="38" t="str">
        <f>IFERROR(__xludf.DUMMYFUNCTION("if(countif(kr.hcc,CONCATENATE(regexextract($C62,""[\w]* [\w]*""), ""*"")),""X"","""")"),"X")</f>
        <v>X</v>
      </c>
      <c r="BF62" s="38" t="str">
        <f>IFERROR(__xludf.DUMMYFUNCTION("if(countif(kr.kmp,CONCATENATE(regexextract($C62,""[\w]* [\w]*""), ""*"")),""X"","""")"),"X")</f>
        <v>X</v>
      </c>
      <c r="BG62" s="38" t="str">
        <f>IFERROR(__xludf.DUMMYFUNCTION("if(countif(kr.lu2,CONCATENATE(regexextract($C62,""[\w]* [\w]*""), ""*"")),""X"","""")"),"")</f>
        <v/>
      </c>
      <c r="BH62" s="38" t="str">
        <f>IFERROR(__xludf.DUMMYFUNCTION("if(countif(kr.myc,CONCATENATE(regexextract($C62,""[\w]* [\w]*""), ""*"")),""X"","""")"),"")</f>
        <v/>
      </c>
      <c r="BI62" s="38" t="str">
        <f>IFERROR(__xludf.DUMMYFUNCTION("if(countif(kr.nar,CONCATENATE(regexextract($C62,""[\w]* [\w]*""), ""*"")),""X"","""")"),"X")</f>
        <v>X</v>
      </c>
      <c r="BJ62" s="38" t="str">
        <f>IFERROR(__xludf.DUMMYFUNCTION("if(countif(kr.que,CONCATENATE(regexextract($C62,""[\w]* [\w]*""), ""*"")),""X"","""")"),"")</f>
        <v/>
      </c>
      <c r="BK62" s="39"/>
      <c r="BL62" s="40" t="str">
        <f>IFERROR(__xludf.DUMMYFUNCTION(" CONCATENATE( 
if (regexmatch(I62, ""^[A-Za-z\.\_]+""), ""L"", 
if(regexmatch(AB62, ""^[A-Za-z\.\_]+""),""S"","""")),
if(AU62=""X"",""K"",""""))"),"")</f>
        <v/>
      </c>
      <c r="BM62" s="40" t="str">
        <f>IFERROR(__xludf.DUMMYFUNCTION(" CONCATENATE( 
if (regexmatch(J62, ""^[A-Za-z\.\_]+""), ""L"", 
if(regexmatch(AC62, ""^[A-Za-z\.\_]+""),""S"","""")),
if(AV62=""X"",""K"",""""))"),"K")</f>
        <v>K</v>
      </c>
      <c r="BN62" s="40" t="str">
        <f>IFERROR(__xludf.DUMMYFUNCTION(" CONCATENATE( 
if (regexmatch(K62, ""^[A-Za-z\.\_]+""), ""L"", 
if(regexmatch(AD62, ""^[A-Za-z\.\_]+""),""S"","""")),
if(AW62=""X"",""K"",""""))"),"L")</f>
        <v>L</v>
      </c>
      <c r="BO62" s="40" t="str">
        <f>IFERROR(__xludf.DUMMYFUNCTION(" CONCATENATE( 
if (regexmatch(L62, ""^[A-Za-z\.\_]+""), ""L"", 
if(regexmatch(AE62, ""^[A-Za-z\.\_]+""),""S"","""")),
if(AX62=""X"",""K"",""""))"),"S")</f>
        <v>S</v>
      </c>
      <c r="BP62" s="40" t="str">
        <f>IFERROR(__xludf.DUMMYFUNCTION(" CONCATENATE( 
if (regexmatch(M62, ""^[A-Za-z\.\_]+""), ""L"", 
if(regexmatch(AF62, ""^[A-Za-z\.\_]+""),""S"","""")),
if(AY62=""X"",""K"",""""))"),"L")</f>
        <v>L</v>
      </c>
      <c r="BQ62" s="40" t="str">
        <f>IFERROR(__xludf.DUMMYFUNCTION("CONCATENATE( 
if (regexmatch(O62, ""^[A-Za-z\.\_]+""), ""L"", 
if(regexmatch(AH62, ""^[A-Za-z\.\_]+""),""S"","""")),
if(AZ62=""X"",""K"",""""))"),"")</f>
        <v/>
      </c>
      <c r="BR62" s="40" t="str">
        <f>IFERROR(__xludf.DUMMYFUNCTION("CONCATENATE( 
if (regexmatch(Q62, ""^[A-Za-z\.\_]+""), ""L"", 
if(regexmatch(AJ62, ""^[A-Za-z\.\_]+""),""S"","""")),
if(BA62=""X"",""K"",""""))"),"")</f>
        <v/>
      </c>
      <c r="BS62" s="40" t="str">
        <f>IFERROR(__xludf.DUMMYFUNCTION(" CONCATENATE( 
if (regexmatch(R62, ""^[A-Za-z\.\_]+""), ""L"", 
if(regexmatch(AK62, ""^[A-Za-z\.\_]+""),""S"","""")),
if(BB62=""X"",""K"",""""))"),"")</f>
        <v/>
      </c>
      <c r="BT62" s="40" t="str">
        <f>IFERROR(__xludf.DUMMYFUNCTION("CONCATENATE( 
if (regexmatch(S62, ""^[A-Za-z\.\_]+""), ""L"", 
if(regexmatch(AL62, ""^[A-Za-z\.\_]+""),""S"","""")),
if(BC62=""X"",""K"",""""))"),"")</f>
        <v/>
      </c>
      <c r="BU62" s="40" t="str">
        <f>IFERROR(__xludf.DUMMYFUNCTION("CONCATENATE( 
if (regexmatch(T62, ""^[A-Za-z\.\_]+""), ""L"", 
if(regexmatch(AM62, ""^[A-Za-z\.\_]+""),""S"","""")),
if(BD62=""X"",""K"",""""))"),"")</f>
        <v/>
      </c>
      <c r="BV62" s="40" t="str">
        <f>IFERROR(__xludf.DUMMYFUNCTION("CONCATENATE( 
if (regexmatch(U62, ""^[A-Za-z\.\_]+""), ""L"", 
if(regexmatch(AN62, ""^[A-Za-z\.\_]+""),""S"","""")),
if(BE62=""X"",""K"",""""))"),"K")</f>
        <v>K</v>
      </c>
      <c r="BW62" s="40" t="str">
        <f>IFERROR(__xludf.DUMMYFUNCTION(" CONCATENATE( 
if (regexmatch(V62, ""^[A-Za-z\.\_]+""), ""L"", 
if(regexmatch(AO62, ""^[A-Za-z\.\_]+""),""S"","""")),
if(BF62=""X"",""K"",""""))"),"LK")</f>
        <v>LK</v>
      </c>
      <c r="BX62" s="40" t="str">
        <f>IFERROR(__xludf.DUMMYFUNCTION("CONCATENATE( 
if (regexmatch(W62, ""^[A-Za-z\.\_]+""), ""L"", 
if(regexmatch(AP62, ""^[A-Za-z\.\_]+""),""S"","""")),
if(BG62=""X"",""K"",""""))"),"L")</f>
        <v>L</v>
      </c>
      <c r="BY62" s="40" t="str">
        <f>IFERROR(__xludf.DUMMYFUNCTION("CONCATENATE( 
if (regexmatch(X62, ""^[A-Za-z\.\_]+""), ""L"", 
if(regexmatch(AQ62, ""^[A-Za-z\.\_]+""),""S"","""")),
if(BH62=""X"",""K"",""""))"),"")</f>
        <v/>
      </c>
      <c r="BZ62" s="40" t="str">
        <f>IFERROR(__xludf.DUMMYFUNCTION("CONCATENATE( 
if (regexmatch(Y62, ""^[A-Za-z\.\_]+""), ""L"", 
if(regexmatch(AR62, ""^[A-Za-z\.\_]+""),""S"","""")),
if(BI62=""X"",""K"",""""))"),"LK")</f>
        <v>LK</v>
      </c>
      <c r="CA62" s="40" t="str">
        <f>IFERROR(__xludf.DUMMYFUNCTION("CONCATENATE( 
if (regexmatch(Z62, ""^[A-Za-z\.\_]+""), ""L"", 
if(regexmatch(AS62, ""^[A-Za-z\.\_]+""),""S"","""")),
if(BJ62=""X"",""K"",""""))"),"L")</f>
        <v>L</v>
      </c>
      <c r="CB62" s="39"/>
      <c r="CC62" s="39"/>
      <c r="CD62" s="39"/>
      <c r="CE62" s="39"/>
      <c r="CF62" s="39"/>
      <c r="CG62" s="39"/>
      <c r="CH62" s="39"/>
      <c r="CI62" s="39"/>
      <c r="CJ62" s="39"/>
      <c r="CK62" s="39"/>
      <c r="CL62" s="39"/>
      <c r="CM62" s="39"/>
      <c r="CN62" s="39"/>
      <c r="CO62" s="39"/>
      <c r="CP62" s="39"/>
      <c r="CQ62" s="39"/>
      <c r="CR62" s="39"/>
    </row>
    <row r="63" ht="15.75" customHeight="1">
      <c r="A63" s="25">
        <v>132.0</v>
      </c>
      <c r="B63" s="26" t="s">
        <v>262</v>
      </c>
      <c r="C63" s="27" t="s">
        <v>263</v>
      </c>
      <c r="D63" s="27" t="str">
        <f>IFERROR(__xludf.DUMMYFUNCTION("CONCATENATE(regexextract($C63,""[\w]* [\w]*""), ""*"")"),"Monoraphidium neglectum*")</f>
        <v>Monoraphidium neglectum*</v>
      </c>
      <c r="E63" s="26" t="s">
        <v>145</v>
      </c>
      <c r="F63" s="57">
        <v>145388.0</v>
      </c>
      <c r="G63" s="53"/>
      <c r="H63" s="31"/>
      <c r="I63" s="32" t="str">
        <f>CONCATENATE(
if(countif(dd.agi,$D63),"D",""),
if(countif(knap.agi,$D63),"K",""),
if(countif(mic.agi,$D63),"M",""),
if(countif(nap.agi,$D63),"N",""),
if(countif(np.agi,$D63),"P",""),
if(countif(imp.agi,$D63),"T",""),
if(countif(us.agi,$D63),"U",""),
if(countif(var.agi,$D63),"V","")
)</f>
        <v/>
      </c>
      <c r="J63" s="32" t="str">
        <f>
CONCATENATE(
if(countif(nap.bun,$D63),"N",""),
if(countif(np.bun,$D63),"P","")
)
</f>
        <v/>
      </c>
      <c r="K63" s="32" t="str">
        <f>CONCATENATE(
if(countif(dd.kxn,$D63),"D",""),
if(countif(knap.kxn,$D63),"K",""),
if(countif(mic.kxn,$D63),"M",""),
if(countif(nap.kxn,$D63),"N",""),
if(countif(np.kxn,$D63),"P",""),
if(countif(us.kxn,$D63),"U",""),
if(countif(var.kxn,$D63),"V","")
)</f>
        <v/>
      </c>
      <c r="L63" s="32" t="str">
        <f>
CONCATENATE(
if(countif(dd.hwb,$D63),"D",""),
if(countif(knap.hwb,$D63),"K",""),
if(countif(mic.hwb,$D63),"M",""),
if(countif(nap.hwb,$D63),"N",""),
if(countif(np.hwb,$D63),"P",""),
if(countif(us.hwb,$D63),"U",""),
if(countif(imp.hwb,$D63),"T",""),
if(countif(var.hwb,$D63),"V","")
)</f>
        <v/>
      </c>
      <c r="M63" s="32" t="str">
        <f>CONCATENATE(
if(countif(dd.epc,$D63),"D",""),
if(countif(knap.ekxn,$D63),"K",""),
if(countif(mic.ekxn,$D63),"M",""),
if(countif(nap.ekxn,$D63),"N",""),
if(countif(np.ekxn,$D63),"P",""),
if(countif(imp.epc,$D63),"T",""),
if(countif(us.ekxn,$D63),"U",""),
if(countif(var.ekxn,$D63),"V","")
)</f>
        <v/>
      </c>
      <c r="N63" s="32" t="str">
        <f>
CONCATENATE(
if(countif(dd.ecg,$D63),"D",""),
if(countif(mic.ecg,$D63),"M",""),
if(countif(np.ecg,$D63),"P",""),
if(countif(imp.ecg,$D63),"T",""),
if(countif(us.ecg,$D63),"U","")
)</f>
        <v/>
      </c>
      <c r="O63" s="32" t="str">
        <f>
CONCATENATE(
if(countif(dd.egt,$D63),"D",""),
if(countif(mic.egt,$D63),"M",""),
if(countif(nap.egt,$D63),"N",""),
if(countif(us.egt,$D63),"U",""),
if(countif(var.egt,$D63),"V",""))
</f>
        <v/>
      </c>
      <c r="P63" s="32" t="str">
        <f>CONCATENATE(
if(countif(knap.egcg,$D63),"K",""),
if(countif(mic.egcg,$D63),"M",""),
if(countif(np.egcg,$D63),"P",""),
if(countif(us.egcg,$D63),"U","")
)</f>
        <v/>
      </c>
      <c r="Q63" s="32" t="str">
        <f>CONCATENATE(if(countif(np.ecit,$D63),"P",""),
if(countif(nap.ecit,$D63),"A",""))</f>
        <v/>
      </c>
      <c r="R63" s="32" t="str">
        <f>
CONCATENATE(
if(countif(nap.erd,$D63),"N",""),
if(countif(np.erd,$D63),"P",""),
if(countif(var.erd,$D63),"V",""))</f>
        <v/>
      </c>
      <c r="S63" s="32" t="str">
        <f>
CONCATENATE(
if(countif(dd.gkxn,$D63),"D",""),
if(countif(knap.gkxn,$D63),"K",""),
if(countif(nap.gkxn,$D63),"N",""),
if(countif(np.gkxn,$D63),"P",""),
if(countif(imp.gkxn,$D63),"T",""),
if(countif(var.gkxn,$D63),"V",""))</f>
        <v/>
      </c>
      <c r="T63" s="32" t="str">
        <f>
CONCATENATE(
if(countif(dd.gen,$C63),"D",""),
if(countif(knap.gen,$C63),"K",""),
if(countif(nap.gen,$C63),"N",""),
if(countif(np.gen,$C63),"P",""),
if(countif(imp.gen,$C63),"T",""),
if(countif(var.gen,$C63),"V",""))</f>
        <v/>
      </c>
      <c r="U63" s="32" t="str">
        <f>
CONCATENATE(
if(countif(dd.hcc,$D63),"D",""),
if(countif(knap.hcc,$D63),"K",""),
if(countif(np.hcc,$D63),"P","")
)
</f>
        <v/>
      </c>
      <c r="V63" s="32" t="str">
        <f>
CONCATENATE(
if(countif(dd.kmp,$D63),"D",""),
if(countif(knap.kmp,$D63),"K",""),
if(countif(mic.kmp,$D63),"M",""),
if(countif(nap.kmp,$D63),"N",""),
if(countif(np.kmp,$D63),"P",""),
if(countif(imp.kmp,$D63),"T",""),
if(countif(us.kmp,$D63),"U",""),
if(countif(var.kmp,$D63),"V",""))</f>
        <v/>
      </c>
      <c r="W63" s="32" t="str">
        <f>
CONCATENATE(
if(countif(dd.lu2,$D63),"D",""),
if(countif(knap.lu2,$D63),"K",""),
if(countif(mic.lu2,$D63),"M",""),
if(countif(nap.lu2,$D63),"N",""),
if(countif(np.lu2,$D63),"P",""),
if(countif(imp.lu2,$D63),"T",""),
if(countif(us.lu2,$D63),"U",""),
if(countif(var.lu2,$D63),"V",""))</f>
        <v/>
      </c>
      <c r="X63" s="32" t="str">
        <f>
CONCATENATE(
if(countif(dd.myc,$D63),"D",""),
if(countif(knap.myc,$D63),"K",""), 
if(countif(mic.myc,$D63),"M",""),
if(countif(nap.myc,$D63),"N",""),
if(countif(np.myc,$D63),"P",""),
if(countif(imp.myc,$D63),"T",""),
if(countif(us.myc,$D63),"U",""),
if(countif(var.myc,$D63),"V",""))</f>
        <v/>
      </c>
      <c r="Y63" s="32" t="str">
        <f>CONCATENATE(
if(countif(dd.nar,$D63),"D",""),
if(countif(knap.nar,$D63),"K",""),
if(countif(nap.nar,$D63),"N",""),
if(countif(np.nar,$D63),"P",""),
if(countif(imp.nar,$D63),"T",""),
if(countif(us.nar,$D63),"U",""),
if(countif(var.nar,$D63),"V",""))</f>
        <v/>
      </c>
      <c r="Z63" s="33" t="str">
        <f>
CONCATENATE(
if(countif(dd.que,$D63),"D",""),
if(countif(knap.que,$D63),"K",""),
if(countif(mic.que,$D63),"M",""),
if(countif(nap.que,$D63),"N",""),
if(countif(np.que,$D63),"P",""),
if(countif(imp.que,$D63),"T",""),
if(countif(us.que,$D63),"U",""),
if(countif(var.que,$D63),"V",""))</f>
        <v/>
      </c>
      <c r="AA63" s="32"/>
      <c r="AB63" s="34" t="str">
        <f>
CONCATENATE(if(countif(knap.agi.sim,$D63),"K",""),
if(countif(dd.agi.sim,$D63),"D",""),
if(countif(nap.agi.sim,$D63),"A",""),
if(countif(var.agi.sim,$D63),"V",""))</f>
        <v/>
      </c>
      <c r="AC63" s="34" t="str">
        <f>
if(countif(nap.bun.sim,$D63),"A","")</f>
        <v/>
      </c>
      <c r="AD63" s="34" t="str">
        <f>
CONCATENATE(if(countif(knap.kxn.sim,$D63),"K",""),
if(countif(np.kxn.sim,$D63),"P",""),
if(countif(dd.kxn.sim,$D63),"D",""),
if(countif(nap.kxn.sim,$D63),"A",""),
if(countif(var.kxn.sim,$D63),"V",""))</f>
        <v/>
      </c>
      <c r="AE63" s="34" t="str">
        <f>
CONCATENATE(if(countif(knap.hwb.sim,$D63),"K",""),
if(countif(np.hwb.sim,$D63),"P",""),
if(countif(mic.hwb.sim,$D63),"M",""),
if(countif(imp.hwb.sim,$D63),"T",""),
if(countif(dd.cyan.sim,$D63),"D",""),
if(countif(nap.hwb.sim,$D63),"A",""),
if(countif(var.hwb.sim,$D63),"V",""))</f>
        <v/>
      </c>
      <c r="AF63" s="34" t="str">
        <f>
CONCATENATE(if(countif(us.ekxn.sim,$D63),"U",""),
if(countif(knap.ekxn.sim,$D63),"K",""),
if(countif(np.ekxn.sim,$D63),"P",""),
if(countif(mic.ekxn.sim,$D63),"M",""),
if(countif(imp.epc.sim,$D63),"T",""),
if(countif(nap.ekxn.sim,$D63),"A",""))</f>
        <v/>
      </c>
      <c r="AG63" s="34"/>
      <c r="AH63" s="34" t="str">
        <f>
CONCATENATE(if(countif(us.egt.sim,$D63),"U",""),
if(countif(knap.egt.sim,$D63),"K",""),
if(countif(np.egt.sim,$D63),"P",""),
if(countif(mic.egt.sim,$D63),"M",""))</f>
        <v/>
      </c>
      <c r="AI63" s="34"/>
      <c r="AJ63" s="34" t="str">
        <f>if(countif(nap.ecit.sim,$D63),"A","")</f>
        <v/>
      </c>
      <c r="AK63" s="34" t="str">
        <f>
CONCATENATE(if(countif(nap.erd,$D63),"M",""),
if(countif(nap.erd.sim,$D63),"A",""),
if(countif(var.erd.sim,$D63),"V",""))</f>
        <v/>
      </c>
      <c r="AL63" s="34" t="str">
        <f>
CONCATENATE(if(countif(knap.gkxn.sim,$D63),"K",""),
if(countif(nap.gkxn.sim,$D63),"A",""))</f>
        <v/>
      </c>
      <c r="AM63" s="34" t="str">
        <f>
CONCATENATE(if(countif(knap.gen.sim,$C63),"K",""),
if(countif(imp.gen.sim,$C63),"T",""),
if(countif(dd.gen.sim,$C63),"D",""),
if(countif(nap.gen.sim,$C63),"A",""),
if(countif(var.gen.sim,$C63),"V",""))
</f>
        <v/>
      </c>
      <c r="AN63" s="34" t="str">
        <f>IFERROR(__xludf.DUMMYFUNCTION("
if(countif(#REF!,CONCATENATE(regexextract($C63,""[\w]* [\w]*""), ""*"")),""V"","""")"),"")</f>
        <v/>
      </c>
      <c r="AO63" s="34" t="str">
        <f>
CONCATENATE(if(countif(knap.kmp.sim,$D63),"K",""),
if(countif(np.kmp.sim,$D63),"P",""),
if(countif(imp.kmp.sim,$D63),"T",""),
if(countif(dd.kmp,$D63),"D",""),
if(countif(nap.kmp.sim,$D63),"A",""),
if(countif(var.kmp.sim,$D63),"V",""))</f>
        <v/>
      </c>
      <c r="AP63" s="34" t="str">
        <f>
CONCATENATE(if(countif(knap.lu2.sim,$D63),"K",""),
if(countif(np.lu2.sim,$D63),"P",""),
if(countif(imp.lu2.sim,$D63),"T",""),
if(countif(dd.lu2.sim,$D63),"D",""),
if(countif(nap.lu2.sim,$D63),"A",""),
if(countif(var.lu2.sim,$D63),"V",""))</f>
        <v/>
      </c>
      <c r="AQ63" s="34" t="str">
        <f>
CONCATENATE(if(countif(np.myc.sim,$D63),"P",""),
if(countif(imp.myc.sim,$D63),"T",""),
if(countif(nap.myc.sim,$D63),"A",""))
</f>
        <v/>
      </c>
      <c r="AR63" s="36" t="str">
        <f>
CONCATENATE(if(countif(knap.nar.sim,$D63),"K",""),
if(countif(np.nar.sim,$D63),"P",""),
if(countif(imp.nar.sim,$D63),"T",""),
if(countif(dd.nar.sim,$D63),"D",""),
if(countif(nap.nar.sim,$D63),"A",""),
if(countif(var.nar.sim,$D63),"V",""))</f>
        <v/>
      </c>
      <c r="AS63" s="34" t="str">
        <f>
CONCATENATE(if(countif(knap.que.sim,$D63),"K",""),
if(countif(np.que.sim,$D63),"P",""),
if(countif(imp.que.sim,$D63),"T",""),
if(countif(dd.que.sim,$D63),"D",""),
if(countif(nap.que.sim,$D63),"A",""),
if(countif(var.que.sim,$D63),"V",""))</f>
        <v/>
      </c>
      <c r="AT63" s="37"/>
      <c r="AU63" s="32" t="str">
        <f>IFERROR(__xludf.DUMMYFUNCTION("if(countif(kr.agi, CONCATENATE(regexextract($C63,""[\w]* [\w]*""), ""*"")),""X"","""")"),"")</f>
        <v/>
      </c>
      <c r="AV63" s="38" t="str">
        <f>IFERROR(__xludf.DUMMYFUNCTION("if(countif(kr.bun,CONCATENATE(regexextract($C63,""[\w]* [\w]*""), ""*"")),""X"","""")"),"")</f>
        <v/>
      </c>
      <c r="AW63" s="38" t="str">
        <f>IFERROR(__xludf.DUMMYFUNCTION("if(countif(kr.kxn,CONCATENATE(regexextract($C63,""[\w]* [\w]*""), ""*"")),""X"","""")"),"")</f>
        <v/>
      </c>
      <c r="AX63" s="38" t="str">
        <f>IFERROR(__xludf.DUMMYFUNCTION("if(countif(kr.hwb,CONCATENATE(regexextract($C63,""[\w]* [\w]*""), ""*"")),""X"","""")"),"")</f>
        <v/>
      </c>
      <c r="AY63" s="38" t="str">
        <f>IFERROR(__xludf.DUMMYFUNCTION("if(countif(kr.ec,CONCATENATE(regexextract($C63,""[\w]* [\w]*""), ""*"")),""X"","""")"),"")</f>
        <v/>
      </c>
      <c r="AZ63" s="38" t="str">
        <f>IFERROR(__xludf.DUMMYFUNCTION("if(countif(kr.egt,CONCATENATE(regexextract($C63,""[\w]* [\w]*""), ""*"")),""X"","""")"),"")</f>
        <v/>
      </c>
      <c r="BA63" s="38"/>
      <c r="BB63" s="38" t="str">
        <f>IFERROR(__xludf.DUMMYFUNCTION("if(countif(kr.erd,CONCATENATE(regexextract($C63,""[\w]* [\w]*""), ""*"")),""X"","""")"),"")</f>
        <v/>
      </c>
      <c r="BC63" s="38" t="str">
        <f>IFERROR(__xludf.DUMMYFUNCTION("if(countif(kr.gkxn,CONCATENATE(regexextract($C63,""[\w]* [\w]*""), ""*"")),""X"","""")"),"")</f>
        <v/>
      </c>
      <c r="BD63" s="38" t="str">
        <f>IFERROR(__xludf.DUMMYFUNCTION("if(countif(kr.gen,CONCATENATE(regexextract(C63,""[\w]* [\w]*""), ""*"")),""X"","""")"),"")</f>
        <v/>
      </c>
      <c r="BE63" s="38" t="str">
        <f>IFERROR(__xludf.DUMMYFUNCTION("if(countif(kr.hcc,CONCATENATE(regexextract($C63,""[\w]* [\w]*""), ""*"")),""X"","""")"),"")</f>
        <v/>
      </c>
      <c r="BF63" s="38" t="str">
        <f>IFERROR(__xludf.DUMMYFUNCTION("if(countif(kr.kmp,CONCATENATE(regexextract($C63,""[\w]* [\w]*""), ""*"")),""X"","""")"),"")</f>
        <v/>
      </c>
      <c r="BG63" s="38" t="str">
        <f>IFERROR(__xludf.DUMMYFUNCTION("if(countif(kr.lu2,CONCATENATE(regexextract($C63,""[\w]* [\w]*""), ""*"")),""X"","""")"),"")</f>
        <v/>
      </c>
      <c r="BH63" s="38" t="str">
        <f>IFERROR(__xludf.DUMMYFUNCTION("if(countif(kr.myc,CONCATENATE(regexextract($C63,""[\w]* [\w]*""), ""*"")),""X"","""")"),"")</f>
        <v/>
      </c>
      <c r="BI63" s="38" t="str">
        <f>IFERROR(__xludf.DUMMYFUNCTION("if(countif(kr.nar,CONCATENATE(regexextract($C63,""[\w]* [\w]*""), ""*"")),""X"","""")"),"")</f>
        <v/>
      </c>
      <c r="BJ63" s="38" t="str">
        <f>IFERROR(__xludf.DUMMYFUNCTION("if(countif(kr.que,CONCATENATE(regexextract($C63,""[\w]* [\w]*""), ""*"")),""X"","""")"),"")</f>
        <v/>
      </c>
      <c r="BK63" s="39"/>
      <c r="BL63" s="40" t="str">
        <f>IFERROR(__xludf.DUMMYFUNCTION(" CONCATENATE( 
if (regexmatch(I63, ""^[A-Za-z\.\_]+""), ""L"", 
if(regexmatch(AB63, ""^[A-Za-z\.\_]+""),""S"","""")),
if(AU63=""X"",""K"",""""))"),"")</f>
        <v/>
      </c>
      <c r="BM63" s="40" t="str">
        <f>IFERROR(__xludf.DUMMYFUNCTION(" CONCATENATE( 
if (regexmatch(J63, ""^[A-Za-z\.\_]+""), ""L"", 
if(regexmatch(AC63, ""^[A-Za-z\.\_]+""),""S"","""")),
if(AV63=""X"",""K"",""""))"),"")</f>
        <v/>
      </c>
      <c r="BN63" s="40" t="str">
        <f>IFERROR(__xludf.DUMMYFUNCTION(" CONCATENATE( 
if (regexmatch(K63, ""^[A-Za-z\.\_]+""), ""L"", 
if(regexmatch(AD63, ""^[A-Za-z\.\_]+""),""S"","""")),
if(AW63=""X"",""K"",""""))"),"")</f>
        <v/>
      </c>
      <c r="BO63" s="40" t="str">
        <f>IFERROR(__xludf.DUMMYFUNCTION(" CONCATENATE( 
if (regexmatch(L63, ""^[A-Za-z\.\_]+""), ""L"", 
if(regexmatch(AE63, ""^[A-Za-z\.\_]+""),""S"","""")),
if(AX63=""X"",""K"",""""))"),"")</f>
        <v/>
      </c>
      <c r="BP63" s="40" t="str">
        <f>IFERROR(__xludf.DUMMYFUNCTION(" CONCATENATE( 
if (regexmatch(M63, ""^[A-Za-z\.\_]+""), ""L"", 
if(regexmatch(AF63, ""^[A-Za-z\.\_]+""),""S"","""")),
if(AY63=""X"",""K"",""""))"),"")</f>
        <v/>
      </c>
      <c r="BQ63" s="40" t="str">
        <f>IFERROR(__xludf.DUMMYFUNCTION("CONCATENATE( 
if (regexmatch(O63, ""^[A-Za-z\.\_]+""), ""L"", 
if(regexmatch(AH63, ""^[A-Za-z\.\_]+""),""S"","""")),
if(AZ63=""X"",""K"",""""))"),"")</f>
        <v/>
      </c>
      <c r="BR63" s="40" t="str">
        <f>IFERROR(__xludf.DUMMYFUNCTION("CONCATENATE( 
if (regexmatch(Q63, ""^[A-Za-z\.\_]+""), ""L"", 
if(regexmatch(AJ63, ""^[A-Za-z\.\_]+""),""S"","""")),
if(BA63=""X"",""K"",""""))"),"")</f>
        <v/>
      </c>
      <c r="BS63" s="40" t="str">
        <f>IFERROR(__xludf.DUMMYFUNCTION(" CONCATENATE( 
if (regexmatch(R63, ""^[A-Za-z\.\_]+""), ""L"", 
if(regexmatch(AK63, ""^[A-Za-z\.\_]+""),""S"","""")),
if(BB63=""X"",""K"",""""))"),"")</f>
        <v/>
      </c>
      <c r="BT63" s="40" t="str">
        <f>IFERROR(__xludf.DUMMYFUNCTION("CONCATENATE( 
if (regexmatch(S63, ""^[A-Za-z\.\_]+""), ""L"", 
if(regexmatch(AL63, ""^[A-Za-z\.\_]+""),""S"","""")),
if(BC63=""X"",""K"",""""))"),"")</f>
        <v/>
      </c>
      <c r="BU63" s="40" t="str">
        <f>IFERROR(__xludf.DUMMYFUNCTION("CONCATENATE( 
if (regexmatch(T63, ""^[A-Za-z\.\_]+""), ""L"", 
if(regexmatch(AM63, ""^[A-Za-z\.\_]+""),""S"","""")),
if(BD63=""X"",""K"",""""))"),"")</f>
        <v/>
      </c>
      <c r="BV63" s="40" t="str">
        <f>IFERROR(__xludf.DUMMYFUNCTION("CONCATENATE( 
if (regexmatch(U63, ""^[A-Za-z\.\_]+""), ""L"", 
if(regexmatch(AN63, ""^[A-Za-z\.\_]+""),""S"","""")),
if(BE63=""X"",""K"",""""))"),"")</f>
        <v/>
      </c>
      <c r="BW63" s="40" t="str">
        <f>IFERROR(__xludf.DUMMYFUNCTION(" CONCATENATE( 
if (regexmatch(V63, ""^[A-Za-z\.\_]+""), ""L"", 
if(regexmatch(AO63, ""^[A-Za-z\.\_]+""),""S"","""")),
if(BF63=""X"",""K"",""""))"),"")</f>
        <v/>
      </c>
      <c r="BX63" s="40" t="str">
        <f>IFERROR(__xludf.DUMMYFUNCTION("CONCATENATE( 
if (regexmatch(W63, ""^[A-Za-z\.\_]+""), ""L"", 
if(regexmatch(AP63, ""^[A-Za-z\.\_]+""),""S"","""")),
if(BG63=""X"",""K"",""""))"),"")</f>
        <v/>
      </c>
      <c r="BY63" s="40" t="str">
        <f>IFERROR(__xludf.DUMMYFUNCTION("CONCATENATE( 
if (regexmatch(X63, ""^[A-Za-z\.\_]+""), ""L"", 
if(regexmatch(AQ63, ""^[A-Za-z\.\_]+""),""S"","""")),
if(BH63=""X"",""K"",""""))"),"")</f>
        <v/>
      </c>
      <c r="BZ63" s="40" t="str">
        <f>IFERROR(__xludf.DUMMYFUNCTION("CONCATENATE( 
if (regexmatch(Y63, ""^[A-Za-z\.\_]+""), ""L"", 
if(regexmatch(AR63, ""^[A-Za-z\.\_]+""),""S"","""")),
if(BI63=""X"",""K"",""""))"),"")</f>
        <v/>
      </c>
      <c r="CA63" s="40" t="str">
        <f>IFERROR(__xludf.DUMMYFUNCTION("CONCATENATE( 
if (regexmatch(Z63, ""^[A-Za-z\.\_]+""), ""L"", 
if(regexmatch(AS63, ""^[A-Za-z\.\_]+""),""S"","""")),
if(BJ63=""X"",""K"",""""))"),"")</f>
        <v/>
      </c>
      <c r="CB63" s="39"/>
      <c r="CC63" s="39"/>
      <c r="CD63" s="39"/>
      <c r="CE63" s="39"/>
      <c r="CF63" s="39"/>
      <c r="CG63" s="39"/>
      <c r="CH63" s="39"/>
      <c r="CI63" s="39"/>
      <c r="CJ63" s="39"/>
      <c r="CK63" s="39"/>
      <c r="CL63" s="39"/>
      <c r="CM63" s="39"/>
      <c r="CN63" s="39"/>
      <c r="CO63" s="39"/>
      <c r="CP63" s="39"/>
      <c r="CQ63" s="39"/>
      <c r="CR63" s="39"/>
    </row>
    <row r="64" ht="15.75" customHeight="1">
      <c r="A64" s="25">
        <v>112.0</v>
      </c>
      <c r="B64" s="26" t="s">
        <v>264</v>
      </c>
      <c r="C64" s="27" t="s">
        <v>265</v>
      </c>
      <c r="D64" s="27" t="str">
        <f>IFERROR(__xludf.DUMMYFUNCTION("CONCATENATE(regexextract($C64,""[\w]* [\w]*""), ""*"")"),"Musa acuminata*")</f>
        <v>Musa acuminata*</v>
      </c>
      <c r="E64" s="59" t="s">
        <v>266</v>
      </c>
      <c r="F64" s="57">
        <v>4641.0</v>
      </c>
      <c r="G64" s="53"/>
      <c r="H64" s="31"/>
      <c r="I64" s="32" t="str">
        <f>CONCATENATE(
if(countif(dd.agi,$D64),"D",""),
if(countif(knap.agi,$D64),"K",""),
if(countif(mic.agi,$D64),"M",""),
if(countif(nap.agi,$D64),"N",""),
if(countif(np.agi,$D64),"P",""),
if(countif(imp.agi,$D64),"T",""),
if(countif(us.agi,$D64),"U",""),
if(countif(var.agi,$D64),"V","")
)</f>
        <v/>
      </c>
      <c r="J64" s="32" t="str">
        <f>
CONCATENATE(
if(countif(nap.bun,$D64),"N",""),
if(countif(np.bun,$D64),"P","")
)
</f>
        <v/>
      </c>
      <c r="K64" s="32" t="str">
        <f>CONCATENATE(
if(countif(dd.kxn,$D64),"D",""),
if(countif(knap.kxn,$D64),"K",""),
if(countif(mic.kxn,$D64),"M",""),
if(countif(nap.kxn,$D64),"N",""),
if(countif(np.kxn,$D64),"P",""),
if(countif(us.kxn,$D64),"U",""),
if(countif(var.kxn,$D64),"V","")
)</f>
        <v>K</v>
      </c>
      <c r="L64" s="32" t="str">
        <f>
CONCATENATE(
if(countif(dd.hwb,$D64),"D",""),
if(countif(knap.hwb,$D64),"K",""),
if(countif(mic.hwb,$D64),"M",""),
if(countif(nap.hwb,$D64),"N",""),
if(countif(np.hwb,$D64),"P",""),
if(countif(us.hwb,$D64),"U",""),
if(countif(imp.hwb,$D64),"T",""),
if(countif(var.hwb,$D64),"V","")
)</f>
        <v/>
      </c>
      <c r="M64" s="32" t="str">
        <f>CONCATENATE(
if(countif(dd.epc,$D64),"D",""),
if(countif(knap.ekxn,$D64),"K",""),
if(countif(mic.ekxn,$D64),"M",""),
if(countif(nap.ekxn,$D64),"N",""),
if(countif(np.ekxn,$D64),"P",""),
if(countif(imp.epc,$D64),"T",""),
if(countif(us.ekxn,$D64),"U",""),
if(countif(var.ekxn,$D64),"V","")
)</f>
        <v>K</v>
      </c>
      <c r="N64" s="32" t="str">
        <f>
CONCATENATE(
if(countif(dd.ecg,$D64),"D",""),
if(countif(mic.ecg,$D64),"M",""),
if(countif(np.ecg,$D64),"P",""),
if(countif(imp.ecg,$D64),"T",""),
if(countif(us.ecg,$D64),"U","")
)</f>
        <v/>
      </c>
      <c r="O64" s="32" t="str">
        <f>
CONCATENATE(
if(countif(dd.egt,$D64),"D",""),
if(countif(mic.egt,$D64),"M",""),
if(countif(nap.egt,$D64),"N",""),
if(countif(us.egt,$D64),"U",""),
if(countif(var.egt,$D64),"V",""))
</f>
        <v/>
      </c>
      <c r="P64" s="32" t="str">
        <f>CONCATENATE(
if(countif(knap.egcg,$D64),"K",""),
if(countif(mic.egcg,$D64),"M",""),
if(countif(np.egcg,$D64),"P",""),
if(countif(us.egcg,$D64),"U","")
)</f>
        <v/>
      </c>
      <c r="Q64" s="32" t="str">
        <f>CONCATENATE(if(countif(np.ecit,$D64),"P",""),
if(countif(nap.ecit,$D64),"A",""))</f>
        <v/>
      </c>
      <c r="R64" s="32" t="str">
        <f>
CONCATENATE(
if(countif(nap.erd,$D64),"N",""),
if(countif(np.erd,$D64),"P",""),
if(countif(var.erd,$D64),"V",""))</f>
        <v/>
      </c>
      <c r="S64" s="32" t="str">
        <f>
CONCATENATE(
if(countif(dd.gkxn,$D64),"D",""),
if(countif(knap.gkxn,$D64),"K",""),
if(countif(nap.gkxn,$D64),"N",""),
if(countif(np.gkxn,$D64),"P",""),
if(countif(imp.gkxn,$D64),"T",""),
if(countif(var.gkxn,$D64),"V",""))</f>
        <v/>
      </c>
      <c r="T64" s="32" t="str">
        <f>
CONCATENATE(
if(countif(dd.gen,$C64),"D",""),
if(countif(knap.gen,$C64),"K",""),
if(countif(nap.gen,$C64),"N",""),
if(countif(np.gen,$C64),"P",""),
if(countif(imp.gen,$C64),"T",""),
if(countif(var.gen,$C64),"V",""))</f>
        <v/>
      </c>
      <c r="U64" s="32" t="str">
        <f>
CONCATENATE(
if(countif(dd.hcc,$D64),"D",""),
if(countif(knap.hcc,$D64),"K",""),
if(countif(np.hcc,$D64),"P","")
)
</f>
        <v/>
      </c>
      <c r="V64" s="32" t="str">
        <f>
CONCATENATE(
if(countif(dd.kmp,$D64),"D",""),
if(countif(knap.kmp,$D64),"K",""),
if(countif(mic.kmp,$D64),"M",""),
if(countif(nap.kmp,$D64),"N",""),
if(countif(np.kmp,$D64),"P",""),
if(countif(imp.kmp,$D64),"T",""),
if(countif(us.kmp,$D64),"U",""),
if(countif(var.kmp,$D64),"V",""))</f>
        <v>KN</v>
      </c>
      <c r="W64" s="32" t="str">
        <f>
CONCATENATE(
if(countif(dd.lu2,$D64),"D",""),
if(countif(knap.lu2,$D64),"K",""),
if(countif(mic.lu2,$D64),"M",""),
if(countif(nap.lu2,$D64),"N",""),
if(countif(np.lu2,$D64),"P",""),
if(countif(imp.lu2,$D64),"T",""),
if(countif(us.lu2,$D64),"U",""),
if(countif(var.lu2,$D64),"V",""))</f>
        <v/>
      </c>
      <c r="X64" s="32" t="str">
        <f>
CONCATENATE(
if(countif(dd.myc,$D64),"D",""),
if(countif(knap.myc,$D64),"K",""), 
if(countif(mic.myc,$D64),"M",""),
if(countif(nap.myc,$D64),"N",""),
if(countif(np.myc,$D64),"P",""),
if(countif(imp.myc,$D64),"T",""),
if(countif(us.myc,$D64),"U",""),
if(countif(var.myc,$D64),"V",""))</f>
        <v/>
      </c>
      <c r="Y64" s="32" t="str">
        <f>CONCATENATE(
if(countif(dd.nar,$D64),"D",""),
if(countif(knap.nar,$D64),"K",""),
if(countif(nap.nar,$D64),"N",""),
if(countif(np.nar,$D64),"P",""),
if(countif(imp.nar,$D64),"T",""),
if(countif(us.nar,$D64),"U",""),
if(countif(var.nar,$D64),"V",""))</f>
        <v>K</v>
      </c>
      <c r="Z64" s="33" t="str">
        <f>
CONCATENATE(
if(countif(dd.que,$D64),"D",""),
if(countif(knap.que,$D64),"K",""),
if(countif(mic.que,$D64),"M",""),
if(countif(nap.que,$D64),"N",""),
if(countif(np.que,$D64),"P",""),
if(countif(imp.que,$D64),"T",""),
if(countif(us.que,$D64),"U",""),
if(countif(var.que,$D64),"V",""))</f>
        <v>KMN</v>
      </c>
      <c r="AA64" s="32"/>
      <c r="AB64" s="34" t="str">
        <f>
CONCATENATE(if(countif(knap.agi.sim,$D64),"K",""),
if(countif(dd.agi.sim,$D64),"D",""),
if(countif(nap.agi.sim,$D64),"A",""),
if(countif(var.agi.sim,$D64),"V",""))</f>
        <v/>
      </c>
      <c r="AC64" s="34" t="str">
        <f>
if(countif(nap.bun.sim,$D64),"A","")</f>
        <v/>
      </c>
      <c r="AD64" s="34" t="str">
        <f>
CONCATENATE(if(countif(knap.kxn.sim,$D64),"K",""),
if(countif(np.kxn.sim,$D64),"P",""),
if(countif(dd.kxn.sim,$D64),"D",""),
if(countif(nap.kxn.sim,$D64),"A",""),
if(countif(var.kxn.sim,$D64),"V",""))</f>
        <v/>
      </c>
      <c r="AE64" s="34" t="str">
        <f>
CONCATENATE(if(countif(knap.hwb.sim,$D64),"K",""),
if(countif(np.hwb.sim,$D64),"P",""),
if(countif(mic.hwb.sim,$D64),"M",""),
if(countif(imp.hwb.sim,$D64),"T",""),
if(countif(dd.cyan.sim,$D64),"D",""),
if(countif(nap.hwb.sim,$D64),"A",""),
if(countif(var.hwb.sim,$D64),"V",""))</f>
        <v/>
      </c>
      <c r="AF64" s="34" t="str">
        <f>
CONCATENATE(if(countif(us.ekxn.sim,$D64),"U",""),
if(countif(knap.ekxn.sim,$D64),"K",""),
if(countif(np.ekxn.sim,$D64),"P",""),
if(countif(mic.ekxn.sim,$D64),"M",""),
if(countif(imp.epc.sim,$D64),"T",""),
if(countif(nap.ekxn.sim,$D64),"A",""))</f>
        <v/>
      </c>
      <c r="AG64" s="34"/>
      <c r="AH64" s="34" t="str">
        <f>
CONCATENATE(if(countif(us.egt.sim,$D64),"U",""),
if(countif(knap.egt.sim,$D64),"K",""),
if(countif(np.egt.sim,$D64),"P",""),
if(countif(mic.egt.sim,$D64),"M",""))</f>
        <v/>
      </c>
      <c r="AI64" s="34"/>
      <c r="AJ64" s="34" t="str">
        <f>if(countif(nap.ecit.sim,$D64),"A","")</f>
        <v/>
      </c>
      <c r="AK64" s="34" t="str">
        <f>
CONCATENATE(if(countif(nap.erd,$D64),"M",""),
if(countif(nap.erd.sim,$D64),"A",""),
if(countif(var.erd.sim,$D64),"V",""))</f>
        <v/>
      </c>
      <c r="AL64" s="34" t="str">
        <f>
CONCATENATE(if(countif(knap.gkxn.sim,$D64),"K",""),
if(countif(nap.gkxn.sim,$D64),"A",""))</f>
        <v/>
      </c>
      <c r="AM64" s="34" t="str">
        <f>
CONCATENATE(if(countif(knap.gen.sim,$C64),"K",""),
if(countif(imp.gen.sim,$C64),"T",""),
if(countif(dd.gen.sim,$C64),"D",""),
if(countif(nap.gen.sim,$C64),"A",""),
if(countif(var.gen.sim,$C64),"V",""))
</f>
        <v/>
      </c>
      <c r="AN64" s="34" t="str">
        <f>IFERROR(__xludf.DUMMYFUNCTION("
if(countif(#REF!,CONCATENATE(regexextract($C64,""[\w]* [\w]*""), ""*"")),""V"","""")"),"")</f>
        <v/>
      </c>
      <c r="AO64" s="34" t="str">
        <f>
CONCATENATE(if(countif(knap.kmp.sim,$D64),"K",""),
if(countif(np.kmp.sim,$D64),"P",""),
if(countif(imp.kmp.sim,$D64),"T",""),
if(countif(dd.kmp,$D64),"D",""),
if(countif(nap.kmp.sim,$D64),"A",""),
if(countif(var.kmp.sim,$D64),"V",""))</f>
        <v/>
      </c>
      <c r="AP64" s="34" t="str">
        <f>
CONCATENATE(if(countif(knap.lu2.sim,$D64),"K",""),
if(countif(np.lu2.sim,$D64),"P",""),
if(countif(imp.lu2.sim,$D64),"T",""),
if(countif(dd.lu2.sim,$D64),"D",""),
if(countif(nap.lu2.sim,$D64),"A",""),
if(countif(var.lu2.sim,$D64),"V",""))</f>
        <v/>
      </c>
      <c r="AQ64" s="34" t="str">
        <f>
CONCATENATE(if(countif(np.myc.sim,$D64),"P",""),
if(countif(imp.myc.sim,$D64),"T",""),
if(countif(nap.myc.sim,$D64),"A",""))
</f>
        <v/>
      </c>
      <c r="AR64" s="36" t="str">
        <f>
CONCATENATE(if(countif(knap.nar.sim,$D64),"K",""),
if(countif(np.nar.sim,$D64),"P",""),
if(countif(imp.nar.sim,$D64),"T",""),
if(countif(dd.nar.sim,$D64),"D",""),
if(countif(nap.nar.sim,$D64),"A",""),
if(countif(var.nar.sim,$D64),"V",""))</f>
        <v/>
      </c>
      <c r="AS64" s="34" t="str">
        <f>
CONCATENATE(if(countif(knap.que.sim,$D64),"K",""),
if(countif(np.que.sim,$D64),"P",""),
if(countif(imp.que.sim,$D64),"T",""),
if(countif(dd.que.sim,$D64),"D",""),
if(countif(nap.que.sim,$D64),"A",""),
if(countif(var.que.sim,$D64),"V",""))</f>
        <v>K</v>
      </c>
      <c r="AT64" s="37"/>
      <c r="AU64" s="32" t="str">
        <f>IFERROR(__xludf.DUMMYFUNCTION("if(countif(kr.agi, CONCATENATE(regexextract($C64,""[\w]* [\w]*""), ""*"")),""X"","""")"),"")</f>
        <v/>
      </c>
      <c r="AV64" s="38" t="str">
        <f>IFERROR(__xludf.DUMMYFUNCTION("if(countif(kr.bun,CONCATENATE(regexextract($C64,""[\w]* [\w]*""), ""*"")),""X"","""")"),"X")</f>
        <v>X</v>
      </c>
      <c r="AW64" s="38" t="str">
        <f>IFERROR(__xludf.DUMMYFUNCTION("if(countif(kr.kxn,CONCATENATE(regexextract($C64,""[\w]* [\w]*""), ""*"")),""X"","""")"),"X")</f>
        <v>X</v>
      </c>
      <c r="AX64" s="38" t="str">
        <f>IFERROR(__xludf.DUMMYFUNCTION("if(countif(kr.hwb,CONCATENATE(regexextract($C64,""[\w]* [\w]*""), ""*"")),""X"","""")"),"X")</f>
        <v>X</v>
      </c>
      <c r="AY64" s="38" t="str">
        <f>IFERROR(__xludf.DUMMYFUNCTION("if(countif(kr.ec,CONCATENATE(regexextract($C64,""[\w]* [\w]*""), ""*"")),""X"","""")"),"X")</f>
        <v>X</v>
      </c>
      <c r="AZ64" s="38" t="str">
        <f>IFERROR(__xludf.DUMMYFUNCTION("if(countif(kr.egt,CONCATENATE(regexextract($C64,""[\w]* [\w]*""), ""*"")),""X"","""")"),"X")</f>
        <v>X</v>
      </c>
      <c r="BA64" s="38"/>
      <c r="BB64" s="38" t="str">
        <f>IFERROR(__xludf.DUMMYFUNCTION("if(countif(kr.erd,CONCATENATE(regexextract($C64,""[\w]* [\w]*""), ""*"")),""X"","""")"),"X")</f>
        <v>X</v>
      </c>
      <c r="BC64" s="38" t="str">
        <f>IFERROR(__xludf.DUMMYFUNCTION("if(countif(kr.gkxn,CONCATENATE(regexextract($C64,""[\w]* [\w]*""), ""*"")),""X"","""")"),"X")</f>
        <v>X</v>
      </c>
      <c r="BD64" s="38" t="str">
        <f>IFERROR(__xludf.DUMMYFUNCTION("if(countif(kr.gen,CONCATENATE(regexextract(C64,""[\w]* [\w]*""), ""*"")),""X"","""")"),"")</f>
        <v/>
      </c>
      <c r="BE64" s="38" t="str">
        <f>IFERROR(__xludf.DUMMYFUNCTION("if(countif(kr.hcc,CONCATENATE(regexextract($C64,""[\w]* [\w]*""), ""*"")),""X"","""")"),"X")</f>
        <v>X</v>
      </c>
      <c r="BF64" s="38" t="str">
        <f>IFERROR(__xludf.DUMMYFUNCTION("if(countif(kr.kmp,CONCATENATE(regexextract($C64,""[\w]* [\w]*""), ""*"")),""X"","""")"),"X")</f>
        <v>X</v>
      </c>
      <c r="BG64" s="38" t="str">
        <f>IFERROR(__xludf.DUMMYFUNCTION("if(countif(kr.lu2,CONCATENATE(regexextract($C64,""[\w]* [\w]*""), ""*"")),""X"","""")"),"")</f>
        <v/>
      </c>
      <c r="BH64" s="38" t="str">
        <f>IFERROR(__xludf.DUMMYFUNCTION("if(countif(kr.myc,CONCATENATE(regexextract($C64,""[\w]* [\w]*""), ""*"")),""X"","""")"),"X")</f>
        <v>X</v>
      </c>
      <c r="BI64" s="38" t="str">
        <f>IFERROR(__xludf.DUMMYFUNCTION("if(countif(kr.nar,CONCATENATE(regexextract($C64,""[\w]* [\w]*""), ""*"")),""X"","""")"),"X")</f>
        <v>X</v>
      </c>
      <c r="BJ64" s="38" t="str">
        <f>IFERROR(__xludf.DUMMYFUNCTION("if(countif(kr.que,CONCATENATE(regexextract($C64,""[\w]* [\w]*""), ""*"")),""X"","""")"),"X")</f>
        <v>X</v>
      </c>
      <c r="BK64" s="39"/>
      <c r="BL64" s="40" t="str">
        <f>IFERROR(__xludf.DUMMYFUNCTION(" CONCATENATE( 
if (regexmatch(I64, ""^[A-Za-z\.\_]+""), ""L"", 
if(regexmatch(AB64, ""^[A-Za-z\.\_]+""),""S"","""")),
if(AU64=""X"",""K"",""""))"),"")</f>
        <v/>
      </c>
      <c r="BM64" s="40" t="str">
        <f>IFERROR(__xludf.DUMMYFUNCTION(" CONCATENATE( 
if (regexmatch(J64, ""^[A-Za-z\.\_]+""), ""L"", 
if(regexmatch(AC64, ""^[A-Za-z\.\_]+""),""S"","""")),
if(AV64=""X"",""K"",""""))"),"K")</f>
        <v>K</v>
      </c>
      <c r="BN64" s="40" t="str">
        <f>IFERROR(__xludf.DUMMYFUNCTION(" CONCATENATE( 
if (regexmatch(K64, ""^[A-Za-z\.\_]+""), ""L"", 
if(regexmatch(AD64, ""^[A-Za-z\.\_]+""),""S"","""")),
if(AW64=""X"",""K"",""""))"),"LK")</f>
        <v>LK</v>
      </c>
      <c r="BO64" s="40" t="str">
        <f>IFERROR(__xludf.DUMMYFUNCTION(" CONCATENATE( 
if (regexmatch(L64, ""^[A-Za-z\.\_]+""), ""L"", 
if(regexmatch(AE64, ""^[A-Za-z\.\_]+""),""S"","""")),
if(AX64=""X"",""K"",""""))"),"K")</f>
        <v>K</v>
      </c>
      <c r="BP64" s="40" t="str">
        <f>IFERROR(__xludf.DUMMYFUNCTION(" CONCATENATE( 
if (regexmatch(M64, ""^[A-Za-z\.\_]+""), ""L"", 
if(regexmatch(AF64, ""^[A-Za-z\.\_]+""),""S"","""")),
if(AY64=""X"",""K"",""""))"),"LK")</f>
        <v>LK</v>
      </c>
      <c r="BQ64" s="40" t="str">
        <f>IFERROR(__xludf.DUMMYFUNCTION("CONCATENATE( 
if (regexmatch(O64, ""^[A-Za-z\.\_]+""), ""L"", 
if(regexmatch(AH64, ""^[A-Za-z\.\_]+""),""S"","""")),
if(AZ64=""X"",""K"",""""))"),"K")</f>
        <v>K</v>
      </c>
      <c r="BR64" s="40" t="str">
        <f>IFERROR(__xludf.DUMMYFUNCTION("CONCATENATE( 
if (regexmatch(Q64, ""^[A-Za-z\.\_]+""), ""L"", 
if(regexmatch(AJ64, ""^[A-Za-z\.\_]+""),""S"","""")),
if(BA64=""X"",""K"",""""))"),"")</f>
        <v/>
      </c>
      <c r="BS64" s="40" t="str">
        <f>IFERROR(__xludf.DUMMYFUNCTION(" CONCATENATE( 
if (regexmatch(R64, ""^[A-Za-z\.\_]+""), ""L"", 
if(regexmatch(AK64, ""^[A-Za-z\.\_]+""),""S"","""")),
if(BB64=""X"",""K"",""""))"),"K")</f>
        <v>K</v>
      </c>
      <c r="BT64" s="40" t="str">
        <f>IFERROR(__xludf.DUMMYFUNCTION("CONCATENATE( 
if (regexmatch(S64, ""^[A-Za-z\.\_]+""), ""L"", 
if(regexmatch(AL64, ""^[A-Za-z\.\_]+""),""S"","""")),
if(BC64=""X"",""K"",""""))"),"K")</f>
        <v>K</v>
      </c>
      <c r="BU64" s="40" t="str">
        <f>IFERROR(__xludf.DUMMYFUNCTION("CONCATENATE( 
if (regexmatch(T64, ""^[A-Za-z\.\_]+""), ""L"", 
if(regexmatch(AM64, ""^[A-Za-z\.\_]+""),""S"","""")),
if(BD64=""X"",""K"",""""))"),"")</f>
        <v/>
      </c>
      <c r="BV64" s="40" t="str">
        <f>IFERROR(__xludf.DUMMYFUNCTION("CONCATENATE( 
if (regexmatch(U64, ""^[A-Za-z\.\_]+""), ""L"", 
if(regexmatch(AN64, ""^[A-Za-z\.\_]+""),""S"","""")),
if(BE64=""X"",""K"",""""))"),"K")</f>
        <v>K</v>
      </c>
      <c r="BW64" s="40" t="str">
        <f>IFERROR(__xludf.DUMMYFUNCTION(" CONCATENATE( 
if (regexmatch(V64, ""^[A-Za-z\.\_]+""), ""L"", 
if(regexmatch(AO64, ""^[A-Za-z\.\_]+""),""S"","""")),
if(BF64=""X"",""K"",""""))"),"LK")</f>
        <v>LK</v>
      </c>
      <c r="BX64" s="40" t="str">
        <f>IFERROR(__xludf.DUMMYFUNCTION("CONCATENATE( 
if (regexmatch(W64, ""^[A-Za-z\.\_]+""), ""L"", 
if(regexmatch(AP64, ""^[A-Za-z\.\_]+""),""S"","""")),
if(BG64=""X"",""K"",""""))"),"")</f>
        <v/>
      </c>
      <c r="BY64" s="40" t="str">
        <f>IFERROR(__xludf.DUMMYFUNCTION("CONCATENATE( 
if (regexmatch(X64, ""^[A-Za-z\.\_]+""), ""L"", 
if(regexmatch(AQ64, ""^[A-Za-z\.\_]+""),""S"","""")),
if(BH64=""X"",""K"",""""))"),"K")</f>
        <v>K</v>
      </c>
      <c r="BZ64" s="40" t="str">
        <f>IFERROR(__xludf.DUMMYFUNCTION("CONCATENATE( 
if (regexmatch(Y64, ""^[A-Za-z\.\_]+""), ""L"", 
if(regexmatch(AR64, ""^[A-Za-z\.\_]+""),""S"","""")),
if(BI64=""X"",""K"",""""))"),"LK")</f>
        <v>LK</v>
      </c>
      <c r="CA64" s="40" t="str">
        <f>IFERROR(__xludf.DUMMYFUNCTION("CONCATENATE( 
if (regexmatch(Z64, ""^[A-Za-z\.\_]+""), ""L"", 
if(regexmatch(AS64, ""^[A-Za-z\.\_]+""),""S"","""")),
if(BJ64=""X"",""K"",""""))"),"LK")</f>
        <v>LK</v>
      </c>
      <c r="CB64" s="39"/>
      <c r="CC64" s="39"/>
      <c r="CD64" s="39"/>
      <c r="CE64" s="39"/>
      <c r="CF64" s="39"/>
      <c r="CG64" s="39"/>
      <c r="CH64" s="39"/>
      <c r="CI64" s="39"/>
      <c r="CJ64" s="39"/>
      <c r="CK64" s="39"/>
      <c r="CL64" s="39"/>
      <c r="CM64" s="39"/>
      <c r="CN64" s="39"/>
      <c r="CO64" s="39"/>
      <c r="CP64" s="39"/>
      <c r="CQ64" s="39"/>
      <c r="CR64" s="39"/>
    </row>
    <row r="65" ht="15.75" customHeight="1">
      <c r="A65" s="25">
        <v>96.0</v>
      </c>
      <c r="B65" s="26" t="s">
        <v>267</v>
      </c>
      <c r="C65" s="41" t="s">
        <v>268</v>
      </c>
      <c r="D65" s="27" t="str">
        <f>IFERROR(__xludf.DUMMYFUNCTION("CONCATENATE(regexextract($C65,""[\w]* [\w]*""), ""*"")"),"Nelumbo nucifera*")</f>
        <v>Nelumbo nucifera*</v>
      </c>
      <c r="E65" s="59" t="s">
        <v>269</v>
      </c>
      <c r="F65" s="58">
        <v>4432.0</v>
      </c>
      <c r="G65" s="53"/>
      <c r="H65" s="31"/>
      <c r="I65" s="32" t="str">
        <f>CONCATENATE(
if(countif(dd.agi,$D65),"D",""),
if(countif(knap.agi,$D65),"K",""),
if(countif(mic.agi,$D65),"M",""),
if(countif(nap.agi,$D65),"N",""),
if(countif(np.agi,$D65),"P",""),
if(countif(imp.agi,$D65),"T",""),
if(countif(us.agi,$D65),"U",""),
if(countif(var.agi,$D65),"V","")
)</f>
        <v/>
      </c>
      <c r="J65" s="32" t="str">
        <f>
CONCATENATE(
if(countif(nap.bun,$D65),"N",""),
if(countif(np.bun,$D65),"P","")
)
</f>
        <v/>
      </c>
      <c r="K65" s="32" t="str">
        <f>CONCATENATE(
if(countif(dd.kxn,$D65),"D",""),
if(countif(knap.kxn,$D65),"K",""),
if(countif(mic.kxn,$D65),"M",""),
if(countif(nap.kxn,$D65),"N",""),
if(countif(np.kxn,$D65),"P",""),
if(countif(us.kxn,$D65),"U",""),
if(countif(var.kxn,$D65),"V","")
)</f>
        <v>NP</v>
      </c>
      <c r="L65" s="32" t="str">
        <f>
CONCATENATE(
if(countif(dd.hwb,$D65),"D",""),
if(countif(knap.hwb,$D65),"K",""),
if(countif(mic.hwb,$D65),"M",""),
if(countif(nap.hwb,$D65),"N",""),
if(countif(np.hwb,$D65),"P",""),
if(countif(us.hwb,$D65),"U",""),
if(countif(imp.hwb,$D65),"T",""),
if(countif(var.hwb,$D65),"V","")
)</f>
        <v/>
      </c>
      <c r="M65" s="32" t="str">
        <f>CONCATENATE(
if(countif(dd.epc,$D65),"D",""),
if(countif(knap.ekxn,$D65),"K",""),
if(countif(mic.ekxn,$D65),"M",""),
if(countif(nap.ekxn,$D65),"N",""),
if(countif(np.ekxn,$D65),"P",""),
if(countif(imp.epc,$D65),"T",""),
if(countif(us.ekxn,$D65),"U",""),
if(countif(var.ekxn,$D65),"V","")
)</f>
        <v>T</v>
      </c>
      <c r="N65" s="32" t="str">
        <f>
CONCATENATE(
if(countif(dd.ecg,$D65),"D",""),
if(countif(mic.ecg,$D65),"M",""),
if(countif(np.ecg,$D65),"P",""),
if(countif(imp.ecg,$D65),"T",""),
if(countif(us.ecg,$D65),"U","")
)</f>
        <v>P</v>
      </c>
      <c r="O65" s="32" t="str">
        <f>
CONCATENATE(
if(countif(dd.egt,$D65),"D",""),
if(countif(mic.egt,$D65),"M",""),
if(countif(nap.egt,$D65),"N",""),
if(countif(us.egt,$D65),"U",""),
if(countif(var.egt,$D65),"V",""))
</f>
        <v/>
      </c>
      <c r="P65" s="32" t="str">
        <f>CONCATENATE(
if(countif(knap.egcg,$D65),"K",""),
if(countif(mic.egcg,$D65),"M",""),
if(countif(np.egcg,$D65),"P",""),
if(countif(us.egcg,$D65),"U","")
)</f>
        <v/>
      </c>
      <c r="Q65" s="32" t="str">
        <f>CONCATENATE(if(countif(np.ecit,$D65),"P",""),
if(countif(nap.ecit,$D65),"A",""))</f>
        <v/>
      </c>
      <c r="R65" s="32" t="str">
        <f>
CONCATENATE(
if(countif(nap.erd,$D65),"N",""),
if(countif(np.erd,$D65),"P",""),
if(countif(var.erd,$D65),"V",""))</f>
        <v/>
      </c>
      <c r="S65" s="32" t="str">
        <f>
CONCATENATE(
if(countif(dd.gkxn,$D65),"D",""),
if(countif(knap.gkxn,$D65),"K",""),
if(countif(nap.gkxn,$D65),"N",""),
if(countif(np.gkxn,$D65),"P",""),
if(countif(imp.gkxn,$D65),"T",""),
if(countif(var.gkxn,$D65),"V",""))</f>
        <v>NT</v>
      </c>
      <c r="T65" s="32" t="str">
        <f>
CONCATENATE(
if(countif(dd.gen,$C65),"D",""),
if(countif(knap.gen,$C65),"K",""),
if(countif(nap.gen,$C65),"N",""),
if(countif(np.gen,$C65),"P",""),
if(countif(imp.gen,$C65),"T",""),
if(countif(var.gen,$C65),"V",""))</f>
        <v/>
      </c>
      <c r="U65" s="32" t="str">
        <f>
CONCATENATE(
if(countif(dd.hcc,$D65),"D",""),
if(countif(knap.hcc,$D65),"K",""),
if(countif(np.hcc,$D65),"P","")
)
</f>
        <v/>
      </c>
      <c r="V65" s="32" t="str">
        <f>
CONCATENATE(
if(countif(dd.kmp,$D65),"D",""),
if(countif(knap.kmp,$D65),"K",""),
if(countif(mic.kmp,$D65),"M",""),
if(countif(nap.kmp,$D65),"N",""),
if(countif(np.kmp,$D65),"P",""),
if(countif(imp.kmp,$D65),"T",""),
if(countif(us.kmp,$D65),"U",""),
if(countif(var.kmp,$D65),"V",""))</f>
        <v>DMNPTU</v>
      </c>
      <c r="W65" s="32" t="str">
        <f>
CONCATENATE(
if(countif(dd.lu2,$D65),"D",""),
if(countif(knap.lu2,$D65),"K",""),
if(countif(mic.lu2,$D65),"M",""),
if(countif(nap.lu2,$D65),"N",""),
if(countif(np.lu2,$D65),"P",""),
if(countif(imp.lu2,$D65),"T",""),
if(countif(us.lu2,$D65),"U",""),
if(countif(var.lu2,$D65),"V",""))</f>
        <v>DMPTU</v>
      </c>
      <c r="X65" s="32" t="str">
        <f>
CONCATENATE(
if(countif(dd.myc,$D65),"D",""),
if(countif(knap.myc,$D65),"K",""), 
if(countif(mic.myc,$D65),"M",""),
if(countif(nap.myc,$D65),"N",""),
if(countif(np.myc,$D65),"P",""),
if(countif(imp.myc,$D65),"T",""),
if(countif(us.myc,$D65),"U",""),
if(countif(var.myc,$D65),"V",""))</f>
        <v>MPTU</v>
      </c>
      <c r="Y65" s="32" t="str">
        <f>CONCATENATE(
if(countif(dd.nar,$D65),"D",""),
if(countif(knap.nar,$D65),"K",""),
if(countif(nap.nar,$D65),"N",""),
if(countif(np.nar,$D65),"P",""),
if(countif(imp.nar,$D65),"T",""),
if(countif(us.nar,$D65),"U",""),
if(countif(var.nar,$D65),"V",""))</f>
        <v>V</v>
      </c>
      <c r="Z65" s="33" t="str">
        <f>
CONCATENATE(
if(countif(dd.que,$D65),"D",""),
if(countif(knap.que,$D65),"K",""),
if(countif(mic.que,$D65),"M",""),
if(countif(nap.que,$D65),"N",""),
if(countif(np.que,$D65),"P",""),
if(countif(imp.que,$D65),"T",""),
if(countif(us.que,$D65),"U",""),
if(countif(var.que,$D65),"V",""))</f>
        <v>DMPU</v>
      </c>
      <c r="AA65" s="32"/>
      <c r="AB65" s="34" t="str">
        <f>
CONCATENATE(if(countif(knap.agi.sim,$D65),"K",""),
if(countif(dd.agi.sim,$D65),"D",""),
if(countif(nap.agi.sim,$D65),"A",""),
if(countif(var.agi.sim,$D65),"V",""))</f>
        <v/>
      </c>
      <c r="AC65" s="34" t="str">
        <f>
if(countif(nap.bun.sim,$D65),"A","")</f>
        <v/>
      </c>
      <c r="AD65" s="34" t="str">
        <f>
CONCATENATE(if(countif(knap.kxn.sim,$D65),"K",""),
if(countif(np.kxn.sim,$D65),"P",""),
if(countif(dd.kxn.sim,$D65),"D",""),
if(countif(nap.kxn.sim,$D65),"A",""),
if(countif(var.kxn.sim,$D65),"V",""))</f>
        <v>PA</v>
      </c>
      <c r="AE65" s="34" t="str">
        <f>
CONCATENATE(if(countif(knap.hwb.sim,$D65),"K",""),
if(countif(np.hwb.sim,$D65),"P",""),
if(countif(mic.hwb.sim,$D65),"M",""),
if(countif(imp.hwb.sim,$D65),"T",""),
if(countif(dd.cyan.sim,$D65),"D",""),
if(countif(nap.hwb.sim,$D65),"A",""),
if(countif(var.hwb.sim,$D65),"V",""))</f>
        <v>K</v>
      </c>
      <c r="AF65" s="34" t="str">
        <f>
CONCATENATE(if(countif(us.ekxn.sim,$D65),"U",""),
if(countif(knap.ekxn.sim,$D65),"K",""),
if(countif(np.ekxn.sim,$D65),"P",""),
if(countif(mic.ekxn.sim,$D65),"M",""),
if(countif(imp.epc.sim,$D65),"T",""),
if(countif(nap.ekxn.sim,$D65),"A",""))</f>
        <v>P</v>
      </c>
      <c r="AG65" s="34"/>
      <c r="AH65" s="34" t="str">
        <f>
CONCATENATE(if(countif(us.egt.sim,$D65),"U",""),
if(countif(knap.egt.sim,$D65),"K",""),
if(countif(np.egt.sim,$D65),"P",""),
if(countif(mic.egt.sim,$D65),"M",""))</f>
        <v/>
      </c>
      <c r="AI65" s="34"/>
      <c r="AJ65" s="34" t="str">
        <f>if(countif(nap.ecit.sim,$D65),"A","")</f>
        <v/>
      </c>
      <c r="AK65" s="34" t="str">
        <f>
CONCATENATE(if(countif(nap.erd,$D65),"M",""),
if(countif(nap.erd.sim,$D65),"A",""),
if(countif(var.erd.sim,$D65),"V",""))</f>
        <v/>
      </c>
      <c r="AL65" s="34" t="str">
        <f>
CONCATENATE(if(countif(knap.gkxn.sim,$D65),"K",""),
if(countif(nap.gkxn.sim,$D65),"A",""))</f>
        <v>A</v>
      </c>
      <c r="AM65" s="34" t="str">
        <f>
CONCATENATE(if(countif(knap.gen.sim,$C65),"K",""),
if(countif(imp.gen.sim,$C65),"T",""),
if(countif(dd.gen.sim,$C65),"D",""),
if(countif(nap.gen.sim,$C65),"A",""),
if(countif(var.gen.sim,$C65),"V",""))
</f>
        <v/>
      </c>
      <c r="AN65" s="34" t="str">
        <f>IFERROR(__xludf.DUMMYFUNCTION("
if(countif(#REF!,CONCATENATE(regexextract($C65,""[\w]* [\w]*""), ""*"")),""V"","""")"),"")</f>
        <v/>
      </c>
      <c r="AO65" s="34" t="str">
        <f>
CONCATENATE(if(countif(knap.kmp.sim,$D65),"K",""),
if(countif(np.kmp.sim,$D65),"P",""),
if(countif(imp.kmp.sim,$D65),"T",""),
if(countif(dd.kmp,$D65),"D",""),
if(countif(nap.kmp.sim,$D65),"A",""),
if(countif(var.kmp.sim,$D65),"V",""))</f>
        <v>PTDA</v>
      </c>
      <c r="AP65" s="34" t="str">
        <f>
CONCATENATE(if(countif(knap.lu2.sim,$D65),"K",""),
if(countif(np.lu2.sim,$D65),"P",""),
if(countif(imp.lu2.sim,$D65),"T",""),
if(countif(dd.lu2.sim,$D65),"D",""),
if(countif(nap.lu2.sim,$D65),"A",""),
if(countif(var.lu2.sim,$D65),"V",""))</f>
        <v>PD</v>
      </c>
      <c r="AQ65" s="34" t="str">
        <f>
CONCATENATE(if(countif(np.myc.sim,$D65),"P",""),
if(countif(imp.myc.sim,$D65),"T",""),
if(countif(nap.myc.sim,$D65),"A",""))
</f>
        <v>PA</v>
      </c>
      <c r="AR65" s="36" t="str">
        <f>
CONCATENATE(if(countif(knap.nar.sim,$D65),"K",""),
if(countif(np.nar.sim,$D65),"P",""),
if(countif(imp.nar.sim,$D65),"T",""),
if(countif(dd.nar.sim,$D65),"D",""),
if(countif(nap.nar.sim,$D65),"A",""),
if(countif(var.nar.sim,$D65),"V",""))</f>
        <v/>
      </c>
      <c r="AS65" s="34" t="str">
        <f>
CONCATENATE(if(countif(knap.que.sim,$D65),"K",""),
if(countif(np.que.sim,$D65),"P",""),
if(countif(imp.que.sim,$D65),"T",""),
if(countif(dd.que.sim,$D65),"D",""),
if(countif(nap.que.sim,$D65),"A",""),
if(countif(var.que.sim,$D65),"V",""))</f>
        <v>KPTD</v>
      </c>
      <c r="AT65" s="37"/>
      <c r="AU65" s="32" t="str">
        <f>IFERROR(__xludf.DUMMYFUNCTION("if(countif(kr.agi, CONCATENATE(regexextract($C65,""[\w]* [\w]*""), ""*"")),""X"","""")"),"")</f>
        <v/>
      </c>
      <c r="AV65" s="38" t="str">
        <f>IFERROR(__xludf.DUMMYFUNCTION("if(countif(kr.bun,CONCATENATE(regexextract($C65,""[\w]* [\w]*""), ""*"")),""X"","""")"),"X")</f>
        <v>X</v>
      </c>
      <c r="AW65" s="38" t="str">
        <f>IFERROR(__xludf.DUMMYFUNCTION("if(countif(kr.kxn,CONCATENATE(regexextract($C65,""[\w]* [\w]*""), ""*"")),""X"","""")"),"X")</f>
        <v>X</v>
      </c>
      <c r="AX65" s="38" t="str">
        <f>IFERROR(__xludf.DUMMYFUNCTION("if(countif(kr.hwb,CONCATENATE(regexextract($C65,""[\w]* [\w]*""), ""*"")),""X"","""")"),"X")</f>
        <v>X</v>
      </c>
      <c r="AY65" s="38" t="str">
        <f>IFERROR(__xludf.DUMMYFUNCTION("if(countif(kr.ec,CONCATENATE(regexextract($C65,""[\w]* [\w]*""), ""*"")),""X"","""")"),"X")</f>
        <v>X</v>
      </c>
      <c r="AZ65" s="38" t="str">
        <f>IFERROR(__xludf.DUMMYFUNCTION("if(countif(kr.egt,CONCATENATE(regexextract($C65,""[\w]* [\w]*""), ""*"")),""X"","""")"),"X")</f>
        <v>X</v>
      </c>
      <c r="BA65" s="38"/>
      <c r="BB65" s="38" t="str">
        <f>IFERROR(__xludf.DUMMYFUNCTION("if(countif(kr.erd,CONCATENATE(regexextract($C65,""[\w]* [\w]*""), ""*"")),""X"","""")"),"X")</f>
        <v>X</v>
      </c>
      <c r="BC65" s="38" t="str">
        <f>IFERROR(__xludf.DUMMYFUNCTION("if(countif(kr.gkxn,CONCATENATE(regexextract($C65,""[\w]* [\w]*""), ""*"")),""X"","""")"),"X")</f>
        <v>X</v>
      </c>
      <c r="BD65" s="38" t="str">
        <f>IFERROR(__xludf.DUMMYFUNCTION("if(countif(kr.gen,CONCATENATE(regexextract(C65,""[\w]* [\w]*""), ""*"")),""X"","""")"),"")</f>
        <v/>
      </c>
      <c r="BE65" s="38" t="str">
        <f>IFERROR(__xludf.DUMMYFUNCTION("if(countif(kr.hcc,CONCATENATE(regexextract($C65,""[\w]* [\w]*""), ""*"")),""X"","""")"),"X")</f>
        <v>X</v>
      </c>
      <c r="BF65" s="38" t="str">
        <f>IFERROR(__xludf.DUMMYFUNCTION("if(countif(kr.kmp,CONCATENATE(regexextract($C65,""[\w]* [\w]*""), ""*"")),""X"","""")"),"X")</f>
        <v>X</v>
      </c>
      <c r="BG65" s="38" t="str">
        <f>IFERROR(__xludf.DUMMYFUNCTION("if(countif(kr.lu2,CONCATENATE(regexextract($C65,""[\w]* [\w]*""), ""*"")),""X"","""")"),"")</f>
        <v/>
      </c>
      <c r="BH65" s="38" t="str">
        <f>IFERROR(__xludf.DUMMYFUNCTION("if(countif(kr.myc,CONCATENATE(regexextract($C65,""[\w]* [\w]*""), ""*"")),""X"","""")"),"X")</f>
        <v>X</v>
      </c>
      <c r="BI65" s="38" t="str">
        <f>IFERROR(__xludf.DUMMYFUNCTION("if(countif(kr.nar,CONCATENATE(regexextract($C65,""[\w]* [\w]*""), ""*"")),""X"","""")"),"X")</f>
        <v>X</v>
      </c>
      <c r="BJ65" s="38" t="str">
        <f>IFERROR(__xludf.DUMMYFUNCTION("if(countif(kr.que,CONCATENATE(regexextract($C65,""[\w]* [\w]*""), ""*"")),""X"","""")"),"X")</f>
        <v>X</v>
      </c>
      <c r="BK65" s="39"/>
      <c r="BL65" s="40" t="str">
        <f>IFERROR(__xludf.DUMMYFUNCTION(" CONCATENATE( 
if (regexmatch(I65, ""^[A-Za-z\.\_]+""), ""L"", 
if(regexmatch(AB65, ""^[A-Za-z\.\_]+""),""S"","""")),
if(AU65=""X"",""K"",""""))"),"")</f>
        <v/>
      </c>
      <c r="BM65" s="40" t="str">
        <f>IFERROR(__xludf.DUMMYFUNCTION(" CONCATENATE( 
if (regexmatch(J65, ""^[A-Za-z\.\_]+""), ""L"", 
if(regexmatch(AC65, ""^[A-Za-z\.\_]+""),""S"","""")),
if(AV65=""X"",""K"",""""))"),"K")</f>
        <v>K</v>
      </c>
      <c r="BN65" s="40" t="str">
        <f>IFERROR(__xludf.DUMMYFUNCTION(" CONCATENATE( 
if (regexmatch(K65, ""^[A-Za-z\.\_]+""), ""L"", 
if(regexmatch(AD65, ""^[A-Za-z\.\_]+""),""S"","""")),
if(AW65=""X"",""K"",""""))"),"LK")</f>
        <v>LK</v>
      </c>
      <c r="BO65" s="40" t="str">
        <f>IFERROR(__xludf.DUMMYFUNCTION(" CONCATENATE( 
if (regexmatch(L65, ""^[A-Za-z\.\_]+""), ""L"", 
if(regexmatch(AE65, ""^[A-Za-z\.\_]+""),""S"","""")),
if(AX65=""X"",""K"",""""))"),"SK")</f>
        <v>SK</v>
      </c>
      <c r="BP65" s="40" t="str">
        <f>IFERROR(__xludf.DUMMYFUNCTION(" CONCATENATE( 
if (regexmatch(M65, ""^[A-Za-z\.\_]+""), ""L"", 
if(regexmatch(AF65, ""^[A-Za-z\.\_]+""),""S"","""")),
if(AY65=""X"",""K"",""""))"),"LK")</f>
        <v>LK</v>
      </c>
      <c r="BQ65" s="40" t="str">
        <f>IFERROR(__xludf.DUMMYFUNCTION("CONCATENATE( 
if (regexmatch(O65, ""^[A-Za-z\.\_]+""), ""L"", 
if(regexmatch(AH65, ""^[A-Za-z\.\_]+""),""S"","""")),
if(AZ65=""X"",""K"",""""))"),"K")</f>
        <v>K</v>
      </c>
      <c r="BR65" s="40" t="str">
        <f>IFERROR(__xludf.DUMMYFUNCTION("CONCATENATE( 
if (regexmatch(Q65, ""^[A-Za-z\.\_]+""), ""L"", 
if(regexmatch(AJ65, ""^[A-Za-z\.\_]+""),""S"","""")),
if(BA65=""X"",""K"",""""))"),"")</f>
        <v/>
      </c>
      <c r="BS65" s="40" t="str">
        <f>IFERROR(__xludf.DUMMYFUNCTION(" CONCATENATE( 
if (regexmatch(R65, ""^[A-Za-z\.\_]+""), ""L"", 
if(regexmatch(AK65, ""^[A-Za-z\.\_]+""),""S"","""")),
if(BB65=""X"",""K"",""""))"),"K")</f>
        <v>K</v>
      </c>
      <c r="BT65" s="40" t="str">
        <f>IFERROR(__xludf.DUMMYFUNCTION("CONCATENATE( 
if (regexmatch(S65, ""^[A-Za-z\.\_]+""), ""L"", 
if(regexmatch(AL65, ""^[A-Za-z\.\_]+""),""S"","""")),
if(BC65=""X"",""K"",""""))"),"LK")</f>
        <v>LK</v>
      </c>
      <c r="BU65" s="40" t="str">
        <f>IFERROR(__xludf.DUMMYFUNCTION("CONCATENATE( 
if (regexmatch(T65, ""^[A-Za-z\.\_]+""), ""L"", 
if(regexmatch(AM65, ""^[A-Za-z\.\_]+""),""S"","""")),
if(BD65=""X"",""K"",""""))"),"")</f>
        <v/>
      </c>
      <c r="BV65" s="40" t="str">
        <f>IFERROR(__xludf.DUMMYFUNCTION("CONCATENATE( 
if (regexmatch(U65, ""^[A-Za-z\.\_]+""), ""L"", 
if(regexmatch(AN65, ""^[A-Za-z\.\_]+""),""S"","""")),
if(BE65=""X"",""K"",""""))"),"K")</f>
        <v>K</v>
      </c>
      <c r="BW65" s="40" t="str">
        <f>IFERROR(__xludf.DUMMYFUNCTION(" CONCATENATE( 
if (regexmatch(V65, ""^[A-Za-z\.\_]+""), ""L"", 
if(regexmatch(AO65, ""^[A-Za-z\.\_]+""),""S"","""")),
if(BF65=""X"",""K"",""""))"),"LK")</f>
        <v>LK</v>
      </c>
      <c r="BX65" s="40" t="str">
        <f>IFERROR(__xludf.DUMMYFUNCTION("CONCATENATE( 
if (regexmatch(W65, ""^[A-Za-z\.\_]+""), ""L"", 
if(regexmatch(AP65, ""^[A-Za-z\.\_]+""),""S"","""")),
if(BG65=""X"",""K"",""""))"),"L")</f>
        <v>L</v>
      </c>
      <c r="BY65" s="40" t="str">
        <f>IFERROR(__xludf.DUMMYFUNCTION("CONCATENATE( 
if (regexmatch(X65, ""^[A-Za-z\.\_]+""), ""L"", 
if(regexmatch(AQ65, ""^[A-Za-z\.\_]+""),""S"","""")),
if(BH65=""X"",""K"",""""))"),"LK")</f>
        <v>LK</v>
      </c>
      <c r="BZ65" s="40" t="str">
        <f>IFERROR(__xludf.DUMMYFUNCTION("CONCATENATE( 
if (regexmatch(Y65, ""^[A-Za-z\.\_]+""), ""L"", 
if(regexmatch(AR65, ""^[A-Za-z\.\_]+""),""S"","""")),
if(BI65=""X"",""K"",""""))"),"LK")</f>
        <v>LK</v>
      </c>
      <c r="CA65" s="40" t="str">
        <f>IFERROR(__xludf.DUMMYFUNCTION("CONCATENATE( 
if (regexmatch(Z65, ""^[A-Za-z\.\_]+""), ""L"", 
if(regexmatch(AS65, ""^[A-Za-z\.\_]+""),""S"","""")),
if(BJ65=""X"",""K"",""""))"),"LK")</f>
        <v>LK</v>
      </c>
      <c r="CB65" s="39"/>
      <c r="CC65" s="39"/>
      <c r="CD65" s="39"/>
      <c r="CE65" s="39"/>
      <c r="CF65" s="39"/>
      <c r="CG65" s="39"/>
      <c r="CH65" s="39"/>
      <c r="CI65" s="39"/>
      <c r="CJ65" s="39"/>
      <c r="CK65" s="39"/>
      <c r="CL65" s="39"/>
      <c r="CM65" s="39"/>
      <c r="CN65" s="39"/>
      <c r="CO65" s="39"/>
      <c r="CP65" s="39"/>
      <c r="CQ65" s="39"/>
      <c r="CR65" s="39"/>
    </row>
    <row r="66" ht="15.75" customHeight="1">
      <c r="A66" s="25">
        <v>72.0</v>
      </c>
      <c r="B66" s="26" t="s">
        <v>270</v>
      </c>
      <c r="C66" s="41" t="s">
        <v>271</v>
      </c>
      <c r="D66" s="27" t="str">
        <f>IFERROR(__xludf.DUMMYFUNCTION("CONCATENATE(regexextract($C66,""[\w]* [\w]*""), ""*"")"),"Nicotiana attenuata*")</f>
        <v>Nicotiana attenuata*</v>
      </c>
      <c r="E66" s="59" t="s">
        <v>272</v>
      </c>
      <c r="F66" s="58">
        <v>49451.0</v>
      </c>
      <c r="G66" s="53"/>
      <c r="H66" s="31"/>
      <c r="I66" s="32" t="str">
        <f>CONCATENATE(
if(countif(dd.agi,$D66),"D",""),
if(countif(knap.agi,$D66),"K",""),
if(countif(mic.agi,$D66),"M",""),
if(countif(nap.agi,$D66),"N",""),
if(countif(np.agi,$D66),"P",""),
if(countif(imp.agi,$D66),"T",""),
if(countif(us.agi,$D66),"U",""),
if(countif(var.agi,$D66),"V","")
)</f>
        <v/>
      </c>
      <c r="J66" s="32" t="str">
        <f>
CONCATENATE(
if(countif(nap.bun,$D66),"N",""),
if(countif(np.bun,$D66),"P","")
)
</f>
        <v/>
      </c>
      <c r="K66" s="32" t="str">
        <f>CONCATENATE(
if(countif(dd.kxn,$D66),"D",""),
if(countif(knap.kxn,$D66),"K",""),
if(countif(mic.kxn,$D66),"M",""),
if(countif(nap.kxn,$D66),"N",""),
if(countif(np.kxn,$D66),"P",""),
if(countif(us.kxn,$D66),"U",""),
if(countif(var.kxn,$D66),"V","")
)</f>
        <v/>
      </c>
      <c r="L66" s="32" t="str">
        <f>
CONCATENATE(
if(countif(dd.hwb,$D66),"D",""),
if(countif(knap.hwb,$D66),"K",""),
if(countif(mic.hwb,$D66),"M",""),
if(countif(nap.hwb,$D66),"N",""),
if(countif(np.hwb,$D66),"P",""),
if(countif(us.hwb,$D66),"U",""),
if(countif(imp.hwb,$D66),"T",""),
if(countif(var.hwb,$D66),"V","")
)</f>
        <v/>
      </c>
      <c r="M66" s="32" t="str">
        <f>CONCATENATE(
if(countif(dd.epc,$D66),"D",""),
if(countif(knap.ekxn,$D66),"K",""),
if(countif(mic.ekxn,$D66),"M",""),
if(countif(nap.ekxn,$D66),"N",""),
if(countif(np.ekxn,$D66),"P",""),
if(countif(imp.epc,$D66),"T",""),
if(countif(us.ekxn,$D66),"U",""),
if(countif(var.ekxn,$D66),"V","")
)</f>
        <v/>
      </c>
      <c r="N66" s="32" t="str">
        <f>
CONCATENATE(
if(countif(dd.ecg,$D66),"D",""),
if(countif(mic.ecg,$D66),"M",""),
if(countif(np.ecg,$D66),"P",""),
if(countif(imp.ecg,$D66),"T",""),
if(countif(us.ecg,$D66),"U","")
)</f>
        <v/>
      </c>
      <c r="O66" s="32" t="str">
        <f>
CONCATENATE(
if(countif(dd.egt,$D66),"D",""),
if(countif(mic.egt,$D66),"M",""),
if(countif(nap.egt,$D66),"N",""),
if(countif(us.egt,$D66),"U",""),
if(countif(var.egt,$D66),"V",""))
</f>
        <v/>
      </c>
      <c r="P66" s="32" t="str">
        <f>CONCATENATE(
if(countif(knap.egcg,$D66),"K",""),
if(countif(mic.egcg,$D66),"M",""),
if(countif(np.egcg,$D66),"P",""),
if(countif(us.egcg,$D66),"U","")
)</f>
        <v/>
      </c>
      <c r="Q66" s="32" t="str">
        <f>CONCATENATE(if(countif(np.ecit,$D66),"P",""),
if(countif(nap.ecit,$D66),"A",""))</f>
        <v/>
      </c>
      <c r="R66" s="32" t="str">
        <f>
CONCATENATE(
if(countif(nap.erd,$D66),"N",""),
if(countif(np.erd,$D66),"P",""),
if(countif(var.erd,$D66),"V",""))</f>
        <v/>
      </c>
      <c r="S66" s="32" t="str">
        <f>
CONCATENATE(
if(countif(dd.gkxn,$D66),"D",""),
if(countif(knap.gkxn,$D66),"K",""),
if(countif(nap.gkxn,$D66),"N",""),
if(countif(np.gkxn,$D66),"P",""),
if(countif(imp.gkxn,$D66),"T",""),
if(countif(var.gkxn,$D66),"V",""))</f>
        <v/>
      </c>
      <c r="T66" s="32" t="str">
        <f>
CONCATENATE(
if(countif(dd.gen,$C66),"D",""),
if(countif(knap.gen,$C66),"K",""),
if(countif(nap.gen,$C66),"N",""),
if(countif(np.gen,$C66),"P",""),
if(countif(imp.gen,$C66),"T",""),
if(countif(var.gen,$C66),"V",""))</f>
        <v/>
      </c>
      <c r="U66" s="32" t="str">
        <f>
CONCATENATE(
if(countif(dd.hcc,$D66),"D",""),
if(countif(knap.hcc,$D66),"K",""),
if(countif(np.hcc,$D66),"P","")
)
</f>
        <v/>
      </c>
      <c r="V66" s="32" t="str">
        <f>
CONCATENATE(
if(countif(dd.kmp,$D66),"D",""),
if(countif(knap.kmp,$D66),"K",""),
if(countif(mic.kmp,$D66),"M",""),
if(countif(nap.kmp,$D66),"N",""),
if(countif(np.kmp,$D66),"P",""),
if(countif(imp.kmp,$D66),"T",""),
if(countif(us.kmp,$D66),"U",""),
if(countif(var.kmp,$D66),"V",""))</f>
        <v/>
      </c>
      <c r="W66" s="32" t="str">
        <f>
CONCATENATE(
if(countif(dd.lu2,$D66),"D",""),
if(countif(knap.lu2,$D66),"K",""),
if(countif(mic.lu2,$D66),"M",""),
if(countif(nap.lu2,$D66),"N",""),
if(countif(np.lu2,$D66),"P",""),
if(countif(imp.lu2,$D66),"T",""),
if(countif(us.lu2,$D66),"U",""),
if(countif(var.lu2,$D66),"V",""))</f>
        <v/>
      </c>
      <c r="X66" s="32" t="str">
        <f>
CONCATENATE(
if(countif(dd.myc,$D66),"D",""),
if(countif(knap.myc,$D66),"K",""), 
if(countif(mic.myc,$D66),"M",""),
if(countif(nap.myc,$D66),"N",""),
if(countif(np.myc,$D66),"P",""),
if(countif(imp.myc,$D66),"T",""),
if(countif(us.myc,$D66),"U",""),
if(countif(var.myc,$D66),"V",""))</f>
        <v/>
      </c>
      <c r="Y66" s="32" t="str">
        <f>CONCATENATE(
if(countif(dd.nar,$D66),"D",""),
if(countif(knap.nar,$D66),"K",""),
if(countif(nap.nar,$D66),"N",""),
if(countif(np.nar,$D66),"P",""),
if(countif(imp.nar,$D66),"T",""),
if(countif(us.nar,$D66),"U",""),
if(countif(var.nar,$D66),"V",""))</f>
        <v/>
      </c>
      <c r="Z66" s="33" t="str">
        <f>
CONCATENATE(
if(countif(dd.que,$D66),"D",""),
if(countif(knap.que,$D66),"K",""),
if(countif(mic.que,$D66),"M",""),
if(countif(nap.que,$D66),"N",""),
if(countif(np.que,$D66),"P",""),
if(countif(imp.que,$D66),"T",""),
if(countif(us.que,$D66),"U",""),
if(countif(var.que,$D66),"V",""))</f>
        <v/>
      </c>
      <c r="AA66" s="32"/>
      <c r="AB66" s="34" t="str">
        <f>
CONCATENATE(if(countif(knap.agi.sim,$D66),"K",""),
if(countif(dd.agi.sim,$D66),"D",""),
if(countif(nap.agi.sim,$D66),"A",""),
if(countif(var.agi.sim,$D66),"V",""))</f>
        <v/>
      </c>
      <c r="AC66" s="34" t="str">
        <f>
if(countif(nap.bun.sim,$D66),"A","")</f>
        <v/>
      </c>
      <c r="AD66" s="34" t="str">
        <f>
CONCATENATE(if(countif(knap.kxn.sim,$D66),"K",""),
if(countif(np.kxn.sim,$D66),"P",""),
if(countif(dd.kxn.sim,$D66),"D",""),
if(countif(nap.kxn.sim,$D66),"A",""),
if(countif(var.kxn.sim,$D66),"V",""))</f>
        <v/>
      </c>
      <c r="AE66" s="34" t="str">
        <f>
CONCATENATE(if(countif(knap.hwb.sim,$D66),"K",""),
if(countif(np.hwb.sim,$D66),"P",""),
if(countif(mic.hwb.sim,$D66),"M",""),
if(countif(imp.hwb.sim,$D66),"T",""),
if(countif(dd.cyan.sim,$D66),"D",""),
if(countif(nap.hwb.sim,$D66),"A",""),
if(countif(var.hwb.sim,$D66),"V",""))</f>
        <v/>
      </c>
      <c r="AF66" s="34" t="str">
        <f>
CONCATENATE(if(countif(us.ekxn.sim,$D66),"U",""),
if(countif(knap.ekxn.sim,$D66),"K",""),
if(countif(np.ekxn.sim,$D66),"P",""),
if(countif(mic.ekxn.sim,$D66),"M",""),
if(countif(imp.epc.sim,$D66),"T",""),
if(countif(nap.ekxn.sim,$D66),"A",""))</f>
        <v/>
      </c>
      <c r="AG66" s="34"/>
      <c r="AH66" s="34" t="str">
        <f>
CONCATENATE(if(countif(us.egt.sim,$D66),"U",""),
if(countif(knap.egt.sim,$D66),"K",""),
if(countif(np.egt.sim,$D66),"P",""),
if(countif(mic.egt.sim,$D66),"M",""))</f>
        <v/>
      </c>
      <c r="AI66" s="34"/>
      <c r="AJ66" s="34" t="str">
        <f>if(countif(nap.ecit.sim,$D66),"A","")</f>
        <v/>
      </c>
      <c r="AK66" s="34" t="str">
        <f>
CONCATENATE(if(countif(nap.erd,$D66),"M",""),
if(countif(nap.erd.sim,$D66),"A",""),
if(countif(var.erd.sim,$D66),"V",""))</f>
        <v/>
      </c>
      <c r="AL66" s="34" t="str">
        <f>
CONCATENATE(if(countif(knap.gkxn.sim,$D66),"K",""),
if(countif(nap.gkxn.sim,$D66),"A",""))</f>
        <v/>
      </c>
      <c r="AM66" s="34" t="str">
        <f>
CONCATENATE(if(countif(knap.gen.sim,$C66),"K",""),
if(countif(imp.gen.sim,$C66),"T",""),
if(countif(dd.gen.sim,$C66),"D",""),
if(countif(nap.gen.sim,$C66),"A",""),
if(countif(var.gen.sim,$C66),"V",""))
</f>
        <v/>
      </c>
      <c r="AN66" s="34" t="str">
        <f>IFERROR(__xludf.DUMMYFUNCTION("
if(countif(#REF!,CONCATENATE(regexextract($C66,""[\w]* [\w]*""), ""*"")),""V"","""")"),"")</f>
        <v/>
      </c>
      <c r="AO66" s="34" t="str">
        <f>
CONCATENATE(if(countif(knap.kmp.sim,$D66),"K",""),
if(countif(np.kmp.sim,$D66),"P",""),
if(countif(imp.kmp.sim,$D66),"T",""),
if(countif(dd.kmp,$D66),"D",""),
if(countif(nap.kmp.sim,$D66),"A",""),
if(countif(var.kmp.sim,$D66),"V",""))</f>
        <v/>
      </c>
      <c r="AP66" s="34" t="str">
        <f>
CONCATENATE(if(countif(knap.lu2.sim,$D66),"K",""),
if(countif(np.lu2.sim,$D66),"P",""),
if(countif(imp.lu2.sim,$D66),"T",""),
if(countif(dd.lu2.sim,$D66),"D",""),
if(countif(nap.lu2.sim,$D66),"A",""),
if(countif(var.lu2.sim,$D66),"V",""))</f>
        <v/>
      </c>
      <c r="AQ66" s="34" t="str">
        <f>
CONCATENATE(if(countif(np.myc.sim,$D66),"P",""),
if(countif(imp.myc.sim,$D66),"T",""),
if(countif(nap.myc.sim,$D66),"A",""))
</f>
        <v/>
      </c>
      <c r="AR66" s="36" t="str">
        <f>
CONCATENATE(if(countif(knap.nar.sim,$D66),"K",""),
if(countif(np.nar.sim,$D66),"P",""),
if(countif(imp.nar.sim,$D66),"T",""),
if(countif(dd.nar.sim,$D66),"D",""),
if(countif(nap.nar.sim,$D66),"A",""),
if(countif(var.nar.sim,$D66),"V",""))</f>
        <v/>
      </c>
      <c r="AS66" s="34" t="str">
        <f>
CONCATENATE(if(countif(knap.que.sim,$D66),"K",""),
if(countif(np.que.sim,$D66),"P",""),
if(countif(imp.que.sim,$D66),"T",""),
if(countif(dd.que.sim,$D66),"D",""),
if(countif(nap.que.sim,$D66),"A",""),
if(countif(var.que.sim,$D66),"V",""))</f>
        <v/>
      </c>
      <c r="AT66" s="37"/>
      <c r="AU66" s="32" t="str">
        <f>IFERROR(__xludf.DUMMYFUNCTION("if(countif(kr.agi, CONCATENATE(regexextract($C66,""[\w]* [\w]*""), ""*"")),""X"","""")"),"")</f>
        <v/>
      </c>
      <c r="AV66" s="38" t="str">
        <f>IFERROR(__xludf.DUMMYFUNCTION("if(countif(kr.bun,CONCATENATE(regexextract($C66,""[\w]* [\w]*""), ""*"")),""X"","""")"),"X")</f>
        <v>X</v>
      </c>
      <c r="AW66" s="38" t="str">
        <f>IFERROR(__xludf.DUMMYFUNCTION("if(countif(kr.kxn,CONCATENATE(regexextract($C66,""[\w]* [\w]*""), ""*"")),""X"","""")"),"X")</f>
        <v>X</v>
      </c>
      <c r="AX66" s="38" t="str">
        <f>IFERROR(__xludf.DUMMYFUNCTION("if(countif(kr.hwb,CONCATENATE(regexextract($C66,""[\w]* [\w]*""), ""*"")),""X"","""")"),"X")</f>
        <v>X</v>
      </c>
      <c r="AY66" s="38" t="str">
        <f>IFERROR(__xludf.DUMMYFUNCTION("if(countif(kr.ec,CONCATENATE(regexextract($C66,""[\w]* [\w]*""), ""*"")),""X"","""")"),"X")</f>
        <v>X</v>
      </c>
      <c r="AZ66" s="38" t="str">
        <f>IFERROR(__xludf.DUMMYFUNCTION("if(countif(kr.egt,CONCATENATE(regexextract($C66,""[\w]* [\w]*""), ""*"")),""X"","""")"),"X")</f>
        <v>X</v>
      </c>
      <c r="BA66" s="38"/>
      <c r="BB66" s="38" t="str">
        <f>IFERROR(__xludf.DUMMYFUNCTION("if(countif(kr.erd,CONCATENATE(regexextract($C66,""[\w]* [\w]*""), ""*"")),""X"","""")"),"X")</f>
        <v>X</v>
      </c>
      <c r="BC66" s="38" t="str">
        <f>IFERROR(__xludf.DUMMYFUNCTION("if(countif(kr.gkxn,CONCATENATE(regexextract($C66,""[\w]* [\w]*""), ""*"")),""X"","""")"),"X")</f>
        <v>X</v>
      </c>
      <c r="BD66" s="38" t="str">
        <f>IFERROR(__xludf.DUMMYFUNCTION("if(countif(kr.gen,CONCATENATE(regexextract(C66,""[\w]* [\w]*""), ""*"")),""X"","""")"),"")</f>
        <v/>
      </c>
      <c r="BE66" s="38" t="str">
        <f>IFERROR(__xludf.DUMMYFUNCTION("if(countif(kr.hcc,CONCATENATE(regexextract($C66,""[\w]* [\w]*""), ""*"")),""X"","""")"),"X")</f>
        <v>X</v>
      </c>
      <c r="BF66" s="38" t="str">
        <f>IFERROR(__xludf.DUMMYFUNCTION("if(countif(kr.kmp,CONCATENATE(regexextract($C66,""[\w]* [\w]*""), ""*"")),""X"","""")"),"X")</f>
        <v>X</v>
      </c>
      <c r="BG66" s="38" t="str">
        <f>IFERROR(__xludf.DUMMYFUNCTION("if(countif(kr.lu2,CONCATENATE(regexextract($C66,""[\w]* [\w]*""), ""*"")),""X"","""")"),"")</f>
        <v/>
      </c>
      <c r="BH66" s="38" t="str">
        <f>IFERROR(__xludf.DUMMYFUNCTION("if(countif(kr.myc,CONCATENATE(regexextract($C66,""[\w]* [\w]*""), ""*"")),""X"","""")"),"X")</f>
        <v>X</v>
      </c>
      <c r="BI66" s="38" t="str">
        <f>IFERROR(__xludf.DUMMYFUNCTION("if(countif(kr.nar,CONCATENATE(regexextract($C66,""[\w]* [\w]*""), ""*"")),""X"","""")"),"X")</f>
        <v>X</v>
      </c>
      <c r="BJ66" s="38" t="str">
        <f>IFERROR(__xludf.DUMMYFUNCTION("if(countif(kr.que,CONCATENATE(regexextract($C66,""[\w]* [\w]*""), ""*"")),""X"","""")"),"X")</f>
        <v>X</v>
      </c>
      <c r="BK66" s="39"/>
      <c r="BL66" s="40" t="str">
        <f>IFERROR(__xludf.DUMMYFUNCTION(" CONCATENATE( 
if (regexmatch(I66, ""^[A-Za-z\.\_]+""), ""L"", 
if(regexmatch(AB66, ""^[A-Za-z\.\_]+""),""S"","""")),
if(AU66=""X"",""K"",""""))"),"")</f>
        <v/>
      </c>
      <c r="BM66" s="40" t="str">
        <f>IFERROR(__xludf.DUMMYFUNCTION(" CONCATENATE( 
if (regexmatch(J66, ""^[A-Za-z\.\_]+""), ""L"", 
if(regexmatch(AC66, ""^[A-Za-z\.\_]+""),""S"","""")),
if(AV66=""X"",""K"",""""))"),"K")</f>
        <v>K</v>
      </c>
      <c r="BN66" s="40" t="str">
        <f>IFERROR(__xludf.DUMMYFUNCTION(" CONCATENATE( 
if (regexmatch(K66, ""^[A-Za-z\.\_]+""), ""L"", 
if(regexmatch(AD66, ""^[A-Za-z\.\_]+""),""S"","""")),
if(AW66=""X"",""K"",""""))"),"K")</f>
        <v>K</v>
      </c>
      <c r="BO66" s="40" t="str">
        <f>IFERROR(__xludf.DUMMYFUNCTION(" CONCATENATE( 
if (regexmatch(L66, ""^[A-Za-z\.\_]+""), ""L"", 
if(regexmatch(AE66, ""^[A-Za-z\.\_]+""),""S"","""")),
if(AX66=""X"",""K"",""""))"),"K")</f>
        <v>K</v>
      </c>
      <c r="BP66" s="40" t="str">
        <f>IFERROR(__xludf.DUMMYFUNCTION(" CONCATENATE( 
if (regexmatch(M66, ""^[A-Za-z\.\_]+""), ""L"", 
if(regexmatch(AF66, ""^[A-Za-z\.\_]+""),""S"","""")),
if(AY66=""X"",""K"",""""))"),"K")</f>
        <v>K</v>
      </c>
      <c r="BQ66" s="40" t="str">
        <f>IFERROR(__xludf.DUMMYFUNCTION("CONCATENATE( 
if (regexmatch(O66, ""^[A-Za-z\.\_]+""), ""L"", 
if(regexmatch(AH66, ""^[A-Za-z\.\_]+""),""S"","""")),
if(AZ66=""X"",""K"",""""))"),"K")</f>
        <v>K</v>
      </c>
      <c r="BR66" s="40" t="str">
        <f>IFERROR(__xludf.DUMMYFUNCTION("CONCATENATE( 
if (regexmatch(Q66, ""^[A-Za-z\.\_]+""), ""L"", 
if(regexmatch(AJ66, ""^[A-Za-z\.\_]+""),""S"","""")),
if(BA66=""X"",""K"",""""))"),"")</f>
        <v/>
      </c>
      <c r="BS66" s="40" t="str">
        <f>IFERROR(__xludf.DUMMYFUNCTION(" CONCATENATE( 
if (regexmatch(R66, ""^[A-Za-z\.\_]+""), ""L"", 
if(regexmatch(AK66, ""^[A-Za-z\.\_]+""),""S"","""")),
if(BB66=""X"",""K"",""""))"),"K")</f>
        <v>K</v>
      </c>
      <c r="BT66" s="40" t="str">
        <f>IFERROR(__xludf.DUMMYFUNCTION("CONCATENATE( 
if (regexmatch(S66, ""^[A-Za-z\.\_]+""), ""L"", 
if(regexmatch(AL66, ""^[A-Za-z\.\_]+""),""S"","""")),
if(BC66=""X"",""K"",""""))"),"K")</f>
        <v>K</v>
      </c>
      <c r="BU66" s="40" t="str">
        <f>IFERROR(__xludf.DUMMYFUNCTION("CONCATENATE( 
if (regexmatch(T66, ""^[A-Za-z\.\_]+""), ""L"", 
if(regexmatch(AM66, ""^[A-Za-z\.\_]+""),""S"","""")),
if(BD66=""X"",""K"",""""))"),"")</f>
        <v/>
      </c>
      <c r="BV66" s="40" t="str">
        <f>IFERROR(__xludf.DUMMYFUNCTION("CONCATENATE( 
if (regexmatch(U66, ""^[A-Za-z\.\_]+""), ""L"", 
if(regexmatch(AN66, ""^[A-Za-z\.\_]+""),""S"","""")),
if(BE66=""X"",""K"",""""))"),"K")</f>
        <v>K</v>
      </c>
      <c r="BW66" s="40" t="str">
        <f>IFERROR(__xludf.DUMMYFUNCTION(" CONCATENATE( 
if (regexmatch(V66, ""^[A-Za-z\.\_]+""), ""L"", 
if(regexmatch(AO66, ""^[A-Za-z\.\_]+""),""S"","""")),
if(BF66=""X"",""K"",""""))"),"K")</f>
        <v>K</v>
      </c>
      <c r="BX66" s="40" t="str">
        <f>IFERROR(__xludf.DUMMYFUNCTION("CONCATENATE( 
if (regexmatch(W66, ""^[A-Za-z\.\_]+""), ""L"", 
if(regexmatch(AP66, ""^[A-Za-z\.\_]+""),""S"","""")),
if(BG66=""X"",""K"",""""))"),"")</f>
        <v/>
      </c>
      <c r="BY66" s="40" t="str">
        <f>IFERROR(__xludf.DUMMYFUNCTION("CONCATENATE( 
if (regexmatch(X66, ""^[A-Za-z\.\_]+""), ""L"", 
if(regexmatch(AQ66, ""^[A-Za-z\.\_]+""),""S"","""")),
if(BH66=""X"",""K"",""""))"),"K")</f>
        <v>K</v>
      </c>
      <c r="BZ66" s="40" t="str">
        <f>IFERROR(__xludf.DUMMYFUNCTION("CONCATENATE( 
if (regexmatch(Y66, ""^[A-Za-z\.\_]+""), ""L"", 
if(regexmatch(AR66, ""^[A-Za-z\.\_]+""),""S"","""")),
if(BI66=""X"",""K"",""""))"),"K")</f>
        <v>K</v>
      </c>
      <c r="CA66" s="40" t="str">
        <f>IFERROR(__xludf.DUMMYFUNCTION("CONCATENATE( 
if (regexmatch(Z66, ""^[A-Za-z\.\_]+""), ""L"", 
if(regexmatch(AS66, ""^[A-Za-z\.\_]+""),""S"","""")),
if(BJ66=""X"",""K"",""""))"),"K")</f>
        <v>K</v>
      </c>
      <c r="CB66" s="39"/>
      <c r="CC66" s="39"/>
      <c r="CD66" s="39"/>
      <c r="CE66" s="39"/>
      <c r="CF66" s="39"/>
      <c r="CG66" s="39"/>
      <c r="CH66" s="39"/>
      <c r="CI66" s="39"/>
      <c r="CJ66" s="39"/>
      <c r="CK66" s="39"/>
      <c r="CL66" s="39"/>
      <c r="CM66" s="39"/>
      <c r="CN66" s="39"/>
      <c r="CO66" s="39"/>
      <c r="CP66" s="39"/>
      <c r="CQ66" s="39"/>
      <c r="CR66" s="39"/>
    </row>
    <row r="67" ht="15.75" customHeight="1">
      <c r="A67" s="25">
        <v>73.0</v>
      </c>
      <c r="B67" s="26" t="s">
        <v>273</v>
      </c>
      <c r="C67" s="41" t="s">
        <v>274</v>
      </c>
      <c r="D67" s="27" t="str">
        <f>IFERROR(__xludf.DUMMYFUNCTION("CONCATENATE(regexextract($C67,""[\w]* [\w]*""), ""*"")"),"Nicotiana sylvestris*")</f>
        <v>Nicotiana sylvestris*</v>
      </c>
      <c r="E67" s="59" t="s">
        <v>275</v>
      </c>
      <c r="F67" s="58">
        <v>4096.0</v>
      </c>
      <c r="G67" s="53"/>
      <c r="H67" s="31"/>
      <c r="I67" s="32" t="str">
        <f>CONCATENATE(
if(countif(dd.agi,$D67),"D",""),
if(countif(knap.agi,$D67),"K",""),
if(countif(mic.agi,$D67),"M",""),
if(countif(nap.agi,$D67),"N",""),
if(countif(np.agi,$D67),"P",""),
if(countif(imp.agi,$D67),"T",""),
if(countif(us.agi,$D67),"U",""),
if(countif(var.agi,$D67),"V","")
)</f>
        <v/>
      </c>
      <c r="J67" s="32" t="str">
        <f>
CONCATENATE(
if(countif(nap.bun,$D67),"N",""),
if(countif(np.bun,$D67),"P","")
)
</f>
        <v/>
      </c>
      <c r="K67" s="32" t="str">
        <f>CONCATENATE(
if(countif(dd.kxn,$D67),"D",""),
if(countif(knap.kxn,$D67),"K",""),
if(countif(mic.kxn,$D67),"M",""),
if(countif(nap.kxn,$D67),"N",""),
if(countif(np.kxn,$D67),"P",""),
if(countif(us.kxn,$D67),"U",""),
if(countif(var.kxn,$D67),"V","")
)</f>
        <v/>
      </c>
      <c r="L67" s="32" t="str">
        <f>
CONCATENATE(
if(countif(dd.hwb,$D67),"D",""),
if(countif(knap.hwb,$D67),"K",""),
if(countif(mic.hwb,$D67),"M",""),
if(countif(nap.hwb,$D67),"N",""),
if(countif(np.hwb,$D67),"P",""),
if(countif(us.hwb,$D67),"U",""),
if(countif(imp.hwb,$D67),"T",""),
if(countif(var.hwb,$D67),"V","")
)</f>
        <v/>
      </c>
      <c r="M67" s="32" t="str">
        <f>CONCATENATE(
if(countif(dd.epc,$D67),"D",""),
if(countif(knap.ekxn,$D67),"K",""),
if(countif(mic.ekxn,$D67),"M",""),
if(countif(nap.ekxn,$D67),"N",""),
if(countif(np.ekxn,$D67),"P",""),
if(countif(imp.epc,$D67),"T",""),
if(countif(us.ekxn,$D67),"U",""),
if(countif(var.ekxn,$D67),"V","")
)</f>
        <v>P</v>
      </c>
      <c r="N67" s="32" t="str">
        <f>
CONCATENATE(
if(countif(dd.ecg,$D67),"D",""),
if(countif(mic.ecg,$D67),"M",""),
if(countif(np.ecg,$D67),"P",""),
if(countif(imp.ecg,$D67),"T",""),
if(countif(us.ecg,$D67),"U","")
)</f>
        <v/>
      </c>
      <c r="O67" s="32" t="str">
        <f>
CONCATENATE(
if(countif(dd.egt,$D67),"D",""),
if(countif(mic.egt,$D67),"M",""),
if(countif(nap.egt,$D67),"N",""),
if(countif(us.egt,$D67),"U",""),
if(countif(var.egt,$D67),"V",""))
</f>
        <v/>
      </c>
      <c r="P67" s="32" t="str">
        <f>CONCATENATE(
if(countif(knap.egcg,$D67),"K",""),
if(countif(mic.egcg,$D67),"M",""),
if(countif(np.egcg,$D67),"P",""),
if(countif(us.egcg,$D67),"U","")
)</f>
        <v/>
      </c>
      <c r="Q67" s="32" t="str">
        <f>CONCATENATE(if(countif(np.ecit,$D67),"P",""),
if(countif(nap.ecit,$D67),"A",""))</f>
        <v/>
      </c>
      <c r="R67" s="32" t="str">
        <f>
CONCATENATE(
if(countif(nap.erd,$D67),"N",""),
if(countif(np.erd,$D67),"P",""),
if(countif(var.erd,$D67),"V",""))</f>
        <v/>
      </c>
      <c r="S67" s="32" t="str">
        <f>
CONCATENATE(
if(countif(dd.gkxn,$D67),"D",""),
if(countif(knap.gkxn,$D67),"K",""),
if(countif(nap.gkxn,$D67),"N",""),
if(countif(np.gkxn,$D67),"P",""),
if(countif(imp.gkxn,$D67),"T",""),
if(countif(var.gkxn,$D67),"V",""))</f>
        <v/>
      </c>
      <c r="T67" s="32" t="str">
        <f>
CONCATENATE(
if(countif(dd.gen,$C67),"D",""),
if(countif(knap.gen,$C67),"K",""),
if(countif(nap.gen,$C67),"N",""),
if(countif(np.gen,$C67),"P",""),
if(countif(imp.gen,$C67),"T",""),
if(countif(var.gen,$C67),"V",""))</f>
        <v/>
      </c>
      <c r="U67" s="32" t="str">
        <f>
CONCATENATE(
if(countif(dd.hcc,$D67),"D",""),
if(countif(knap.hcc,$D67),"K",""),
if(countif(np.hcc,$D67),"P","")
)
</f>
        <v/>
      </c>
      <c r="V67" s="32" t="str">
        <f>
CONCATENATE(
if(countif(dd.kmp,$D67),"D",""),
if(countif(knap.kmp,$D67),"K",""),
if(countif(mic.kmp,$D67),"M",""),
if(countif(nap.kmp,$D67),"N",""),
if(countif(np.kmp,$D67),"P",""),
if(countif(imp.kmp,$D67),"T",""),
if(countif(us.kmp,$D67),"U",""),
if(countif(var.kmp,$D67),"V",""))</f>
        <v/>
      </c>
      <c r="W67" s="32" t="str">
        <f>
CONCATENATE(
if(countif(dd.lu2,$D67),"D",""),
if(countif(knap.lu2,$D67),"K",""),
if(countif(mic.lu2,$D67),"M",""),
if(countif(nap.lu2,$D67),"N",""),
if(countif(np.lu2,$D67),"P",""),
if(countif(imp.lu2,$D67),"T",""),
if(countif(us.lu2,$D67),"U",""),
if(countif(var.lu2,$D67),"V",""))</f>
        <v/>
      </c>
      <c r="X67" s="32" t="str">
        <f>
CONCATENATE(
if(countif(dd.myc,$D67),"D",""),
if(countif(knap.myc,$D67),"K",""), 
if(countif(mic.myc,$D67),"M",""),
if(countif(nap.myc,$D67),"N",""),
if(countif(np.myc,$D67),"P",""),
if(countif(imp.myc,$D67),"T",""),
if(countif(us.myc,$D67),"U",""),
if(countif(var.myc,$D67),"V",""))</f>
        <v/>
      </c>
      <c r="Y67" s="32" t="str">
        <f>CONCATENATE(
if(countif(dd.nar,$D67),"D",""),
if(countif(knap.nar,$D67),"K",""),
if(countif(nap.nar,$D67),"N",""),
if(countif(np.nar,$D67),"P",""),
if(countif(imp.nar,$D67),"T",""),
if(countif(us.nar,$D67),"U",""),
if(countif(var.nar,$D67),"V",""))</f>
        <v/>
      </c>
      <c r="Z67" s="33" t="str">
        <f>
CONCATENATE(
if(countif(dd.que,$D67),"D",""),
if(countif(knap.que,$D67),"K",""),
if(countif(mic.que,$D67),"M",""),
if(countif(nap.que,$D67),"N",""),
if(countif(np.que,$D67),"P",""),
if(countif(imp.que,$D67),"T",""),
if(countif(us.que,$D67),"U",""),
if(countif(var.que,$D67),"V",""))</f>
        <v/>
      </c>
      <c r="AA67" s="32"/>
      <c r="AB67" s="34" t="str">
        <f>
CONCATENATE(if(countif(knap.agi.sim,$D67),"K",""),
if(countif(dd.agi.sim,$D67),"D",""),
if(countif(nap.agi.sim,$D67),"A",""),
if(countif(var.agi.sim,$D67),"V",""))</f>
        <v/>
      </c>
      <c r="AC67" s="34" t="str">
        <f>
if(countif(nap.bun.sim,$D67),"A","")</f>
        <v/>
      </c>
      <c r="AD67" s="34" t="str">
        <f>
CONCATENATE(if(countif(knap.kxn.sim,$D67),"K",""),
if(countif(np.kxn.sim,$D67),"P",""),
if(countif(dd.kxn.sim,$D67),"D",""),
if(countif(nap.kxn.sim,$D67),"A",""),
if(countif(var.kxn.sim,$D67),"V",""))</f>
        <v/>
      </c>
      <c r="AE67" s="34" t="str">
        <f>
CONCATENATE(if(countif(knap.hwb.sim,$D67),"K",""),
if(countif(np.hwb.sim,$D67),"P",""),
if(countif(mic.hwb.sim,$D67),"M",""),
if(countif(imp.hwb.sim,$D67),"T",""),
if(countif(dd.cyan.sim,$D67),"D",""),
if(countif(nap.hwb.sim,$D67),"A",""),
if(countif(var.hwb.sim,$D67),"V",""))</f>
        <v/>
      </c>
      <c r="AF67" s="34" t="str">
        <f>
CONCATENATE(if(countif(us.ekxn.sim,$D67),"U",""),
if(countif(knap.ekxn.sim,$D67),"K",""),
if(countif(np.ekxn.sim,$D67),"P",""),
if(countif(mic.ekxn.sim,$D67),"M",""),
if(countif(imp.epc.sim,$D67),"T",""),
if(countif(nap.ekxn.sim,$D67),"A",""))</f>
        <v>P</v>
      </c>
      <c r="AG67" s="34"/>
      <c r="AH67" s="34" t="str">
        <f>
CONCATENATE(if(countif(us.egt.sim,$D67),"U",""),
if(countif(knap.egt.sim,$D67),"K",""),
if(countif(np.egt.sim,$D67),"P",""),
if(countif(mic.egt.sim,$D67),"M",""))</f>
        <v/>
      </c>
      <c r="AI67" s="34"/>
      <c r="AJ67" s="34" t="str">
        <f>if(countif(nap.ecit.sim,$D67),"A","")</f>
        <v/>
      </c>
      <c r="AK67" s="34" t="str">
        <f>
CONCATENATE(if(countif(nap.erd,$D67),"M",""),
if(countif(nap.erd.sim,$D67),"A",""),
if(countif(var.erd.sim,$D67),"V",""))</f>
        <v/>
      </c>
      <c r="AL67" s="34" t="str">
        <f>
CONCATENATE(if(countif(knap.gkxn.sim,$D67),"K",""),
if(countif(nap.gkxn.sim,$D67),"A",""))</f>
        <v/>
      </c>
      <c r="AM67" s="34" t="str">
        <f>
CONCATENATE(if(countif(knap.gen.sim,$C67),"K",""),
if(countif(imp.gen.sim,$C67),"T",""),
if(countif(dd.gen.sim,$C67),"D",""),
if(countif(nap.gen.sim,$C67),"A",""),
if(countif(var.gen.sim,$C67),"V",""))
</f>
        <v/>
      </c>
      <c r="AN67" s="34" t="str">
        <f>IFERROR(__xludf.DUMMYFUNCTION("
if(countif(#REF!,CONCATENATE(regexextract($C67,""[\w]* [\w]*""), ""*"")),""V"","""")"),"")</f>
        <v/>
      </c>
      <c r="AO67" s="34" t="str">
        <f>
CONCATENATE(if(countif(knap.kmp.sim,$D67),"K",""),
if(countif(np.kmp.sim,$D67),"P",""),
if(countif(imp.kmp.sim,$D67),"T",""),
if(countif(dd.kmp,$D67),"D",""),
if(countif(nap.kmp.sim,$D67),"A",""),
if(countif(var.kmp.sim,$D67),"V",""))</f>
        <v/>
      </c>
      <c r="AP67" s="34" t="str">
        <f>
CONCATENATE(if(countif(knap.lu2.sim,$D67),"K",""),
if(countif(np.lu2.sim,$D67),"P",""),
if(countif(imp.lu2.sim,$D67),"T",""),
if(countif(dd.lu2.sim,$D67),"D",""),
if(countif(nap.lu2.sim,$D67),"A",""),
if(countif(var.lu2.sim,$D67),"V",""))</f>
        <v/>
      </c>
      <c r="AQ67" s="34" t="str">
        <f>
CONCATENATE(if(countif(np.myc.sim,$D67),"P",""),
if(countif(imp.myc.sim,$D67),"T",""),
if(countif(nap.myc.sim,$D67),"A",""))
</f>
        <v/>
      </c>
      <c r="AR67" s="36" t="str">
        <f>
CONCATENATE(if(countif(knap.nar.sim,$D67),"K",""),
if(countif(np.nar.sim,$D67),"P",""),
if(countif(imp.nar.sim,$D67),"T",""),
if(countif(dd.nar.sim,$D67),"D",""),
if(countif(nap.nar.sim,$D67),"A",""),
if(countif(var.nar.sim,$D67),"V",""))</f>
        <v/>
      </c>
      <c r="AS67" s="34" t="str">
        <f>
CONCATENATE(if(countif(knap.que.sim,$D67),"K",""),
if(countif(np.que.sim,$D67),"P",""),
if(countif(imp.que.sim,$D67),"T",""),
if(countif(dd.que.sim,$D67),"D",""),
if(countif(nap.que.sim,$D67),"A",""),
if(countif(var.que.sim,$D67),"V",""))</f>
        <v/>
      </c>
      <c r="AT67" s="37"/>
      <c r="AU67" s="32" t="str">
        <f>IFERROR(__xludf.DUMMYFUNCTION("if(countif(kr.agi, CONCATENATE(regexextract($C67,""[\w]* [\w]*""), ""*"")),""X"","""")"),"")</f>
        <v/>
      </c>
      <c r="AV67" s="38" t="str">
        <f>IFERROR(__xludf.DUMMYFUNCTION("if(countif(kr.bun,CONCATENATE(regexextract($C67,""[\w]* [\w]*""), ""*"")),""X"","""")"),"X")</f>
        <v>X</v>
      </c>
      <c r="AW67" s="38" t="str">
        <f>IFERROR(__xludf.DUMMYFUNCTION("if(countif(kr.kxn,CONCATENATE(regexextract($C67,""[\w]* [\w]*""), ""*"")),""X"","""")"),"X")</f>
        <v>X</v>
      </c>
      <c r="AX67" s="38" t="str">
        <f>IFERROR(__xludf.DUMMYFUNCTION("if(countif(kr.hwb,CONCATENATE(regexextract($C67,""[\w]* [\w]*""), ""*"")),""X"","""")"),"X")</f>
        <v>X</v>
      </c>
      <c r="AY67" s="38" t="str">
        <f>IFERROR(__xludf.DUMMYFUNCTION("if(countif(kr.ec,CONCATENATE(regexextract($C67,""[\w]* [\w]*""), ""*"")),""X"","""")"),"X")</f>
        <v>X</v>
      </c>
      <c r="AZ67" s="38" t="str">
        <f>IFERROR(__xludf.DUMMYFUNCTION("if(countif(kr.egt,CONCATENATE(regexextract($C67,""[\w]* [\w]*""), ""*"")),""X"","""")"),"X")</f>
        <v>X</v>
      </c>
      <c r="BA67" s="38"/>
      <c r="BB67" s="38" t="str">
        <f>IFERROR(__xludf.DUMMYFUNCTION("if(countif(kr.erd,CONCATENATE(regexextract($C67,""[\w]* [\w]*""), ""*"")),""X"","""")"),"X")</f>
        <v>X</v>
      </c>
      <c r="BC67" s="38" t="str">
        <f>IFERROR(__xludf.DUMMYFUNCTION("if(countif(kr.gkxn,CONCATENATE(regexextract($C67,""[\w]* [\w]*""), ""*"")),""X"","""")"),"X")</f>
        <v>X</v>
      </c>
      <c r="BD67" s="38" t="str">
        <f>IFERROR(__xludf.DUMMYFUNCTION("if(countif(kr.gen,CONCATENATE(regexextract(C67,""[\w]* [\w]*""), ""*"")),""X"","""")"),"")</f>
        <v/>
      </c>
      <c r="BE67" s="38" t="str">
        <f>IFERROR(__xludf.DUMMYFUNCTION("if(countif(kr.hcc,CONCATENATE(regexextract($C67,""[\w]* [\w]*""), ""*"")),""X"","""")"),"X")</f>
        <v>X</v>
      </c>
      <c r="BF67" s="38" t="str">
        <f>IFERROR(__xludf.DUMMYFUNCTION("if(countif(kr.kmp,CONCATENATE(regexextract($C67,""[\w]* [\w]*""), ""*"")),""X"","""")"),"X")</f>
        <v>X</v>
      </c>
      <c r="BG67" s="38" t="str">
        <f>IFERROR(__xludf.DUMMYFUNCTION("if(countif(kr.lu2,CONCATENATE(regexextract($C67,""[\w]* [\w]*""), ""*"")),""X"","""")"),"")</f>
        <v/>
      </c>
      <c r="BH67" s="38" t="str">
        <f>IFERROR(__xludf.DUMMYFUNCTION("if(countif(kr.myc,CONCATENATE(regexextract($C67,""[\w]* [\w]*""), ""*"")),""X"","""")"),"X")</f>
        <v>X</v>
      </c>
      <c r="BI67" s="38" t="str">
        <f>IFERROR(__xludf.DUMMYFUNCTION("if(countif(kr.nar,CONCATENATE(regexextract($C67,""[\w]* [\w]*""), ""*"")),""X"","""")"),"X")</f>
        <v>X</v>
      </c>
      <c r="BJ67" s="38" t="str">
        <f>IFERROR(__xludf.DUMMYFUNCTION("if(countif(kr.que,CONCATENATE(regexextract($C67,""[\w]* [\w]*""), ""*"")),""X"","""")"),"X")</f>
        <v>X</v>
      </c>
      <c r="BK67" s="39"/>
      <c r="BL67" s="40" t="str">
        <f>IFERROR(__xludf.DUMMYFUNCTION(" CONCATENATE( 
if (regexmatch(I67, ""^[A-Za-z\.\_]+""), ""L"", 
if(regexmatch(AB67, ""^[A-Za-z\.\_]+""),""S"","""")),
if(AU67=""X"",""K"",""""))"),"")</f>
        <v/>
      </c>
      <c r="BM67" s="40" t="str">
        <f>IFERROR(__xludf.DUMMYFUNCTION(" CONCATENATE( 
if (regexmatch(J67, ""^[A-Za-z\.\_]+""), ""L"", 
if(regexmatch(AC67, ""^[A-Za-z\.\_]+""),""S"","""")),
if(AV67=""X"",""K"",""""))"),"K")</f>
        <v>K</v>
      </c>
      <c r="BN67" s="40" t="str">
        <f>IFERROR(__xludf.DUMMYFUNCTION(" CONCATENATE( 
if (regexmatch(K67, ""^[A-Za-z\.\_]+""), ""L"", 
if(regexmatch(AD67, ""^[A-Za-z\.\_]+""),""S"","""")),
if(AW67=""X"",""K"",""""))"),"K")</f>
        <v>K</v>
      </c>
      <c r="BO67" s="40" t="str">
        <f>IFERROR(__xludf.DUMMYFUNCTION(" CONCATENATE( 
if (regexmatch(L67, ""^[A-Za-z\.\_]+""), ""L"", 
if(regexmatch(AE67, ""^[A-Za-z\.\_]+""),""S"","""")),
if(AX67=""X"",""K"",""""))"),"K")</f>
        <v>K</v>
      </c>
      <c r="BP67" s="40" t="str">
        <f>IFERROR(__xludf.DUMMYFUNCTION(" CONCATENATE( 
if (regexmatch(M67, ""^[A-Za-z\.\_]+""), ""L"", 
if(regexmatch(AF67, ""^[A-Za-z\.\_]+""),""S"","""")),
if(AY67=""X"",""K"",""""))"),"LK")</f>
        <v>LK</v>
      </c>
      <c r="BQ67" s="40" t="str">
        <f>IFERROR(__xludf.DUMMYFUNCTION("CONCATENATE( 
if (regexmatch(O67, ""^[A-Za-z\.\_]+""), ""L"", 
if(regexmatch(AH67, ""^[A-Za-z\.\_]+""),""S"","""")),
if(AZ67=""X"",""K"",""""))"),"K")</f>
        <v>K</v>
      </c>
      <c r="BR67" s="40" t="str">
        <f>IFERROR(__xludf.DUMMYFUNCTION("CONCATENATE( 
if (regexmatch(Q67, ""^[A-Za-z\.\_]+""), ""L"", 
if(regexmatch(AJ67, ""^[A-Za-z\.\_]+""),""S"","""")),
if(BA67=""X"",""K"",""""))"),"")</f>
        <v/>
      </c>
      <c r="BS67" s="40" t="str">
        <f>IFERROR(__xludf.DUMMYFUNCTION(" CONCATENATE( 
if (regexmatch(R67, ""^[A-Za-z\.\_]+""), ""L"", 
if(regexmatch(AK67, ""^[A-Za-z\.\_]+""),""S"","""")),
if(BB67=""X"",""K"",""""))"),"K")</f>
        <v>K</v>
      </c>
      <c r="BT67" s="40" t="str">
        <f>IFERROR(__xludf.DUMMYFUNCTION("CONCATENATE( 
if (regexmatch(S67, ""^[A-Za-z\.\_]+""), ""L"", 
if(regexmatch(AL67, ""^[A-Za-z\.\_]+""),""S"","""")),
if(BC67=""X"",""K"",""""))"),"K")</f>
        <v>K</v>
      </c>
      <c r="BU67" s="40" t="str">
        <f>IFERROR(__xludf.DUMMYFUNCTION("CONCATENATE( 
if (regexmatch(T67, ""^[A-Za-z\.\_]+""), ""L"", 
if(regexmatch(AM67, ""^[A-Za-z\.\_]+""),""S"","""")),
if(BD67=""X"",""K"",""""))"),"")</f>
        <v/>
      </c>
      <c r="BV67" s="40" t="str">
        <f>IFERROR(__xludf.DUMMYFUNCTION("CONCATENATE( 
if (regexmatch(U67, ""^[A-Za-z\.\_]+""), ""L"", 
if(regexmatch(AN67, ""^[A-Za-z\.\_]+""),""S"","""")),
if(BE67=""X"",""K"",""""))"),"K")</f>
        <v>K</v>
      </c>
      <c r="BW67" s="40" t="str">
        <f>IFERROR(__xludf.DUMMYFUNCTION(" CONCATENATE( 
if (regexmatch(V67, ""^[A-Za-z\.\_]+""), ""L"", 
if(regexmatch(AO67, ""^[A-Za-z\.\_]+""),""S"","""")),
if(BF67=""X"",""K"",""""))"),"K")</f>
        <v>K</v>
      </c>
      <c r="BX67" s="40" t="str">
        <f>IFERROR(__xludf.DUMMYFUNCTION("CONCATENATE( 
if (regexmatch(W67, ""^[A-Za-z\.\_]+""), ""L"", 
if(regexmatch(AP67, ""^[A-Za-z\.\_]+""),""S"","""")),
if(BG67=""X"",""K"",""""))"),"")</f>
        <v/>
      </c>
      <c r="BY67" s="40" t="str">
        <f>IFERROR(__xludf.DUMMYFUNCTION("CONCATENATE( 
if (regexmatch(X67, ""^[A-Za-z\.\_]+""), ""L"", 
if(regexmatch(AQ67, ""^[A-Za-z\.\_]+""),""S"","""")),
if(BH67=""X"",""K"",""""))"),"K")</f>
        <v>K</v>
      </c>
      <c r="BZ67" s="40" t="str">
        <f>IFERROR(__xludf.DUMMYFUNCTION("CONCATENATE( 
if (regexmatch(Y67, ""^[A-Za-z\.\_]+""), ""L"", 
if(regexmatch(AR67, ""^[A-Za-z\.\_]+""),""S"","""")),
if(BI67=""X"",""K"",""""))"),"K")</f>
        <v>K</v>
      </c>
      <c r="CA67" s="40" t="str">
        <f>IFERROR(__xludf.DUMMYFUNCTION("CONCATENATE( 
if (regexmatch(Z67, ""^[A-Za-z\.\_]+""), ""L"", 
if(regexmatch(AS67, ""^[A-Za-z\.\_]+""),""S"","""")),
if(BJ67=""X"",""K"",""""))"),"K")</f>
        <v>K</v>
      </c>
      <c r="CB67" s="39"/>
      <c r="CC67" s="39"/>
      <c r="CD67" s="39"/>
      <c r="CE67" s="39"/>
      <c r="CF67" s="39"/>
      <c r="CG67" s="39"/>
      <c r="CH67" s="39"/>
      <c r="CI67" s="39"/>
      <c r="CJ67" s="39"/>
      <c r="CK67" s="39"/>
      <c r="CL67" s="39"/>
      <c r="CM67" s="39"/>
      <c r="CN67" s="39"/>
      <c r="CO67" s="39"/>
      <c r="CP67" s="39"/>
      <c r="CQ67" s="39"/>
      <c r="CR67" s="39"/>
    </row>
    <row r="68" ht="15.75" customHeight="1">
      <c r="A68" s="25">
        <v>74.0</v>
      </c>
      <c r="B68" s="26" t="s">
        <v>276</v>
      </c>
      <c r="C68" s="41" t="s">
        <v>277</v>
      </c>
      <c r="D68" s="27" t="str">
        <f>IFERROR(__xludf.DUMMYFUNCTION("CONCATENATE(regexextract($C68,""[\w]* [\w]*""), ""*"")"),"Nicotiana tabacum*")</f>
        <v>Nicotiana tabacum*</v>
      </c>
      <c r="E68" s="59" t="s">
        <v>278</v>
      </c>
      <c r="F68" s="58">
        <v>4097.0</v>
      </c>
      <c r="G68" s="53"/>
      <c r="H68" s="31"/>
      <c r="I68" s="32" t="str">
        <f>CONCATENATE(
if(countif(dd.agi,$D68),"D",""),
if(countif(knap.agi,$D68),"K",""),
if(countif(mic.agi,$D68),"M",""),
if(countif(nap.agi,$D68),"N",""),
if(countif(np.agi,$D68),"P",""),
if(countif(imp.agi,$D68),"T",""),
if(countif(us.agi,$D68),"U",""),
if(countif(var.agi,$D68),"V","")
)</f>
        <v/>
      </c>
      <c r="J68" s="32" t="str">
        <f>
CONCATENATE(
if(countif(nap.bun,$D68),"N",""),
if(countif(np.bun,$D68),"P","")
)
</f>
        <v/>
      </c>
      <c r="K68" s="32" t="str">
        <f>CONCATENATE(
if(countif(dd.kxn,$D68),"D",""),
if(countif(knap.kxn,$D68),"K",""),
if(countif(mic.kxn,$D68),"M",""),
if(countif(nap.kxn,$D68),"N",""),
if(countif(np.kxn,$D68),"P",""),
if(countif(us.kxn,$D68),"U",""),
if(countif(var.kxn,$D68),"V","")
)</f>
        <v>V</v>
      </c>
      <c r="L68" s="32" t="str">
        <f>
CONCATENATE(
if(countif(dd.hwb,$D68),"D",""),
if(countif(knap.hwb,$D68),"K",""),
if(countif(mic.hwb,$D68),"M",""),
if(countif(nap.hwb,$D68),"N",""),
if(countif(np.hwb,$D68),"P",""),
if(countif(us.hwb,$D68),"U",""),
if(countif(imp.hwb,$D68),"T",""),
if(countif(var.hwb,$D68),"V","")
)</f>
        <v/>
      </c>
      <c r="M68" s="32" t="str">
        <f>CONCATENATE(
if(countif(dd.epc,$D68),"D",""),
if(countif(knap.ekxn,$D68),"K",""),
if(countif(mic.ekxn,$D68),"M",""),
if(countif(nap.ekxn,$D68),"N",""),
if(countif(np.ekxn,$D68),"P",""),
if(countif(imp.epc,$D68),"T",""),
if(countif(us.ekxn,$D68),"U",""),
if(countif(var.ekxn,$D68),"V","")
)</f>
        <v>V</v>
      </c>
      <c r="N68" s="32" t="str">
        <f>
CONCATENATE(
if(countif(dd.ecg,$D68),"D",""),
if(countif(mic.ecg,$D68),"M",""),
if(countif(np.ecg,$D68),"P",""),
if(countif(imp.ecg,$D68),"T",""),
if(countif(us.ecg,$D68),"U","")
)</f>
        <v/>
      </c>
      <c r="O68" s="32" t="str">
        <f>
CONCATENATE(
if(countif(dd.egt,$D68),"D",""),
if(countif(mic.egt,$D68),"M",""),
if(countif(nap.egt,$D68),"N",""),
if(countif(us.egt,$D68),"U",""),
if(countif(var.egt,$D68),"V",""))
</f>
        <v/>
      </c>
      <c r="P68" s="32" t="str">
        <f>CONCATENATE(
if(countif(knap.egcg,$D68),"K",""),
if(countif(mic.egcg,$D68),"M",""),
if(countif(np.egcg,$D68),"P",""),
if(countif(us.egcg,$D68),"U","")
)</f>
        <v/>
      </c>
      <c r="Q68" s="32" t="str">
        <f>CONCATENATE(if(countif(np.ecit,$D68),"P",""),
if(countif(nap.ecit,$D68),"A",""))</f>
        <v/>
      </c>
      <c r="R68" s="32" t="str">
        <f>
CONCATENATE(
if(countif(nap.erd,$D68),"N",""),
if(countif(np.erd,$D68),"P",""),
if(countif(var.erd,$D68),"V",""))</f>
        <v/>
      </c>
      <c r="S68" s="32" t="str">
        <f>
CONCATENATE(
if(countif(dd.gkxn,$D68),"D",""),
if(countif(knap.gkxn,$D68),"K",""),
if(countif(nap.gkxn,$D68),"N",""),
if(countif(np.gkxn,$D68),"P",""),
if(countif(imp.gkxn,$D68),"T",""),
if(countif(var.gkxn,$D68),"V",""))</f>
        <v/>
      </c>
      <c r="T68" s="32" t="str">
        <f>
CONCATENATE(
if(countif(dd.gen,$C68),"D",""),
if(countif(knap.gen,$C68),"K",""),
if(countif(nap.gen,$C68),"N",""),
if(countif(np.gen,$C68),"P",""),
if(countif(imp.gen,$C68),"T",""),
if(countif(var.gen,$C68),"V",""))</f>
        <v/>
      </c>
      <c r="U68" s="32" t="str">
        <f>
CONCATENATE(
if(countif(dd.hcc,$D68),"D",""),
if(countif(knap.hcc,$D68),"K",""),
if(countif(np.hcc,$D68),"P","")
)
</f>
        <v/>
      </c>
      <c r="V68" s="32" t="str">
        <f>
CONCATENATE(
if(countif(dd.kmp,$D68),"D",""),
if(countif(knap.kmp,$D68),"K",""),
if(countif(mic.kmp,$D68),"M",""),
if(countif(nap.kmp,$D68),"N",""),
if(countif(np.kmp,$D68),"P",""),
if(countif(imp.kmp,$D68),"T",""),
if(countif(us.kmp,$D68),"U",""),
if(countif(var.kmp,$D68),"V",""))</f>
        <v>DN</v>
      </c>
      <c r="W68" s="32" t="str">
        <f>
CONCATENATE(
if(countif(dd.lu2,$D68),"D",""),
if(countif(knap.lu2,$D68),"K",""),
if(countif(mic.lu2,$D68),"M",""),
if(countif(nap.lu2,$D68),"N",""),
if(countif(np.lu2,$D68),"P",""),
if(countif(imp.lu2,$D68),"T",""),
if(countif(us.lu2,$D68),"U",""),
if(countif(var.lu2,$D68),"V",""))</f>
        <v/>
      </c>
      <c r="X68" s="32" t="str">
        <f>
CONCATENATE(
if(countif(dd.myc,$D68),"D",""),
if(countif(knap.myc,$D68),"K",""), 
if(countif(mic.myc,$D68),"M",""),
if(countif(nap.myc,$D68),"N",""),
if(countif(np.myc,$D68),"P",""),
if(countif(imp.myc,$D68),"T",""),
if(countif(us.myc,$D68),"U",""),
if(countif(var.myc,$D68),"V",""))</f>
        <v/>
      </c>
      <c r="Y68" s="32" t="str">
        <f>CONCATENATE(
if(countif(dd.nar,$D68),"D",""),
if(countif(knap.nar,$D68),"K",""),
if(countif(nap.nar,$D68),"N",""),
if(countif(np.nar,$D68),"P",""),
if(countif(imp.nar,$D68),"T",""),
if(countif(us.nar,$D68),"U",""),
if(countif(var.nar,$D68),"V",""))</f>
        <v/>
      </c>
      <c r="Z68" s="33" t="str">
        <f>
CONCATENATE(
if(countif(dd.que,$D68),"D",""),
if(countif(knap.que,$D68),"K",""),
if(countif(mic.que,$D68),"M",""),
if(countif(nap.que,$D68),"N",""),
if(countif(np.que,$D68),"P",""),
if(countif(imp.que,$D68),"T",""),
if(countif(us.que,$D68),"U",""),
if(countif(var.que,$D68),"V",""))</f>
        <v>DN</v>
      </c>
      <c r="AA68" s="32"/>
      <c r="AB68" s="34" t="str">
        <f>
CONCATENATE(if(countif(knap.agi.sim,$D68),"K",""),
if(countif(dd.agi.sim,$D68),"D",""),
if(countif(nap.agi.sim,$D68),"A",""),
if(countif(var.agi.sim,$D68),"V",""))</f>
        <v/>
      </c>
      <c r="AC68" s="34" t="str">
        <f>
if(countif(nap.bun.sim,$D68),"A","")</f>
        <v/>
      </c>
      <c r="AD68" s="34" t="str">
        <f>
CONCATENATE(if(countif(knap.kxn.sim,$D68),"K",""),
if(countif(np.kxn.sim,$D68),"P",""),
if(countif(dd.kxn.sim,$D68),"D",""),
if(countif(nap.kxn.sim,$D68),"A",""),
if(countif(var.kxn.sim,$D68),"V",""))</f>
        <v/>
      </c>
      <c r="AE68" s="34" t="str">
        <f>
CONCATENATE(if(countif(knap.hwb.sim,$D68),"K",""),
if(countif(np.hwb.sim,$D68),"P",""),
if(countif(mic.hwb.sim,$D68),"M",""),
if(countif(imp.hwb.sim,$D68),"T",""),
if(countif(dd.cyan.sim,$D68),"D",""),
if(countif(nap.hwb.sim,$D68),"A",""),
if(countif(var.hwb.sim,$D68),"V",""))</f>
        <v/>
      </c>
      <c r="AF68" s="34" t="str">
        <f>
CONCATENATE(if(countif(us.ekxn.sim,$D68),"U",""),
if(countif(knap.ekxn.sim,$D68),"K",""),
if(countif(np.ekxn.sim,$D68),"P",""),
if(countif(mic.ekxn.sim,$D68),"M",""),
if(countif(imp.epc.sim,$D68),"T",""),
if(countif(nap.ekxn.sim,$D68),"A",""))</f>
        <v/>
      </c>
      <c r="AG68" s="34"/>
      <c r="AH68" s="34" t="str">
        <f>
CONCATENATE(if(countif(us.egt.sim,$D68),"U",""),
if(countif(knap.egt.sim,$D68),"K",""),
if(countif(np.egt.sim,$D68),"P",""),
if(countif(mic.egt.sim,$D68),"M",""))</f>
        <v/>
      </c>
      <c r="AI68" s="34"/>
      <c r="AJ68" s="34" t="str">
        <f>if(countif(nap.ecit.sim,$D68),"A","")</f>
        <v/>
      </c>
      <c r="AK68" s="34" t="str">
        <f>
CONCATENATE(if(countif(nap.erd,$D68),"M",""),
if(countif(nap.erd.sim,$D68),"A",""),
if(countif(var.erd.sim,$D68),"V",""))</f>
        <v/>
      </c>
      <c r="AL68" s="34" t="str">
        <f>
CONCATENATE(if(countif(knap.gkxn.sim,$D68),"K",""),
if(countif(nap.gkxn.sim,$D68),"A",""))</f>
        <v/>
      </c>
      <c r="AM68" s="34" t="str">
        <f>
CONCATENATE(if(countif(knap.gen.sim,$C68),"K",""),
if(countif(imp.gen.sim,$C68),"T",""),
if(countif(dd.gen.sim,$C68),"D",""),
if(countif(nap.gen.sim,$C68),"A",""),
if(countif(var.gen.sim,$C68),"V",""))
</f>
        <v/>
      </c>
      <c r="AN68" s="34" t="str">
        <f>IFERROR(__xludf.DUMMYFUNCTION("
if(countif(#REF!,CONCATENATE(regexextract($C68,""[\w]* [\w]*""), ""*"")),""V"","""")"),"")</f>
        <v/>
      </c>
      <c r="AO68" s="34" t="str">
        <f>
CONCATENATE(if(countif(knap.kmp.sim,$D68),"K",""),
if(countif(np.kmp.sim,$D68),"P",""),
if(countif(imp.kmp.sim,$D68),"T",""),
if(countif(dd.kmp,$D68),"D",""),
if(countif(nap.kmp.sim,$D68),"A",""),
if(countif(var.kmp.sim,$D68),"V",""))</f>
        <v>DAV</v>
      </c>
      <c r="AP68" s="34" t="str">
        <f>
CONCATENATE(if(countif(knap.lu2.sim,$D68),"K",""),
if(countif(np.lu2.sim,$D68),"P",""),
if(countif(imp.lu2.sim,$D68),"T",""),
if(countif(dd.lu2.sim,$D68),"D",""),
if(countif(nap.lu2.sim,$D68),"A",""),
if(countif(var.lu2.sim,$D68),"V",""))</f>
        <v/>
      </c>
      <c r="AQ68" s="34" t="str">
        <f>
CONCATENATE(if(countif(np.myc.sim,$D68),"P",""),
if(countif(imp.myc.sim,$D68),"T",""),
if(countif(nap.myc.sim,$D68),"A",""))
</f>
        <v/>
      </c>
      <c r="AR68" s="36" t="str">
        <f>
CONCATENATE(if(countif(knap.nar.sim,$D68),"K",""),
if(countif(np.nar.sim,$D68),"P",""),
if(countif(imp.nar.sim,$D68),"T",""),
if(countif(dd.nar.sim,$D68),"D",""),
if(countif(nap.nar.sim,$D68),"A",""),
if(countif(var.nar.sim,$D68),"V",""))</f>
        <v/>
      </c>
      <c r="AS68" s="34" t="str">
        <f>
CONCATENATE(if(countif(knap.que.sim,$D68),"K",""),
if(countif(np.que.sim,$D68),"P",""),
if(countif(imp.que.sim,$D68),"T",""),
if(countif(dd.que.sim,$D68),"D",""),
if(countif(nap.que.sim,$D68),"A",""),
if(countif(var.que.sim,$D68),"V",""))</f>
        <v>KDV</v>
      </c>
      <c r="AT68" s="37"/>
      <c r="AU68" s="32" t="str">
        <f>IFERROR(__xludf.DUMMYFUNCTION("if(countif(kr.agi, CONCATENATE(regexextract($C68,""[\w]* [\w]*""), ""*"")),""X"","""")"),"")</f>
        <v/>
      </c>
      <c r="AV68" s="38" t="str">
        <f>IFERROR(__xludf.DUMMYFUNCTION("if(countif(kr.bun,CONCATENATE(regexextract($C68,""[\w]* [\w]*""), ""*"")),""X"","""")"),"X")</f>
        <v>X</v>
      </c>
      <c r="AW68" s="38" t="str">
        <f>IFERROR(__xludf.DUMMYFUNCTION("if(countif(kr.kxn,CONCATENATE(regexextract($C68,""[\w]* [\w]*""), ""*"")),""X"","""")"),"X")</f>
        <v>X</v>
      </c>
      <c r="AX68" s="38" t="str">
        <f>IFERROR(__xludf.DUMMYFUNCTION("if(countif(kr.hwb,CONCATENATE(regexextract($C68,""[\w]* [\w]*""), ""*"")),""X"","""")"),"X")</f>
        <v>X</v>
      </c>
      <c r="AY68" s="38" t="str">
        <f>IFERROR(__xludf.DUMMYFUNCTION("if(countif(kr.ec,CONCATENATE(regexextract($C68,""[\w]* [\w]*""), ""*"")),""X"","""")"),"X")</f>
        <v>X</v>
      </c>
      <c r="AZ68" s="38" t="str">
        <f>IFERROR(__xludf.DUMMYFUNCTION("if(countif(kr.egt,CONCATENATE(regexextract($C68,""[\w]* [\w]*""), ""*"")),""X"","""")"),"X")</f>
        <v>X</v>
      </c>
      <c r="BA68" s="38"/>
      <c r="BB68" s="38" t="str">
        <f>IFERROR(__xludf.DUMMYFUNCTION("if(countif(kr.erd,CONCATENATE(regexextract($C68,""[\w]* [\w]*""), ""*"")),""X"","""")"),"X")</f>
        <v>X</v>
      </c>
      <c r="BC68" s="38" t="str">
        <f>IFERROR(__xludf.DUMMYFUNCTION("if(countif(kr.gkxn,CONCATENATE(regexextract($C68,""[\w]* [\w]*""), ""*"")),""X"","""")"),"X")</f>
        <v>X</v>
      </c>
      <c r="BD68" s="38" t="str">
        <f>IFERROR(__xludf.DUMMYFUNCTION("if(countif(kr.gen,CONCATENATE(regexextract(C68,""[\w]* [\w]*""), ""*"")),""X"","""")"),"")</f>
        <v/>
      </c>
      <c r="BE68" s="38" t="str">
        <f>IFERROR(__xludf.DUMMYFUNCTION("if(countif(kr.hcc,CONCATENATE(regexextract($C68,""[\w]* [\w]*""), ""*"")),""X"","""")"),"X")</f>
        <v>X</v>
      </c>
      <c r="BF68" s="38" t="str">
        <f>IFERROR(__xludf.DUMMYFUNCTION("if(countif(kr.kmp,CONCATENATE(regexextract($C68,""[\w]* [\w]*""), ""*"")),""X"","""")"),"X")</f>
        <v>X</v>
      </c>
      <c r="BG68" s="38" t="str">
        <f>IFERROR(__xludf.DUMMYFUNCTION("if(countif(kr.lu2,CONCATENATE(regexextract($C68,""[\w]* [\w]*""), ""*"")),""X"","""")"),"")</f>
        <v/>
      </c>
      <c r="BH68" s="38" t="str">
        <f>IFERROR(__xludf.DUMMYFUNCTION("if(countif(kr.myc,CONCATENATE(regexextract($C68,""[\w]* [\w]*""), ""*"")),""X"","""")"),"X")</f>
        <v>X</v>
      </c>
      <c r="BI68" s="38" t="str">
        <f>IFERROR(__xludf.DUMMYFUNCTION("if(countif(kr.nar,CONCATENATE(regexextract($C68,""[\w]* [\w]*""), ""*"")),""X"","""")"),"X")</f>
        <v>X</v>
      </c>
      <c r="BJ68" s="38" t="str">
        <f>IFERROR(__xludf.DUMMYFUNCTION("if(countif(kr.que,CONCATENATE(regexextract($C68,""[\w]* [\w]*""), ""*"")),""X"","""")"),"X")</f>
        <v>X</v>
      </c>
      <c r="BK68" s="39"/>
      <c r="BL68" s="40" t="str">
        <f>IFERROR(__xludf.DUMMYFUNCTION(" CONCATENATE( 
if (regexmatch(I68, ""^[A-Za-z\.\_]+""), ""L"", 
if(regexmatch(AB68, ""^[A-Za-z\.\_]+""),""S"","""")),
if(AU68=""X"",""K"",""""))"),"")</f>
        <v/>
      </c>
      <c r="BM68" s="40" t="str">
        <f>IFERROR(__xludf.DUMMYFUNCTION(" CONCATENATE( 
if (regexmatch(J68, ""^[A-Za-z\.\_]+""), ""L"", 
if(regexmatch(AC68, ""^[A-Za-z\.\_]+""),""S"","""")),
if(AV68=""X"",""K"",""""))"),"K")</f>
        <v>K</v>
      </c>
      <c r="BN68" s="40" t="str">
        <f>IFERROR(__xludf.DUMMYFUNCTION(" CONCATENATE( 
if (regexmatch(K68, ""^[A-Za-z\.\_]+""), ""L"", 
if(regexmatch(AD68, ""^[A-Za-z\.\_]+""),""S"","""")),
if(AW68=""X"",""K"",""""))"),"LK")</f>
        <v>LK</v>
      </c>
      <c r="BO68" s="40" t="str">
        <f>IFERROR(__xludf.DUMMYFUNCTION(" CONCATENATE( 
if (regexmatch(L68, ""^[A-Za-z\.\_]+""), ""L"", 
if(regexmatch(AE68, ""^[A-Za-z\.\_]+""),""S"","""")),
if(AX68=""X"",""K"",""""))"),"K")</f>
        <v>K</v>
      </c>
      <c r="BP68" s="40" t="str">
        <f>IFERROR(__xludf.DUMMYFUNCTION(" CONCATENATE( 
if (regexmatch(M68, ""^[A-Za-z\.\_]+""), ""L"", 
if(regexmatch(AF68, ""^[A-Za-z\.\_]+""),""S"","""")),
if(AY68=""X"",""K"",""""))"),"LK")</f>
        <v>LK</v>
      </c>
      <c r="BQ68" s="40" t="str">
        <f>IFERROR(__xludf.DUMMYFUNCTION("CONCATENATE( 
if (regexmatch(O68, ""^[A-Za-z\.\_]+""), ""L"", 
if(regexmatch(AH68, ""^[A-Za-z\.\_]+""),""S"","""")),
if(AZ68=""X"",""K"",""""))"),"K")</f>
        <v>K</v>
      </c>
      <c r="BR68" s="40" t="str">
        <f>IFERROR(__xludf.DUMMYFUNCTION("CONCATENATE( 
if (regexmatch(Q68, ""^[A-Za-z\.\_]+""), ""L"", 
if(regexmatch(AJ68, ""^[A-Za-z\.\_]+""),""S"","""")),
if(BA68=""X"",""K"",""""))"),"")</f>
        <v/>
      </c>
      <c r="BS68" s="40" t="str">
        <f>IFERROR(__xludf.DUMMYFUNCTION(" CONCATENATE( 
if (regexmatch(R68, ""^[A-Za-z\.\_]+""), ""L"", 
if(regexmatch(AK68, ""^[A-Za-z\.\_]+""),""S"","""")),
if(BB68=""X"",""K"",""""))"),"K")</f>
        <v>K</v>
      </c>
      <c r="BT68" s="40" t="str">
        <f>IFERROR(__xludf.DUMMYFUNCTION("CONCATENATE( 
if (regexmatch(S68, ""^[A-Za-z\.\_]+""), ""L"", 
if(regexmatch(AL68, ""^[A-Za-z\.\_]+""),""S"","""")),
if(BC68=""X"",""K"",""""))"),"K")</f>
        <v>K</v>
      </c>
      <c r="BU68" s="40" t="str">
        <f>IFERROR(__xludf.DUMMYFUNCTION("CONCATENATE( 
if (regexmatch(T68, ""^[A-Za-z\.\_]+""), ""L"", 
if(regexmatch(AM68, ""^[A-Za-z\.\_]+""),""S"","""")),
if(BD68=""X"",""K"",""""))"),"")</f>
        <v/>
      </c>
      <c r="BV68" s="40" t="str">
        <f>IFERROR(__xludf.DUMMYFUNCTION("CONCATENATE( 
if (regexmatch(U68, ""^[A-Za-z\.\_]+""), ""L"", 
if(regexmatch(AN68, ""^[A-Za-z\.\_]+""),""S"","""")),
if(BE68=""X"",""K"",""""))"),"K")</f>
        <v>K</v>
      </c>
      <c r="BW68" s="40" t="str">
        <f>IFERROR(__xludf.DUMMYFUNCTION(" CONCATENATE( 
if (regexmatch(V68, ""^[A-Za-z\.\_]+""), ""L"", 
if(regexmatch(AO68, ""^[A-Za-z\.\_]+""),""S"","""")),
if(BF68=""X"",""K"",""""))"),"LK")</f>
        <v>LK</v>
      </c>
      <c r="BX68" s="40" t="str">
        <f>IFERROR(__xludf.DUMMYFUNCTION("CONCATENATE( 
if (regexmatch(W68, ""^[A-Za-z\.\_]+""), ""L"", 
if(regexmatch(AP68, ""^[A-Za-z\.\_]+""),""S"","""")),
if(BG68=""X"",""K"",""""))"),"")</f>
        <v/>
      </c>
      <c r="BY68" s="40" t="str">
        <f>IFERROR(__xludf.DUMMYFUNCTION("CONCATENATE( 
if (regexmatch(X68, ""^[A-Za-z\.\_]+""), ""L"", 
if(regexmatch(AQ68, ""^[A-Za-z\.\_]+""),""S"","""")),
if(BH68=""X"",""K"",""""))"),"K")</f>
        <v>K</v>
      </c>
      <c r="BZ68" s="40" t="str">
        <f>IFERROR(__xludf.DUMMYFUNCTION("CONCATENATE( 
if (regexmatch(Y68, ""^[A-Za-z\.\_]+""), ""L"", 
if(regexmatch(AR68, ""^[A-Za-z\.\_]+""),""S"","""")),
if(BI68=""X"",""K"",""""))"),"K")</f>
        <v>K</v>
      </c>
      <c r="CA68" s="40" t="str">
        <f>IFERROR(__xludf.DUMMYFUNCTION("CONCATENATE( 
if (regexmatch(Z68, ""^[A-Za-z\.\_]+""), ""L"", 
if(regexmatch(AS68, ""^[A-Za-z\.\_]+""),""S"","""")),
if(BJ68=""X"",""K"",""""))"),"LK")</f>
        <v>LK</v>
      </c>
      <c r="CB68" s="39"/>
      <c r="CC68" s="39"/>
      <c r="CD68" s="39"/>
      <c r="CE68" s="39"/>
      <c r="CF68" s="39"/>
      <c r="CG68" s="39"/>
      <c r="CH68" s="39"/>
      <c r="CI68" s="39"/>
      <c r="CJ68" s="39"/>
      <c r="CK68" s="39"/>
      <c r="CL68" s="39"/>
      <c r="CM68" s="39"/>
      <c r="CN68" s="39"/>
      <c r="CO68" s="39"/>
      <c r="CP68" s="39"/>
      <c r="CQ68" s="39"/>
      <c r="CR68" s="39"/>
    </row>
    <row r="69" ht="15.75" customHeight="1">
      <c r="A69" s="25">
        <v>75.0</v>
      </c>
      <c r="B69" s="26" t="s">
        <v>279</v>
      </c>
      <c r="C69" s="41" t="s">
        <v>280</v>
      </c>
      <c r="D69" s="27" t="str">
        <f>IFERROR(__xludf.DUMMYFUNCTION("CONCATENATE(regexextract($C69,""[\w]* [\w]*""), ""*"")"),"Nicotiana tomentosiformis*")</f>
        <v>Nicotiana tomentosiformis*</v>
      </c>
      <c r="E69" s="59" t="s">
        <v>281</v>
      </c>
      <c r="F69" s="58">
        <v>4098.0</v>
      </c>
      <c r="G69" s="53"/>
      <c r="H69" s="31"/>
      <c r="I69" s="32" t="str">
        <f>CONCATENATE(
if(countif(dd.agi,$D69),"D",""),
if(countif(knap.agi,$D69),"K",""),
if(countif(mic.agi,$D69),"M",""),
if(countif(nap.agi,$D69),"N",""),
if(countif(np.agi,$D69),"P",""),
if(countif(imp.agi,$D69),"T",""),
if(countif(us.agi,$D69),"U",""),
if(countif(var.agi,$D69),"V","")
)</f>
        <v/>
      </c>
      <c r="J69" s="32" t="str">
        <f>
CONCATENATE(
if(countif(nap.bun,$D69),"N",""),
if(countif(np.bun,$D69),"P","")
)
</f>
        <v/>
      </c>
      <c r="K69" s="32" t="str">
        <f>CONCATENATE(
if(countif(dd.kxn,$D69),"D",""),
if(countif(knap.kxn,$D69),"K",""),
if(countif(mic.kxn,$D69),"M",""),
if(countif(nap.kxn,$D69),"N",""),
if(countif(np.kxn,$D69),"P",""),
if(countif(us.kxn,$D69),"U",""),
if(countif(var.kxn,$D69),"V","")
)</f>
        <v/>
      </c>
      <c r="L69" s="32" t="str">
        <f>
CONCATENATE(
if(countif(dd.hwb,$D69),"D",""),
if(countif(knap.hwb,$D69),"K",""),
if(countif(mic.hwb,$D69),"M",""),
if(countif(nap.hwb,$D69),"N",""),
if(countif(np.hwb,$D69),"P",""),
if(countif(us.hwb,$D69),"U",""),
if(countif(imp.hwb,$D69),"T",""),
if(countif(var.hwb,$D69),"V","")
)</f>
        <v/>
      </c>
      <c r="M69" s="32" t="str">
        <f>CONCATENATE(
if(countif(dd.epc,$D69),"D",""),
if(countif(knap.ekxn,$D69),"K",""),
if(countif(mic.ekxn,$D69),"M",""),
if(countif(nap.ekxn,$D69),"N",""),
if(countif(np.ekxn,$D69),"P",""),
if(countif(imp.epc,$D69),"T",""),
if(countif(us.ekxn,$D69),"U",""),
if(countif(var.ekxn,$D69),"V","")
)</f>
        <v/>
      </c>
      <c r="N69" s="32" t="str">
        <f>
CONCATENATE(
if(countif(dd.ecg,$D69),"D",""),
if(countif(mic.ecg,$D69),"M",""),
if(countif(np.ecg,$D69),"P",""),
if(countif(imp.ecg,$D69),"T",""),
if(countif(us.ecg,$D69),"U","")
)</f>
        <v/>
      </c>
      <c r="O69" s="32" t="str">
        <f>
CONCATENATE(
if(countif(dd.egt,$D69),"D",""),
if(countif(mic.egt,$D69),"M",""),
if(countif(nap.egt,$D69),"N",""),
if(countif(us.egt,$D69),"U",""),
if(countif(var.egt,$D69),"V",""))
</f>
        <v/>
      </c>
      <c r="P69" s="32" t="str">
        <f>CONCATENATE(
if(countif(knap.egcg,$D69),"K",""),
if(countif(mic.egcg,$D69),"M",""),
if(countif(np.egcg,$D69),"P",""),
if(countif(us.egcg,$D69),"U","")
)</f>
        <v/>
      </c>
      <c r="Q69" s="32" t="str">
        <f>CONCATENATE(if(countif(np.ecit,$D69),"P",""),
if(countif(nap.ecit,$D69),"A",""))</f>
        <v/>
      </c>
      <c r="R69" s="32" t="str">
        <f>
CONCATENATE(
if(countif(nap.erd,$D69),"N",""),
if(countif(np.erd,$D69),"P",""),
if(countif(var.erd,$D69),"V",""))</f>
        <v/>
      </c>
      <c r="S69" s="32" t="str">
        <f>
CONCATENATE(
if(countif(dd.gkxn,$D69),"D",""),
if(countif(knap.gkxn,$D69),"K",""),
if(countif(nap.gkxn,$D69),"N",""),
if(countif(np.gkxn,$D69),"P",""),
if(countif(imp.gkxn,$D69),"T",""),
if(countif(var.gkxn,$D69),"V",""))</f>
        <v/>
      </c>
      <c r="T69" s="32" t="str">
        <f>
CONCATENATE(
if(countif(dd.gen,$C69),"D",""),
if(countif(knap.gen,$C69),"K",""),
if(countif(nap.gen,$C69),"N",""),
if(countif(np.gen,$C69),"P",""),
if(countif(imp.gen,$C69),"T",""),
if(countif(var.gen,$C69),"V",""))</f>
        <v/>
      </c>
      <c r="U69" s="32" t="str">
        <f>
CONCATENATE(
if(countif(dd.hcc,$D69),"D",""),
if(countif(knap.hcc,$D69),"K",""),
if(countif(np.hcc,$D69),"P","")
)
</f>
        <v/>
      </c>
      <c r="V69" s="32" t="str">
        <f>
CONCATENATE(
if(countif(dd.kmp,$D69),"D",""),
if(countif(knap.kmp,$D69),"K",""),
if(countif(mic.kmp,$D69),"M",""),
if(countif(nap.kmp,$D69),"N",""),
if(countif(np.kmp,$D69),"P",""),
if(countif(imp.kmp,$D69),"T",""),
if(countif(us.kmp,$D69),"U",""),
if(countif(var.kmp,$D69),"V",""))</f>
        <v/>
      </c>
      <c r="W69" s="32" t="str">
        <f>
CONCATENATE(
if(countif(dd.lu2,$D69),"D",""),
if(countif(knap.lu2,$D69),"K",""),
if(countif(mic.lu2,$D69),"M",""),
if(countif(nap.lu2,$D69),"N",""),
if(countif(np.lu2,$D69),"P",""),
if(countif(imp.lu2,$D69),"T",""),
if(countif(us.lu2,$D69),"U",""),
if(countif(var.lu2,$D69),"V",""))</f>
        <v/>
      </c>
      <c r="X69" s="32" t="str">
        <f>
CONCATENATE(
if(countif(dd.myc,$D69),"D",""),
if(countif(knap.myc,$D69),"K",""), 
if(countif(mic.myc,$D69),"M",""),
if(countif(nap.myc,$D69),"N",""),
if(countif(np.myc,$D69),"P",""),
if(countif(imp.myc,$D69),"T",""),
if(countif(us.myc,$D69),"U",""),
if(countif(var.myc,$D69),"V",""))</f>
        <v/>
      </c>
      <c r="Y69" s="32" t="str">
        <f>CONCATENATE(
if(countif(dd.nar,$D69),"D",""),
if(countif(knap.nar,$D69),"K",""),
if(countif(nap.nar,$D69),"N",""),
if(countif(np.nar,$D69),"P",""),
if(countif(imp.nar,$D69),"T",""),
if(countif(us.nar,$D69),"U",""),
if(countif(var.nar,$D69),"V",""))</f>
        <v/>
      </c>
      <c r="Z69" s="33" t="str">
        <f>
CONCATENATE(
if(countif(dd.que,$D69),"D",""),
if(countif(knap.que,$D69),"K",""),
if(countif(mic.que,$D69),"M",""),
if(countif(nap.que,$D69),"N",""),
if(countif(np.que,$D69),"P",""),
if(countif(imp.que,$D69),"T",""),
if(countif(us.que,$D69),"U",""),
if(countif(var.que,$D69),"V",""))</f>
        <v/>
      </c>
      <c r="AA69" s="32"/>
      <c r="AB69" s="34" t="str">
        <f>
CONCATENATE(if(countif(knap.agi.sim,$D69),"K",""),
if(countif(dd.agi.sim,$D69),"D",""),
if(countif(nap.agi.sim,$D69),"A",""),
if(countif(var.agi.sim,$D69),"V",""))</f>
        <v/>
      </c>
      <c r="AC69" s="34" t="str">
        <f>
if(countif(nap.bun.sim,$D69),"A","")</f>
        <v/>
      </c>
      <c r="AD69" s="34" t="str">
        <f>
CONCATENATE(if(countif(knap.kxn.sim,$D69),"K",""),
if(countif(np.kxn.sim,$D69),"P",""),
if(countif(dd.kxn.sim,$D69),"D",""),
if(countif(nap.kxn.sim,$D69),"A",""),
if(countif(var.kxn.sim,$D69),"V",""))</f>
        <v/>
      </c>
      <c r="AE69" s="34" t="str">
        <f>
CONCATENATE(if(countif(knap.hwb.sim,$D69),"K",""),
if(countif(np.hwb.sim,$D69),"P",""),
if(countif(mic.hwb.sim,$D69),"M",""),
if(countif(imp.hwb.sim,$D69),"T",""),
if(countif(dd.cyan.sim,$D69),"D",""),
if(countif(nap.hwb.sim,$D69),"A",""),
if(countif(var.hwb.sim,$D69),"V",""))</f>
        <v/>
      </c>
      <c r="AF69" s="34" t="str">
        <f>
CONCATENATE(if(countif(us.ekxn.sim,$D69),"U",""),
if(countif(knap.ekxn.sim,$D69),"K",""),
if(countif(np.ekxn.sim,$D69),"P",""),
if(countif(mic.ekxn.sim,$D69),"M",""),
if(countif(imp.epc.sim,$D69),"T",""),
if(countif(nap.ekxn.sim,$D69),"A",""))</f>
        <v/>
      </c>
      <c r="AG69" s="34"/>
      <c r="AH69" s="34" t="str">
        <f>
CONCATENATE(if(countif(us.egt.sim,$D69),"U",""),
if(countif(knap.egt.sim,$D69),"K",""),
if(countif(np.egt.sim,$D69),"P",""),
if(countif(mic.egt.sim,$D69),"M",""))</f>
        <v/>
      </c>
      <c r="AI69" s="34"/>
      <c r="AJ69" s="34" t="str">
        <f>if(countif(nap.ecit.sim,$D69),"A","")</f>
        <v/>
      </c>
      <c r="AK69" s="34" t="str">
        <f>
CONCATENATE(if(countif(nap.erd,$D69),"M",""),
if(countif(nap.erd.sim,$D69),"A",""),
if(countif(var.erd.sim,$D69),"V",""))</f>
        <v/>
      </c>
      <c r="AL69" s="34" t="str">
        <f>
CONCATENATE(if(countif(knap.gkxn.sim,$D69),"K",""),
if(countif(nap.gkxn.sim,$D69),"A",""))</f>
        <v/>
      </c>
      <c r="AM69" s="34" t="str">
        <f>
CONCATENATE(if(countif(knap.gen.sim,$C69),"K",""),
if(countif(imp.gen.sim,$C69),"T",""),
if(countif(dd.gen.sim,$C69),"D",""),
if(countif(nap.gen.sim,$C69),"A",""),
if(countif(var.gen.sim,$C69),"V",""))
</f>
        <v/>
      </c>
      <c r="AN69" s="34" t="str">
        <f>IFERROR(__xludf.DUMMYFUNCTION("
if(countif(#REF!,CONCATENATE(regexextract($C69,""[\w]* [\w]*""), ""*"")),""V"","""")"),"")</f>
        <v/>
      </c>
      <c r="AO69" s="34" t="str">
        <f>
CONCATENATE(if(countif(knap.kmp.sim,$D69),"K",""),
if(countif(np.kmp.sim,$D69),"P",""),
if(countif(imp.kmp.sim,$D69),"T",""),
if(countif(dd.kmp,$D69),"D",""),
if(countif(nap.kmp.sim,$D69),"A",""),
if(countif(var.kmp.sim,$D69),"V",""))</f>
        <v/>
      </c>
      <c r="AP69" s="34" t="str">
        <f>
CONCATENATE(if(countif(knap.lu2.sim,$D69),"K",""),
if(countif(np.lu2.sim,$D69),"P",""),
if(countif(imp.lu2.sim,$D69),"T",""),
if(countif(dd.lu2.sim,$D69),"D",""),
if(countif(nap.lu2.sim,$D69),"A",""),
if(countif(var.lu2.sim,$D69),"V",""))</f>
        <v/>
      </c>
      <c r="AQ69" s="34" t="str">
        <f>
CONCATENATE(if(countif(np.myc.sim,$D69),"P",""),
if(countif(imp.myc.sim,$D69),"T",""),
if(countif(nap.myc.sim,$D69),"A",""))
</f>
        <v/>
      </c>
      <c r="AR69" s="36" t="str">
        <f>
CONCATENATE(if(countif(knap.nar.sim,$D69),"K",""),
if(countif(np.nar.sim,$D69),"P",""),
if(countif(imp.nar.sim,$D69),"T",""),
if(countif(dd.nar.sim,$D69),"D",""),
if(countif(nap.nar.sim,$D69),"A",""),
if(countif(var.nar.sim,$D69),"V",""))</f>
        <v/>
      </c>
      <c r="AS69" s="34" t="str">
        <f>
CONCATENATE(if(countif(knap.que.sim,$D69),"K",""),
if(countif(np.que.sim,$D69),"P",""),
if(countif(imp.que.sim,$D69),"T",""),
if(countif(dd.que.sim,$D69),"D",""),
if(countif(nap.que.sim,$D69),"A",""),
if(countif(var.que.sim,$D69),"V",""))</f>
        <v/>
      </c>
      <c r="AT69" s="37"/>
      <c r="AU69" s="32" t="str">
        <f>IFERROR(__xludf.DUMMYFUNCTION("if(countif(kr.agi, CONCATENATE(regexextract($C69,""[\w]* [\w]*""), ""*"")),""X"","""")"),"")</f>
        <v/>
      </c>
      <c r="AV69" s="38" t="str">
        <f>IFERROR(__xludf.DUMMYFUNCTION("if(countif(kr.bun,CONCATENATE(regexextract($C69,""[\w]* [\w]*""), ""*"")),""X"","""")"),"X")</f>
        <v>X</v>
      </c>
      <c r="AW69" s="38" t="str">
        <f>IFERROR(__xludf.DUMMYFUNCTION("if(countif(kr.kxn,CONCATENATE(regexextract($C69,""[\w]* [\w]*""), ""*"")),""X"","""")"),"X")</f>
        <v>X</v>
      </c>
      <c r="AX69" s="38" t="str">
        <f>IFERROR(__xludf.DUMMYFUNCTION("if(countif(kr.hwb,CONCATENATE(regexextract($C69,""[\w]* [\w]*""), ""*"")),""X"","""")"),"X")</f>
        <v>X</v>
      </c>
      <c r="AY69" s="38" t="str">
        <f>IFERROR(__xludf.DUMMYFUNCTION("if(countif(kr.ec,CONCATENATE(regexextract($C69,""[\w]* [\w]*""), ""*"")),""X"","""")"),"X")</f>
        <v>X</v>
      </c>
      <c r="AZ69" s="38" t="str">
        <f>IFERROR(__xludf.DUMMYFUNCTION("if(countif(kr.egt,CONCATENATE(regexextract($C69,""[\w]* [\w]*""), ""*"")),""X"","""")"),"X")</f>
        <v>X</v>
      </c>
      <c r="BA69" s="38"/>
      <c r="BB69" s="38" t="str">
        <f>IFERROR(__xludf.DUMMYFUNCTION("if(countif(kr.erd,CONCATENATE(regexextract($C69,""[\w]* [\w]*""), ""*"")),""X"","""")"),"X")</f>
        <v>X</v>
      </c>
      <c r="BC69" s="38" t="str">
        <f>IFERROR(__xludf.DUMMYFUNCTION("if(countif(kr.gkxn,CONCATENATE(regexextract($C69,""[\w]* [\w]*""), ""*"")),""X"","""")"),"X")</f>
        <v>X</v>
      </c>
      <c r="BD69" s="38" t="str">
        <f>IFERROR(__xludf.DUMMYFUNCTION("if(countif(kr.gen,CONCATENATE(regexextract(C69,""[\w]* [\w]*""), ""*"")),""X"","""")"),"")</f>
        <v/>
      </c>
      <c r="BE69" s="38" t="str">
        <f>IFERROR(__xludf.DUMMYFUNCTION("if(countif(kr.hcc,CONCATENATE(regexextract($C69,""[\w]* [\w]*""), ""*"")),""X"","""")"),"X")</f>
        <v>X</v>
      </c>
      <c r="BF69" s="38" t="str">
        <f>IFERROR(__xludf.DUMMYFUNCTION("if(countif(kr.kmp,CONCATENATE(regexextract($C69,""[\w]* [\w]*""), ""*"")),""X"","""")"),"X")</f>
        <v>X</v>
      </c>
      <c r="BG69" s="38" t="str">
        <f>IFERROR(__xludf.DUMMYFUNCTION("if(countif(kr.lu2,CONCATENATE(regexextract($C69,""[\w]* [\w]*""), ""*"")),""X"","""")"),"")</f>
        <v/>
      </c>
      <c r="BH69" s="38" t="str">
        <f>IFERROR(__xludf.DUMMYFUNCTION("if(countif(kr.myc,CONCATENATE(regexextract($C69,""[\w]* [\w]*""), ""*"")),""X"","""")"),"X")</f>
        <v>X</v>
      </c>
      <c r="BI69" s="38" t="str">
        <f>IFERROR(__xludf.DUMMYFUNCTION("if(countif(kr.nar,CONCATENATE(regexextract($C69,""[\w]* [\w]*""), ""*"")),""X"","""")"),"X")</f>
        <v>X</v>
      </c>
      <c r="BJ69" s="38" t="str">
        <f>IFERROR(__xludf.DUMMYFUNCTION("if(countif(kr.que,CONCATENATE(regexextract($C69,""[\w]* [\w]*""), ""*"")),""X"","""")"),"X")</f>
        <v>X</v>
      </c>
      <c r="BK69" s="39"/>
      <c r="BL69" s="40" t="str">
        <f>IFERROR(__xludf.DUMMYFUNCTION(" CONCATENATE( 
if (regexmatch(I69, ""^[A-Za-z\.\_]+""), ""L"", 
if(regexmatch(AB69, ""^[A-Za-z\.\_]+""),""S"","""")),
if(AU69=""X"",""K"",""""))"),"")</f>
        <v/>
      </c>
      <c r="BM69" s="40" t="str">
        <f>IFERROR(__xludf.DUMMYFUNCTION(" CONCATENATE( 
if (regexmatch(J69, ""^[A-Za-z\.\_]+""), ""L"", 
if(regexmatch(AC69, ""^[A-Za-z\.\_]+""),""S"","""")),
if(AV69=""X"",""K"",""""))"),"K")</f>
        <v>K</v>
      </c>
      <c r="BN69" s="40" t="str">
        <f>IFERROR(__xludf.DUMMYFUNCTION(" CONCATENATE( 
if (regexmatch(K69, ""^[A-Za-z\.\_]+""), ""L"", 
if(regexmatch(AD69, ""^[A-Za-z\.\_]+""),""S"","""")),
if(AW69=""X"",""K"",""""))"),"K")</f>
        <v>K</v>
      </c>
      <c r="BO69" s="40" t="str">
        <f>IFERROR(__xludf.DUMMYFUNCTION(" CONCATENATE( 
if (regexmatch(L69, ""^[A-Za-z\.\_]+""), ""L"", 
if(regexmatch(AE69, ""^[A-Za-z\.\_]+""),""S"","""")),
if(AX69=""X"",""K"",""""))"),"K")</f>
        <v>K</v>
      </c>
      <c r="BP69" s="40" t="str">
        <f>IFERROR(__xludf.DUMMYFUNCTION(" CONCATENATE( 
if (regexmatch(M69, ""^[A-Za-z\.\_]+""), ""L"", 
if(regexmatch(AF69, ""^[A-Za-z\.\_]+""),""S"","""")),
if(AY69=""X"",""K"",""""))"),"K")</f>
        <v>K</v>
      </c>
      <c r="BQ69" s="40" t="str">
        <f>IFERROR(__xludf.DUMMYFUNCTION("CONCATENATE( 
if (regexmatch(O69, ""^[A-Za-z\.\_]+""), ""L"", 
if(regexmatch(AH69, ""^[A-Za-z\.\_]+""),""S"","""")),
if(AZ69=""X"",""K"",""""))"),"K")</f>
        <v>K</v>
      </c>
      <c r="BR69" s="40" t="str">
        <f>IFERROR(__xludf.DUMMYFUNCTION("CONCATENATE( 
if (regexmatch(Q69, ""^[A-Za-z\.\_]+""), ""L"", 
if(regexmatch(AJ69, ""^[A-Za-z\.\_]+""),""S"","""")),
if(BA69=""X"",""K"",""""))"),"")</f>
        <v/>
      </c>
      <c r="BS69" s="40" t="str">
        <f>IFERROR(__xludf.DUMMYFUNCTION(" CONCATENATE( 
if (regexmatch(R69, ""^[A-Za-z\.\_]+""), ""L"", 
if(regexmatch(AK69, ""^[A-Za-z\.\_]+""),""S"","""")),
if(BB69=""X"",""K"",""""))"),"K")</f>
        <v>K</v>
      </c>
      <c r="BT69" s="40" t="str">
        <f>IFERROR(__xludf.DUMMYFUNCTION("CONCATENATE( 
if (regexmatch(S69, ""^[A-Za-z\.\_]+""), ""L"", 
if(regexmatch(AL69, ""^[A-Za-z\.\_]+""),""S"","""")),
if(BC69=""X"",""K"",""""))"),"K")</f>
        <v>K</v>
      </c>
      <c r="BU69" s="40" t="str">
        <f>IFERROR(__xludf.DUMMYFUNCTION("CONCATENATE( 
if (regexmatch(T69, ""^[A-Za-z\.\_]+""), ""L"", 
if(regexmatch(AM69, ""^[A-Za-z\.\_]+""),""S"","""")),
if(BD69=""X"",""K"",""""))"),"")</f>
        <v/>
      </c>
      <c r="BV69" s="40" t="str">
        <f>IFERROR(__xludf.DUMMYFUNCTION("CONCATENATE( 
if (regexmatch(U69, ""^[A-Za-z\.\_]+""), ""L"", 
if(regexmatch(AN69, ""^[A-Za-z\.\_]+""),""S"","""")),
if(BE69=""X"",""K"",""""))"),"K")</f>
        <v>K</v>
      </c>
      <c r="BW69" s="40" t="str">
        <f>IFERROR(__xludf.DUMMYFUNCTION(" CONCATENATE( 
if (regexmatch(V69, ""^[A-Za-z\.\_]+""), ""L"", 
if(regexmatch(AO69, ""^[A-Za-z\.\_]+""),""S"","""")),
if(BF69=""X"",""K"",""""))"),"K")</f>
        <v>K</v>
      </c>
      <c r="BX69" s="40" t="str">
        <f>IFERROR(__xludf.DUMMYFUNCTION("CONCATENATE( 
if (regexmatch(W69, ""^[A-Za-z\.\_]+""), ""L"", 
if(regexmatch(AP69, ""^[A-Za-z\.\_]+""),""S"","""")),
if(BG69=""X"",""K"",""""))"),"")</f>
        <v/>
      </c>
      <c r="BY69" s="40" t="str">
        <f>IFERROR(__xludf.DUMMYFUNCTION("CONCATENATE( 
if (regexmatch(X69, ""^[A-Za-z\.\_]+""), ""L"", 
if(regexmatch(AQ69, ""^[A-Za-z\.\_]+""),""S"","""")),
if(BH69=""X"",""K"",""""))"),"K")</f>
        <v>K</v>
      </c>
      <c r="BZ69" s="40" t="str">
        <f>IFERROR(__xludf.DUMMYFUNCTION("CONCATENATE( 
if (regexmatch(Y69, ""^[A-Za-z\.\_]+""), ""L"", 
if(regexmatch(AR69, ""^[A-Za-z\.\_]+""),""S"","""")),
if(BI69=""X"",""K"",""""))"),"K")</f>
        <v>K</v>
      </c>
      <c r="CA69" s="40" t="str">
        <f>IFERROR(__xludf.DUMMYFUNCTION("CONCATENATE( 
if (regexmatch(Z69, ""^[A-Za-z\.\_]+""), ""L"", 
if(regexmatch(AS69, ""^[A-Za-z\.\_]+""),""S"","""")),
if(BJ69=""X"",""K"",""""))"),"K")</f>
        <v>K</v>
      </c>
      <c r="CB69" s="39"/>
      <c r="CC69" s="39"/>
      <c r="CD69" s="39"/>
      <c r="CE69" s="39"/>
      <c r="CF69" s="39"/>
      <c r="CG69" s="39"/>
      <c r="CH69" s="39"/>
      <c r="CI69" s="39"/>
      <c r="CJ69" s="39"/>
      <c r="CK69" s="39"/>
      <c r="CL69" s="39"/>
      <c r="CM69" s="39"/>
      <c r="CN69" s="39"/>
      <c r="CO69" s="39"/>
      <c r="CP69" s="39"/>
      <c r="CQ69" s="39"/>
      <c r="CR69" s="39"/>
    </row>
    <row r="70" ht="15.75" customHeight="1">
      <c r="A70" s="25">
        <v>84.0</v>
      </c>
      <c r="B70" s="26" t="s">
        <v>282</v>
      </c>
      <c r="C70" s="27" t="s">
        <v>283</v>
      </c>
      <c r="D70" s="27" t="str">
        <f>IFERROR(__xludf.DUMMYFUNCTION("CONCATENATE(regexextract($C70,""[\w]* [\w]*""), ""*"")"),"Olea europaea*")</f>
        <v>Olea europaea*</v>
      </c>
      <c r="E70" s="59" t="s">
        <v>284</v>
      </c>
      <c r="F70" s="57">
        <v>158386.0</v>
      </c>
      <c r="G70" s="53"/>
      <c r="H70" s="31"/>
      <c r="I70" s="32" t="str">
        <f>CONCATENATE(
if(countif(dd.agi,$D70),"D",""),
if(countif(knap.agi,$D70),"K",""),
if(countif(mic.agi,$D70),"M",""),
if(countif(nap.agi,$D70),"N",""),
if(countif(np.agi,$D70),"P",""),
if(countif(imp.agi,$D70),"T",""),
if(countif(us.agi,$D70),"U",""),
if(countif(var.agi,$D70),"V","")
)</f>
        <v>DNTV</v>
      </c>
      <c r="J70" s="32" t="str">
        <f>
CONCATENATE(
if(countif(nap.bun,$D70),"N",""),
if(countif(np.bun,$D70),"P","")
)
</f>
        <v/>
      </c>
      <c r="K70" s="32" t="str">
        <f>CONCATENATE(
if(countif(dd.kxn,$D70),"D",""),
if(countif(knap.kxn,$D70),"K",""),
if(countif(mic.kxn,$D70),"M",""),
if(countif(nap.kxn,$D70),"N",""),
if(countif(np.kxn,$D70),"P",""),
if(countif(us.kxn,$D70),"U",""),
if(countif(var.kxn,$D70),"V","")
)</f>
        <v>D</v>
      </c>
      <c r="L70" s="32" t="str">
        <f>
CONCATENATE(
if(countif(dd.hwb,$D70),"D",""),
if(countif(knap.hwb,$D70),"K",""),
if(countif(mic.hwb,$D70),"M",""),
if(countif(nap.hwb,$D70),"N",""),
if(countif(np.hwb,$D70),"P",""),
if(countif(us.hwb,$D70),"U",""),
if(countif(imp.hwb,$D70),"T",""),
if(countif(var.hwb,$D70),"V","")
)</f>
        <v>N</v>
      </c>
      <c r="M70" s="32" t="str">
        <f>CONCATENATE(
if(countif(dd.epc,$D70),"D",""),
if(countif(knap.ekxn,$D70),"K",""),
if(countif(mic.ekxn,$D70),"M",""),
if(countif(nap.ekxn,$D70),"N",""),
if(countif(np.ekxn,$D70),"P",""),
if(countif(imp.epc,$D70),"T",""),
if(countif(us.ekxn,$D70),"U",""),
if(countif(var.ekxn,$D70),"V","")
)</f>
        <v/>
      </c>
      <c r="N70" s="32" t="str">
        <f>
CONCATENATE(
if(countif(dd.ecg,$D70),"D",""),
if(countif(mic.ecg,$D70),"M",""),
if(countif(np.ecg,$D70),"P",""),
if(countif(imp.ecg,$D70),"T",""),
if(countif(us.ecg,$D70),"U","")
)</f>
        <v/>
      </c>
      <c r="O70" s="32" t="str">
        <f>
CONCATENATE(
if(countif(dd.egt,$D70),"D",""),
if(countif(mic.egt,$D70),"M",""),
if(countif(nap.egt,$D70),"N",""),
if(countif(us.egt,$D70),"U",""),
if(countif(var.egt,$D70),"V",""))
</f>
        <v/>
      </c>
      <c r="P70" s="32" t="str">
        <f>CONCATENATE(
if(countif(knap.egcg,$D70),"K",""),
if(countif(mic.egcg,$D70),"M",""),
if(countif(np.egcg,$D70),"P",""),
if(countif(us.egcg,$D70),"U","")
)</f>
        <v/>
      </c>
      <c r="Q70" s="32" t="str">
        <f>CONCATENATE(if(countif(np.ecit,$D70),"P",""),
if(countif(nap.ecit,$D70),"A",""))</f>
        <v/>
      </c>
      <c r="R70" s="32" t="str">
        <f>
CONCATENATE(
if(countif(nap.erd,$D70),"N",""),
if(countif(np.erd,$D70),"P",""),
if(countif(var.erd,$D70),"V",""))</f>
        <v/>
      </c>
      <c r="S70" s="32" t="str">
        <f>
CONCATENATE(
if(countif(dd.gkxn,$D70),"D",""),
if(countif(knap.gkxn,$D70),"K",""),
if(countif(nap.gkxn,$D70),"N",""),
if(countif(np.gkxn,$D70),"P",""),
if(countif(imp.gkxn,$D70),"T",""),
if(countif(var.gkxn,$D70),"V",""))</f>
        <v/>
      </c>
      <c r="T70" s="32" t="str">
        <f>
CONCATENATE(
if(countif(dd.gen,$C70),"D",""),
if(countif(knap.gen,$C70),"K",""),
if(countif(nap.gen,$C70),"N",""),
if(countif(np.gen,$C70),"P",""),
if(countif(imp.gen,$C70),"T",""),
if(countif(var.gen,$C70),"V",""))</f>
        <v/>
      </c>
      <c r="U70" s="32" t="str">
        <f>
CONCATENATE(
if(countif(dd.hcc,$D70),"D",""),
if(countif(knap.hcc,$D70),"K",""),
if(countif(np.hcc,$D70),"P","")
)
</f>
        <v/>
      </c>
      <c r="V70" s="32" t="str">
        <f>
CONCATENATE(
if(countif(dd.kmp,$D70),"D",""),
if(countif(knap.kmp,$D70),"K",""),
if(countif(mic.kmp,$D70),"M",""),
if(countif(nap.kmp,$D70),"N",""),
if(countif(np.kmp,$D70),"P",""),
if(countif(imp.kmp,$D70),"T",""),
if(countif(us.kmp,$D70),"U",""),
if(countif(var.kmp,$D70),"V",""))</f>
        <v>N</v>
      </c>
      <c r="W70" s="32" t="str">
        <f>
CONCATENATE(
if(countif(dd.lu2,$D70),"D",""),
if(countif(knap.lu2,$D70),"K",""),
if(countif(mic.lu2,$D70),"M",""),
if(countif(nap.lu2,$D70),"N",""),
if(countif(np.lu2,$D70),"P",""),
if(countif(imp.lu2,$D70),"T",""),
if(countif(us.lu2,$D70),"U",""),
if(countif(var.lu2,$D70),"V",""))</f>
        <v>DMNUV</v>
      </c>
      <c r="X70" s="32" t="str">
        <f>
CONCATENATE(
if(countif(dd.myc,$D70),"D",""),
if(countif(knap.myc,$D70),"K",""), 
if(countif(mic.myc,$D70),"M",""),
if(countif(nap.myc,$D70),"N",""),
if(countif(np.myc,$D70),"P",""),
if(countif(imp.myc,$D70),"T",""),
if(countif(us.myc,$D70),"U",""),
if(countif(var.myc,$D70),"V",""))</f>
        <v/>
      </c>
      <c r="Y70" s="32" t="str">
        <f>CONCATENATE(
if(countif(dd.nar,$D70),"D",""),
if(countif(knap.nar,$D70),"K",""),
if(countif(nap.nar,$D70),"N",""),
if(countif(np.nar,$D70),"P",""),
if(countif(imp.nar,$D70),"T",""),
if(countif(us.nar,$D70),"U",""),
if(countif(var.nar,$D70),"V",""))</f>
        <v>V</v>
      </c>
      <c r="Z70" s="33" t="str">
        <f>
CONCATENATE(
if(countif(dd.que,$D70),"D",""),
if(countif(knap.que,$D70),"K",""),
if(countif(mic.que,$D70),"M",""),
if(countif(nap.que,$D70),"N",""),
if(countif(np.que,$D70),"P",""),
if(countif(imp.que,$D70),"T",""),
if(countif(us.que,$D70),"U",""),
if(countif(var.que,$D70),"V",""))</f>
        <v>DNV</v>
      </c>
      <c r="AA70" s="32"/>
      <c r="AB70" s="34" t="str">
        <f>
CONCATENATE(if(countif(knap.agi.sim,$D70),"K",""),
if(countif(dd.agi.sim,$D70),"D",""),
if(countif(nap.agi.sim,$D70),"A",""),
if(countif(var.agi.sim,$D70),"V",""))</f>
        <v>DAV</v>
      </c>
      <c r="AC70" s="34" t="str">
        <f>
if(countif(nap.bun.sim,$D70),"A","")</f>
        <v/>
      </c>
      <c r="AD70" s="34" t="str">
        <f>
CONCATENATE(if(countif(knap.kxn.sim,$D70),"K",""),
if(countif(np.kxn.sim,$D70),"P",""),
if(countif(dd.kxn.sim,$D70),"D",""),
if(countif(nap.kxn.sim,$D70),"A",""),
if(countif(var.kxn.sim,$D70),"V",""))</f>
        <v/>
      </c>
      <c r="AE70" s="34" t="str">
        <f>
CONCATENATE(if(countif(knap.hwb.sim,$D70),"K",""),
if(countif(np.hwb.sim,$D70),"P",""),
if(countif(mic.hwb.sim,$D70),"M",""),
if(countif(imp.hwb.sim,$D70),"T",""),
if(countif(dd.cyan.sim,$D70),"D",""),
if(countif(nap.hwb.sim,$D70),"A",""),
if(countif(var.hwb.sim,$D70),"V",""))</f>
        <v>DA</v>
      </c>
      <c r="AF70" s="34" t="str">
        <f>
CONCATENATE(if(countif(us.ekxn.sim,$D70),"U",""),
if(countif(knap.ekxn.sim,$D70),"K",""),
if(countif(np.ekxn.sim,$D70),"P",""),
if(countif(mic.ekxn.sim,$D70),"M",""),
if(countif(imp.epc.sim,$D70),"T",""),
if(countif(nap.ekxn.sim,$D70),"A",""))</f>
        <v/>
      </c>
      <c r="AG70" s="34"/>
      <c r="AH70" s="34" t="str">
        <f>
CONCATENATE(if(countif(us.egt.sim,$D70),"U",""),
if(countif(knap.egt.sim,$D70),"K",""),
if(countif(np.egt.sim,$D70),"P",""),
if(countif(mic.egt.sim,$D70),"M",""))</f>
        <v/>
      </c>
      <c r="AI70" s="34"/>
      <c r="AJ70" s="34" t="str">
        <f>if(countif(nap.ecit.sim,$D70),"A","")</f>
        <v/>
      </c>
      <c r="AK70" s="34" t="str">
        <f>
CONCATENATE(if(countif(nap.erd,$D70),"M",""),
if(countif(nap.erd.sim,$D70),"A",""),
if(countif(var.erd.sim,$D70),"V",""))</f>
        <v/>
      </c>
      <c r="AL70" s="34" t="str">
        <f>
CONCATENATE(if(countif(knap.gkxn.sim,$D70),"K",""),
if(countif(nap.gkxn.sim,$D70),"A",""))</f>
        <v/>
      </c>
      <c r="AM70" s="34" t="str">
        <f>
CONCATENATE(if(countif(knap.gen.sim,$C70),"K",""),
if(countif(imp.gen.sim,$C70),"T",""),
if(countif(dd.gen.sim,$C70),"D",""),
if(countif(nap.gen.sim,$C70),"A",""),
if(countif(var.gen.sim,$C70),"V",""))
</f>
        <v/>
      </c>
      <c r="AN70" s="34" t="str">
        <f>IFERROR(__xludf.DUMMYFUNCTION("
if(countif(#REF!,CONCATENATE(regexextract($C70,""[\w]* [\w]*""), ""*"")),""V"","""")"),"")</f>
        <v/>
      </c>
      <c r="AO70" s="34" t="str">
        <f>
CONCATENATE(if(countif(knap.kmp.sim,$D70),"K",""),
if(countif(np.kmp.sim,$D70),"P",""),
if(countif(imp.kmp.sim,$D70),"T",""),
if(countif(dd.kmp,$D70),"D",""),
if(countif(nap.kmp.sim,$D70),"A",""),
if(countif(var.kmp.sim,$D70),"V",""))</f>
        <v/>
      </c>
      <c r="AP70" s="34" t="str">
        <f>
CONCATENATE(if(countif(knap.lu2.sim,$D70),"K",""),
if(countif(np.lu2.sim,$D70),"P",""),
if(countif(imp.lu2.sim,$D70),"T",""),
if(countif(dd.lu2.sim,$D70),"D",""),
if(countif(nap.lu2.sim,$D70),"A",""),
if(countif(var.lu2.sim,$D70),"V",""))</f>
        <v>DAV</v>
      </c>
      <c r="AQ70" s="34" t="str">
        <f>
CONCATENATE(if(countif(np.myc.sim,$D70),"P",""),
if(countif(imp.myc.sim,$D70),"T",""),
if(countif(nap.myc.sim,$D70),"A",""))
</f>
        <v/>
      </c>
      <c r="AR70" s="36" t="str">
        <f>
CONCATENATE(if(countif(knap.nar.sim,$D70),"K",""),
if(countif(np.nar.sim,$D70),"P",""),
if(countif(imp.nar.sim,$D70),"T",""),
if(countif(dd.nar.sim,$D70),"D",""),
if(countif(nap.nar.sim,$D70),"A",""),
if(countif(var.nar.sim,$D70),"V",""))</f>
        <v/>
      </c>
      <c r="AS70" s="34" t="str">
        <f>
CONCATENATE(if(countif(knap.que.sim,$D70),"K",""),
if(countif(np.que.sim,$D70),"P",""),
if(countif(imp.que.sim,$D70),"T",""),
if(countif(dd.que.sim,$D70),"D",""),
if(countif(nap.que.sim,$D70),"A",""),
if(countif(var.que.sim,$D70),"V",""))</f>
        <v>DV</v>
      </c>
      <c r="AT70" s="37"/>
      <c r="AU70" s="32" t="str">
        <f>IFERROR(__xludf.DUMMYFUNCTION("if(countif(kr.agi, CONCATENATE(regexextract($C70,""[\w]* [\w]*""), ""*"")),""X"","""")"),"X")</f>
        <v>X</v>
      </c>
      <c r="AV70" s="38" t="str">
        <f>IFERROR(__xludf.DUMMYFUNCTION("if(countif(kr.bun,CONCATENATE(regexextract($C70,""[\w]* [\w]*""), ""*"")),""X"","""")"),"X")</f>
        <v>X</v>
      </c>
      <c r="AW70" s="38" t="str">
        <f>IFERROR(__xludf.DUMMYFUNCTION("if(countif(kr.kxn,CONCATENATE(regexextract($C70,""[\w]* [\w]*""), ""*"")),""X"","""")"),"X")</f>
        <v>X</v>
      </c>
      <c r="AX70" s="38" t="str">
        <f>IFERROR(__xludf.DUMMYFUNCTION("if(countif(kr.hwb,CONCATENATE(regexextract($C70,""[\w]* [\w]*""), ""*"")),""X"","""")"),"X")</f>
        <v>X</v>
      </c>
      <c r="AY70" s="38" t="str">
        <f>IFERROR(__xludf.DUMMYFUNCTION("if(countif(kr.ec,CONCATENATE(regexextract($C70,""[\w]* [\w]*""), ""*"")),""X"","""")"),"")</f>
        <v/>
      </c>
      <c r="AZ70" s="38" t="str">
        <f>IFERROR(__xludf.DUMMYFUNCTION("if(countif(kr.egt,CONCATENATE(regexextract($C70,""[\w]* [\w]*""), ""*"")),""X"","""")"),"")</f>
        <v/>
      </c>
      <c r="BA70" s="38"/>
      <c r="BB70" s="38" t="str">
        <f>IFERROR(__xludf.DUMMYFUNCTION("if(countif(kr.erd,CONCATENATE(regexextract($C70,""[\w]* [\w]*""), ""*"")),""X"","""")"),"X")</f>
        <v>X</v>
      </c>
      <c r="BC70" s="38" t="str">
        <f>IFERROR(__xludf.DUMMYFUNCTION("if(countif(kr.gkxn,CONCATENATE(regexextract($C70,""[\w]* [\w]*""), ""*"")),""X"","""")"),"")</f>
        <v/>
      </c>
      <c r="BD70" s="38" t="str">
        <f>IFERROR(__xludf.DUMMYFUNCTION("if(countif(kr.gen,CONCATENATE(regexextract(C70,""[\w]* [\w]*""), ""*"")),""X"","""")"),"")</f>
        <v/>
      </c>
      <c r="BE70" s="38" t="str">
        <f>IFERROR(__xludf.DUMMYFUNCTION("if(countif(kr.hcc,CONCATENATE(regexextract($C70,""[\w]* [\w]*""), ""*"")),""X"","""")"),"X")</f>
        <v>X</v>
      </c>
      <c r="BF70" s="38" t="str">
        <f>IFERROR(__xludf.DUMMYFUNCTION("if(countif(kr.kmp,CONCATENATE(regexextract($C70,""[\w]* [\w]*""), ""*"")),""X"","""")"),"X")</f>
        <v>X</v>
      </c>
      <c r="BG70" s="38" t="str">
        <f>IFERROR(__xludf.DUMMYFUNCTION("if(countif(kr.lu2,CONCATENATE(regexextract($C70,""[\w]* [\w]*""), ""*"")),""X"","""")"),"X")</f>
        <v>X</v>
      </c>
      <c r="BH70" s="38" t="str">
        <f>IFERROR(__xludf.DUMMYFUNCTION("if(countif(kr.myc,CONCATENATE(regexextract($C70,""[\w]* [\w]*""), ""*"")),""X"","""")"),"")</f>
        <v/>
      </c>
      <c r="BI70" s="38" t="str">
        <f>IFERROR(__xludf.DUMMYFUNCTION("if(countif(kr.nar,CONCATENATE(regexextract($C70,""[\w]* [\w]*""), ""*"")),""X"","""")"),"X")</f>
        <v>X</v>
      </c>
      <c r="BJ70" s="38" t="str">
        <f>IFERROR(__xludf.DUMMYFUNCTION("if(countif(kr.que,CONCATENATE(regexextract($C70,""[\w]* [\w]*""), ""*"")),""X"","""")"),"X")</f>
        <v>X</v>
      </c>
      <c r="BK70" s="39"/>
      <c r="BL70" s="40" t="str">
        <f>IFERROR(__xludf.DUMMYFUNCTION(" CONCATENATE( 
if (regexmatch(I70, ""^[A-Za-z\.\_]+""), ""L"", 
if(regexmatch(AB70, ""^[A-Za-z\.\_]+""),""S"","""")),
if(AU70=""X"",""K"",""""))"),"LK")</f>
        <v>LK</v>
      </c>
      <c r="BM70" s="40" t="str">
        <f>IFERROR(__xludf.DUMMYFUNCTION(" CONCATENATE( 
if (regexmatch(J70, ""^[A-Za-z\.\_]+""), ""L"", 
if(regexmatch(AC70, ""^[A-Za-z\.\_]+""),""S"","""")),
if(AV70=""X"",""K"",""""))"),"K")</f>
        <v>K</v>
      </c>
      <c r="BN70" s="40" t="str">
        <f>IFERROR(__xludf.DUMMYFUNCTION(" CONCATENATE( 
if (regexmatch(K70, ""^[A-Za-z\.\_]+""), ""L"", 
if(regexmatch(AD70, ""^[A-Za-z\.\_]+""),""S"","""")),
if(AW70=""X"",""K"",""""))"),"LK")</f>
        <v>LK</v>
      </c>
      <c r="BO70" s="40" t="str">
        <f>IFERROR(__xludf.DUMMYFUNCTION(" CONCATENATE( 
if (regexmatch(L70, ""^[A-Za-z\.\_]+""), ""L"", 
if(regexmatch(AE70, ""^[A-Za-z\.\_]+""),""S"","""")),
if(AX70=""X"",""K"",""""))"),"LK")</f>
        <v>LK</v>
      </c>
      <c r="BP70" s="40" t="str">
        <f>IFERROR(__xludf.DUMMYFUNCTION(" CONCATENATE( 
if (regexmatch(M70, ""^[A-Za-z\.\_]+""), ""L"", 
if(regexmatch(AF70, ""^[A-Za-z\.\_]+""),""S"","""")),
if(AY70=""X"",""K"",""""))"),"")</f>
        <v/>
      </c>
      <c r="BQ70" s="40" t="str">
        <f>IFERROR(__xludf.DUMMYFUNCTION("CONCATENATE( 
if (regexmatch(O70, ""^[A-Za-z\.\_]+""), ""L"", 
if(regexmatch(AH70, ""^[A-Za-z\.\_]+""),""S"","""")),
if(AZ70=""X"",""K"",""""))"),"")</f>
        <v/>
      </c>
      <c r="BR70" s="40" t="str">
        <f>IFERROR(__xludf.DUMMYFUNCTION("CONCATENATE( 
if (regexmatch(Q70, ""^[A-Za-z\.\_]+""), ""L"", 
if(regexmatch(AJ70, ""^[A-Za-z\.\_]+""),""S"","""")),
if(BA70=""X"",""K"",""""))"),"")</f>
        <v/>
      </c>
      <c r="BS70" s="40" t="str">
        <f>IFERROR(__xludf.DUMMYFUNCTION(" CONCATENATE( 
if (regexmatch(R70, ""^[A-Za-z\.\_]+""), ""L"", 
if(regexmatch(AK70, ""^[A-Za-z\.\_]+""),""S"","""")),
if(BB70=""X"",""K"",""""))"),"K")</f>
        <v>K</v>
      </c>
      <c r="BT70" s="40" t="str">
        <f>IFERROR(__xludf.DUMMYFUNCTION("CONCATENATE( 
if (regexmatch(S70, ""^[A-Za-z\.\_]+""), ""L"", 
if(regexmatch(AL70, ""^[A-Za-z\.\_]+""),""S"","""")),
if(BC70=""X"",""K"",""""))"),"")</f>
        <v/>
      </c>
      <c r="BU70" s="40" t="str">
        <f>IFERROR(__xludf.DUMMYFUNCTION("CONCATENATE( 
if (regexmatch(T70, ""^[A-Za-z\.\_]+""), ""L"", 
if(regexmatch(AM70, ""^[A-Za-z\.\_]+""),""S"","""")),
if(BD70=""X"",""K"",""""))"),"")</f>
        <v/>
      </c>
      <c r="BV70" s="40" t="str">
        <f>IFERROR(__xludf.DUMMYFUNCTION("CONCATENATE( 
if (regexmatch(U70, ""^[A-Za-z\.\_]+""), ""L"", 
if(regexmatch(AN70, ""^[A-Za-z\.\_]+""),""S"","""")),
if(BE70=""X"",""K"",""""))"),"K")</f>
        <v>K</v>
      </c>
      <c r="BW70" s="40" t="str">
        <f>IFERROR(__xludf.DUMMYFUNCTION(" CONCATENATE( 
if (regexmatch(V70, ""^[A-Za-z\.\_]+""), ""L"", 
if(regexmatch(AO70, ""^[A-Za-z\.\_]+""),""S"","""")),
if(BF70=""X"",""K"",""""))"),"LK")</f>
        <v>LK</v>
      </c>
      <c r="BX70" s="40" t="str">
        <f>IFERROR(__xludf.DUMMYFUNCTION("CONCATENATE( 
if (regexmatch(W70, ""^[A-Za-z\.\_]+""), ""L"", 
if(regexmatch(AP70, ""^[A-Za-z\.\_]+""),""S"","""")),
if(BG70=""X"",""K"",""""))"),"LK")</f>
        <v>LK</v>
      </c>
      <c r="BY70" s="40" t="str">
        <f>IFERROR(__xludf.DUMMYFUNCTION("CONCATENATE( 
if (regexmatch(X70, ""^[A-Za-z\.\_]+""), ""L"", 
if(regexmatch(AQ70, ""^[A-Za-z\.\_]+""),""S"","""")),
if(BH70=""X"",""K"",""""))"),"")</f>
        <v/>
      </c>
      <c r="BZ70" s="40" t="str">
        <f>IFERROR(__xludf.DUMMYFUNCTION("CONCATENATE( 
if (regexmatch(Y70, ""^[A-Za-z\.\_]+""), ""L"", 
if(regexmatch(AR70, ""^[A-Za-z\.\_]+""),""S"","""")),
if(BI70=""X"",""K"",""""))"),"LK")</f>
        <v>LK</v>
      </c>
      <c r="CA70" s="40" t="str">
        <f>IFERROR(__xludf.DUMMYFUNCTION("CONCATENATE( 
if (regexmatch(Z70, ""^[A-Za-z\.\_]+""), ""L"", 
if(regexmatch(AS70, ""^[A-Za-z\.\_]+""),""S"","""")),
if(BJ70=""X"",""K"",""""))"),"LK")</f>
        <v>LK</v>
      </c>
      <c r="CB70" s="39"/>
      <c r="CC70" s="39"/>
      <c r="CD70" s="39"/>
      <c r="CE70" s="39"/>
      <c r="CF70" s="39"/>
      <c r="CG70" s="39"/>
      <c r="CH70" s="39"/>
      <c r="CI70" s="39"/>
      <c r="CJ70" s="39"/>
      <c r="CK70" s="39"/>
      <c r="CL70" s="39"/>
      <c r="CM70" s="39"/>
      <c r="CN70" s="39"/>
      <c r="CO70" s="39"/>
      <c r="CP70" s="39"/>
      <c r="CQ70" s="39"/>
      <c r="CR70" s="39"/>
    </row>
    <row r="71" ht="15.75" customHeight="1">
      <c r="A71" s="25">
        <v>102.0</v>
      </c>
      <c r="B71" s="26" t="s">
        <v>285</v>
      </c>
      <c r="C71" s="41" t="s">
        <v>286</v>
      </c>
      <c r="D71" s="27" t="str">
        <f>IFERROR(__xludf.DUMMYFUNCTION("CONCATENATE(regexextract($C71,""[\w]* [\w]*""), ""*"")"),"Oryza brachyantha*")</f>
        <v>Oryza brachyantha*</v>
      </c>
      <c r="E71" s="59" t="s">
        <v>287</v>
      </c>
      <c r="F71" s="58">
        <v>4533.0</v>
      </c>
      <c r="G71" s="53"/>
      <c r="H71" s="31"/>
      <c r="I71" s="32" t="str">
        <f>CONCATENATE(
if(countif(dd.agi,$D71),"D",""),
if(countif(knap.agi,$D71),"K",""),
if(countif(mic.agi,$D71),"M",""),
if(countif(nap.agi,$D71),"N",""),
if(countif(np.agi,$D71),"P",""),
if(countif(imp.agi,$D71),"T",""),
if(countif(us.agi,$D71),"U",""),
if(countif(var.agi,$D71),"V","")
)</f>
        <v/>
      </c>
      <c r="J71" s="32" t="str">
        <f>
CONCATENATE(
if(countif(nap.bun,$D71),"N",""),
if(countif(np.bun,$D71),"P","")
)
</f>
        <v/>
      </c>
      <c r="K71" s="32" t="str">
        <f>CONCATENATE(
if(countif(dd.kxn,$D71),"D",""),
if(countif(knap.kxn,$D71),"K",""),
if(countif(mic.kxn,$D71),"M",""),
if(countif(nap.kxn,$D71),"N",""),
if(countif(np.kxn,$D71),"P",""),
if(countif(us.kxn,$D71),"U",""),
if(countif(var.kxn,$D71),"V","")
)</f>
        <v/>
      </c>
      <c r="L71" s="32" t="str">
        <f>
CONCATENATE(
if(countif(dd.hwb,$D71),"D",""),
if(countif(knap.hwb,$D71),"K",""),
if(countif(mic.hwb,$D71),"M",""),
if(countif(nap.hwb,$D71),"N",""),
if(countif(np.hwb,$D71),"P",""),
if(countif(us.hwb,$D71),"U",""),
if(countif(imp.hwb,$D71),"T",""),
if(countif(var.hwb,$D71),"V","")
)</f>
        <v/>
      </c>
      <c r="M71" s="32" t="str">
        <f>CONCATENATE(
if(countif(dd.epc,$D71),"D",""),
if(countif(knap.ekxn,$D71),"K",""),
if(countif(mic.ekxn,$D71),"M",""),
if(countif(nap.ekxn,$D71),"N",""),
if(countif(np.ekxn,$D71),"P",""),
if(countif(imp.epc,$D71),"T",""),
if(countif(us.ekxn,$D71),"U",""),
if(countif(var.ekxn,$D71),"V","")
)</f>
        <v/>
      </c>
      <c r="N71" s="32" t="str">
        <f>
CONCATENATE(
if(countif(dd.ecg,$D71),"D",""),
if(countif(mic.ecg,$D71),"M",""),
if(countif(np.ecg,$D71),"P",""),
if(countif(imp.ecg,$D71),"T",""),
if(countif(us.ecg,$D71),"U","")
)</f>
        <v/>
      </c>
      <c r="O71" s="32" t="str">
        <f>
CONCATENATE(
if(countif(dd.egt,$D71),"D",""),
if(countif(mic.egt,$D71),"M",""),
if(countif(nap.egt,$D71),"N",""),
if(countif(us.egt,$D71),"U",""),
if(countif(var.egt,$D71),"V",""))
</f>
        <v/>
      </c>
      <c r="P71" s="32" t="str">
        <f>CONCATENATE(
if(countif(knap.egcg,$D71),"K",""),
if(countif(mic.egcg,$D71),"M",""),
if(countif(np.egcg,$D71),"P",""),
if(countif(us.egcg,$D71),"U","")
)</f>
        <v/>
      </c>
      <c r="Q71" s="32" t="str">
        <f>CONCATENATE(if(countif(np.ecit,$D71),"P",""),
if(countif(nap.ecit,$D71),"A",""))</f>
        <v/>
      </c>
      <c r="R71" s="32" t="str">
        <f>
CONCATENATE(
if(countif(nap.erd,$D71),"N",""),
if(countif(np.erd,$D71),"P",""),
if(countif(var.erd,$D71),"V",""))</f>
        <v/>
      </c>
      <c r="S71" s="32" t="str">
        <f>
CONCATENATE(
if(countif(dd.gkxn,$D71),"D",""),
if(countif(knap.gkxn,$D71),"K",""),
if(countif(nap.gkxn,$D71),"N",""),
if(countif(np.gkxn,$D71),"P",""),
if(countif(imp.gkxn,$D71),"T",""),
if(countif(var.gkxn,$D71),"V",""))</f>
        <v/>
      </c>
      <c r="T71" s="32" t="str">
        <f>
CONCATENATE(
if(countif(dd.gen,$C71),"D",""),
if(countif(knap.gen,$C71),"K",""),
if(countif(nap.gen,$C71),"N",""),
if(countif(np.gen,$C71),"P",""),
if(countif(imp.gen,$C71),"T",""),
if(countif(var.gen,$C71),"V",""))</f>
        <v/>
      </c>
      <c r="U71" s="32" t="str">
        <f>
CONCATENATE(
if(countif(dd.hcc,$D71),"D",""),
if(countif(knap.hcc,$D71),"K",""),
if(countif(np.hcc,$D71),"P","")
)
</f>
        <v/>
      </c>
      <c r="V71" s="32" t="str">
        <f>
CONCATENATE(
if(countif(dd.kmp,$D71),"D",""),
if(countif(knap.kmp,$D71),"K",""),
if(countif(mic.kmp,$D71),"M",""),
if(countif(nap.kmp,$D71),"N",""),
if(countif(np.kmp,$D71),"P",""),
if(countif(imp.kmp,$D71),"T",""),
if(countif(us.kmp,$D71),"U",""),
if(countif(var.kmp,$D71),"V",""))</f>
        <v/>
      </c>
      <c r="W71" s="32" t="str">
        <f>
CONCATENATE(
if(countif(dd.lu2,$D71),"D",""),
if(countif(knap.lu2,$D71),"K",""),
if(countif(mic.lu2,$D71),"M",""),
if(countif(nap.lu2,$D71),"N",""),
if(countif(np.lu2,$D71),"P",""),
if(countif(imp.lu2,$D71),"T",""),
if(countif(us.lu2,$D71),"U",""),
if(countif(var.lu2,$D71),"V",""))</f>
        <v/>
      </c>
      <c r="X71" s="32" t="str">
        <f>
CONCATENATE(
if(countif(dd.myc,$D71),"D",""),
if(countif(knap.myc,$D71),"K",""), 
if(countif(mic.myc,$D71),"M",""),
if(countif(nap.myc,$D71),"N",""),
if(countif(np.myc,$D71),"P",""),
if(countif(imp.myc,$D71),"T",""),
if(countif(us.myc,$D71),"U",""),
if(countif(var.myc,$D71),"V",""))</f>
        <v/>
      </c>
      <c r="Y71" s="32" t="str">
        <f>CONCATENATE(
if(countif(dd.nar,$D71),"D",""),
if(countif(knap.nar,$D71),"K",""),
if(countif(nap.nar,$D71),"N",""),
if(countif(np.nar,$D71),"P",""),
if(countif(imp.nar,$D71),"T",""),
if(countif(us.nar,$D71),"U",""),
if(countif(var.nar,$D71),"V",""))</f>
        <v/>
      </c>
      <c r="Z71" s="33" t="str">
        <f>
CONCATENATE(
if(countif(dd.que,$D71),"D",""),
if(countif(knap.que,$D71),"K",""),
if(countif(mic.que,$D71),"M",""),
if(countif(nap.que,$D71),"N",""),
if(countif(np.que,$D71),"P",""),
if(countif(imp.que,$D71),"T",""),
if(countif(us.que,$D71),"U",""),
if(countif(var.que,$D71),"V",""))</f>
        <v/>
      </c>
      <c r="AA71" s="32"/>
      <c r="AB71" s="34" t="str">
        <f>
CONCATENATE(if(countif(knap.agi.sim,$D71),"K",""),
if(countif(dd.agi.sim,$D71),"D",""),
if(countif(nap.agi.sim,$D71),"A",""),
if(countif(var.agi.sim,$D71),"V",""))</f>
        <v/>
      </c>
      <c r="AC71" s="34" t="str">
        <f>
if(countif(nap.bun.sim,$D71),"A","")</f>
        <v/>
      </c>
      <c r="AD71" s="34" t="str">
        <f>
CONCATENATE(if(countif(knap.kxn.sim,$D71),"K",""),
if(countif(np.kxn.sim,$D71),"P",""),
if(countif(dd.kxn.sim,$D71),"D",""),
if(countif(nap.kxn.sim,$D71),"A",""),
if(countif(var.kxn.sim,$D71),"V",""))</f>
        <v/>
      </c>
      <c r="AE71" s="34" t="str">
        <f>
CONCATENATE(if(countif(knap.hwb.sim,$D71),"K",""),
if(countif(np.hwb.sim,$D71),"P",""),
if(countif(mic.hwb.sim,$D71),"M",""),
if(countif(imp.hwb.sim,$D71),"T",""),
if(countif(dd.cyan.sim,$D71),"D",""),
if(countif(nap.hwb.sim,$D71),"A",""),
if(countif(var.hwb.sim,$D71),"V",""))</f>
        <v/>
      </c>
      <c r="AF71" s="34" t="str">
        <f>
CONCATENATE(if(countif(us.ekxn.sim,$D71),"U",""),
if(countif(knap.ekxn.sim,$D71),"K",""),
if(countif(np.ekxn.sim,$D71),"P",""),
if(countif(mic.ekxn.sim,$D71),"M",""),
if(countif(imp.epc.sim,$D71),"T",""),
if(countif(nap.ekxn.sim,$D71),"A",""))</f>
        <v/>
      </c>
      <c r="AG71" s="34"/>
      <c r="AH71" s="34" t="str">
        <f>
CONCATENATE(if(countif(us.egt.sim,$D71),"U",""),
if(countif(knap.egt.sim,$D71),"K",""),
if(countif(np.egt.sim,$D71),"P",""),
if(countif(mic.egt.sim,$D71),"M",""))</f>
        <v/>
      </c>
      <c r="AI71" s="34"/>
      <c r="AJ71" s="34" t="str">
        <f>if(countif(nap.ecit.sim,$D71),"A","")</f>
        <v/>
      </c>
      <c r="AK71" s="34" t="str">
        <f>
CONCATENATE(if(countif(nap.erd,$D71),"M",""),
if(countif(nap.erd.sim,$D71),"A",""),
if(countif(var.erd.sim,$D71),"V",""))</f>
        <v/>
      </c>
      <c r="AL71" s="34" t="str">
        <f>
CONCATENATE(if(countif(knap.gkxn.sim,$D71),"K",""),
if(countif(nap.gkxn.sim,$D71),"A",""))</f>
        <v/>
      </c>
      <c r="AM71" s="34" t="str">
        <f>
CONCATENATE(if(countif(knap.gen.sim,$C71),"K",""),
if(countif(imp.gen.sim,$C71),"T",""),
if(countif(dd.gen.sim,$C71),"D",""),
if(countif(nap.gen.sim,$C71),"A",""),
if(countif(var.gen.sim,$C71),"V",""))
</f>
        <v/>
      </c>
      <c r="AN71" s="34" t="str">
        <f>IFERROR(__xludf.DUMMYFUNCTION("
if(countif(#REF!,CONCATENATE(regexextract($C71,""[\w]* [\w]*""), ""*"")),""V"","""")"),"")</f>
        <v/>
      </c>
      <c r="AO71" s="34" t="str">
        <f>
CONCATENATE(if(countif(knap.kmp.sim,$D71),"K",""),
if(countif(np.kmp.sim,$D71),"P",""),
if(countif(imp.kmp.sim,$D71),"T",""),
if(countif(dd.kmp,$D71),"D",""),
if(countif(nap.kmp.sim,$D71),"A",""),
if(countif(var.kmp.sim,$D71),"V",""))</f>
        <v/>
      </c>
      <c r="AP71" s="34" t="str">
        <f>
CONCATENATE(if(countif(knap.lu2.sim,$D71),"K",""),
if(countif(np.lu2.sim,$D71),"P",""),
if(countif(imp.lu2.sim,$D71),"T",""),
if(countif(dd.lu2.sim,$D71),"D",""),
if(countif(nap.lu2.sim,$D71),"A",""),
if(countif(var.lu2.sim,$D71),"V",""))</f>
        <v/>
      </c>
      <c r="AQ71" s="34" t="str">
        <f>
CONCATENATE(if(countif(np.myc.sim,$D71),"P",""),
if(countif(imp.myc.sim,$D71),"T",""),
if(countif(nap.myc.sim,$D71),"A",""))
</f>
        <v/>
      </c>
      <c r="AR71" s="36" t="str">
        <f>
CONCATENATE(if(countif(knap.nar.sim,$D71),"K",""),
if(countif(np.nar.sim,$D71),"P",""),
if(countif(imp.nar.sim,$D71),"T",""),
if(countif(dd.nar.sim,$D71),"D",""),
if(countif(nap.nar.sim,$D71),"A",""),
if(countif(var.nar.sim,$D71),"V",""))</f>
        <v/>
      </c>
      <c r="AS71" s="34" t="str">
        <f>
CONCATENATE(if(countif(knap.que.sim,$D71),"K",""),
if(countif(np.que.sim,$D71),"P",""),
if(countif(imp.que.sim,$D71),"T",""),
if(countif(dd.que.sim,$D71),"D",""),
if(countif(nap.que.sim,$D71),"A",""),
if(countif(var.que.sim,$D71),"V",""))</f>
        <v/>
      </c>
      <c r="AT71" s="37"/>
      <c r="AU71" s="32" t="str">
        <f>IFERROR(__xludf.DUMMYFUNCTION("if(countif(kr.agi, CONCATENATE(regexextract($C71,""[\w]* [\w]*""), ""*"")),""X"","""")"),"X")</f>
        <v>X</v>
      </c>
      <c r="AV71" s="38" t="str">
        <f>IFERROR(__xludf.DUMMYFUNCTION("if(countif(kr.bun,CONCATENATE(regexextract($C71,""[\w]* [\w]*""), ""*"")),""X"","""")"),"X")</f>
        <v>X</v>
      </c>
      <c r="AW71" s="38" t="str">
        <f>IFERROR(__xludf.DUMMYFUNCTION("if(countif(kr.kxn,CONCATENATE(regexextract($C71,""[\w]* [\w]*""), ""*"")),""X"","""")"),"X")</f>
        <v>X</v>
      </c>
      <c r="AX71" s="38" t="str">
        <f>IFERROR(__xludf.DUMMYFUNCTION("if(countif(kr.hwb,CONCATENATE(regexextract($C71,""[\w]* [\w]*""), ""*"")),""X"","""")"),"X")</f>
        <v>X</v>
      </c>
      <c r="AY71" s="38" t="str">
        <f>IFERROR(__xludf.DUMMYFUNCTION("if(countif(kr.ec,CONCATENATE(regexextract($C71,""[\w]* [\w]*""), ""*"")),""X"","""")"),"X")</f>
        <v>X</v>
      </c>
      <c r="AZ71" s="38" t="str">
        <f>IFERROR(__xludf.DUMMYFUNCTION("if(countif(kr.egt,CONCATENATE(regexextract($C71,""[\w]* [\w]*""), ""*"")),""X"","""")"),"X")</f>
        <v>X</v>
      </c>
      <c r="BA71" s="38"/>
      <c r="BB71" s="38" t="str">
        <f>IFERROR(__xludf.DUMMYFUNCTION("if(countif(kr.erd,CONCATENATE(regexextract($C71,""[\w]* [\w]*""), ""*"")),""X"","""")"),"X")</f>
        <v>X</v>
      </c>
      <c r="BC71" s="38" t="str">
        <f>IFERROR(__xludf.DUMMYFUNCTION("if(countif(kr.gkxn,CONCATENATE(regexextract($C71,""[\w]* [\w]*""), ""*"")),""X"","""")"),"X")</f>
        <v>X</v>
      </c>
      <c r="BD71" s="38" t="str">
        <f>IFERROR(__xludf.DUMMYFUNCTION("if(countif(kr.gen,CONCATENATE(regexextract(C71,""[\w]* [\w]*""), ""*"")),""X"","""")"),"")</f>
        <v/>
      </c>
      <c r="BE71" s="38" t="str">
        <f>IFERROR(__xludf.DUMMYFUNCTION("if(countif(kr.hcc,CONCATENATE(regexextract($C71,""[\w]* [\w]*""), ""*"")),""X"","""")"),"X")</f>
        <v>X</v>
      </c>
      <c r="BF71" s="38" t="str">
        <f>IFERROR(__xludf.DUMMYFUNCTION("if(countif(kr.kmp,CONCATENATE(regexextract($C71,""[\w]* [\w]*""), ""*"")),""X"","""")"),"")</f>
        <v/>
      </c>
      <c r="BG71" s="38" t="str">
        <f>IFERROR(__xludf.DUMMYFUNCTION("if(countif(kr.lu2,CONCATENATE(regexextract($C71,""[\w]* [\w]*""), ""*"")),""X"","""")"),"X")</f>
        <v>X</v>
      </c>
      <c r="BH71" s="38" t="str">
        <f>IFERROR(__xludf.DUMMYFUNCTION("if(countif(kr.myc,CONCATENATE(regexextract($C71,""[\w]* [\w]*""), ""*"")),""X"","""")"),"X")</f>
        <v>X</v>
      </c>
      <c r="BI71" s="38" t="str">
        <f>IFERROR(__xludf.DUMMYFUNCTION("if(countif(kr.nar,CONCATENATE(regexextract($C71,""[\w]* [\w]*""), ""*"")),""X"","""")"),"X")</f>
        <v>X</v>
      </c>
      <c r="BJ71" s="38" t="str">
        <f>IFERROR(__xludf.DUMMYFUNCTION("if(countif(kr.que,CONCATENATE(regexextract($C71,""[\w]* [\w]*""), ""*"")),""X"","""")"),"")</f>
        <v/>
      </c>
      <c r="BK71" s="39"/>
      <c r="BL71" s="40" t="str">
        <f>IFERROR(__xludf.DUMMYFUNCTION(" CONCATENATE( 
if (regexmatch(I71, ""^[A-Za-z\.\_]+""), ""L"", 
if(regexmatch(AB71, ""^[A-Za-z\.\_]+""),""S"","""")),
if(AU71=""X"",""K"",""""))"),"K")</f>
        <v>K</v>
      </c>
      <c r="BM71" s="40" t="str">
        <f>IFERROR(__xludf.DUMMYFUNCTION(" CONCATENATE( 
if (regexmatch(J71, ""^[A-Za-z\.\_]+""), ""L"", 
if(regexmatch(AC71, ""^[A-Za-z\.\_]+""),""S"","""")),
if(AV71=""X"",""K"",""""))"),"K")</f>
        <v>K</v>
      </c>
      <c r="BN71" s="40" t="str">
        <f>IFERROR(__xludf.DUMMYFUNCTION(" CONCATENATE( 
if (regexmatch(K71, ""^[A-Za-z\.\_]+""), ""L"", 
if(regexmatch(AD71, ""^[A-Za-z\.\_]+""),""S"","""")),
if(AW71=""X"",""K"",""""))"),"K")</f>
        <v>K</v>
      </c>
      <c r="BO71" s="40" t="str">
        <f>IFERROR(__xludf.DUMMYFUNCTION(" CONCATENATE( 
if (regexmatch(L71, ""^[A-Za-z\.\_]+""), ""L"", 
if(regexmatch(AE71, ""^[A-Za-z\.\_]+""),""S"","""")),
if(AX71=""X"",""K"",""""))"),"K")</f>
        <v>K</v>
      </c>
      <c r="BP71" s="40" t="str">
        <f>IFERROR(__xludf.DUMMYFUNCTION(" CONCATENATE( 
if (regexmatch(M71, ""^[A-Za-z\.\_]+""), ""L"", 
if(regexmatch(AF71, ""^[A-Za-z\.\_]+""),""S"","""")),
if(AY71=""X"",""K"",""""))"),"K")</f>
        <v>K</v>
      </c>
      <c r="BQ71" s="40" t="str">
        <f>IFERROR(__xludf.DUMMYFUNCTION("CONCATENATE( 
if (regexmatch(O71, ""^[A-Za-z\.\_]+""), ""L"", 
if(regexmatch(AH71, ""^[A-Za-z\.\_]+""),""S"","""")),
if(AZ71=""X"",""K"",""""))"),"K")</f>
        <v>K</v>
      </c>
      <c r="BR71" s="40" t="str">
        <f>IFERROR(__xludf.DUMMYFUNCTION("CONCATENATE( 
if (regexmatch(Q71, ""^[A-Za-z\.\_]+""), ""L"", 
if(regexmatch(AJ71, ""^[A-Za-z\.\_]+""),""S"","""")),
if(BA71=""X"",""K"",""""))"),"")</f>
        <v/>
      </c>
      <c r="BS71" s="40" t="str">
        <f>IFERROR(__xludf.DUMMYFUNCTION(" CONCATENATE( 
if (regexmatch(R71, ""^[A-Za-z\.\_]+""), ""L"", 
if(regexmatch(AK71, ""^[A-Za-z\.\_]+""),""S"","""")),
if(BB71=""X"",""K"",""""))"),"K")</f>
        <v>K</v>
      </c>
      <c r="BT71" s="40" t="str">
        <f>IFERROR(__xludf.DUMMYFUNCTION("CONCATENATE( 
if (regexmatch(S71, ""^[A-Za-z\.\_]+""), ""L"", 
if(regexmatch(AL71, ""^[A-Za-z\.\_]+""),""S"","""")),
if(BC71=""X"",""K"",""""))"),"K")</f>
        <v>K</v>
      </c>
      <c r="BU71" s="40" t="str">
        <f>IFERROR(__xludf.DUMMYFUNCTION("CONCATENATE( 
if (regexmatch(T71, ""^[A-Za-z\.\_]+""), ""L"", 
if(regexmatch(AM71, ""^[A-Za-z\.\_]+""),""S"","""")),
if(BD71=""X"",""K"",""""))"),"")</f>
        <v/>
      </c>
      <c r="BV71" s="40" t="str">
        <f>IFERROR(__xludf.DUMMYFUNCTION("CONCATENATE( 
if (regexmatch(U71, ""^[A-Za-z\.\_]+""), ""L"", 
if(regexmatch(AN71, ""^[A-Za-z\.\_]+""),""S"","""")),
if(BE71=""X"",""K"",""""))"),"K")</f>
        <v>K</v>
      </c>
      <c r="BW71" s="40" t="str">
        <f>IFERROR(__xludf.DUMMYFUNCTION(" CONCATENATE( 
if (regexmatch(V71, ""^[A-Za-z\.\_]+""), ""L"", 
if(regexmatch(AO71, ""^[A-Za-z\.\_]+""),""S"","""")),
if(BF71=""X"",""K"",""""))"),"")</f>
        <v/>
      </c>
      <c r="BX71" s="40" t="str">
        <f>IFERROR(__xludf.DUMMYFUNCTION("CONCATENATE( 
if (regexmatch(W71, ""^[A-Za-z\.\_]+""), ""L"", 
if(regexmatch(AP71, ""^[A-Za-z\.\_]+""),""S"","""")),
if(BG71=""X"",""K"",""""))"),"K")</f>
        <v>K</v>
      </c>
      <c r="BY71" s="40" t="str">
        <f>IFERROR(__xludf.DUMMYFUNCTION("CONCATENATE( 
if (regexmatch(X71, ""^[A-Za-z\.\_]+""), ""L"", 
if(regexmatch(AQ71, ""^[A-Za-z\.\_]+""),""S"","""")),
if(BH71=""X"",""K"",""""))"),"K")</f>
        <v>K</v>
      </c>
      <c r="BZ71" s="40" t="str">
        <f>IFERROR(__xludf.DUMMYFUNCTION("CONCATENATE( 
if (regexmatch(Y71, ""^[A-Za-z\.\_]+""), ""L"", 
if(regexmatch(AR71, ""^[A-Za-z\.\_]+""),""S"","""")),
if(BI71=""X"",""K"",""""))"),"K")</f>
        <v>K</v>
      </c>
      <c r="CA71" s="40" t="str">
        <f>IFERROR(__xludf.DUMMYFUNCTION("CONCATENATE( 
if (regexmatch(Z71, ""^[A-Za-z\.\_]+""), ""L"", 
if(regexmatch(AS71, ""^[A-Za-z\.\_]+""),""S"","""")),
if(BJ71=""X"",""K"",""""))"),"")</f>
        <v/>
      </c>
      <c r="CB71" s="39"/>
      <c r="CC71" s="39"/>
      <c r="CD71" s="39"/>
      <c r="CE71" s="39"/>
      <c r="CF71" s="39"/>
      <c r="CG71" s="39"/>
      <c r="CH71" s="39"/>
      <c r="CI71" s="39"/>
      <c r="CJ71" s="39"/>
      <c r="CK71" s="39"/>
      <c r="CL71" s="39"/>
      <c r="CM71" s="39"/>
      <c r="CN71" s="39"/>
      <c r="CO71" s="39"/>
      <c r="CP71" s="39"/>
      <c r="CQ71" s="39"/>
      <c r="CR71" s="39"/>
    </row>
    <row r="72" ht="15.75" customHeight="1">
      <c r="A72" s="25">
        <v>103.0</v>
      </c>
      <c r="B72" s="26" t="s">
        <v>288</v>
      </c>
      <c r="C72" s="27" t="s">
        <v>289</v>
      </c>
      <c r="D72" s="27" t="str">
        <f>IFERROR(__xludf.DUMMYFUNCTION("CONCATENATE(regexextract($C72,""[\w]* [\w]*""), ""*"")"),"Oryza sativa*")</f>
        <v>Oryza sativa*</v>
      </c>
      <c r="E72" s="26" t="s">
        <v>290</v>
      </c>
      <c r="F72" s="57">
        <v>39947.0</v>
      </c>
      <c r="G72" s="53"/>
      <c r="H72" s="31"/>
      <c r="I72" s="32" t="str">
        <f>CONCATENATE(
if(countif(dd.agi,$D72),"D",""),
if(countif(knap.agi,$D72),"K",""),
if(countif(mic.agi,$D72),"M",""),
if(countif(nap.agi,$D72),"N",""),
if(countif(np.agi,$D72),"P",""),
if(countif(imp.agi,$D72),"T",""),
if(countif(us.agi,$D72),"U",""),
if(countif(var.agi,$D72),"V","")
)</f>
        <v/>
      </c>
      <c r="J72" s="32" t="str">
        <f>
CONCATENATE(
if(countif(nap.bun,$D72),"N",""),
if(countif(np.bun,$D72),"P","")
)
</f>
        <v/>
      </c>
      <c r="K72" s="32" t="str">
        <f>CONCATENATE(
if(countif(dd.kxn,$D72),"D",""),
if(countif(knap.kxn,$D72),"K",""),
if(countif(mic.kxn,$D72),"M",""),
if(countif(nap.kxn,$D72),"N",""),
if(countif(np.kxn,$D72),"P",""),
if(countif(us.kxn,$D72),"U",""),
if(countif(var.kxn,$D72),"V","")
)</f>
        <v>V</v>
      </c>
      <c r="L72" s="32" t="str">
        <f>
CONCATENATE(
if(countif(dd.hwb,$D72),"D",""),
if(countif(knap.hwb,$D72),"K",""),
if(countif(mic.hwb,$D72),"M",""),
if(countif(nap.hwb,$D72),"N",""),
if(countif(np.hwb,$D72),"P",""),
if(countif(us.hwb,$D72),"U",""),
if(countif(imp.hwb,$D72),"T",""),
if(countif(var.hwb,$D72),"V","")
)</f>
        <v/>
      </c>
      <c r="M72" s="32" t="str">
        <f>CONCATENATE(
if(countif(dd.epc,$D72),"D",""),
if(countif(knap.ekxn,$D72),"K",""),
if(countif(mic.ekxn,$D72),"M",""),
if(countif(nap.ekxn,$D72),"N",""),
if(countif(np.ekxn,$D72),"P",""),
if(countif(imp.epc,$D72),"T",""),
if(countif(us.ekxn,$D72),"U",""),
if(countif(var.ekxn,$D72),"V","")
)</f>
        <v/>
      </c>
      <c r="N72" s="32" t="str">
        <f>
CONCATENATE(
if(countif(dd.ecg,$D72),"D",""),
if(countif(mic.ecg,$D72),"M",""),
if(countif(np.ecg,$D72),"P",""),
if(countif(imp.ecg,$D72),"T",""),
if(countif(us.ecg,$D72),"U","")
)</f>
        <v/>
      </c>
      <c r="O72" s="32" t="str">
        <f>
CONCATENATE(
if(countif(dd.egt,$D72),"D",""),
if(countif(mic.egt,$D72),"M",""),
if(countif(nap.egt,$D72),"N",""),
if(countif(us.egt,$D72),"U",""),
if(countif(var.egt,$D72),"V",""))
</f>
        <v/>
      </c>
      <c r="P72" s="32" t="str">
        <f>CONCATENATE(
if(countif(knap.egcg,$D72),"K",""),
if(countif(mic.egcg,$D72),"M",""),
if(countif(np.egcg,$D72),"P",""),
if(countif(us.egcg,$D72),"U","")
)</f>
        <v/>
      </c>
      <c r="Q72" s="32" t="str">
        <f>CONCATENATE(if(countif(np.ecit,$D72),"P",""),
if(countif(nap.ecit,$D72),"A",""))</f>
        <v/>
      </c>
      <c r="R72" s="32" t="str">
        <f>
CONCATENATE(
if(countif(nap.erd,$D72),"N",""),
if(countif(np.erd,$D72),"P",""),
if(countif(var.erd,$D72),"V",""))</f>
        <v/>
      </c>
      <c r="S72" s="32" t="str">
        <f>
CONCATENATE(
if(countif(dd.gkxn,$D72),"D",""),
if(countif(knap.gkxn,$D72),"K",""),
if(countif(nap.gkxn,$D72),"N",""),
if(countif(np.gkxn,$D72),"P",""),
if(countif(imp.gkxn,$D72),"T",""),
if(countif(var.gkxn,$D72),"V",""))</f>
        <v/>
      </c>
      <c r="T72" s="32" t="str">
        <f>
CONCATENATE(
if(countif(dd.gen,$C72),"D",""),
if(countif(knap.gen,$C72),"K",""),
if(countif(nap.gen,$C72),"N",""),
if(countif(np.gen,$C72),"P",""),
if(countif(imp.gen,$C72),"T",""),
if(countif(var.gen,$C72),"V",""))</f>
        <v/>
      </c>
      <c r="U72" s="32" t="str">
        <f>
CONCATENATE(
if(countif(dd.hcc,$D72),"D",""),
if(countif(knap.hcc,$D72),"K",""),
if(countif(np.hcc,$D72),"P","")
)
</f>
        <v/>
      </c>
      <c r="V72" s="32" t="str">
        <f>
CONCATENATE(
if(countif(dd.kmp,$D72),"D",""),
if(countif(knap.kmp,$D72),"K",""),
if(countif(mic.kmp,$D72),"M",""),
if(countif(nap.kmp,$D72),"N",""),
if(countif(np.kmp,$D72),"P",""),
if(countif(imp.kmp,$D72),"T",""),
if(countif(us.kmp,$D72),"U",""),
if(countif(var.kmp,$D72),"V",""))</f>
        <v>V</v>
      </c>
      <c r="W72" s="32" t="str">
        <f>
CONCATENATE(
if(countif(dd.lu2,$D72),"D",""),
if(countif(knap.lu2,$D72),"K",""),
if(countif(mic.lu2,$D72),"M",""),
if(countif(nap.lu2,$D72),"N",""),
if(countif(np.lu2,$D72),"P",""),
if(countif(imp.lu2,$D72),"T",""),
if(countif(us.lu2,$D72),"U",""),
if(countif(var.lu2,$D72),"V",""))</f>
        <v/>
      </c>
      <c r="X72" s="32" t="str">
        <f>
CONCATENATE(
if(countif(dd.myc,$D72),"D",""),
if(countif(knap.myc,$D72),"K",""), 
if(countif(mic.myc,$D72),"M",""),
if(countif(nap.myc,$D72),"N",""),
if(countif(np.myc,$D72),"P",""),
if(countif(imp.myc,$D72),"T",""),
if(countif(us.myc,$D72),"U",""),
if(countif(var.myc,$D72),"V",""))</f>
        <v/>
      </c>
      <c r="Y72" s="32" t="str">
        <f>CONCATENATE(
if(countif(dd.nar,$D72),"D",""),
if(countif(knap.nar,$D72),"K",""),
if(countif(nap.nar,$D72),"N",""),
if(countif(np.nar,$D72),"P",""),
if(countif(imp.nar,$D72),"T",""),
if(countif(us.nar,$D72),"U",""),
if(countif(var.nar,$D72),"V",""))</f>
        <v>V</v>
      </c>
      <c r="Z72" s="33" t="str">
        <f>
CONCATENATE(
if(countif(dd.que,$D72),"D",""),
if(countif(knap.que,$D72),"K",""),
if(countif(mic.que,$D72),"M",""),
if(countif(nap.que,$D72),"N",""),
if(countif(np.que,$D72),"P",""),
if(countif(imp.que,$D72),"T",""),
if(countif(us.que,$D72),"U",""),
if(countif(var.que,$D72),"V",""))</f>
        <v/>
      </c>
      <c r="AA72" s="32"/>
      <c r="AB72" s="34" t="str">
        <f>
CONCATENATE(if(countif(knap.agi.sim,$D72),"K",""),
if(countif(dd.agi.sim,$D72),"D",""),
if(countif(nap.agi.sim,$D72),"A",""),
if(countif(var.agi.sim,$D72),"V",""))</f>
        <v/>
      </c>
      <c r="AC72" s="34" t="str">
        <f>
if(countif(nap.bun.sim,$D72),"A","")</f>
        <v/>
      </c>
      <c r="AD72" s="34" t="str">
        <f>
CONCATENATE(if(countif(knap.kxn.sim,$D72),"K",""),
if(countif(np.kxn.sim,$D72),"P",""),
if(countif(dd.kxn.sim,$D72),"D",""),
if(countif(nap.kxn.sim,$D72),"A",""),
if(countif(var.kxn.sim,$D72),"V",""))</f>
        <v/>
      </c>
      <c r="AE72" s="34" t="str">
        <f>
CONCATENATE(if(countif(knap.hwb.sim,$D72),"K",""),
if(countif(np.hwb.sim,$D72),"P",""),
if(countif(mic.hwb.sim,$D72),"M",""),
if(countif(imp.hwb.sim,$D72),"T",""),
if(countif(dd.cyan.sim,$D72),"D",""),
if(countif(nap.hwb.sim,$D72),"A",""),
if(countif(var.hwb.sim,$D72),"V",""))</f>
        <v/>
      </c>
      <c r="AF72" s="34" t="str">
        <f>
CONCATENATE(if(countif(us.ekxn.sim,$D72),"U",""),
if(countif(knap.ekxn.sim,$D72),"K",""),
if(countif(np.ekxn.sim,$D72),"P",""),
if(countif(mic.ekxn.sim,$D72),"M",""),
if(countif(imp.epc.sim,$D72),"T",""),
if(countif(nap.ekxn.sim,$D72),"A",""))</f>
        <v/>
      </c>
      <c r="AG72" s="34"/>
      <c r="AH72" s="34" t="str">
        <f>
CONCATENATE(if(countif(us.egt.sim,$D72),"U",""),
if(countif(knap.egt.sim,$D72),"K",""),
if(countif(np.egt.sim,$D72),"P",""),
if(countif(mic.egt.sim,$D72),"M",""))</f>
        <v/>
      </c>
      <c r="AI72" s="34"/>
      <c r="AJ72" s="34" t="str">
        <f>if(countif(nap.ecit.sim,$D72),"A","")</f>
        <v/>
      </c>
      <c r="AK72" s="34" t="str">
        <f>
CONCATENATE(if(countif(nap.erd,$D72),"M",""),
if(countif(nap.erd.sim,$D72),"A",""),
if(countif(var.erd.sim,$D72),"V",""))</f>
        <v/>
      </c>
      <c r="AL72" s="34" t="str">
        <f>
CONCATENATE(if(countif(knap.gkxn.sim,$D72),"K",""),
if(countif(nap.gkxn.sim,$D72),"A",""))</f>
        <v/>
      </c>
      <c r="AM72" s="34" t="str">
        <f>
CONCATENATE(if(countif(knap.gen.sim,$C72),"K",""),
if(countif(imp.gen.sim,$C72),"T",""),
if(countif(dd.gen.sim,$C72),"D",""),
if(countif(nap.gen.sim,$C72),"A",""),
if(countif(var.gen.sim,$C72),"V",""))
</f>
        <v/>
      </c>
      <c r="AN72" s="34" t="str">
        <f>IFERROR(__xludf.DUMMYFUNCTION("
if(countif(#REF!,CONCATENATE(regexextract($C72,""[\w]* [\w]*""), ""*"")),""V"","""")"),"")</f>
        <v/>
      </c>
      <c r="AO72" s="34" t="str">
        <f>
CONCATENATE(if(countif(knap.kmp.sim,$D72),"K",""),
if(countif(np.kmp.sim,$D72),"P",""),
if(countif(imp.kmp.sim,$D72),"T",""),
if(countif(dd.kmp,$D72),"D",""),
if(countif(nap.kmp.sim,$D72),"A",""),
if(countif(var.kmp.sim,$D72),"V",""))</f>
        <v/>
      </c>
      <c r="AP72" s="34" t="str">
        <f>
CONCATENATE(if(countif(knap.lu2.sim,$D72),"K",""),
if(countif(np.lu2.sim,$D72),"P",""),
if(countif(imp.lu2.sim,$D72),"T",""),
if(countif(dd.lu2.sim,$D72),"D",""),
if(countif(nap.lu2.sim,$D72),"A",""),
if(countif(var.lu2.sim,$D72),"V",""))</f>
        <v/>
      </c>
      <c r="AQ72" s="34" t="str">
        <f>
CONCATENATE(if(countif(np.myc.sim,$D72),"P",""),
if(countif(imp.myc.sim,$D72),"T",""),
if(countif(nap.myc.sim,$D72),"A",""))
</f>
        <v/>
      </c>
      <c r="AR72" s="36" t="str">
        <f>
CONCATENATE(if(countif(knap.nar.sim,$D72),"K",""),
if(countif(np.nar.sim,$D72),"P",""),
if(countif(imp.nar.sim,$D72),"T",""),
if(countif(dd.nar.sim,$D72),"D",""),
if(countif(nap.nar.sim,$D72),"A",""),
if(countif(var.nar.sim,$D72),"V",""))</f>
        <v/>
      </c>
      <c r="AS72" s="34" t="str">
        <f>
CONCATENATE(if(countif(knap.que.sim,$D72),"K",""),
if(countif(np.que.sim,$D72),"P",""),
if(countif(imp.que.sim,$D72),"T",""),
if(countif(dd.que.sim,$D72),"D",""),
if(countif(nap.que.sim,$D72),"A",""),
if(countif(var.que.sim,$D72),"V",""))</f>
        <v/>
      </c>
      <c r="AT72" s="37"/>
      <c r="AU72" s="32" t="str">
        <f>IFERROR(__xludf.DUMMYFUNCTION("if(countif(kr.agi, CONCATENATE(regexextract($C72,""[\w]* [\w]*""), ""*"")),""X"","""")"),"X")</f>
        <v>X</v>
      </c>
      <c r="AV72" s="38" t="str">
        <f>IFERROR(__xludf.DUMMYFUNCTION("if(countif(kr.bun,CONCATENATE(regexextract($C72,""[\w]* [\w]*""), ""*"")),""X"","""")"),"X")</f>
        <v>X</v>
      </c>
      <c r="AW72" s="38" t="str">
        <f>IFERROR(__xludf.DUMMYFUNCTION("if(countif(kr.kxn,CONCATENATE(regexextract($C72,""[\w]* [\w]*""), ""*"")),""X"","""")"),"X")</f>
        <v>X</v>
      </c>
      <c r="AX72" s="38" t="str">
        <f>IFERROR(__xludf.DUMMYFUNCTION("if(countif(kr.hwb,CONCATENATE(regexextract($C72,""[\w]* [\w]*""), ""*"")),""X"","""")"),"X")</f>
        <v>X</v>
      </c>
      <c r="AY72" s="38" t="str">
        <f>IFERROR(__xludf.DUMMYFUNCTION("if(countif(kr.ec,CONCATENATE(regexextract($C72,""[\w]* [\w]*""), ""*"")),""X"","""")"),"X")</f>
        <v>X</v>
      </c>
      <c r="AZ72" s="38" t="str">
        <f>IFERROR(__xludf.DUMMYFUNCTION("if(countif(kr.egt,CONCATENATE(regexextract($C72,""[\w]* [\w]*""), ""*"")),""X"","""")"),"X")</f>
        <v>X</v>
      </c>
      <c r="BA72" s="38"/>
      <c r="BB72" s="38" t="str">
        <f>IFERROR(__xludf.DUMMYFUNCTION("if(countif(kr.erd,CONCATENATE(regexextract($C72,""[\w]* [\w]*""), ""*"")),""X"","""")"),"X")</f>
        <v>X</v>
      </c>
      <c r="BC72" s="38" t="str">
        <f>IFERROR(__xludf.DUMMYFUNCTION("if(countif(kr.gkxn,CONCATENATE(regexextract($C72,""[\w]* [\w]*""), ""*"")),""X"","""")"),"X")</f>
        <v>X</v>
      </c>
      <c r="BD72" s="38" t="str">
        <f>IFERROR(__xludf.DUMMYFUNCTION("if(countif(kr.gen,CONCATENATE(regexextract(C72,""[\w]* [\w]*""), ""*"")),""X"","""")"),"")</f>
        <v/>
      </c>
      <c r="BE72" s="38" t="str">
        <f>IFERROR(__xludf.DUMMYFUNCTION("if(countif(kr.hcc,CONCATENATE(regexextract($C72,""[\w]* [\w]*""), ""*"")),""X"","""")"),"X")</f>
        <v>X</v>
      </c>
      <c r="BF72" s="38" t="str">
        <f>IFERROR(__xludf.DUMMYFUNCTION("if(countif(kr.kmp,CONCATENATE(regexextract($C72,""[\w]* [\w]*""), ""*"")),""X"","""")"),"X")</f>
        <v>X</v>
      </c>
      <c r="BG72" s="38" t="str">
        <f>IFERROR(__xludf.DUMMYFUNCTION("if(countif(kr.lu2,CONCATENATE(regexextract($C72,""[\w]* [\w]*""), ""*"")),""X"","""")"),"X")</f>
        <v>X</v>
      </c>
      <c r="BH72" s="38" t="str">
        <f>IFERROR(__xludf.DUMMYFUNCTION("if(countif(kr.myc,CONCATENATE(regexextract($C72,""[\w]* [\w]*""), ""*"")),""X"","""")"),"X")</f>
        <v>X</v>
      </c>
      <c r="BI72" s="38" t="str">
        <f>IFERROR(__xludf.DUMMYFUNCTION("if(countif(kr.nar,CONCATENATE(regexextract($C72,""[\w]* [\w]*""), ""*"")),""X"","""")"),"X")</f>
        <v>X</v>
      </c>
      <c r="BJ72" s="38" t="str">
        <f>IFERROR(__xludf.DUMMYFUNCTION("if(countif(kr.que,CONCATENATE(regexextract($C72,""[\w]* [\w]*""), ""*"")),""X"","""")"),"X")</f>
        <v>X</v>
      </c>
      <c r="BK72" s="39"/>
      <c r="BL72" s="40" t="str">
        <f>IFERROR(__xludf.DUMMYFUNCTION(" CONCATENATE( 
if (regexmatch(I72, ""^[A-Za-z\.\_]+""), ""L"", 
if(regexmatch(AB72, ""^[A-Za-z\.\_]+""),""S"","""")),
if(AU72=""X"",""K"",""""))"),"K")</f>
        <v>K</v>
      </c>
      <c r="BM72" s="40" t="str">
        <f>IFERROR(__xludf.DUMMYFUNCTION(" CONCATENATE( 
if (regexmatch(J72, ""^[A-Za-z\.\_]+""), ""L"", 
if(regexmatch(AC72, ""^[A-Za-z\.\_]+""),""S"","""")),
if(AV72=""X"",""K"",""""))"),"K")</f>
        <v>K</v>
      </c>
      <c r="BN72" s="40" t="str">
        <f>IFERROR(__xludf.DUMMYFUNCTION(" CONCATENATE( 
if (regexmatch(K72, ""^[A-Za-z\.\_]+""), ""L"", 
if(regexmatch(AD72, ""^[A-Za-z\.\_]+""),""S"","""")),
if(AW72=""X"",""K"",""""))"),"LK")</f>
        <v>LK</v>
      </c>
      <c r="BO72" s="40" t="str">
        <f>IFERROR(__xludf.DUMMYFUNCTION(" CONCATENATE( 
if (regexmatch(L72, ""^[A-Za-z\.\_]+""), ""L"", 
if(regexmatch(AE72, ""^[A-Za-z\.\_]+""),""S"","""")),
if(AX72=""X"",""K"",""""))"),"K")</f>
        <v>K</v>
      </c>
      <c r="BP72" s="40" t="str">
        <f>IFERROR(__xludf.DUMMYFUNCTION(" CONCATENATE( 
if (regexmatch(M72, ""^[A-Za-z\.\_]+""), ""L"", 
if(regexmatch(AF72, ""^[A-Za-z\.\_]+""),""S"","""")),
if(AY72=""X"",""K"",""""))"),"K")</f>
        <v>K</v>
      </c>
      <c r="BQ72" s="40" t="str">
        <f>IFERROR(__xludf.DUMMYFUNCTION("CONCATENATE( 
if (regexmatch(O72, ""^[A-Za-z\.\_]+""), ""L"", 
if(regexmatch(AH72, ""^[A-Za-z\.\_]+""),""S"","""")),
if(AZ72=""X"",""K"",""""))"),"K")</f>
        <v>K</v>
      </c>
      <c r="BR72" s="40" t="str">
        <f>IFERROR(__xludf.DUMMYFUNCTION("CONCATENATE( 
if (regexmatch(Q72, ""^[A-Za-z\.\_]+""), ""L"", 
if(regexmatch(AJ72, ""^[A-Za-z\.\_]+""),""S"","""")),
if(BA72=""X"",""K"",""""))"),"")</f>
        <v/>
      </c>
      <c r="BS72" s="40" t="str">
        <f>IFERROR(__xludf.DUMMYFUNCTION(" CONCATENATE( 
if (regexmatch(R72, ""^[A-Za-z\.\_]+""), ""L"", 
if(regexmatch(AK72, ""^[A-Za-z\.\_]+""),""S"","""")),
if(BB72=""X"",""K"",""""))"),"K")</f>
        <v>K</v>
      </c>
      <c r="BT72" s="40" t="str">
        <f>IFERROR(__xludf.DUMMYFUNCTION("CONCATENATE( 
if (regexmatch(S72, ""^[A-Za-z\.\_]+""), ""L"", 
if(regexmatch(AL72, ""^[A-Za-z\.\_]+""),""S"","""")),
if(BC72=""X"",""K"",""""))"),"K")</f>
        <v>K</v>
      </c>
      <c r="BU72" s="40" t="str">
        <f>IFERROR(__xludf.DUMMYFUNCTION("CONCATENATE( 
if (regexmatch(T72, ""^[A-Za-z\.\_]+""), ""L"", 
if(regexmatch(AM72, ""^[A-Za-z\.\_]+""),""S"","""")),
if(BD72=""X"",""K"",""""))"),"")</f>
        <v/>
      </c>
      <c r="BV72" s="40" t="str">
        <f>IFERROR(__xludf.DUMMYFUNCTION("CONCATENATE( 
if (regexmatch(U72, ""^[A-Za-z\.\_]+""), ""L"", 
if(regexmatch(AN72, ""^[A-Za-z\.\_]+""),""S"","""")),
if(BE72=""X"",""K"",""""))"),"K")</f>
        <v>K</v>
      </c>
      <c r="BW72" s="40" t="str">
        <f>IFERROR(__xludf.DUMMYFUNCTION(" CONCATENATE( 
if (regexmatch(V72, ""^[A-Za-z\.\_]+""), ""L"", 
if(regexmatch(AO72, ""^[A-Za-z\.\_]+""),""S"","""")),
if(BF72=""X"",""K"",""""))"),"LK")</f>
        <v>LK</v>
      </c>
      <c r="BX72" s="40" t="str">
        <f>IFERROR(__xludf.DUMMYFUNCTION("CONCATENATE( 
if (regexmatch(W72, ""^[A-Za-z\.\_]+""), ""L"", 
if(regexmatch(AP72, ""^[A-Za-z\.\_]+""),""S"","""")),
if(BG72=""X"",""K"",""""))"),"K")</f>
        <v>K</v>
      </c>
      <c r="BY72" s="40" t="str">
        <f>IFERROR(__xludf.DUMMYFUNCTION("CONCATENATE( 
if (regexmatch(X72, ""^[A-Za-z\.\_]+""), ""L"", 
if(regexmatch(AQ72, ""^[A-Za-z\.\_]+""),""S"","""")),
if(BH72=""X"",""K"",""""))"),"K")</f>
        <v>K</v>
      </c>
      <c r="BZ72" s="40" t="str">
        <f>IFERROR(__xludf.DUMMYFUNCTION("CONCATENATE( 
if (regexmatch(Y72, ""^[A-Za-z\.\_]+""), ""L"", 
if(regexmatch(AR72, ""^[A-Za-z\.\_]+""),""S"","""")),
if(BI72=""X"",""K"",""""))"),"LK")</f>
        <v>LK</v>
      </c>
      <c r="CA72" s="40" t="str">
        <f>IFERROR(__xludf.DUMMYFUNCTION("CONCATENATE( 
if (regexmatch(Z72, ""^[A-Za-z\.\_]+""), ""L"", 
if(regexmatch(AS72, ""^[A-Za-z\.\_]+""),""S"","""")),
if(BJ72=""X"",""K"",""""))"),"K")</f>
        <v>K</v>
      </c>
      <c r="CB72" s="39"/>
      <c r="CC72" s="39"/>
      <c r="CD72" s="39"/>
      <c r="CE72" s="39"/>
      <c r="CF72" s="39"/>
      <c r="CG72" s="39"/>
      <c r="CH72" s="39"/>
      <c r="CI72" s="39"/>
      <c r="CJ72" s="39"/>
      <c r="CK72" s="39"/>
      <c r="CL72" s="39"/>
      <c r="CM72" s="39"/>
      <c r="CN72" s="39"/>
      <c r="CO72" s="39"/>
      <c r="CP72" s="39"/>
      <c r="CQ72" s="39"/>
      <c r="CR72" s="39"/>
    </row>
    <row r="73" ht="15.75" customHeight="1">
      <c r="A73" s="25">
        <v>104.0</v>
      </c>
      <c r="B73" s="26" t="s">
        <v>291</v>
      </c>
      <c r="C73" s="41" t="s">
        <v>289</v>
      </c>
      <c r="D73" s="27" t="str">
        <f>IFERROR(__xludf.DUMMYFUNCTION("CONCATENATE(regexextract($C73,""[\w]* [\w]*""), ""*"")"),"Oryza sativa*")</f>
        <v>Oryza sativa*</v>
      </c>
      <c r="E73" s="26" t="s">
        <v>290</v>
      </c>
      <c r="F73" s="57">
        <v>39947.0</v>
      </c>
      <c r="G73" s="53"/>
      <c r="H73" s="31"/>
      <c r="I73" s="32" t="str">
        <f>CONCATENATE(
if(countif(dd.agi,$D73),"D",""),
if(countif(knap.agi,$D73),"K",""),
if(countif(mic.agi,$D73),"M",""),
if(countif(nap.agi,$D73),"N",""),
if(countif(np.agi,$D73),"P",""),
if(countif(imp.agi,$D73),"T",""),
if(countif(us.agi,$D73),"U",""),
if(countif(var.agi,$D73),"V","")
)</f>
        <v/>
      </c>
      <c r="J73" s="32" t="str">
        <f>
CONCATENATE(
if(countif(nap.bun,$D73),"N",""),
if(countif(np.bun,$D73),"P","")
)
</f>
        <v/>
      </c>
      <c r="K73" s="32" t="str">
        <f>CONCATENATE(
if(countif(dd.kxn,$D73),"D",""),
if(countif(knap.kxn,$D73),"K",""),
if(countif(mic.kxn,$D73),"M",""),
if(countif(nap.kxn,$D73),"N",""),
if(countif(np.kxn,$D73),"P",""),
if(countif(us.kxn,$D73),"U",""),
if(countif(var.kxn,$D73),"V","")
)</f>
        <v>V</v>
      </c>
      <c r="L73" s="32" t="str">
        <f>
CONCATENATE(
if(countif(dd.hwb,$D73),"D",""),
if(countif(knap.hwb,$D73),"K",""),
if(countif(mic.hwb,$D73),"M",""),
if(countif(nap.hwb,$D73),"N",""),
if(countif(np.hwb,$D73),"P",""),
if(countif(us.hwb,$D73),"U",""),
if(countif(imp.hwb,$D73),"T",""),
if(countif(var.hwb,$D73),"V","")
)</f>
        <v/>
      </c>
      <c r="M73" s="32" t="str">
        <f>CONCATENATE(
if(countif(dd.epc,$D73),"D",""),
if(countif(knap.ekxn,$D73),"K",""),
if(countif(mic.ekxn,$D73),"M",""),
if(countif(nap.ekxn,$D73),"N",""),
if(countif(np.ekxn,$D73),"P",""),
if(countif(imp.epc,$D73),"T",""),
if(countif(us.ekxn,$D73),"U",""),
if(countif(var.ekxn,$D73),"V","")
)</f>
        <v/>
      </c>
      <c r="N73" s="32" t="str">
        <f>
CONCATENATE(
if(countif(dd.ecg,$D73),"D",""),
if(countif(mic.ecg,$D73),"M",""),
if(countif(np.ecg,$D73),"P",""),
if(countif(imp.ecg,$D73),"T",""),
if(countif(us.ecg,$D73),"U","")
)</f>
        <v/>
      </c>
      <c r="O73" s="32" t="str">
        <f>
CONCATENATE(
if(countif(dd.egt,$D73),"D",""),
if(countif(mic.egt,$D73),"M",""),
if(countif(nap.egt,$D73),"N",""),
if(countif(us.egt,$D73),"U",""),
if(countif(var.egt,$D73),"V",""))
</f>
        <v/>
      </c>
      <c r="P73" s="32" t="str">
        <f>CONCATENATE(
if(countif(knap.egcg,$D73),"K",""),
if(countif(mic.egcg,$D73),"M",""),
if(countif(np.egcg,$D73),"P",""),
if(countif(us.egcg,$D73),"U","")
)</f>
        <v/>
      </c>
      <c r="Q73" s="60" t="s">
        <v>292</v>
      </c>
      <c r="R73" s="32" t="str">
        <f>
CONCATENATE(
if(countif(nap.erd,$D73),"N",""),
if(countif(np.erd,$D73),"P",""),
if(countif(var.erd,$D73),"V",""))</f>
        <v/>
      </c>
      <c r="S73" s="32" t="str">
        <f>
CONCATENATE(
if(countif(dd.gkxn,$D73),"D",""),
if(countif(knap.gkxn,$D73),"K",""),
if(countif(nap.gkxn,$D73),"N",""),
if(countif(np.gkxn,$D73),"P",""),
if(countif(imp.gkxn,$D73),"T",""),
if(countif(var.gkxn,$D73),"V",""))</f>
        <v/>
      </c>
      <c r="T73" s="32" t="str">
        <f>
CONCATENATE(
if(countif(dd.gen,$C73),"D",""),
if(countif(knap.gen,$C73),"K",""),
if(countif(nap.gen,$C73),"N",""),
if(countif(np.gen,$C73),"P",""),
if(countif(imp.gen,$C73),"T",""),
if(countif(var.gen,$C73),"V",""))</f>
        <v/>
      </c>
      <c r="U73" s="32" t="str">
        <f>
CONCATENATE(
if(countif(dd.hcc,$D73),"D",""),
if(countif(knap.hcc,$D73),"K",""),
if(countif(np.hcc,$D73),"P","")
)
</f>
        <v/>
      </c>
      <c r="V73" s="32" t="str">
        <f>
CONCATENATE(
if(countif(dd.kmp,$D73),"D",""),
if(countif(knap.kmp,$D73),"K",""),
if(countif(mic.kmp,$D73),"M",""),
if(countif(nap.kmp,$D73),"N",""),
if(countif(np.kmp,$D73),"P",""),
if(countif(imp.kmp,$D73),"T",""),
if(countif(us.kmp,$D73),"U",""),
if(countif(var.kmp,$D73),"V",""))</f>
        <v>V</v>
      </c>
      <c r="W73" s="32" t="str">
        <f>
CONCATENATE(
if(countif(dd.lu2,$D73),"D",""),
if(countif(knap.lu2,$D73),"K",""),
if(countif(mic.lu2,$D73),"M",""),
if(countif(nap.lu2,$D73),"N",""),
if(countif(np.lu2,$D73),"P",""),
if(countif(imp.lu2,$D73),"T",""),
if(countif(us.lu2,$D73),"U",""),
if(countif(var.lu2,$D73),"V",""))</f>
        <v/>
      </c>
      <c r="X73" s="32" t="str">
        <f>
CONCATENATE(
if(countif(dd.myc,$D73),"D",""),
if(countif(knap.myc,$D73),"K",""), 
if(countif(mic.myc,$D73),"M",""),
if(countif(nap.myc,$D73),"N",""),
if(countif(np.myc,$D73),"P",""),
if(countif(imp.myc,$D73),"T",""),
if(countif(us.myc,$D73),"U",""),
if(countif(var.myc,$D73),"V",""))</f>
        <v/>
      </c>
      <c r="Y73" s="32" t="str">
        <f>CONCATENATE(
if(countif(dd.nar,$D73),"D",""),
if(countif(knap.nar,$D73),"K",""),
if(countif(nap.nar,$D73),"N",""),
if(countif(np.nar,$D73),"P",""),
if(countif(imp.nar,$D73),"T",""),
if(countif(us.nar,$D73),"U",""),
if(countif(var.nar,$D73),"V",""))</f>
        <v>V</v>
      </c>
      <c r="Z73" s="33" t="str">
        <f>
CONCATENATE(
if(countif(dd.que,$D73),"D",""),
if(countif(knap.que,$D73),"K",""),
if(countif(mic.que,$D73),"M",""),
if(countif(nap.que,$D73),"N",""),
if(countif(np.que,$D73),"P",""),
if(countif(imp.que,$D73),"T",""),
if(countif(us.que,$D73),"U",""),
if(countif(var.que,$D73),"V",""))</f>
        <v/>
      </c>
      <c r="AA73" s="60" t="s">
        <v>292</v>
      </c>
      <c r="AB73" s="60" t="s">
        <v>292</v>
      </c>
      <c r="AC73" s="60" t="s">
        <v>292</v>
      </c>
      <c r="AD73" s="60" t="s">
        <v>292</v>
      </c>
      <c r="AE73" s="60" t="s">
        <v>292</v>
      </c>
      <c r="AF73" s="60" t="s">
        <v>292</v>
      </c>
      <c r="AG73" s="60" t="s">
        <v>292</v>
      </c>
      <c r="AH73" s="60" t="s">
        <v>292</v>
      </c>
      <c r="AI73" s="60" t="s">
        <v>292</v>
      </c>
      <c r="AJ73" s="60" t="s">
        <v>292</v>
      </c>
      <c r="AK73" s="60" t="s">
        <v>292</v>
      </c>
      <c r="AL73" s="60" t="s">
        <v>292</v>
      </c>
      <c r="AM73" s="60" t="s">
        <v>292</v>
      </c>
      <c r="AN73" s="60" t="s">
        <v>292</v>
      </c>
      <c r="AO73" s="60" t="s">
        <v>292</v>
      </c>
      <c r="AP73" s="60" t="s">
        <v>292</v>
      </c>
      <c r="AQ73" s="60" t="s">
        <v>292</v>
      </c>
      <c r="AR73" s="60" t="s">
        <v>292</v>
      </c>
      <c r="AS73" s="60" t="s">
        <v>292</v>
      </c>
      <c r="AT73" s="60" t="s">
        <v>292</v>
      </c>
      <c r="AU73" s="60" t="s">
        <v>292</v>
      </c>
      <c r="AV73" s="60" t="s">
        <v>292</v>
      </c>
      <c r="AW73" s="60" t="s">
        <v>292</v>
      </c>
      <c r="AX73" s="60" t="s">
        <v>292</v>
      </c>
      <c r="AY73" s="60" t="s">
        <v>292</v>
      </c>
      <c r="AZ73" s="60" t="s">
        <v>292</v>
      </c>
      <c r="BA73" s="60" t="s">
        <v>292</v>
      </c>
      <c r="BB73" s="60" t="s">
        <v>292</v>
      </c>
      <c r="BC73" s="60" t="s">
        <v>292</v>
      </c>
      <c r="BD73" s="60" t="s">
        <v>292</v>
      </c>
      <c r="BE73" s="60" t="s">
        <v>292</v>
      </c>
      <c r="BF73" s="60" t="s">
        <v>292</v>
      </c>
      <c r="BG73" s="60" t="s">
        <v>292</v>
      </c>
      <c r="BH73" s="60" t="s">
        <v>292</v>
      </c>
      <c r="BI73" s="60" t="s">
        <v>292</v>
      </c>
      <c r="BJ73" s="60" t="s">
        <v>292</v>
      </c>
      <c r="BK73" s="60"/>
      <c r="BL73" s="61" t="s">
        <v>292</v>
      </c>
      <c r="BM73" s="61" t="s">
        <v>292</v>
      </c>
      <c r="BN73" s="61" t="s">
        <v>292</v>
      </c>
      <c r="BO73" s="61" t="s">
        <v>292</v>
      </c>
      <c r="BP73" s="61" t="s">
        <v>292</v>
      </c>
      <c r="BQ73" s="61" t="s">
        <v>292</v>
      </c>
      <c r="BR73" s="61" t="s">
        <v>292</v>
      </c>
      <c r="BS73" s="61" t="s">
        <v>292</v>
      </c>
      <c r="BT73" s="61" t="s">
        <v>292</v>
      </c>
      <c r="BU73" s="61" t="s">
        <v>292</v>
      </c>
      <c r="BV73" s="61" t="s">
        <v>292</v>
      </c>
      <c r="BW73" s="61" t="s">
        <v>292</v>
      </c>
      <c r="BX73" s="61" t="s">
        <v>292</v>
      </c>
      <c r="BY73" s="61" t="s">
        <v>292</v>
      </c>
      <c r="BZ73" s="61" t="s">
        <v>292</v>
      </c>
      <c r="CA73" s="61" t="s">
        <v>292</v>
      </c>
      <c r="CB73" s="62"/>
      <c r="CC73" s="62"/>
      <c r="CD73" s="62"/>
      <c r="CE73" s="62"/>
      <c r="CF73" s="62"/>
      <c r="CG73" s="62"/>
      <c r="CH73" s="62"/>
      <c r="CI73" s="62"/>
      <c r="CJ73" s="62"/>
      <c r="CK73" s="62"/>
      <c r="CL73" s="62"/>
      <c r="CM73" s="62"/>
      <c r="CN73" s="62"/>
      <c r="CO73" s="62"/>
      <c r="CP73" s="62"/>
      <c r="CQ73" s="62"/>
      <c r="CR73" s="62"/>
    </row>
    <row r="74" ht="15.75" customHeight="1">
      <c r="A74" s="25">
        <v>133.0</v>
      </c>
      <c r="B74" s="26" t="s">
        <v>293</v>
      </c>
      <c r="C74" s="27" t="s">
        <v>294</v>
      </c>
      <c r="D74" s="27" t="str">
        <f>IFERROR(__xludf.DUMMYFUNCTION("CONCATENATE(regexextract($C74,""[\w]* [\w]*""), ""*"")"),"Ostreococcus lucimarinus*")</f>
        <v>Ostreococcus lucimarinus*</v>
      </c>
      <c r="E74" s="26" t="s">
        <v>295</v>
      </c>
      <c r="F74" s="57">
        <v>242159.0</v>
      </c>
      <c r="G74" s="53"/>
      <c r="H74" s="31"/>
      <c r="I74" s="32" t="str">
        <f>CONCATENATE(
if(countif(dd.agi,$D74),"D",""),
if(countif(knap.agi,$D74),"K",""),
if(countif(mic.agi,$D74),"M",""),
if(countif(nap.agi,$D74),"N",""),
if(countif(np.agi,$D74),"P",""),
if(countif(imp.agi,$D74),"T",""),
if(countif(us.agi,$D74),"U",""),
if(countif(var.agi,$D74),"V","")
)</f>
        <v/>
      </c>
      <c r="J74" s="32" t="str">
        <f>
CONCATENATE(
if(countif(nap.bun,$D74),"N",""),
if(countif(np.bun,$D74),"P","")
)
</f>
        <v/>
      </c>
      <c r="K74" s="32" t="str">
        <f>CONCATENATE(
if(countif(dd.kxn,$D74),"D",""),
if(countif(knap.kxn,$D74),"K",""),
if(countif(mic.kxn,$D74),"M",""),
if(countif(nap.kxn,$D74),"N",""),
if(countif(np.kxn,$D74),"P",""),
if(countif(us.kxn,$D74),"U",""),
if(countif(var.kxn,$D74),"V","")
)</f>
        <v/>
      </c>
      <c r="L74" s="32" t="str">
        <f>
CONCATENATE(
if(countif(dd.hwb,$D74),"D",""),
if(countif(knap.hwb,$D74),"K",""),
if(countif(mic.hwb,$D74),"M",""),
if(countif(nap.hwb,$D74),"N",""),
if(countif(np.hwb,$D74),"P",""),
if(countif(us.hwb,$D74),"U",""),
if(countif(imp.hwb,$D74),"T",""),
if(countif(var.hwb,$D74),"V","")
)</f>
        <v/>
      </c>
      <c r="M74" s="32" t="str">
        <f>CONCATENATE(
if(countif(dd.epc,$D74),"D",""),
if(countif(knap.ekxn,$D74),"K",""),
if(countif(mic.ekxn,$D74),"M",""),
if(countif(nap.ekxn,$D74),"N",""),
if(countif(np.ekxn,$D74),"P",""),
if(countif(imp.epc,$D74),"T",""),
if(countif(us.ekxn,$D74),"U",""),
if(countif(var.ekxn,$D74),"V","")
)</f>
        <v/>
      </c>
      <c r="N74" s="32" t="str">
        <f>
CONCATENATE(
if(countif(dd.ecg,$D74),"D",""),
if(countif(mic.ecg,$D74),"M",""),
if(countif(np.ecg,$D74),"P",""),
if(countif(imp.ecg,$D74),"T",""),
if(countif(us.ecg,$D74),"U","")
)</f>
        <v/>
      </c>
      <c r="O74" s="32" t="str">
        <f>
CONCATENATE(
if(countif(dd.egt,$D74),"D",""),
if(countif(mic.egt,$D74),"M",""),
if(countif(nap.egt,$D74),"N",""),
if(countif(us.egt,$D74),"U",""),
if(countif(var.egt,$D74),"V",""))
</f>
        <v/>
      </c>
      <c r="P74" s="32" t="str">
        <f>CONCATENATE(
if(countif(knap.egcg,$D74),"K",""),
if(countif(mic.egcg,$D74),"M",""),
if(countif(np.egcg,$D74),"P",""),
if(countif(us.egcg,$D74),"U","")
)</f>
        <v/>
      </c>
      <c r="Q74" s="32" t="str">
        <f>CONCATENATE(if(countif(np.ecit,$D74),"P",""),
if(countif(nap.ecit,$D74),"A",""))</f>
        <v/>
      </c>
      <c r="R74" s="32" t="str">
        <f>
CONCATENATE(
if(countif(nap.erd,$D74),"N",""),
if(countif(np.erd,$D74),"P",""),
if(countif(var.erd,$D74),"V",""))</f>
        <v/>
      </c>
      <c r="S74" s="32" t="str">
        <f>
CONCATENATE(
if(countif(dd.gkxn,$D74),"D",""),
if(countif(knap.gkxn,$D74),"K",""),
if(countif(nap.gkxn,$D74),"N",""),
if(countif(np.gkxn,$D74),"P",""),
if(countif(imp.gkxn,$D74),"T",""),
if(countif(var.gkxn,$D74),"V",""))</f>
        <v/>
      </c>
      <c r="T74" s="32" t="str">
        <f>
CONCATENATE(
if(countif(dd.gen,$C74),"D",""),
if(countif(knap.gen,$C74),"K",""),
if(countif(nap.gen,$C74),"N",""),
if(countif(np.gen,$C74),"P",""),
if(countif(imp.gen,$C74),"T",""),
if(countif(var.gen,$C74),"V",""))</f>
        <v/>
      </c>
      <c r="U74" s="32" t="str">
        <f>
CONCATENATE(
if(countif(dd.hcc,$D74),"D",""),
if(countif(knap.hcc,$D74),"K",""),
if(countif(np.hcc,$D74),"P","")
)
</f>
        <v/>
      </c>
      <c r="V74" s="32" t="str">
        <f>
CONCATENATE(
if(countif(dd.kmp,$D74),"D",""),
if(countif(knap.kmp,$D74),"K",""),
if(countif(mic.kmp,$D74),"M",""),
if(countif(nap.kmp,$D74),"N",""),
if(countif(np.kmp,$D74),"P",""),
if(countif(imp.kmp,$D74),"T",""),
if(countif(us.kmp,$D74),"U",""),
if(countif(var.kmp,$D74),"V",""))</f>
        <v/>
      </c>
      <c r="W74" s="32" t="str">
        <f>
CONCATENATE(
if(countif(dd.lu2,$D74),"D",""),
if(countif(knap.lu2,$D74),"K",""),
if(countif(mic.lu2,$D74),"M",""),
if(countif(nap.lu2,$D74),"N",""),
if(countif(np.lu2,$D74),"P",""),
if(countif(imp.lu2,$D74),"T",""),
if(countif(us.lu2,$D74),"U",""),
if(countif(var.lu2,$D74),"V",""))</f>
        <v/>
      </c>
      <c r="X74" s="32" t="str">
        <f>
CONCATENATE(
if(countif(dd.myc,$D74),"D",""),
if(countif(knap.myc,$D74),"K",""), 
if(countif(mic.myc,$D74),"M",""),
if(countif(nap.myc,$D74),"N",""),
if(countif(np.myc,$D74),"P",""),
if(countif(imp.myc,$D74),"T",""),
if(countif(us.myc,$D74),"U",""),
if(countif(var.myc,$D74),"V",""))</f>
        <v/>
      </c>
      <c r="Y74" s="32" t="str">
        <f>CONCATENATE(
if(countif(dd.nar,$D74),"D",""),
if(countif(knap.nar,$D74),"K",""),
if(countif(nap.nar,$D74),"N",""),
if(countif(np.nar,$D74),"P",""),
if(countif(imp.nar,$D74),"T",""),
if(countif(us.nar,$D74),"U",""),
if(countif(var.nar,$D74),"V",""))</f>
        <v/>
      </c>
      <c r="Z74" s="33" t="str">
        <f>
CONCATENATE(
if(countif(dd.que,$D74),"D",""),
if(countif(knap.que,$D74),"K",""),
if(countif(mic.que,$D74),"M",""),
if(countif(nap.que,$D74),"N",""),
if(countif(np.que,$D74),"P",""),
if(countif(imp.que,$D74),"T",""),
if(countif(us.que,$D74),"U",""),
if(countif(var.que,$D74),"V",""))</f>
        <v/>
      </c>
      <c r="AA74" s="32"/>
      <c r="AB74" s="34" t="str">
        <f>
CONCATENATE(if(countif(knap.agi.sim,$D74),"K",""),
if(countif(dd.agi.sim,$D74),"D",""),
if(countif(nap.agi.sim,$D74),"A",""),
if(countif(var.agi.sim,$D74),"V",""))</f>
        <v/>
      </c>
      <c r="AC74" s="34" t="str">
        <f>
if(countif(nap.bun.sim,$D74),"A","")</f>
        <v/>
      </c>
      <c r="AD74" s="34" t="str">
        <f>
CONCATENATE(if(countif(knap.kxn.sim,$D74),"K",""),
if(countif(np.kxn.sim,$D74),"P",""),
if(countif(dd.kxn.sim,$D74),"D",""),
if(countif(nap.kxn.sim,$D74),"A",""),
if(countif(var.kxn.sim,$D74),"V",""))</f>
        <v/>
      </c>
      <c r="AE74" s="34" t="str">
        <f>
CONCATENATE(if(countif(knap.hwb.sim,$D74),"K",""),
if(countif(np.hwb.sim,$D74),"P",""),
if(countif(mic.hwb.sim,$D74),"M",""),
if(countif(imp.hwb.sim,$D74),"T",""),
if(countif(dd.cyan.sim,$D74),"D",""),
if(countif(nap.hwb.sim,$D74),"A",""),
if(countif(var.hwb.sim,$D74),"V",""))</f>
        <v/>
      </c>
      <c r="AF74" s="34" t="str">
        <f>
CONCATENATE(if(countif(us.ekxn.sim,$D74),"U",""),
if(countif(knap.ekxn.sim,$D74),"K",""),
if(countif(np.ekxn.sim,$D74),"P",""),
if(countif(mic.ekxn.sim,$D74),"M",""),
if(countif(imp.epc.sim,$D74),"T",""),
if(countif(nap.ekxn.sim,$D74),"A",""))</f>
        <v/>
      </c>
      <c r="AG74" s="34"/>
      <c r="AH74" s="34" t="str">
        <f>
CONCATENATE(if(countif(us.egt.sim,$D74),"U",""),
if(countif(knap.egt.sim,$D74),"K",""),
if(countif(np.egt.sim,$D74),"P",""),
if(countif(mic.egt.sim,$D74),"M",""))</f>
        <v/>
      </c>
      <c r="AI74" s="34"/>
      <c r="AJ74" s="34" t="str">
        <f>if(countif(nap.ecit.sim,$D74),"A","")</f>
        <v/>
      </c>
      <c r="AK74" s="34" t="str">
        <f>
CONCATENATE(if(countif(nap.erd,$D74),"M",""),
if(countif(nap.erd.sim,$D74),"A",""),
if(countif(var.erd.sim,$D74),"V",""))</f>
        <v/>
      </c>
      <c r="AL74" s="34" t="str">
        <f>
CONCATENATE(if(countif(knap.gkxn.sim,$D74),"K",""),
if(countif(nap.gkxn.sim,$D74),"A",""))</f>
        <v/>
      </c>
      <c r="AM74" s="34" t="str">
        <f>
CONCATENATE(if(countif(knap.gen.sim,$C74),"K",""),
if(countif(imp.gen.sim,$C74),"T",""),
if(countif(dd.gen.sim,$C74),"D",""),
if(countif(nap.gen.sim,$C74),"A",""),
if(countif(var.gen.sim,$C74),"V",""))
</f>
        <v/>
      </c>
      <c r="AN74" s="34" t="str">
        <f>IFERROR(__xludf.DUMMYFUNCTION("
if(countif(#REF!,CONCATENATE(regexextract($C74,""[\w]* [\w]*""), ""*"")),""V"","""")"),"")</f>
        <v/>
      </c>
      <c r="AO74" s="34" t="str">
        <f>
CONCATENATE(if(countif(knap.kmp.sim,$D74),"K",""),
if(countif(np.kmp.sim,$D74),"P",""),
if(countif(imp.kmp.sim,$D74),"T",""),
if(countif(dd.kmp,$D74),"D",""),
if(countif(nap.kmp.sim,$D74),"A",""),
if(countif(var.kmp.sim,$D74),"V",""))</f>
        <v/>
      </c>
      <c r="AP74" s="34" t="str">
        <f>
CONCATENATE(if(countif(knap.lu2.sim,$D74),"K",""),
if(countif(np.lu2.sim,$D74),"P",""),
if(countif(imp.lu2.sim,$D74),"T",""),
if(countif(dd.lu2.sim,$D74),"D",""),
if(countif(nap.lu2.sim,$D74),"A",""),
if(countif(var.lu2.sim,$D74),"V",""))</f>
        <v/>
      </c>
      <c r="AQ74" s="34" t="str">
        <f>
CONCATENATE(if(countif(np.myc.sim,$D74),"P",""),
if(countif(imp.myc.sim,$D74),"T",""),
if(countif(nap.myc.sim,$D74),"A",""))
</f>
        <v/>
      </c>
      <c r="AR74" s="36" t="str">
        <f>
CONCATENATE(if(countif(knap.nar.sim,$D74),"K",""),
if(countif(np.nar.sim,$D74),"P",""),
if(countif(imp.nar.sim,$D74),"T",""),
if(countif(dd.nar.sim,$D74),"D",""),
if(countif(nap.nar.sim,$D74),"A",""),
if(countif(var.nar.sim,$D74),"V",""))</f>
        <v/>
      </c>
      <c r="AS74" s="34" t="str">
        <f>
CONCATENATE(if(countif(knap.que.sim,$D74),"K",""),
if(countif(np.que.sim,$D74),"P",""),
if(countif(imp.que.sim,$D74),"T",""),
if(countif(dd.que.sim,$D74),"D",""),
if(countif(nap.que.sim,$D74),"A",""),
if(countif(var.que.sim,$D74),"V",""))</f>
        <v/>
      </c>
      <c r="AT74" s="37"/>
      <c r="AU74" s="32" t="str">
        <f>IFERROR(__xludf.DUMMYFUNCTION("if(countif(kr.agi, CONCATENATE(regexextract($C74,""[\w]* [\w]*""), ""*"")),""X"","""")"),"")</f>
        <v/>
      </c>
      <c r="AV74" s="38" t="str">
        <f>IFERROR(__xludf.DUMMYFUNCTION("if(countif(kr.bun,CONCATENATE(regexextract($C74,""[\w]* [\w]*""), ""*"")),""X"","""")"),"")</f>
        <v/>
      </c>
      <c r="AW74" s="38" t="str">
        <f>IFERROR(__xludf.DUMMYFUNCTION("if(countif(kr.kxn,CONCATENATE(regexextract($C74,""[\w]* [\w]*""), ""*"")),""X"","""")"),"")</f>
        <v/>
      </c>
      <c r="AX74" s="38" t="str">
        <f>IFERROR(__xludf.DUMMYFUNCTION("if(countif(kr.hwb,CONCATENATE(regexextract($C74,""[\w]* [\w]*""), ""*"")),""X"","""")"),"")</f>
        <v/>
      </c>
      <c r="AY74" s="38" t="str">
        <f>IFERROR(__xludf.DUMMYFUNCTION("if(countif(kr.ec,CONCATENATE(regexextract($C74,""[\w]* [\w]*""), ""*"")),""X"","""")"),"")</f>
        <v/>
      </c>
      <c r="AZ74" s="38" t="str">
        <f>IFERROR(__xludf.DUMMYFUNCTION("if(countif(kr.egt,CONCATENATE(regexextract($C74,""[\w]* [\w]*""), ""*"")),""X"","""")"),"")</f>
        <v/>
      </c>
      <c r="BA74" s="38"/>
      <c r="BB74" s="38" t="str">
        <f>IFERROR(__xludf.DUMMYFUNCTION("if(countif(kr.erd,CONCATENATE(regexextract($C74,""[\w]* [\w]*""), ""*"")),""X"","""")"),"")</f>
        <v/>
      </c>
      <c r="BC74" s="38" t="str">
        <f>IFERROR(__xludf.DUMMYFUNCTION("if(countif(kr.gkxn,CONCATENATE(regexextract($C74,""[\w]* [\w]*""), ""*"")),""X"","""")"),"")</f>
        <v/>
      </c>
      <c r="BD74" s="38" t="str">
        <f>IFERROR(__xludf.DUMMYFUNCTION("if(countif(kr.gen,CONCATENATE(regexextract(C74,""[\w]* [\w]*""), ""*"")),""X"","""")"),"")</f>
        <v/>
      </c>
      <c r="BE74" s="38" t="str">
        <f>IFERROR(__xludf.DUMMYFUNCTION("if(countif(kr.hcc,CONCATENATE(regexextract($C74,""[\w]* [\w]*""), ""*"")),""X"","""")"),"")</f>
        <v/>
      </c>
      <c r="BF74" s="38" t="str">
        <f>IFERROR(__xludf.DUMMYFUNCTION("if(countif(kr.kmp,CONCATENATE(regexextract($C74,""[\w]* [\w]*""), ""*"")),""X"","""")"),"")</f>
        <v/>
      </c>
      <c r="BG74" s="38" t="str">
        <f>IFERROR(__xludf.DUMMYFUNCTION("if(countif(kr.lu2,CONCATENATE(regexextract($C74,""[\w]* [\w]*""), ""*"")),""X"","""")"),"")</f>
        <v/>
      </c>
      <c r="BH74" s="38" t="str">
        <f>IFERROR(__xludf.DUMMYFUNCTION("if(countif(kr.myc,CONCATENATE(regexextract($C74,""[\w]* [\w]*""), ""*"")),""X"","""")"),"")</f>
        <v/>
      </c>
      <c r="BI74" s="38" t="str">
        <f>IFERROR(__xludf.DUMMYFUNCTION("if(countif(kr.nar,CONCATENATE(regexextract($C74,""[\w]* [\w]*""), ""*"")),""X"","""")"),"")</f>
        <v/>
      </c>
      <c r="BJ74" s="38" t="str">
        <f>IFERROR(__xludf.DUMMYFUNCTION("if(countif(kr.que,CONCATENATE(regexextract($C74,""[\w]* [\w]*""), ""*"")),""X"","""")"),"")</f>
        <v/>
      </c>
      <c r="BK74" s="39"/>
      <c r="BL74" s="40" t="str">
        <f>IFERROR(__xludf.DUMMYFUNCTION(" CONCATENATE( 
if (regexmatch(I74, ""^[A-Za-z\.\_]+""), ""L"", 
if(regexmatch(AB74, ""^[A-Za-z\.\_]+""),""S"","""")),
if(AU74=""X"",""K"",""""))"),"")</f>
        <v/>
      </c>
      <c r="BM74" s="40" t="str">
        <f>IFERROR(__xludf.DUMMYFUNCTION(" CONCATENATE( 
if (regexmatch(J74, ""^[A-Za-z\.\_]+""), ""L"", 
if(regexmatch(AC74, ""^[A-Za-z\.\_]+""),""S"","""")),
if(AV74=""X"",""K"",""""))"),"")</f>
        <v/>
      </c>
      <c r="BN74" s="40" t="str">
        <f>IFERROR(__xludf.DUMMYFUNCTION(" CONCATENATE( 
if (regexmatch(K74, ""^[A-Za-z\.\_]+""), ""L"", 
if(regexmatch(AD74, ""^[A-Za-z\.\_]+""),""S"","""")),
if(AW74=""X"",""K"",""""))"),"")</f>
        <v/>
      </c>
      <c r="BO74" s="40" t="str">
        <f>IFERROR(__xludf.DUMMYFUNCTION(" CONCATENATE( 
if (regexmatch(L74, ""^[A-Za-z\.\_]+""), ""L"", 
if(regexmatch(AE74, ""^[A-Za-z\.\_]+""),""S"","""")),
if(AX74=""X"",""K"",""""))"),"")</f>
        <v/>
      </c>
      <c r="BP74" s="40" t="str">
        <f>IFERROR(__xludf.DUMMYFUNCTION(" CONCATENATE( 
if (regexmatch(M74, ""^[A-Za-z\.\_]+""), ""L"", 
if(regexmatch(AF74, ""^[A-Za-z\.\_]+""),""S"","""")),
if(AY74=""X"",""K"",""""))"),"")</f>
        <v/>
      </c>
      <c r="BQ74" s="40" t="str">
        <f>IFERROR(__xludf.DUMMYFUNCTION("CONCATENATE( 
if (regexmatch(O74, ""^[A-Za-z\.\_]+""), ""L"", 
if(regexmatch(AH74, ""^[A-Za-z\.\_]+""),""S"","""")),
if(AZ74=""X"",""K"",""""))"),"")</f>
        <v/>
      </c>
      <c r="BR74" s="40" t="str">
        <f>IFERROR(__xludf.DUMMYFUNCTION("CONCATENATE( 
if (regexmatch(Q74, ""^[A-Za-z\.\_]+""), ""L"", 
if(regexmatch(AJ74, ""^[A-Za-z\.\_]+""),""S"","""")),
if(BA74=""X"",""K"",""""))"),"")</f>
        <v/>
      </c>
      <c r="BS74" s="40" t="str">
        <f>IFERROR(__xludf.DUMMYFUNCTION(" CONCATENATE( 
if (regexmatch(R74, ""^[A-Za-z\.\_]+""), ""L"", 
if(regexmatch(AK74, ""^[A-Za-z\.\_]+""),""S"","""")),
if(BB74=""X"",""K"",""""))"),"")</f>
        <v/>
      </c>
      <c r="BT74" s="40" t="str">
        <f>IFERROR(__xludf.DUMMYFUNCTION("CONCATENATE( 
if (regexmatch(S74, ""^[A-Za-z\.\_]+""), ""L"", 
if(regexmatch(AL74, ""^[A-Za-z\.\_]+""),""S"","""")),
if(BC74=""X"",""K"",""""))"),"")</f>
        <v/>
      </c>
      <c r="BU74" s="40" t="str">
        <f>IFERROR(__xludf.DUMMYFUNCTION("CONCATENATE( 
if (regexmatch(T74, ""^[A-Za-z\.\_]+""), ""L"", 
if(regexmatch(AM74, ""^[A-Za-z\.\_]+""),""S"","""")),
if(BD74=""X"",""K"",""""))"),"")</f>
        <v/>
      </c>
      <c r="BV74" s="40" t="str">
        <f>IFERROR(__xludf.DUMMYFUNCTION("CONCATENATE( 
if (regexmatch(U74, ""^[A-Za-z\.\_]+""), ""L"", 
if(regexmatch(AN74, ""^[A-Za-z\.\_]+""),""S"","""")),
if(BE74=""X"",""K"",""""))"),"")</f>
        <v/>
      </c>
      <c r="BW74" s="40" t="str">
        <f>IFERROR(__xludf.DUMMYFUNCTION(" CONCATENATE( 
if (regexmatch(V74, ""^[A-Za-z\.\_]+""), ""L"", 
if(regexmatch(AO74, ""^[A-Za-z\.\_]+""),""S"","""")),
if(BF74=""X"",""K"",""""))"),"")</f>
        <v/>
      </c>
      <c r="BX74" s="40" t="str">
        <f>IFERROR(__xludf.DUMMYFUNCTION("CONCATENATE( 
if (regexmatch(W74, ""^[A-Za-z\.\_]+""), ""L"", 
if(regexmatch(AP74, ""^[A-Za-z\.\_]+""),""S"","""")),
if(BG74=""X"",""K"",""""))"),"")</f>
        <v/>
      </c>
      <c r="BY74" s="40" t="str">
        <f>IFERROR(__xludf.DUMMYFUNCTION("CONCATENATE( 
if (regexmatch(X74, ""^[A-Za-z\.\_]+""), ""L"", 
if(regexmatch(AQ74, ""^[A-Za-z\.\_]+""),""S"","""")),
if(BH74=""X"",""K"",""""))"),"")</f>
        <v/>
      </c>
      <c r="BZ74" s="40" t="str">
        <f>IFERROR(__xludf.DUMMYFUNCTION("CONCATENATE( 
if (regexmatch(Y74, ""^[A-Za-z\.\_]+""), ""L"", 
if(regexmatch(AR74, ""^[A-Za-z\.\_]+""),""S"","""")),
if(BI74=""X"",""K"",""""))"),"")</f>
        <v/>
      </c>
      <c r="CA74" s="40" t="str">
        <f>IFERROR(__xludf.DUMMYFUNCTION("CONCATENATE( 
if (regexmatch(Z74, ""^[A-Za-z\.\_]+""), ""L"", 
if(regexmatch(AS74, ""^[A-Za-z\.\_]+""),""S"","""")),
if(BJ74=""X"",""K"",""""))"),"")</f>
        <v/>
      </c>
      <c r="CB74" s="39"/>
      <c r="CC74" s="39"/>
      <c r="CD74" s="39"/>
      <c r="CE74" s="39"/>
      <c r="CF74" s="39"/>
      <c r="CG74" s="39"/>
      <c r="CH74" s="39"/>
      <c r="CI74" s="39"/>
      <c r="CJ74" s="39"/>
      <c r="CK74" s="39"/>
      <c r="CL74" s="39"/>
      <c r="CM74" s="39"/>
      <c r="CN74" s="39"/>
      <c r="CO74" s="39"/>
      <c r="CP74" s="39"/>
      <c r="CQ74" s="39"/>
      <c r="CR74" s="39"/>
    </row>
    <row r="75" ht="15.75" customHeight="1">
      <c r="A75" s="25">
        <v>134.0</v>
      </c>
      <c r="B75" s="26" t="s">
        <v>296</v>
      </c>
      <c r="C75" s="27" t="s">
        <v>297</v>
      </c>
      <c r="D75" s="27" t="str">
        <f>IFERROR(__xludf.DUMMYFUNCTION("CONCATENATE(regexextract($C75,""[\w]* [\w]*""), ""*"")"),"Ostreococcus tauri*")</f>
        <v>Ostreococcus tauri*</v>
      </c>
      <c r="E75" s="26" t="s">
        <v>298</v>
      </c>
      <c r="F75" s="57">
        <v>70448.0</v>
      </c>
      <c r="G75" s="53"/>
      <c r="H75" s="31"/>
      <c r="I75" s="32" t="str">
        <f>CONCATENATE(
if(countif(dd.agi,$D75),"D",""),
if(countif(knap.agi,$D75),"K",""),
if(countif(mic.agi,$D75),"M",""),
if(countif(nap.agi,$D75),"N",""),
if(countif(np.agi,$D75),"P",""),
if(countif(imp.agi,$D75),"T",""),
if(countif(us.agi,$D75),"U",""),
if(countif(var.agi,$D75),"V","")
)</f>
        <v/>
      </c>
      <c r="J75" s="32" t="str">
        <f>
CONCATENATE(
if(countif(nap.bun,$D75),"N",""),
if(countif(np.bun,$D75),"P","")
)
</f>
        <v/>
      </c>
      <c r="K75" s="32" t="str">
        <f>CONCATENATE(
if(countif(dd.kxn,$D75),"D",""),
if(countif(knap.kxn,$D75),"K",""),
if(countif(mic.kxn,$D75),"M",""),
if(countif(nap.kxn,$D75),"N",""),
if(countif(np.kxn,$D75),"P",""),
if(countif(us.kxn,$D75),"U",""),
if(countif(var.kxn,$D75),"V","")
)</f>
        <v/>
      </c>
      <c r="L75" s="32" t="str">
        <f>
CONCATENATE(
if(countif(dd.hwb,$D75),"D",""),
if(countif(knap.hwb,$D75),"K",""),
if(countif(mic.hwb,$D75),"M",""),
if(countif(nap.hwb,$D75),"N",""),
if(countif(np.hwb,$D75),"P",""),
if(countif(us.hwb,$D75),"U",""),
if(countif(imp.hwb,$D75),"T",""),
if(countif(var.hwb,$D75),"V","")
)</f>
        <v/>
      </c>
      <c r="M75" s="32" t="str">
        <f>CONCATENATE(
if(countif(dd.epc,$D75),"D",""),
if(countif(knap.ekxn,$D75),"K",""),
if(countif(mic.ekxn,$D75),"M",""),
if(countif(nap.ekxn,$D75),"N",""),
if(countif(np.ekxn,$D75),"P",""),
if(countif(imp.epc,$D75),"T",""),
if(countif(us.ekxn,$D75),"U",""),
if(countif(var.ekxn,$D75),"V","")
)</f>
        <v/>
      </c>
      <c r="N75" s="32" t="str">
        <f>
CONCATENATE(
if(countif(dd.ecg,$D75),"D",""),
if(countif(mic.ecg,$D75),"M",""),
if(countif(np.ecg,$D75),"P",""),
if(countif(imp.ecg,$D75),"T",""),
if(countif(us.ecg,$D75),"U","")
)</f>
        <v/>
      </c>
      <c r="O75" s="32" t="str">
        <f>
CONCATENATE(
if(countif(dd.egt,$D75),"D",""),
if(countif(mic.egt,$D75),"M",""),
if(countif(nap.egt,$D75),"N",""),
if(countif(us.egt,$D75),"U",""),
if(countif(var.egt,$D75),"V",""))
</f>
        <v/>
      </c>
      <c r="P75" s="32" t="str">
        <f>CONCATENATE(
if(countif(knap.egcg,$D75),"K",""),
if(countif(mic.egcg,$D75),"M",""),
if(countif(np.egcg,$D75),"P",""),
if(countif(us.egcg,$D75),"U","")
)</f>
        <v/>
      </c>
      <c r="Q75" s="32" t="str">
        <f>CONCATENATE(if(countif(np.ecit,$D75),"P",""),
if(countif(nap.ecit,$D75),"A",""))</f>
        <v/>
      </c>
      <c r="R75" s="32" t="str">
        <f>
CONCATENATE(
if(countif(nap.erd,$D75),"N",""),
if(countif(np.erd,$D75),"P",""),
if(countif(var.erd,$D75),"V",""))</f>
        <v/>
      </c>
      <c r="S75" s="32" t="str">
        <f>
CONCATENATE(
if(countif(dd.gkxn,$D75),"D",""),
if(countif(knap.gkxn,$D75),"K",""),
if(countif(nap.gkxn,$D75),"N",""),
if(countif(np.gkxn,$D75),"P",""),
if(countif(imp.gkxn,$D75),"T",""),
if(countif(var.gkxn,$D75),"V",""))</f>
        <v/>
      </c>
      <c r="T75" s="32" t="str">
        <f>
CONCATENATE(
if(countif(dd.gen,$C75),"D",""),
if(countif(knap.gen,$C75),"K",""),
if(countif(nap.gen,$C75),"N",""),
if(countif(np.gen,$C75),"P",""),
if(countif(imp.gen,$C75),"T",""),
if(countif(var.gen,$C75),"V",""))</f>
        <v/>
      </c>
      <c r="U75" s="32" t="str">
        <f>
CONCATENATE(
if(countif(dd.hcc,$D75),"D",""),
if(countif(knap.hcc,$D75),"K",""),
if(countif(np.hcc,$D75),"P","")
)
</f>
        <v/>
      </c>
      <c r="V75" s="32" t="str">
        <f>
CONCATENATE(
if(countif(dd.kmp,$D75),"D",""),
if(countif(knap.kmp,$D75),"K",""),
if(countif(mic.kmp,$D75),"M",""),
if(countif(nap.kmp,$D75),"N",""),
if(countif(np.kmp,$D75),"P",""),
if(countif(imp.kmp,$D75),"T",""),
if(countif(us.kmp,$D75),"U",""),
if(countif(var.kmp,$D75),"V",""))</f>
        <v/>
      </c>
      <c r="W75" s="32" t="str">
        <f>
CONCATENATE(
if(countif(dd.lu2,$D75),"D",""),
if(countif(knap.lu2,$D75),"K",""),
if(countif(mic.lu2,$D75),"M",""),
if(countif(nap.lu2,$D75),"N",""),
if(countif(np.lu2,$D75),"P",""),
if(countif(imp.lu2,$D75),"T",""),
if(countif(us.lu2,$D75),"U",""),
if(countif(var.lu2,$D75),"V",""))</f>
        <v/>
      </c>
      <c r="X75" s="32" t="str">
        <f>
CONCATENATE(
if(countif(dd.myc,$D75),"D",""),
if(countif(knap.myc,$D75),"K",""), 
if(countif(mic.myc,$D75),"M",""),
if(countif(nap.myc,$D75),"N",""),
if(countif(np.myc,$D75),"P",""),
if(countif(imp.myc,$D75),"T",""),
if(countif(us.myc,$D75),"U",""),
if(countif(var.myc,$D75),"V",""))</f>
        <v/>
      </c>
      <c r="Y75" s="32" t="str">
        <f>CONCATENATE(
if(countif(dd.nar,$D75),"D",""),
if(countif(knap.nar,$D75),"K",""),
if(countif(nap.nar,$D75),"N",""),
if(countif(np.nar,$D75),"P",""),
if(countif(imp.nar,$D75),"T",""),
if(countif(us.nar,$D75),"U",""),
if(countif(var.nar,$D75),"V",""))</f>
        <v/>
      </c>
      <c r="Z75" s="33" t="str">
        <f>
CONCATENATE(
if(countif(dd.que,$D75),"D",""),
if(countif(knap.que,$D75),"K",""),
if(countif(mic.que,$D75),"M",""),
if(countif(nap.que,$D75),"N",""),
if(countif(np.que,$D75),"P",""),
if(countif(imp.que,$D75),"T",""),
if(countif(us.que,$D75),"U",""),
if(countif(var.que,$D75),"V",""))</f>
        <v/>
      </c>
      <c r="AA75" s="32"/>
      <c r="AB75" s="34" t="str">
        <f>
CONCATENATE(if(countif(knap.agi.sim,$D75),"K",""),
if(countif(dd.agi.sim,$D75),"D",""),
if(countif(nap.agi.sim,$D75),"A",""),
if(countif(var.agi.sim,$D75),"V",""))</f>
        <v/>
      </c>
      <c r="AC75" s="34" t="str">
        <f>
if(countif(nap.bun.sim,$D75),"A","")</f>
        <v/>
      </c>
      <c r="AD75" s="34" t="str">
        <f>
CONCATENATE(if(countif(knap.kxn.sim,$D75),"K",""),
if(countif(np.kxn.sim,$D75),"P",""),
if(countif(dd.kxn.sim,$D75),"D",""),
if(countif(nap.kxn.sim,$D75),"A",""),
if(countif(var.kxn.sim,$D75),"V",""))</f>
        <v/>
      </c>
      <c r="AE75" s="34" t="str">
        <f>
CONCATENATE(if(countif(knap.hwb.sim,$D75),"K",""),
if(countif(np.hwb.sim,$D75),"P",""),
if(countif(mic.hwb.sim,$D75),"M",""),
if(countif(imp.hwb.sim,$D75),"T",""),
if(countif(dd.cyan.sim,$D75),"D",""),
if(countif(nap.hwb.sim,$D75),"A",""),
if(countif(var.hwb.sim,$D75),"V",""))</f>
        <v/>
      </c>
      <c r="AF75" s="34" t="str">
        <f>
CONCATENATE(if(countif(us.ekxn.sim,$D75),"U",""),
if(countif(knap.ekxn.sim,$D75),"K",""),
if(countif(np.ekxn.sim,$D75),"P",""),
if(countif(mic.ekxn.sim,$D75),"M",""),
if(countif(imp.epc.sim,$D75),"T",""),
if(countif(nap.ekxn.sim,$D75),"A",""))</f>
        <v/>
      </c>
      <c r="AG75" s="34"/>
      <c r="AH75" s="34" t="str">
        <f>
CONCATENATE(if(countif(us.egt.sim,$D75),"U",""),
if(countif(knap.egt.sim,$D75),"K",""),
if(countif(np.egt.sim,$D75),"P",""),
if(countif(mic.egt.sim,$D75),"M",""))</f>
        <v/>
      </c>
      <c r="AI75" s="34"/>
      <c r="AJ75" s="34" t="str">
        <f>if(countif(nap.ecit.sim,$D75),"A","")</f>
        <v/>
      </c>
      <c r="AK75" s="34" t="str">
        <f>
CONCATENATE(if(countif(nap.erd,$D75),"M",""),
if(countif(nap.erd.sim,$D75),"A",""),
if(countif(var.erd.sim,$D75),"V",""))</f>
        <v/>
      </c>
      <c r="AL75" s="34" t="str">
        <f>
CONCATENATE(if(countif(knap.gkxn.sim,$D75),"K",""),
if(countif(nap.gkxn.sim,$D75),"A",""))</f>
        <v/>
      </c>
      <c r="AM75" s="34" t="str">
        <f>
CONCATENATE(if(countif(knap.gen.sim,$C75),"K",""),
if(countif(imp.gen.sim,$C75),"T",""),
if(countif(dd.gen.sim,$C75),"D",""),
if(countif(nap.gen.sim,$C75),"A",""),
if(countif(var.gen.sim,$C75),"V",""))
</f>
        <v/>
      </c>
      <c r="AN75" s="34" t="str">
        <f>IFERROR(__xludf.DUMMYFUNCTION("
if(countif(#REF!,CONCATENATE(regexextract($C75,""[\w]* [\w]*""), ""*"")),""V"","""")"),"")</f>
        <v/>
      </c>
      <c r="AO75" s="34" t="str">
        <f>
CONCATENATE(if(countif(knap.kmp.sim,$D75),"K",""),
if(countif(np.kmp.sim,$D75),"P",""),
if(countif(imp.kmp.sim,$D75),"T",""),
if(countif(dd.kmp,$D75),"D",""),
if(countif(nap.kmp.sim,$D75),"A",""),
if(countif(var.kmp.sim,$D75),"V",""))</f>
        <v/>
      </c>
      <c r="AP75" s="34" t="str">
        <f>
CONCATENATE(if(countif(knap.lu2.sim,$D75),"K",""),
if(countif(np.lu2.sim,$D75),"P",""),
if(countif(imp.lu2.sim,$D75),"T",""),
if(countif(dd.lu2.sim,$D75),"D",""),
if(countif(nap.lu2.sim,$D75),"A",""),
if(countif(var.lu2.sim,$D75),"V",""))</f>
        <v/>
      </c>
      <c r="AQ75" s="34" t="str">
        <f>
CONCATENATE(if(countif(np.myc.sim,$D75),"P",""),
if(countif(imp.myc.sim,$D75),"T",""),
if(countif(nap.myc.sim,$D75),"A",""))
</f>
        <v/>
      </c>
      <c r="AR75" s="36" t="str">
        <f>
CONCATENATE(if(countif(knap.nar.sim,$D75),"K",""),
if(countif(np.nar.sim,$D75),"P",""),
if(countif(imp.nar.sim,$D75),"T",""),
if(countif(dd.nar.sim,$D75),"D",""),
if(countif(nap.nar.sim,$D75),"A",""),
if(countif(var.nar.sim,$D75),"V",""))</f>
        <v/>
      </c>
      <c r="AS75" s="34" t="str">
        <f>
CONCATENATE(if(countif(knap.que.sim,$D75),"K",""),
if(countif(np.que.sim,$D75),"P",""),
if(countif(imp.que.sim,$D75),"T",""),
if(countif(dd.que.sim,$D75),"D",""),
if(countif(nap.que.sim,$D75),"A",""),
if(countif(var.que.sim,$D75),"V",""))</f>
        <v/>
      </c>
      <c r="AT75" s="37"/>
      <c r="AU75" s="32" t="str">
        <f>IFERROR(__xludf.DUMMYFUNCTION("if(countif(kr.agi, CONCATENATE(regexextract($C75,""[\w]* [\w]*""), ""*"")),""X"","""")"),"")</f>
        <v/>
      </c>
      <c r="AV75" s="38" t="str">
        <f>IFERROR(__xludf.DUMMYFUNCTION("if(countif(kr.bun,CONCATENATE(regexextract($C75,""[\w]* [\w]*""), ""*"")),""X"","""")"),"")</f>
        <v/>
      </c>
      <c r="AW75" s="38" t="str">
        <f>IFERROR(__xludf.DUMMYFUNCTION("if(countif(kr.kxn,CONCATENATE(regexextract($C75,""[\w]* [\w]*""), ""*"")),""X"","""")"),"")</f>
        <v/>
      </c>
      <c r="AX75" s="38" t="str">
        <f>IFERROR(__xludf.DUMMYFUNCTION("if(countif(kr.hwb,CONCATENATE(regexextract($C75,""[\w]* [\w]*""), ""*"")),""X"","""")"),"")</f>
        <v/>
      </c>
      <c r="AY75" s="38" t="str">
        <f>IFERROR(__xludf.DUMMYFUNCTION("if(countif(kr.ec,CONCATENATE(regexextract($C75,""[\w]* [\w]*""), ""*"")),""X"","""")"),"")</f>
        <v/>
      </c>
      <c r="AZ75" s="38" t="str">
        <f>IFERROR(__xludf.DUMMYFUNCTION("if(countif(kr.egt,CONCATENATE(regexextract($C75,""[\w]* [\w]*""), ""*"")),""X"","""")"),"")</f>
        <v/>
      </c>
      <c r="BA75" s="38"/>
      <c r="BB75" s="38" t="str">
        <f>IFERROR(__xludf.DUMMYFUNCTION("if(countif(kr.erd,CONCATENATE(regexextract($C75,""[\w]* [\w]*""), ""*"")),""X"","""")"),"")</f>
        <v/>
      </c>
      <c r="BC75" s="38" t="str">
        <f>IFERROR(__xludf.DUMMYFUNCTION("if(countif(kr.gkxn,CONCATENATE(regexextract($C75,""[\w]* [\w]*""), ""*"")),""X"","""")"),"")</f>
        <v/>
      </c>
      <c r="BD75" s="38" t="str">
        <f>IFERROR(__xludf.DUMMYFUNCTION("if(countif(kr.gen,CONCATENATE(regexextract(C75,""[\w]* [\w]*""), ""*"")),""X"","""")"),"")</f>
        <v/>
      </c>
      <c r="BE75" s="38" t="str">
        <f>IFERROR(__xludf.DUMMYFUNCTION("if(countif(kr.hcc,CONCATENATE(regexextract($C75,""[\w]* [\w]*""), ""*"")),""X"","""")"),"")</f>
        <v/>
      </c>
      <c r="BF75" s="38" t="str">
        <f>IFERROR(__xludf.DUMMYFUNCTION("if(countif(kr.kmp,CONCATENATE(regexextract($C75,""[\w]* [\w]*""), ""*"")),""X"","""")"),"")</f>
        <v/>
      </c>
      <c r="BG75" s="38" t="str">
        <f>IFERROR(__xludf.DUMMYFUNCTION("if(countif(kr.lu2,CONCATENATE(regexextract($C75,""[\w]* [\w]*""), ""*"")),""X"","""")"),"")</f>
        <v/>
      </c>
      <c r="BH75" s="38" t="str">
        <f>IFERROR(__xludf.DUMMYFUNCTION("if(countif(kr.myc,CONCATENATE(regexextract($C75,""[\w]* [\w]*""), ""*"")),""X"","""")"),"")</f>
        <v/>
      </c>
      <c r="BI75" s="38" t="str">
        <f>IFERROR(__xludf.DUMMYFUNCTION("if(countif(kr.nar,CONCATENATE(regexextract($C75,""[\w]* [\w]*""), ""*"")),""X"","""")"),"")</f>
        <v/>
      </c>
      <c r="BJ75" s="38" t="str">
        <f>IFERROR(__xludf.DUMMYFUNCTION("if(countif(kr.que,CONCATENATE(regexextract($C75,""[\w]* [\w]*""), ""*"")),""X"","""")"),"")</f>
        <v/>
      </c>
      <c r="BK75" s="39"/>
      <c r="BL75" s="40" t="str">
        <f>IFERROR(__xludf.DUMMYFUNCTION(" CONCATENATE( 
if (regexmatch(I75, ""^[A-Za-z\.\_]+""), ""L"", 
if(regexmatch(AB75, ""^[A-Za-z\.\_]+""),""S"","""")),
if(AU75=""X"",""K"",""""))"),"")</f>
        <v/>
      </c>
      <c r="BM75" s="40" t="str">
        <f>IFERROR(__xludf.DUMMYFUNCTION(" CONCATENATE( 
if (regexmatch(J75, ""^[A-Za-z\.\_]+""), ""L"", 
if(regexmatch(AC75, ""^[A-Za-z\.\_]+""),""S"","""")),
if(AV75=""X"",""K"",""""))"),"")</f>
        <v/>
      </c>
      <c r="BN75" s="40" t="str">
        <f>IFERROR(__xludf.DUMMYFUNCTION(" CONCATENATE( 
if (regexmatch(K75, ""^[A-Za-z\.\_]+""), ""L"", 
if(regexmatch(AD75, ""^[A-Za-z\.\_]+""),""S"","""")),
if(AW75=""X"",""K"",""""))"),"")</f>
        <v/>
      </c>
      <c r="BO75" s="40" t="str">
        <f>IFERROR(__xludf.DUMMYFUNCTION(" CONCATENATE( 
if (regexmatch(L75, ""^[A-Za-z\.\_]+""), ""L"", 
if(regexmatch(AE75, ""^[A-Za-z\.\_]+""),""S"","""")),
if(AX75=""X"",""K"",""""))"),"")</f>
        <v/>
      </c>
      <c r="BP75" s="40" t="str">
        <f>IFERROR(__xludf.DUMMYFUNCTION(" CONCATENATE( 
if (regexmatch(M75, ""^[A-Za-z\.\_]+""), ""L"", 
if(regexmatch(AF75, ""^[A-Za-z\.\_]+""),""S"","""")),
if(AY75=""X"",""K"",""""))"),"")</f>
        <v/>
      </c>
      <c r="BQ75" s="40" t="str">
        <f>IFERROR(__xludf.DUMMYFUNCTION("CONCATENATE( 
if (regexmatch(O75, ""^[A-Za-z\.\_]+""), ""L"", 
if(regexmatch(AH75, ""^[A-Za-z\.\_]+""),""S"","""")),
if(AZ75=""X"",""K"",""""))"),"")</f>
        <v/>
      </c>
      <c r="BR75" s="40" t="str">
        <f>IFERROR(__xludf.DUMMYFUNCTION("CONCATENATE( 
if (regexmatch(Q75, ""^[A-Za-z\.\_]+""), ""L"", 
if(regexmatch(AJ75, ""^[A-Za-z\.\_]+""),""S"","""")),
if(BA75=""X"",""K"",""""))"),"")</f>
        <v/>
      </c>
      <c r="BS75" s="40" t="str">
        <f>IFERROR(__xludf.DUMMYFUNCTION(" CONCATENATE( 
if (regexmatch(R75, ""^[A-Za-z\.\_]+""), ""L"", 
if(regexmatch(AK75, ""^[A-Za-z\.\_]+""),""S"","""")),
if(BB75=""X"",""K"",""""))"),"")</f>
        <v/>
      </c>
      <c r="BT75" s="40" t="str">
        <f>IFERROR(__xludf.DUMMYFUNCTION("CONCATENATE( 
if (regexmatch(S75, ""^[A-Za-z\.\_]+""), ""L"", 
if(regexmatch(AL75, ""^[A-Za-z\.\_]+""),""S"","""")),
if(BC75=""X"",""K"",""""))"),"")</f>
        <v/>
      </c>
      <c r="BU75" s="40" t="str">
        <f>IFERROR(__xludf.DUMMYFUNCTION("CONCATENATE( 
if (regexmatch(T75, ""^[A-Za-z\.\_]+""), ""L"", 
if(regexmatch(AM75, ""^[A-Za-z\.\_]+""),""S"","""")),
if(BD75=""X"",""K"",""""))"),"")</f>
        <v/>
      </c>
      <c r="BV75" s="40" t="str">
        <f>IFERROR(__xludf.DUMMYFUNCTION("CONCATENATE( 
if (regexmatch(U75, ""^[A-Za-z\.\_]+""), ""L"", 
if(regexmatch(AN75, ""^[A-Za-z\.\_]+""),""S"","""")),
if(BE75=""X"",""K"",""""))"),"")</f>
        <v/>
      </c>
      <c r="BW75" s="40" t="str">
        <f>IFERROR(__xludf.DUMMYFUNCTION(" CONCATENATE( 
if (regexmatch(V75, ""^[A-Za-z\.\_]+""), ""L"", 
if(regexmatch(AO75, ""^[A-Za-z\.\_]+""),""S"","""")),
if(BF75=""X"",""K"",""""))"),"")</f>
        <v/>
      </c>
      <c r="BX75" s="40" t="str">
        <f>IFERROR(__xludf.DUMMYFUNCTION("CONCATENATE( 
if (regexmatch(W75, ""^[A-Za-z\.\_]+""), ""L"", 
if(regexmatch(AP75, ""^[A-Za-z\.\_]+""),""S"","""")),
if(BG75=""X"",""K"",""""))"),"")</f>
        <v/>
      </c>
      <c r="BY75" s="40" t="str">
        <f>IFERROR(__xludf.DUMMYFUNCTION("CONCATENATE( 
if (regexmatch(X75, ""^[A-Za-z\.\_]+""), ""L"", 
if(regexmatch(AQ75, ""^[A-Za-z\.\_]+""),""S"","""")),
if(BH75=""X"",""K"",""""))"),"")</f>
        <v/>
      </c>
      <c r="BZ75" s="40" t="str">
        <f>IFERROR(__xludf.DUMMYFUNCTION("CONCATENATE( 
if (regexmatch(Y75, ""^[A-Za-z\.\_]+""), ""L"", 
if(regexmatch(AR75, ""^[A-Za-z\.\_]+""),""S"","""")),
if(BI75=""X"",""K"",""""))"),"")</f>
        <v/>
      </c>
      <c r="CA75" s="40" t="str">
        <f>IFERROR(__xludf.DUMMYFUNCTION("CONCATENATE( 
if (regexmatch(Z75, ""^[A-Za-z\.\_]+""), ""L"", 
if(regexmatch(AS75, ""^[A-Za-z\.\_]+""),""S"","""")),
if(BJ75=""X"",""K"",""""))"),"")</f>
        <v/>
      </c>
      <c r="CB75" s="39"/>
      <c r="CC75" s="39"/>
      <c r="CD75" s="39"/>
      <c r="CE75" s="39"/>
      <c r="CF75" s="39"/>
      <c r="CG75" s="39"/>
      <c r="CH75" s="39"/>
      <c r="CI75" s="39"/>
      <c r="CJ75" s="39"/>
      <c r="CK75" s="39"/>
      <c r="CL75" s="39"/>
      <c r="CM75" s="39"/>
      <c r="CN75" s="39"/>
      <c r="CO75" s="39"/>
      <c r="CP75" s="39"/>
      <c r="CQ75" s="39"/>
      <c r="CR75" s="39"/>
    </row>
    <row r="76" ht="15.75" customHeight="1">
      <c r="A76" s="25">
        <v>98.0</v>
      </c>
      <c r="B76" s="26" t="s">
        <v>299</v>
      </c>
      <c r="C76" s="41" t="s">
        <v>300</v>
      </c>
      <c r="D76" s="27" t="str">
        <f>IFERROR(__xludf.DUMMYFUNCTION("CONCATENATE(regexextract($C76,""[\w]* [\w]*""), ""*"")"),"Papaver somniferum*")</f>
        <v>Papaver somniferum*</v>
      </c>
      <c r="E76" s="59" t="s">
        <v>301</v>
      </c>
      <c r="F76" s="58">
        <v>3469.0</v>
      </c>
      <c r="G76" s="53"/>
      <c r="H76" s="31"/>
      <c r="I76" s="32" t="str">
        <f>CONCATENATE(
if(countif(dd.agi,$D76),"D",""),
if(countif(knap.agi,$D76),"K",""),
if(countif(mic.agi,$D76),"M",""),
if(countif(nap.agi,$D76),"N",""),
if(countif(np.agi,$D76),"P",""),
if(countif(imp.agi,$D76),"T",""),
if(countif(us.agi,$D76),"U",""),
if(countif(var.agi,$D76),"V","")
)</f>
        <v/>
      </c>
      <c r="J76" s="32" t="str">
        <f>
CONCATENATE(
if(countif(nap.bun,$D76),"N",""),
if(countif(np.bun,$D76),"P","")
)
</f>
        <v/>
      </c>
      <c r="K76" s="32" t="str">
        <f>CONCATENATE(
if(countif(dd.kxn,$D76),"D",""),
if(countif(knap.kxn,$D76),"K",""),
if(countif(mic.kxn,$D76),"M",""),
if(countif(nap.kxn,$D76),"N",""),
if(countif(np.kxn,$D76),"P",""),
if(countif(us.kxn,$D76),"U",""),
if(countif(var.kxn,$D76),"V","")
)</f>
        <v/>
      </c>
      <c r="L76" s="32" t="str">
        <f>
CONCATENATE(
if(countif(dd.hwb,$D76),"D",""),
if(countif(knap.hwb,$D76),"K",""),
if(countif(mic.hwb,$D76),"M",""),
if(countif(nap.hwb,$D76),"N",""),
if(countif(np.hwb,$D76),"P",""),
if(countif(us.hwb,$D76),"U",""),
if(countif(imp.hwb,$D76),"T",""),
if(countif(var.hwb,$D76),"V","")
)</f>
        <v>N</v>
      </c>
      <c r="M76" s="32" t="str">
        <f>CONCATENATE(
if(countif(dd.epc,$D76),"D",""),
if(countif(knap.ekxn,$D76),"K",""),
if(countif(mic.ekxn,$D76),"M",""),
if(countif(nap.ekxn,$D76),"N",""),
if(countif(np.ekxn,$D76),"P",""),
if(countif(imp.epc,$D76),"T",""),
if(countif(us.ekxn,$D76),"U",""),
if(countif(var.ekxn,$D76),"V","")
)</f>
        <v/>
      </c>
      <c r="N76" s="32" t="str">
        <f>
CONCATENATE(
if(countif(dd.ecg,$D76),"D",""),
if(countif(mic.ecg,$D76),"M",""),
if(countif(np.ecg,$D76),"P",""),
if(countif(imp.ecg,$D76),"T",""),
if(countif(us.ecg,$D76),"U","")
)</f>
        <v/>
      </c>
      <c r="O76" s="32" t="str">
        <f>
CONCATENATE(
if(countif(dd.egt,$D76),"D",""),
if(countif(mic.egt,$D76),"M",""),
if(countif(nap.egt,$D76),"N",""),
if(countif(us.egt,$D76),"U",""),
if(countif(var.egt,$D76),"V",""))
</f>
        <v/>
      </c>
      <c r="P76" s="32" t="str">
        <f>CONCATENATE(
if(countif(knap.egcg,$D76),"K",""),
if(countif(mic.egcg,$D76),"M",""),
if(countif(np.egcg,$D76),"P",""),
if(countif(us.egcg,$D76),"U","")
)</f>
        <v/>
      </c>
      <c r="Q76" s="32" t="str">
        <f>CONCATENATE(if(countif(np.ecit,$D76),"P",""),
if(countif(nap.ecit,$D76),"A",""))</f>
        <v/>
      </c>
      <c r="R76" s="32" t="str">
        <f>
CONCATENATE(
if(countif(nap.erd,$D76),"N",""),
if(countif(np.erd,$D76),"P",""),
if(countif(var.erd,$D76),"V",""))</f>
        <v/>
      </c>
      <c r="S76" s="32" t="str">
        <f>
CONCATENATE(
if(countif(dd.gkxn,$D76),"D",""),
if(countif(knap.gkxn,$D76),"K",""),
if(countif(nap.gkxn,$D76),"N",""),
if(countif(np.gkxn,$D76),"P",""),
if(countif(imp.gkxn,$D76),"T",""),
if(countif(var.gkxn,$D76),"V",""))</f>
        <v/>
      </c>
      <c r="T76" s="32" t="str">
        <f>
CONCATENATE(
if(countif(dd.gen,$C76),"D",""),
if(countif(knap.gen,$C76),"K",""),
if(countif(nap.gen,$C76),"N",""),
if(countif(np.gen,$C76),"P",""),
if(countif(imp.gen,$C76),"T",""),
if(countif(var.gen,$C76),"V",""))</f>
        <v/>
      </c>
      <c r="U76" s="32" t="str">
        <f>
CONCATENATE(
if(countif(dd.hcc,$D76),"D",""),
if(countif(knap.hcc,$D76),"K",""),
if(countif(np.hcc,$D76),"P","")
)
</f>
        <v/>
      </c>
      <c r="V76" s="32" t="str">
        <f>
CONCATENATE(
if(countif(dd.kmp,$D76),"D",""),
if(countif(knap.kmp,$D76),"K",""),
if(countif(mic.kmp,$D76),"M",""),
if(countif(nap.kmp,$D76),"N",""),
if(countif(np.kmp,$D76),"P",""),
if(countif(imp.kmp,$D76),"T",""),
if(countif(us.kmp,$D76),"U",""),
if(countif(var.kmp,$D76),"V",""))</f>
        <v>NT</v>
      </c>
      <c r="W76" s="32" t="str">
        <f>
CONCATENATE(
if(countif(dd.lu2,$D76),"D",""),
if(countif(knap.lu2,$D76),"K",""),
if(countif(mic.lu2,$D76),"M",""),
if(countif(nap.lu2,$D76),"N",""),
if(countif(np.lu2,$D76),"P",""),
if(countif(imp.lu2,$D76),"T",""),
if(countif(us.lu2,$D76),"U",""),
if(countif(var.lu2,$D76),"V",""))</f>
        <v/>
      </c>
      <c r="X76" s="32" t="str">
        <f>
CONCATENATE(
if(countif(dd.myc,$D76),"D",""),
if(countif(knap.myc,$D76),"K",""), 
if(countif(mic.myc,$D76),"M",""),
if(countif(nap.myc,$D76),"N",""),
if(countif(np.myc,$D76),"P",""),
if(countif(imp.myc,$D76),"T",""),
if(countif(us.myc,$D76),"U",""),
if(countif(var.myc,$D76),"V",""))</f>
        <v/>
      </c>
      <c r="Y76" s="32" t="str">
        <f>CONCATENATE(
if(countif(dd.nar,$D76),"D",""),
if(countif(knap.nar,$D76),"K",""),
if(countif(nap.nar,$D76),"N",""),
if(countif(np.nar,$D76),"P",""),
if(countif(imp.nar,$D76),"T",""),
if(countif(us.nar,$D76),"U",""),
if(countif(var.nar,$D76),"V",""))</f>
        <v/>
      </c>
      <c r="Z76" s="33" t="str">
        <f>
CONCATENATE(
if(countif(dd.que,$D76),"D",""),
if(countif(knap.que,$D76),"K",""),
if(countif(mic.que,$D76),"M",""),
if(countif(nap.que,$D76),"N",""),
if(countif(np.que,$D76),"P",""),
if(countif(imp.que,$D76),"T",""),
if(countif(us.que,$D76),"U",""),
if(countif(var.que,$D76),"V",""))</f>
        <v>NT</v>
      </c>
      <c r="AA76" s="32"/>
      <c r="AB76" s="34" t="str">
        <f>
CONCATENATE(if(countif(knap.agi.sim,$D76),"K",""),
if(countif(dd.agi.sim,$D76),"D",""),
if(countif(nap.agi.sim,$D76),"A",""),
if(countif(var.agi.sim,$D76),"V",""))</f>
        <v/>
      </c>
      <c r="AC76" s="34" t="str">
        <f>
if(countif(nap.bun.sim,$D76),"A","")</f>
        <v/>
      </c>
      <c r="AD76" s="34" t="str">
        <f>
CONCATENATE(if(countif(knap.kxn.sim,$D76),"K",""),
if(countif(np.kxn.sim,$D76),"P",""),
if(countif(dd.kxn.sim,$D76),"D",""),
if(countif(nap.kxn.sim,$D76),"A",""),
if(countif(var.kxn.sim,$D76),"V",""))</f>
        <v/>
      </c>
      <c r="AE76" s="34" t="str">
        <f>
CONCATENATE(if(countif(knap.hwb.sim,$D76),"K",""),
if(countif(np.hwb.sim,$D76),"P",""),
if(countif(mic.hwb.sim,$D76),"M",""),
if(countif(imp.hwb.sim,$D76),"T",""),
if(countif(dd.cyan.sim,$D76),"D",""),
if(countif(nap.hwb.sim,$D76),"A",""),
if(countif(var.hwb.sim,$D76),"V",""))</f>
        <v/>
      </c>
      <c r="AF76" s="34" t="str">
        <f>
CONCATENATE(if(countif(us.ekxn.sim,$D76),"U",""),
if(countif(knap.ekxn.sim,$D76),"K",""),
if(countif(np.ekxn.sim,$D76),"P",""),
if(countif(mic.ekxn.sim,$D76),"M",""),
if(countif(imp.epc.sim,$D76),"T",""),
if(countif(nap.ekxn.sim,$D76),"A",""))</f>
        <v/>
      </c>
      <c r="AG76" s="34"/>
      <c r="AH76" s="34" t="str">
        <f>
CONCATENATE(if(countif(us.egt.sim,$D76),"U",""),
if(countif(knap.egt.sim,$D76),"K",""),
if(countif(np.egt.sim,$D76),"P",""),
if(countif(mic.egt.sim,$D76),"M",""))</f>
        <v/>
      </c>
      <c r="AI76" s="34"/>
      <c r="AJ76" s="34" t="str">
        <f>if(countif(nap.ecit.sim,$D76),"A","")</f>
        <v/>
      </c>
      <c r="AK76" s="34" t="str">
        <f>
CONCATENATE(if(countif(nap.erd,$D76),"M",""),
if(countif(nap.erd.sim,$D76),"A",""),
if(countif(var.erd.sim,$D76),"V",""))</f>
        <v/>
      </c>
      <c r="AL76" s="34" t="str">
        <f>
CONCATENATE(if(countif(knap.gkxn.sim,$D76),"K",""),
if(countif(nap.gkxn.sim,$D76),"A",""))</f>
        <v/>
      </c>
      <c r="AM76" s="34" t="str">
        <f>
CONCATENATE(if(countif(knap.gen.sim,$C76),"K",""),
if(countif(imp.gen.sim,$C76),"T",""),
if(countif(dd.gen.sim,$C76),"D",""),
if(countif(nap.gen.sim,$C76),"A",""),
if(countif(var.gen.sim,$C76),"V",""))
</f>
        <v/>
      </c>
      <c r="AN76" s="34" t="str">
        <f>IFERROR(__xludf.DUMMYFUNCTION("
if(countif(#REF!,CONCATENATE(regexextract($C76,""[\w]* [\w]*""), ""*"")),""V"","""")"),"")</f>
        <v/>
      </c>
      <c r="AO76" s="34" t="str">
        <f>
CONCATENATE(if(countif(knap.kmp.sim,$D76),"K",""),
if(countif(np.kmp.sim,$D76),"P",""),
if(countif(imp.kmp.sim,$D76),"T",""),
if(countif(dd.kmp,$D76),"D",""),
if(countif(nap.kmp.sim,$D76),"A",""),
if(countif(var.kmp.sim,$D76),"V",""))</f>
        <v/>
      </c>
      <c r="AP76" s="34" t="str">
        <f>
CONCATENATE(if(countif(knap.lu2.sim,$D76),"K",""),
if(countif(np.lu2.sim,$D76),"P",""),
if(countif(imp.lu2.sim,$D76),"T",""),
if(countif(dd.lu2.sim,$D76),"D",""),
if(countif(nap.lu2.sim,$D76),"A",""),
if(countif(var.lu2.sim,$D76),"V",""))</f>
        <v/>
      </c>
      <c r="AQ76" s="34" t="str">
        <f>
CONCATENATE(if(countif(np.myc.sim,$D76),"P",""),
if(countif(imp.myc.sim,$D76),"T",""),
if(countif(nap.myc.sim,$D76),"A",""))
</f>
        <v/>
      </c>
      <c r="AR76" s="36" t="str">
        <f>
CONCATENATE(if(countif(knap.nar.sim,$D76),"K",""),
if(countif(np.nar.sim,$D76),"P",""),
if(countif(imp.nar.sim,$D76),"T",""),
if(countif(dd.nar.sim,$D76),"D",""),
if(countif(nap.nar.sim,$D76),"A",""),
if(countif(var.nar.sim,$D76),"V",""))</f>
        <v/>
      </c>
      <c r="AS76" s="34" t="str">
        <f>
CONCATENATE(if(countif(knap.que.sim,$D76),"K",""),
if(countif(np.que.sim,$D76),"P",""),
if(countif(imp.que.sim,$D76),"T",""),
if(countif(dd.que.sim,$D76),"D",""),
if(countif(nap.que.sim,$D76),"A",""),
if(countif(var.que.sim,$D76),"V",""))</f>
        <v>KDA</v>
      </c>
      <c r="AT76" s="37"/>
      <c r="AU76" s="32" t="str">
        <f>IFERROR(__xludf.DUMMYFUNCTION("if(countif(kr.agi, CONCATENATE(regexextract($C76,""[\w]* [\w]*""), ""*"")),""X"","""")"),"")</f>
        <v/>
      </c>
      <c r="AV76" s="38" t="str">
        <f>IFERROR(__xludf.DUMMYFUNCTION("if(countif(kr.bun,CONCATENATE(regexextract($C76,""[\w]* [\w]*""), ""*"")),""X"","""")"),"X")</f>
        <v>X</v>
      </c>
      <c r="AW76" s="38" t="str">
        <f>IFERROR(__xludf.DUMMYFUNCTION("if(countif(kr.kxn,CONCATENATE(regexextract($C76,""[\w]* [\w]*""), ""*"")),""X"","""")"),"X")</f>
        <v>X</v>
      </c>
      <c r="AX76" s="38" t="str">
        <f>IFERROR(__xludf.DUMMYFUNCTION("if(countif(kr.hwb,CONCATENATE(regexextract($C76,""[\w]* [\w]*""), ""*"")),""X"","""")"),"X")</f>
        <v>X</v>
      </c>
      <c r="AY76" s="38" t="str">
        <f>IFERROR(__xludf.DUMMYFUNCTION("if(countif(kr.ec,CONCATENATE(regexextract($C76,""[\w]* [\w]*""), ""*"")),""X"","""")"),"X")</f>
        <v>X</v>
      </c>
      <c r="AZ76" s="38" t="str">
        <f>IFERROR(__xludf.DUMMYFUNCTION("if(countif(kr.egt,CONCATENATE(regexextract($C76,""[\w]* [\w]*""), ""*"")),""X"","""")"),"")</f>
        <v/>
      </c>
      <c r="BA76" s="38"/>
      <c r="BB76" s="38" t="str">
        <f>IFERROR(__xludf.DUMMYFUNCTION("if(countif(kr.erd,CONCATENATE(regexextract($C76,""[\w]* [\w]*""), ""*"")),""X"","""")"),"X")</f>
        <v>X</v>
      </c>
      <c r="BC76" s="38" t="str">
        <f>IFERROR(__xludf.DUMMYFUNCTION("if(countif(kr.gkxn,CONCATENATE(regexextract($C76,""[\w]* [\w]*""), ""*"")),""X"","""")"),"")</f>
        <v/>
      </c>
      <c r="BD76" s="38" t="str">
        <f>IFERROR(__xludf.DUMMYFUNCTION("if(countif(kr.gen,CONCATENATE(regexextract(C76,""[\w]* [\w]*""), ""*"")),""X"","""")"),"")</f>
        <v/>
      </c>
      <c r="BE76" s="38" t="str">
        <f>IFERROR(__xludf.DUMMYFUNCTION("if(countif(kr.hcc,CONCATENATE(regexextract($C76,""[\w]* [\w]*""), ""*"")),""X"","""")"),"X")</f>
        <v>X</v>
      </c>
      <c r="BF76" s="38" t="str">
        <f>IFERROR(__xludf.DUMMYFUNCTION("if(countif(kr.kmp,CONCATENATE(regexextract($C76,""[\w]* [\w]*""), ""*"")),""X"","""")"),"X")</f>
        <v>X</v>
      </c>
      <c r="BG76" s="38" t="str">
        <f>IFERROR(__xludf.DUMMYFUNCTION("if(countif(kr.lu2,CONCATENATE(regexextract($C76,""[\w]* [\w]*""), ""*"")),""X"","""")"),"")</f>
        <v/>
      </c>
      <c r="BH76" s="38" t="str">
        <f>IFERROR(__xludf.DUMMYFUNCTION("if(countif(kr.myc,CONCATENATE(regexextract($C76,""[\w]* [\w]*""), ""*"")),""X"","""")"),"")</f>
        <v/>
      </c>
      <c r="BI76" s="38" t="str">
        <f>IFERROR(__xludf.DUMMYFUNCTION("if(countif(kr.nar,CONCATENATE(regexextract($C76,""[\w]* [\w]*""), ""*"")),""X"","""")"),"X")</f>
        <v>X</v>
      </c>
      <c r="BJ76" s="38" t="str">
        <f>IFERROR(__xludf.DUMMYFUNCTION("if(countif(kr.que,CONCATENATE(regexextract($C76,""[\w]* [\w]*""), ""*"")),""X"","""")"),"X")</f>
        <v>X</v>
      </c>
      <c r="BK76" s="39"/>
      <c r="BL76" s="40" t="str">
        <f>IFERROR(__xludf.DUMMYFUNCTION(" CONCATENATE( 
if (regexmatch(I76, ""^[A-Za-z\.\_]+""), ""L"", 
if(regexmatch(AB76, ""^[A-Za-z\.\_]+""),""S"","""")),
if(AU76=""X"",""K"",""""))"),"")</f>
        <v/>
      </c>
      <c r="BM76" s="40" t="str">
        <f>IFERROR(__xludf.DUMMYFUNCTION(" CONCATENATE( 
if (regexmatch(J76, ""^[A-Za-z\.\_]+""), ""L"", 
if(regexmatch(AC76, ""^[A-Za-z\.\_]+""),""S"","""")),
if(AV76=""X"",""K"",""""))"),"K")</f>
        <v>K</v>
      </c>
      <c r="BN76" s="40" t="str">
        <f>IFERROR(__xludf.DUMMYFUNCTION(" CONCATENATE( 
if (regexmatch(K76, ""^[A-Za-z\.\_]+""), ""L"", 
if(regexmatch(AD76, ""^[A-Za-z\.\_]+""),""S"","""")),
if(AW76=""X"",""K"",""""))"),"K")</f>
        <v>K</v>
      </c>
      <c r="BO76" s="40" t="str">
        <f>IFERROR(__xludf.DUMMYFUNCTION(" CONCATENATE( 
if (regexmatch(L76, ""^[A-Za-z\.\_]+""), ""L"", 
if(regexmatch(AE76, ""^[A-Za-z\.\_]+""),""S"","""")),
if(AX76=""X"",""K"",""""))"),"LK")</f>
        <v>LK</v>
      </c>
      <c r="BP76" s="40" t="str">
        <f>IFERROR(__xludf.DUMMYFUNCTION(" CONCATENATE( 
if (regexmatch(M76, ""^[A-Za-z\.\_]+""), ""L"", 
if(regexmatch(AF76, ""^[A-Za-z\.\_]+""),""S"","""")),
if(AY76=""X"",""K"",""""))"),"K")</f>
        <v>K</v>
      </c>
      <c r="BQ76" s="40" t="str">
        <f>IFERROR(__xludf.DUMMYFUNCTION("CONCATENATE( 
if (regexmatch(O76, ""^[A-Za-z\.\_]+""), ""L"", 
if(regexmatch(AH76, ""^[A-Za-z\.\_]+""),""S"","""")),
if(AZ76=""X"",""K"",""""))"),"")</f>
        <v/>
      </c>
      <c r="BR76" s="40" t="str">
        <f>IFERROR(__xludf.DUMMYFUNCTION("CONCATENATE( 
if (regexmatch(Q76, ""^[A-Za-z\.\_]+""), ""L"", 
if(regexmatch(AJ76, ""^[A-Za-z\.\_]+""),""S"","""")),
if(BA76=""X"",""K"",""""))"),"")</f>
        <v/>
      </c>
      <c r="BS76" s="40" t="str">
        <f>IFERROR(__xludf.DUMMYFUNCTION(" CONCATENATE( 
if (regexmatch(R76, ""^[A-Za-z\.\_]+""), ""L"", 
if(regexmatch(AK76, ""^[A-Za-z\.\_]+""),""S"","""")),
if(BB76=""X"",""K"",""""))"),"K")</f>
        <v>K</v>
      </c>
      <c r="BT76" s="40" t="str">
        <f>IFERROR(__xludf.DUMMYFUNCTION("CONCATENATE( 
if (regexmatch(S76, ""^[A-Za-z\.\_]+""), ""L"", 
if(regexmatch(AL76, ""^[A-Za-z\.\_]+""),""S"","""")),
if(BC76=""X"",""K"",""""))"),"")</f>
        <v/>
      </c>
      <c r="BU76" s="40" t="str">
        <f>IFERROR(__xludf.DUMMYFUNCTION("CONCATENATE( 
if (regexmatch(T76, ""^[A-Za-z\.\_]+""), ""L"", 
if(regexmatch(AM76, ""^[A-Za-z\.\_]+""),""S"","""")),
if(BD76=""X"",""K"",""""))"),"")</f>
        <v/>
      </c>
      <c r="BV76" s="40" t="str">
        <f>IFERROR(__xludf.DUMMYFUNCTION("CONCATENATE( 
if (regexmatch(U76, ""^[A-Za-z\.\_]+""), ""L"", 
if(regexmatch(AN76, ""^[A-Za-z\.\_]+""),""S"","""")),
if(BE76=""X"",""K"",""""))"),"K")</f>
        <v>K</v>
      </c>
      <c r="BW76" s="40" t="str">
        <f>IFERROR(__xludf.DUMMYFUNCTION(" CONCATENATE( 
if (regexmatch(V76, ""^[A-Za-z\.\_]+""), ""L"", 
if(regexmatch(AO76, ""^[A-Za-z\.\_]+""),""S"","""")),
if(BF76=""X"",""K"",""""))"),"LK")</f>
        <v>LK</v>
      </c>
      <c r="BX76" s="40" t="str">
        <f>IFERROR(__xludf.DUMMYFUNCTION("CONCATENATE( 
if (regexmatch(W76, ""^[A-Za-z\.\_]+""), ""L"", 
if(regexmatch(AP76, ""^[A-Za-z\.\_]+""),""S"","""")),
if(BG76=""X"",""K"",""""))"),"")</f>
        <v/>
      </c>
      <c r="BY76" s="40" t="str">
        <f>IFERROR(__xludf.DUMMYFUNCTION("CONCATENATE( 
if (regexmatch(X76, ""^[A-Za-z\.\_]+""), ""L"", 
if(regexmatch(AQ76, ""^[A-Za-z\.\_]+""),""S"","""")),
if(BH76=""X"",""K"",""""))"),"")</f>
        <v/>
      </c>
      <c r="BZ76" s="40" t="str">
        <f>IFERROR(__xludf.DUMMYFUNCTION("CONCATENATE( 
if (regexmatch(Y76, ""^[A-Za-z\.\_]+""), ""L"", 
if(regexmatch(AR76, ""^[A-Za-z\.\_]+""),""S"","""")),
if(BI76=""X"",""K"",""""))"),"K")</f>
        <v>K</v>
      </c>
      <c r="CA76" s="40" t="str">
        <f>IFERROR(__xludf.DUMMYFUNCTION("CONCATENATE( 
if (regexmatch(Z76, ""^[A-Za-z\.\_]+""), ""L"", 
if(regexmatch(AS76, ""^[A-Za-z\.\_]+""),""S"","""")),
if(BJ76=""X"",""K"",""""))"),"LK")</f>
        <v>LK</v>
      </c>
      <c r="CB76" s="39"/>
      <c r="CC76" s="39"/>
      <c r="CD76" s="39"/>
      <c r="CE76" s="39"/>
      <c r="CF76" s="39"/>
      <c r="CG76" s="39"/>
      <c r="CH76" s="39"/>
      <c r="CI76" s="39"/>
      <c r="CJ76" s="39"/>
      <c r="CK76" s="39"/>
      <c r="CL76" s="39"/>
      <c r="CM76" s="39"/>
      <c r="CN76" s="39"/>
      <c r="CO76" s="39"/>
      <c r="CP76" s="39"/>
      <c r="CQ76" s="39"/>
      <c r="CR76" s="39"/>
    </row>
    <row r="77" ht="15.75" customHeight="1">
      <c r="A77" s="25">
        <v>115.0</v>
      </c>
      <c r="B77" s="26" t="s">
        <v>302</v>
      </c>
      <c r="C77" s="27" t="s">
        <v>303</v>
      </c>
      <c r="D77" s="27" t="str">
        <f>IFERROR(__xludf.DUMMYFUNCTION("CONCATENATE(regexextract($C77,""[\w]* [\w]*""), ""*"")"),"Phalaenopsis equestris*")</f>
        <v>Phalaenopsis equestris*</v>
      </c>
      <c r="E77" s="26" t="s">
        <v>304</v>
      </c>
      <c r="F77" s="57">
        <v>78828.0</v>
      </c>
      <c r="G77" s="53"/>
      <c r="H77" s="31"/>
      <c r="I77" s="32" t="str">
        <f>CONCATENATE(
if(countif(dd.agi,$D77),"D",""),
if(countif(knap.agi,$D77),"K",""),
if(countif(mic.agi,$D77),"M",""),
if(countif(nap.agi,$D77),"N",""),
if(countif(np.agi,$D77),"P",""),
if(countif(imp.agi,$D77),"T",""),
if(countif(us.agi,$D77),"U",""),
if(countif(var.agi,$D77),"V","")
)</f>
        <v/>
      </c>
      <c r="J77" s="32" t="str">
        <f>
CONCATENATE(
if(countif(nap.bun,$D77),"N",""),
if(countif(np.bun,$D77),"P","")
)
</f>
        <v/>
      </c>
      <c r="K77" s="32" t="str">
        <f>CONCATENATE(
if(countif(dd.kxn,$D77),"D",""),
if(countif(knap.kxn,$D77),"K",""),
if(countif(mic.kxn,$D77),"M",""),
if(countif(nap.kxn,$D77),"N",""),
if(countif(np.kxn,$D77),"P",""),
if(countif(us.kxn,$D77),"U",""),
if(countif(var.kxn,$D77),"V","")
)</f>
        <v/>
      </c>
      <c r="L77" s="32" t="str">
        <f>
CONCATENATE(
if(countif(dd.hwb,$D77),"D",""),
if(countif(knap.hwb,$D77),"K",""),
if(countif(mic.hwb,$D77),"M",""),
if(countif(nap.hwb,$D77),"N",""),
if(countif(np.hwb,$D77),"P",""),
if(countif(us.hwb,$D77),"U",""),
if(countif(imp.hwb,$D77),"T",""),
if(countif(var.hwb,$D77),"V","")
)</f>
        <v/>
      </c>
      <c r="M77" s="32" t="str">
        <f>CONCATENATE(
if(countif(dd.epc,$D77),"D",""),
if(countif(knap.ekxn,$D77),"K",""),
if(countif(mic.ekxn,$D77),"M",""),
if(countif(nap.ekxn,$D77),"N",""),
if(countif(np.ekxn,$D77),"P",""),
if(countif(imp.epc,$D77),"T",""),
if(countif(us.ekxn,$D77),"U",""),
if(countif(var.ekxn,$D77),"V","")
)</f>
        <v/>
      </c>
      <c r="N77" s="32" t="str">
        <f>
CONCATENATE(
if(countif(dd.ecg,$D77),"D",""),
if(countif(mic.ecg,$D77),"M",""),
if(countif(np.ecg,$D77),"P",""),
if(countif(imp.ecg,$D77),"T",""),
if(countif(us.ecg,$D77),"U","")
)</f>
        <v/>
      </c>
      <c r="O77" s="32" t="str">
        <f>
CONCATENATE(
if(countif(dd.egt,$D77),"D",""),
if(countif(mic.egt,$D77),"M",""),
if(countif(nap.egt,$D77),"N",""),
if(countif(us.egt,$D77),"U",""),
if(countif(var.egt,$D77),"V",""))
</f>
        <v/>
      </c>
      <c r="P77" s="32" t="str">
        <f>CONCATENATE(
if(countif(knap.egcg,$D77),"K",""),
if(countif(mic.egcg,$D77),"M",""),
if(countif(np.egcg,$D77),"P",""),
if(countif(us.egcg,$D77),"U","")
)</f>
        <v/>
      </c>
      <c r="Q77" s="32" t="str">
        <f>CONCATENATE(if(countif(np.ecit,$D77),"P",""),
if(countif(nap.ecit,$D77),"A",""))</f>
        <v/>
      </c>
      <c r="R77" s="32" t="str">
        <f>
CONCATENATE(
if(countif(nap.erd,$D77),"N",""),
if(countif(np.erd,$D77),"P",""),
if(countif(var.erd,$D77),"V",""))</f>
        <v/>
      </c>
      <c r="S77" s="32" t="str">
        <f>
CONCATENATE(
if(countif(dd.gkxn,$D77),"D",""),
if(countif(knap.gkxn,$D77),"K",""),
if(countif(nap.gkxn,$D77),"N",""),
if(countif(np.gkxn,$D77),"P",""),
if(countif(imp.gkxn,$D77),"T",""),
if(countif(var.gkxn,$D77),"V",""))</f>
        <v/>
      </c>
      <c r="T77" s="32" t="str">
        <f>
CONCATENATE(
if(countif(dd.gen,$C77),"D",""),
if(countif(knap.gen,$C77),"K",""),
if(countif(nap.gen,$C77),"N",""),
if(countif(np.gen,$C77),"P",""),
if(countif(imp.gen,$C77),"T",""),
if(countif(var.gen,$C77),"V",""))</f>
        <v/>
      </c>
      <c r="U77" s="32" t="str">
        <f>
CONCATENATE(
if(countif(dd.hcc,$D77),"D",""),
if(countif(knap.hcc,$D77),"K",""),
if(countif(np.hcc,$D77),"P","")
)
</f>
        <v/>
      </c>
      <c r="V77" s="32" t="str">
        <f>
CONCATENATE(
if(countif(dd.kmp,$D77),"D",""),
if(countif(knap.kmp,$D77),"K",""),
if(countif(mic.kmp,$D77),"M",""),
if(countif(nap.kmp,$D77),"N",""),
if(countif(np.kmp,$D77),"P",""),
if(countif(imp.kmp,$D77),"T",""),
if(countif(us.kmp,$D77),"U",""),
if(countif(var.kmp,$D77),"V",""))</f>
        <v/>
      </c>
      <c r="W77" s="32" t="str">
        <f>
CONCATENATE(
if(countif(dd.lu2,$D77),"D",""),
if(countif(knap.lu2,$D77),"K",""),
if(countif(mic.lu2,$D77),"M",""),
if(countif(nap.lu2,$D77),"N",""),
if(countif(np.lu2,$D77),"P",""),
if(countif(imp.lu2,$D77),"T",""),
if(countif(us.lu2,$D77),"U",""),
if(countif(var.lu2,$D77),"V",""))</f>
        <v/>
      </c>
      <c r="X77" s="32" t="str">
        <f>
CONCATENATE(
if(countif(dd.myc,$D77),"D",""),
if(countif(knap.myc,$D77),"K",""), 
if(countif(mic.myc,$D77),"M",""),
if(countif(nap.myc,$D77),"N",""),
if(countif(np.myc,$D77),"P",""),
if(countif(imp.myc,$D77),"T",""),
if(countif(us.myc,$D77),"U",""),
if(countif(var.myc,$D77),"V",""))</f>
        <v/>
      </c>
      <c r="Y77" s="32" t="str">
        <f>CONCATENATE(
if(countif(dd.nar,$D77),"D",""),
if(countif(knap.nar,$D77),"K",""),
if(countif(nap.nar,$D77),"N",""),
if(countif(np.nar,$D77),"P",""),
if(countif(imp.nar,$D77),"T",""),
if(countif(us.nar,$D77),"U",""),
if(countif(var.nar,$D77),"V",""))</f>
        <v/>
      </c>
      <c r="Z77" s="33" t="str">
        <f>
CONCATENATE(
if(countif(dd.que,$D77),"D",""),
if(countif(knap.que,$D77),"K",""),
if(countif(mic.que,$D77),"M",""),
if(countif(nap.que,$D77),"N",""),
if(countif(np.que,$D77),"P",""),
if(countif(imp.que,$D77),"T",""),
if(countif(us.que,$D77),"U",""),
if(countif(var.que,$D77),"V",""))</f>
        <v/>
      </c>
      <c r="AA77" s="32"/>
      <c r="AB77" s="34" t="str">
        <f>
CONCATENATE(if(countif(knap.agi.sim,$D77),"K",""),
if(countif(dd.agi.sim,$D77),"D",""),
if(countif(nap.agi.sim,$D77),"A",""),
if(countif(var.agi.sim,$D77),"V",""))</f>
        <v/>
      </c>
      <c r="AC77" s="34" t="str">
        <f>
if(countif(nap.bun.sim,$D77),"A","")</f>
        <v/>
      </c>
      <c r="AD77" s="34" t="str">
        <f>
CONCATENATE(if(countif(knap.kxn.sim,$D77),"K",""),
if(countif(np.kxn.sim,$D77),"P",""),
if(countif(dd.kxn.sim,$D77),"D",""),
if(countif(nap.kxn.sim,$D77),"A",""),
if(countif(var.kxn.sim,$D77),"V",""))</f>
        <v/>
      </c>
      <c r="AE77" s="34" t="str">
        <f>
CONCATENATE(if(countif(knap.hwb.sim,$D77),"K",""),
if(countif(np.hwb.sim,$D77),"P",""),
if(countif(mic.hwb.sim,$D77),"M",""),
if(countif(imp.hwb.sim,$D77),"T",""),
if(countif(dd.cyan.sim,$D77),"D",""),
if(countif(nap.hwb.sim,$D77),"A",""),
if(countif(var.hwb.sim,$D77),"V",""))</f>
        <v>K</v>
      </c>
      <c r="AF77" s="34" t="str">
        <f>
CONCATENATE(if(countif(us.ekxn.sim,$D77),"U",""),
if(countif(knap.ekxn.sim,$D77),"K",""),
if(countif(np.ekxn.sim,$D77),"P",""),
if(countif(mic.ekxn.sim,$D77),"M",""),
if(countif(imp.epc.sim,$D77),"T",""),
if(countif(nap.ekxn.sim,$D77),"A",""))</f>
        <v/>
      </c>
      <c r="AG77" s="34"/>
      <c r="AH77" s="34" t="str">
        <f>
CONCATENATE(if(countif(us.egt.sim,$D77),"U",""),
if(countif(knap.egt.sim,$D77),"K",""),
if(countif(np.egt.sim,$D77),"P",""),
if(countif(mic.egt.sim,$D77),"M",""))</f>
        <v/>
      </c>
      <c r="AI77" s="34"/>
      <c r="AJ77" s="34" t="str">
        <f>if(countif(nap.ecit.sim,$D77),"A","")</f>
        <v/>
      </c>
      <c r="AK77" s="34" t="str">
        <f>
CONCATENATE(if(countif(nap.erd,$D77),"M",""),
if(countif(nap.erd.sim,$D77),"A",""),
if(countif(var.erd.sim,$D77),"V",""))</f>
        <v/>
      </c>
      <c r="AL77" s="34" t="str">
        <f>
CONCATENATE(if(countif(knap.gkxn.sim,$D77),"K",""),
if(countif(nap.gkxn.sim,$D77),"A",""))</f>
        <v/>
      </c>
      <c r="AM77" s="34" t="str">
        <f>
CONCATENATE(if(countif(knap.gen.sim,$C77),"K",""),
if(countif(imp.gen.sim,$C77),"T",""),
if(countif(dd.gen.sim,$C77),"D",""),
if(countif(nap.gen.sim,$C77),"A",""),
if(countif(var.gen.sim,$C77),"V",""))
</f>
        <v/>
      </c>
      <c r="AN77" s="34" t="str">
        <f>IFERROR(__xludf.DUMMYFUNCTION("
if(countif(#REF!,CONCATENATE(regexextract($C77,""[\w]* [\w]*""), ""*"")),""V"","""")"),"")</f>
        <v/>
      </c>
      <c r="AO77" s="34" t="str">
        <f>
CONCATENATE(if(countif(knap.kmp.sim,$D77),"K",""),
if(countif(np.kmp.sim,$D77),"P",""),
if(countif(imp.kmp.sim,$D77),"T",""),
if(countif(dd.kmp,$D77),"D",""),
if(countif(nap.kmp.sim,$D77),"A",""),
if(countif(var.kmp.sim,$D77),"V",""))</f>
        <v/>
      </c>
      <c r="AP77" s="34" t="str">
        <f>
CONCATENATE(if(countif(knap.lu2.sim,$D77),"K",""),
if(countif(np.lu2.sim,$D77),"P",""),
if(countif(imp.lu2.sim,$D77),"T",""),
if(countif(dd.lu2.sim,$D77),"D",""),
if(countif(nap.lu2.sim,$D77),"A",""),
if(countif(var.lu2.sim,$D77),"V",""))</f>
        <v/>
      </c>
      <c r="AQ77" s="34" t="str">
        <f>
CONCATENATE(if(countif(np.myc.sim,$D77),"P",""),
if(countif(imp.myc.sim,$D77),"T",""),
if(countif(nap.myc.sim,$D77),"A",""))
</f>
        <v/>
      </c>
      <c r="AR77" s="36" t="str">
        <f>
CONCATENATE(if(countif(knap.nar.sim,$D77),"K",""),
if(countif(np.nar.sim,$D77),"P",""),
if(countif(imp.nar.sim,$D77),"T",""),
if(countif(dd.nar.sim,$D77),"D",""),
if(countif(nap.nar.sim,$D77),"A",""),
if(countif(var.nar.sim,$D77),"V",""))</f>
        <v/>
      </c>
      <c r="AS77" s="34" t="str">
        <f>
CONCATENATE(if(countif(knap.que.sim,$D77),"K",""),
if(countif(np.que.sim,$D77),"P",""),
if(countif(imp.que.sim,$D77),"T",""),
if(countif(dd.que.sim,$D77),"D",""),
if(countif(nap.que.sim,$D77),"A",""),
if(countif(var.que.sim,$D77),"V",""))</f>
        <v/>
      </c>
      <c r="AT77" s="37"/>
      <c r="AU77" s="32" t="str">
        <f>IFERROR(__xludf.DUMMYFUNCTION("if(countif(kr.agi, CONCATENATE(regexextract($C77,""[\w]* [\w]*""), ""*"")),""X"","""")"),"")</f>
        <v/>
      </c>
      <c r="AV77" s="38" t="str">
        <f>IFERROR(__xludf.DUMMYFUNCTION("if(countif(kr.bun,CONCATENATE(regexextract($C77,""[\w]* [\w]*""), ""*"")),""X"","""")"),"X")</f>
        <v>X</v>
      </c>
      <c r="AW77" s="38" t="str">
        <f>IFERROR(__xludf.DUMMYFUNCTION("if(countif(kr.kxn,CONCATENATE(regexextract($C77,""[\w]* [\w]*""), ""*"")),""X"","""")"),"")</f>
        <v/>
      </c>
      <c r="AX77" s="38" t="str">
        <f>IFERROR(__xludf.DUMMYFUNCTION("if(countif(kr.hwb,CONCATENATE(regexextract($C77,""[\w]* [\w]*""), ""*"")),""X"","""")"),"X")</f>
        <v>X</v>
      </c>
      <c r="AY77" s="38" t="str">
        <f>IFERROR(__xludf.DUMMYFUNCTION("if(countif(kr.ec,CONCATENATE(regexextract($C77,""[\w]* [\w]*""), ""*"")),""X"","""")"),"")</f>
        <v/>
      </c>
      <c r="AZ77" s="38" t="str">
        <f>IFERROR(__xludf.DUMMYFUNCTION("if(countif(kr.egt,CONCATENATE(regexextract($C77,""[\w]* [\w]*""), ""*"")),""X"","""")"),"")</f>
        <v/>
      </c>
      <c r="BA77" s="38"/>
      <c r="BB77" s="38" t="str">
        <f>IFERROR(__xludf.DUMMYFUNCTION("if(countif(kr.erd,CONCATENATE(regexextract($C77,""[\w]* [\w]*""), ""*"")),""X"","""")"),"X")</f>
        <v>X</v>
      </c>
      <c r="BC77" s="38" t="str">
        <f>IFERROR(__xludf.DUMMYFUNCTION("if(countif(kr.gkxn,CONCATENATE(regexextract($C77,""[\w]* [\w]*""), ""*"")),""X"","""")"),"")</f>
        <v/>
      </c>
      <c r="BD77" s="38" t="str">
        <f>IFERROR(__xludf.DUMMYFUNCTION("if(countif(kr.gen,CONCATENATE(regexextract(C77,""[\w]* [\w]*""), ""*"")),""X"","""")"),"")</f>
        <v/>
      </c>
      <c r="BE77" s="38" t="str">
        <f>IFERROR(__xludf.DUMMYFUNCTION("if(countif(kr.hcc,CONCATENATE(regexextract($C77,""[\w]* [\w]*""), ""*"")),""X"","""")"),"X")</f>
        <v>X</v>
      </c>
      <c r="BF77" s="38" t="str">
        <f>IFERROR(__xludf.DUMMYFUNCTION("if(countif(kr.kmp,CONCATENATE(regexextract($C77,""[\w]* [\w]*""), ""*"")),""X"","""")"),"X")</f>
        <v>X</v>
      </c>
      <c r="BG77" s="38" t="str">
        <f>IFERROR(__xludf.DUMMYFUNCTION("if(countif(kr.lu2,CONCATENATE(regexextract($C77,""[\w]* [\w]*""), ""*"")),""X"","""")"),"")</f>
        <v/>
      </c>
      <c r="BH77" s="38" t="str">
        <f>IFERROR(__xludf.DUMMYFUNCTION("if(countif(kr.myc,CONCATENATE(regexextract($C77,""[\w]* [\w]*""), ""*"")),""X"","""")"),"X")</f>
        <v>X</v>
      </c>
      <c r="BI77" s="38" t="str">
        <f>IFERROR(__xludf.DUMMYFUNCTION("if(countif(kr.nar,CONCATENATE(regexextract($C77,""[\w]* [\w]*""), ""*"")),""X"","""")"),"X")</f>
        <v>X</v>
      </c>
      <c r="BJ77" s="38" t="str">
        <f>IFERROR(__xludf.DUMMYFUNCTION("if(countif(kr.que,CONCATENATE(regexextract($C77,""[\w]* [\w]*""), ""*"")),""X"","""")"),"X")</f>
        <v>X</v>
      </c>
      <c r="BK77" s="39"/>
      <c r="BL77" s="40" t="str">
        <f>IFERROR(__xludf.DUMMYFUNCTION(" CONCATENATE( 
if (regexmatch(I77, ""^[A-Za-z\.\_]+""), ""L"", 
if(regexmatch(AB77, ""^[A-Za-z\.\_]+""),""S"","""")),
if(AU77=""X"",""K"",""""))"),"")</f>
        <v/>
      </c>
      <c r="BM77" s="40" t="str">
        <f>IFERROR(__xludf.DUMMYFUNCTION(" CONCATENATE( 
if (regexmatch(J77, ""^[A-Za-z\.\_]+""), ""L"", 
if(regexmatch(AC77, ""^[A-Za-z\.\_]+""),""S"","""")),
if(AV77=""X"",""K"",""""))"),"K")</f>
        <v>K</v>
      </c>
      <c r="BN77" s="40" t="str">
        <f>IFERROR(__xludf.DUMMYFUNCTION(" CONCATENATE( 
if (regexmatch(K77, ""^[A-Za-z\.\_]+""), ""L"", 
if(regexmatch(AD77, ""^[A-Za-z\.\_]+""),""S"","""")),
if(AW77=""X"",""K"",""""))"),"")</f>
        <v/>
      </c>
      <c r="BO77" s="40" t="str">
        <f>IFERROR(__xludf.DUMMYFUNCTION(" CONCATENATE( 
if (regexmatch(L77, ""^[A-Za-z\.\_]+""), ""L"", 
if(regexmatch(AE77, ""^[A-Za-z\.\_]+""),""S"","""")),
if(AX77=""X"",""K"",""""))"),"SK")</f>
        <v>SK</v>
      </c>
      <c r="BP77" s="40" t="str">
        <f>IFERROR(__xludf.DUMMYFUNCTION(" CONCATENATE( 
if (regexmatch(M77, ""^[A-Za-z\.\_]+""), ""L"", 
if(regexmatch(AF77, ""^[A-Za-z\.\_]+""),""S"","""")),
if(AY77=""X"",""K"",""""))"),"")</f>
        <v/>
      </c>
      <c r="BQ77" s="40" t="str">
        <f>IFERROR(__xludf.DUMMYFUNCTION("CONCATENATE( 
if (regexmatch(O77, ""^[A-Za-z\.\_]+""), ""L"", 
if(regexmatch(AH77, ""^[A-Za-z\.\_]+""),""S"","""")),
if(AZ77=""X"",""K"",""""))"),"")</f>
        <v/>
      </c>
      <c r="BR77" s="40" t="str">
        <f>IFERROR(__xludf.DUMMYFUNCTION("CONCATENATE( 
if (regexmatch(Q77, ""^[A-Za-z\.\_]+""), ""L"", 
if(regexmatch(AJ77, ""^[A-Za-z\.\_]+""),""S"","""")),
if(BA77=""X"",""K"",""""))"),"")</f>
        <v/>
      </c>
      <c r="BS77" s="40" t="str">
        <f>IFERROR(__xludf.DUMMYFUNCTION(" CONCATENATE( 
if (regexmatch(R77, ""^[A-Za-z\.\_]+""), ""L"", 
if(regexmatch(AK77, ""^[A-Za-z\.\_]+""),""S"","""")),
if(BB77=""X"",""K"",""""))"),"K")</f>
        <v>K</v>
      </c>
      <c r="BT77" s="40" t="str">
        <f>IFERROR(__xludf.DUMMYFUNCTION("CONCATENATE( 
if (regexmatch(S77, ""^[A-Za-z\.\_]+""), ""L"", 
if(regexmatch(AL77, ""^[A-Za-z\.\_]+""),""S"","""")),
if(BC77=""X"",""K"",""""))"),"")</f>
        <v/>
      </c>
      <c r="BU77" s="40" t="str">
        <f>IFERROR(__xludf.DUMMYFUNCTION("CONCATENATE( 
if (regexmatch(T77, ""^[A-Za-z\.\_]+""), ""L"", 
if(regexmatch(AM77, ""^[A-Za-z\.\_]+""),""S"","""")),
if(BD77=""X"",""K"",""""))"),"")</f>
        <v/>
      </c>
      <c r="BV77" s="40" t="str">
        <f>IFERROR(__xludf.DUMMYFUNCTION("CONCATENATE( 
if (regexmatch(U77, ""^[A-Za-z\.\_]+""), ""L"", 
if(regexmatch(AN77, ""^[A-Za-z\.\_]+""),""S"","""")),
if(BE77=""X"",""K"",""""))"),"K")</f>
        <v>K</v>
      </c>
      <c r="BW77" s="40" t="str">
        <f>IFERROR(__xludf.DUMMYFUNCTION(" CONCATENATE( 
if (regexmatch(V77, ""^[A-Za-z\.\_]+""), ""L"", 
if(regexmatch(AO77, ""^[A-Za-z\.\_]+""),""S"","""")),
if(BF77=""X"",""K"",""""))"),"K")</f>
        <v>K</v>
      </c>
      <c r="BX77" s="40" t="str">
        <f>IFERROR(__xludf.DUMMYFUNCTION("CONCATENATE( 
if (regexmatch(W77, ""^[A-Za-z\.\_]+""), ""L"", 
if(regexmatch(AP77, ""^[A-Za-z\.\_]+""),""S"","""")),
if(BG77=""X"",""K"",""""))"),"")</f>
        <v/>
      </c>
      <c r="BY77" s="40" t="str">
        <f>IFERROR(__xludf.DUMMYFUNCTION("CONCATENATE( 
if (regexmatch(X77, ""^[A-Za-z\.\_]+""), ""L"", 
if(regexmatch(AQ77, ""^[A-Za-z\.\_]+""),""S"","""")),
if(BH77=""X"",""K"",""""))"),"K")</f>
        <v>K</v>
      </c>
      <c r="BZ77" s="40" t="str">
        <f>IFERROR(__xludf.DUMMYFUNCTION("CONCATENATE( 
if (regexmatch(Y77, ""^[A-Za-z\.\_]+""), ""L"", 
if(regexmatch(AR77, ""^[A-Za-z\.\_]+""),""S"","""")),
if(BI77=""X"",""K"",""""))"),"K")</f>
        <v>K</v>
      </c>
      <c r="CA77" s="40" t="str">
        <f>IFERROR(__xludf.DUMMYFUNCTION("CONCATENATE( 
if (regexmatch(Z77, ""^[A-Za-z\.\_]+""), ""L"", 
if(regexmatch(AS77, ""^[A-Za-z\.\_]+""),""S"","""")),
if(BJ77=""X"",""K"",""""))"),"K")</f>
        <v>K</v>
      </c>
      <c r="CB77" s="39"/>
      <c r="CC77" s="39"/>
      <c r="CD77" s="39"/>
      <c r="CE77" s="39"/>
      <c r="CF77" s="39"/>
      <c r="CG77" s="39"/>
      <c r="CH77" s="39"/>
      <c r="CI77" s="39"/>
      <c r="CJ77" s="39"/>
      <c r="CK77" s="39"/>
      <c r="CL77" s="39"/>
      <c r="CM77" s="39"/>
      <c r="CN77" s="39"/>
      <c r="CO77" s="39"/>
      <c r="CP77" s="39"/>
      <c r="CQ77" s="39"/>
      <c r="CR77" s="39"/>
    </row>
    <row r="78" ht="15.75" customHeight="1">
      <c r="A78" s="25">
        <v>35.0</v>
      </c>
      <c r="B78" s="26" t="s">
        <v>305</v>
      </c>
      <c r="C78" s="27" t="s">
        <v>306</v>
      </c>
      <c r="D78" s="27" t="str">
        <f>IFERROR(__xludf.DUMMYFUNCTION("CONCATENATE(regexextract($C78,""[\w]* [\w]*""), ""*"")"),"Phaseolus vulgaris*")</f>
        <v>Phaseolus vulgaris*</v>
      </c>
      <c r="E78" s="59" t="s">
        <v>307</v>
      </c>
      <c r="F78" s="57">
        <v>3885.0</v>
      </c>
      <c r="G78" s="53"/>
      <c r="H78" s="31"/>
      <c r="I78" s="32" t="str">
        <f>CONCATENATE(
if(countif(dd.agi,$D78),"D",""),
if(countif(knap.agi,$D78),"K",""),
if(countif(mic.agi,$D78),"M",""),
if(countif(nap.agi,$D78),"N",""),
if(countif(np.agi,$D78),"P",""),
if(countif(imp.agi,$D78),"T",""),
if(countif(us.agi,$D78),"U",""),
if(countif(var.agi,$D78),"V","")
)</f>
        <v>D</v>
      </c>
      <c r="J78" s="32" t="str">
        <f>
CONCATENATE(
if(countif(nap.bun,$D78),"N",""),
if(countif(np.bun,$D78),"P","")
)
</f>
        <v/>
      </c>
      <c r="K78" s="32" t="str">
        <f>CONCATENATE(
if(countif(dd.kxn,$D78),"D",""),
if(countif(knap.kxn,$D78),"K",""),
if(countif(mic.kxn,$D78),"M",""),
if(countif(nap.kxn,$D78),"N",""),
if(countif(np.kxn,$D78),"P",""),
if(countif(us.kxn,$D78),"U",""),
if(countif(var.kxn,$D78),"V","")
)</f>
        <v>NU</v>
      </c>
      <c r="L78" s="32" t="str">
        <f>
CONCATENATE(
if(countif(dd.hwb,$D78),"D",""),
if(countif(knap.hwb,$D78),"K",""),
if(countif(mic.hwb,$D78),"M",""),
if(countif(nap.hwb,$D78),"N",""),
if(countif(np.hwb,$D78),"P",""),
if(countif(us.hwb,$D78),"U",""),
if(countif(imp.hwb,$D78),"T",""),
if(countif(var.hwb,$D78),"V","")
)</f>
        <v>U</v>
      </c>
      <c r="M78" s="32" t="str">
        <f>CONCATENATE(
if(countif(dd.epc,$D78),"D",""),
if(countif(knap.ekxn,$D78),"K",""),
if(countif(mic.ekxn,$D78),"M",""),
if(countif(nap.ekxn,$D78),"N",""),
if(countif(np.ekxn,$D78),"P",""),
if(countif(imp.epc,$D78),"T",""),
if(countif(us.ekxn,$D78),"U",""),
if(countif(var.ekxn,$D78),"V","")
)</f>
        <v>U</v>
      </c>
      <c r="N78" s="32" t="str">
        <f>
CONCATENATE(
if(countif(dd.ecg,$D78),"D",""),
if(countif(mic.ecg,$D78),"M",""),
if(countif(np.ecg,$D78),"P",""),
if(countif(imp.ecg,$D78),"T",""),
if(countif(us.ecg,$D78),"U","")
)</f>
        <v/>
      </c>
      <c r="O78" s="32" t="str">
        <f>
CONCATENATE(
if(countif(dd.egt,$D78),"D",""),
if(countif(mic.egt,$D78),"M",""),
if(countif(nap.egt,$D78),"N",""),
if(countif(us.egt,$D78),"U",""),
if(countif(var.egt,$D78),"V",""))
</f>
        <v>V</v>
      </c>
      <c r="P78" s="32" t="str">
        <f>CONCATENATE(
if(countif(knap.egcg,$D78),"K",""),
if(countif(mic.egcg,$D78),"M",""),
if(countif(np.egcg,$D78),"P",""),
if(countif(us.egcg,$D78),"U","")
)</f>
        <v/>
      </c>
      <c r="Q78" s="32" t="str">
        <f>CONCATENATE(if(countif(np.ecit,$D78),"P",""),
if(countif(nap.ecit,$D78),"A",""))</f>
        <v/>
      </c>
      <c r="R78" s="32" t="str">
        <f>
CONCATENATE(
if(countif(nap.erd,$D78),"N",""),
if(countif(np.erd,$D78),"P",""),
if(countif(var.erd,$D78),"V",""))</f>
        <v/>
      </c>
      <c r="S78" s="32" t="str">
        <f>
CONCATENATE(
if(countif(dd.gkxn,$D78),"D",""),
if(countif(knap.gkxn,$D78),"K",""),
if(countif(nap.gkxn,$D78),"N",""),
if(countif(np.gkxn,$D78),"P",""),
if(countif(imp.gkxn,$D78),"T",""),
if(countif(var.gkxn,$D78),"V",""))</f>
        <v>V</v>
      </c>
      <c r="T78" s="32" t="str">
        <f>
CONCATENATE(
if(countif(dd.gen,$C78),"D",""),
if(countif(knap.gen,$C78),"K",""),
if(countif(nap.gen,$C78),"N",""),
if(countif(np.gen,$C78),"P",""),
if(countif(imp.gen,$C78),"T",""),
if(countif(var.gen,$C78),"V",""))</f>
        <v>DKN</v>
      </c>
      <c r="U78" s="32" t="str">
        <f>
CONCATENATE(
if(countif(dd.hcc,$D78),"D",""),
if(countif(knap.hcc,$D78),"K",""),
if(countif(np.hcc,$D78),"P","")
)
</f>
        <v/>
      </c>
      <c r="V78" s="32" t="str">
        <f>
CONCATENATE(
if(countif(dd.kmp,$D78),"D",""),
if(countif(knap.kmp,$D78),"K",""),
if(countif(mic.kmp,$D78),"M",""),
if(countif(nap.kmp,$D78),"N",""),
if(countif(np.kmp,$D78),"P",""),
if(countif(imp.kmp,$D78),"T",""),
if(countif(us.kmp,$D78),"U",""),
if(countif(var.kmp,$D78),"V",""))</f>
        <v>NU</v>
      </c>
      <c r="W78" s="32" t="str">
        <f>
CONCATENATE(
if(countif(dd.lu2,$D78),"D",""),
if(countif(knap.lu2,$D78),"K",""),
if(countif(mic.lu2,$D78),"M",""),
if(countif(nap.lu2,$D78),"N",""),
if(countif(np.lu2,$D78),"P",""),
if(countif(imp.lu2,$D78),"T",""),
if(countif(us.lu2,$D78),"U",""),
if(countif(var.lu2,$D78),"V",""))</f>
        <v>DU</v>
      </c>
      <c r="X78" s="32" t="str">
        <f>
CONCATENATE(
if(countif(dd.myc,$D78),"D",""),
if(countif(knap.myc,$D78),"K",""), 
if(countif(mic.myc,$D78),"M",""),
if(countif(nap.myc,$D78),"N",""),
if(countif(np.myc,$D78),"P",""),
if(countif(imp.myc,$D78),"T",""),
if(countif(us.myc,$D78),"U",""),
if(countif(var.myc,$D78),"V",""))</f>
        <v>U</v>
      </c>
      <c r="Y78" s="32" t="str">
        <f>CONCATENATE(
if(countif(dd.nar,$D78),"D",""),
if(countif(knap.nar,$D78),"K",""),
if(countif(nap.nar,$D78),"N",""),
if(countif(np.nar,$D78),"P",""),
if(countif(imp.nar,$D78),"T",""),
if(countif(us.nar,$D78),"U",""),
if(countif(var.nar,$D78),"V",""))</f>
        <v>V</v>
      </c>
      <c r="Z78" s="33" t="str">
        <f>
CONCATENATE(
if(countif(dd.que,$D78),"D",""),
if(countif(knap.que,$D78),"K",""),
if(countif(mic.que,$D78),"M",""),
if(countif(nap.que,$D78),"N",""),
if(countif(np.que,$D78),"P",""),
if(countif(imp.que,$D78),"T",""),
if(countif(us.que,$D78),"U",""),
if(countif(var.que,$D78),"V",""))</f>
        <v>NTU</v>
      </c>
      <c r="AA78" s="32"/>
      <c r="AB78" s="34" t="str">
        <f>
CONCATENATE(if(countif(knap.agi.sim,$D78),"K",""),
if(countif(dd.agi.sim,$D78),"D",""),
if(countif(nap.agi.sim,$D78),"A",""),
if(countif(var.agi.sim,$D78),"V",""))</f>
        <v>V</v>
      </c>
      <c r="AC78" s="34" t="str">
        <f>
if(countif(nap.bun.sim,$D78),"A","")</f>
        <v/>
      </c>
      <c r="AD78" s="34" t="str">
        <f>
CONCATENATE(if(countif(knap.kxn.sim,$D78),"K",""),
if(countif(np.kxn.sim,$D78),"P",""),
if(countif(dd.kxn.sim,$D78),"D",""),
if(countif(nap.kxn.sim,$D78),"A",""),
if(countif(var.kxn.sim,$D78),"V",""))</f>
        <v/>
      </c>
      <c r="AE78" s="34" t="str">
        <f>
CONCATENATE(if(countif(knap.hwb.sim,$D78),"K",""),
if(countif(np.hwb.sim,$D78),"P",""),
if(countif(mic.hwb.sim,$D78),"M",""),
if(countif(imp.hwb.sim,$D78),"T",""),
if(countif(dd.cyan.sim,$D78),"D",""),
if(countif(nap.hwb.sim,$D78),"A",""),
if(countif(var.hwb.sim,$D78),"V",""))</f>
        <v>KV</v>
      </c>
      <c r="AF78" s="34" t="str">
        <f>
CONCATENATE(if(countif(us.ekxn.sim,$D78),"U",""),
if(countif(knap.ekxn.sim,$D78),"K",""),
if(countif(np.ekxn.sim,$D78),"P",""),
if(countif(mic.ekxn.sim,$D78),"M",""),
if(countif(imp.epc.sim,$D78),"T",""),
if(countif(nap.ekxn.sim,$D78),"A",""))</f>
        <v/>
      </c>
      <c r="AG78" s="34"/>
      <c r="AH78" s="34" t="str">
        <f>
CONCATENATE(if(countif(us.egt.sim,$D78),"U",""),
if(countif(knap.egt.sim,$D78),"K",""),
if(countif(np.egt.sim,$D78),"P",""),
if(countif(mic.egt.sim,$D78),"M",""))</f>
        <v/>
      </c>
      <c r="AI78" s="34"/>
      <c r="AJ78" s="34" t="str">
        <f>if(countif(nap.ecit.sim,$D78),"A","")</f>
        <v/>
      </c>
      <c r="AK78" s="34" t="str">
        <f>
CONCATENATE(if(countif(nap.erd,$D78),"M",""),
if(countif(nap.erd.sim,$D78),"A",""),
if(countif(var.erd.sim,$D78),"V",""))</f>
        <v/>
      </c>
      <c r="AL78" s="34" t="str">
        <f>
CONCATENATE(if(countif(knap.gkxn.sim,$D78),"K",""),
if(countif(nap.gkxn.sim,$D78),"A",""))</f>
        <v/>
      </c>
      <c r="AM78" s="34" t="str">
        <f>
CONCATENATE(if(countif(knap.gen.sim,$C78),"K",""),
if(countif(imp.gen.sim,$C78),"T",""),
if(countif(dd.gen.sim,$C78),"D",""),
if(countif(nap.gen.sim,$C78),"A",""),
if(countif(var.gen.sim,$C78),"V",""))
</f>
        <v>KTAV</v>
      </c>
      <c r="AN78" s="34" t="str">
        <f>IFERROR(__xludf.DUMMYFUNCTION("
if(countif(#REF!,CONCATENATE(regexextract($C78,""[\w]* [\w]*""), ""*"")),""V"","""")"),"")</f>
        <v/>
      </c>
      <c r="AO78" s="34" t="str">
        <f>
CONCATENATE(if(countif(knap.kmp.sim,$D78),"K",""),
if(countif(np.kmp.sim,$D78),"P",""),
if(countif(imp.kmp.sim,$D78),"T",""),
if(countif(dd.kmp,$D78),"D",""),
if(countif(nap.kmp.sim,$D78),"A",""),
if(countif(var.kmp.sim,$D78),"V",""))</f>
        <v>KTAV</v>
      </c>
      <c r="AP78" s="34" t="str">
        <f>
CONCATENATE(if(countif(knap.lu2.sim,$D78),"K",""),
if(countif(np.lu2.sim,$D78),"P",""),
if(countif(imp.lu2.sim,$D78),"T",""),
if(countif(dd.lu2.sim,$D78),"D",""),
if(countif(nap.lu2.sim,$D78),"A",""),
if(countif(var.lu2.sim,$D78),"V",""))</f>
        <v/>
      </c>
      <c r="AQ78" s="34" t="str">
        <f>
CONCATENATE(if(countif(np.myc.sim,$D78),"P",""),
if(countif(imp.myc.sim,$D78),"T",""),
if(countif(nap.myc.sim,$D78),"A",""))
</f>
        <v/>
      </c>
      <c r="AR78" s="36" t="str">
        <f>
CONCATENATE(if(countif(knap.nar.sim,$D78),"K",""),
if(countif(np.nar.sim,$D78),"P",""),
if(countif(imp.nar.sim,$D78),"T",""),
if(countif(dd.nar.sim,$D78),"D",""),
if(countif(nap.nar.sim,$D78),"A",""),
if(countif(var.nar.sim,$D78),"V",""))</f>
        <v>V</v>
      </c>
      <c r="AS78" s="34" t="str">
        <f>
CONCATENATE(if(countif(knap.que.sim,$D78),"K",""),
if(countif(np.que.sim,$D78),"P",""),
if(countif(imp.que.sim,$D78),"T",""),
if(countif(dd.que.sim,$D78),"D",""),
if(countif(nap.que.sim,$D78),"A",""),
if(countif(var.que.sim,$D78),"V",""))</f>
        <v>KPTDV</v>
      </c>
      <c r="AT78" s="37"/>
      <c r="AU78" s="32" t="str">
        <f>IFERROR(__xludf.DUMMYFUNCTION("if(countif(kr.agi, CONCATENATE(regexextract($C78,""[\w]* [\w]*""), ""*"")),""X"","""")"),"X")</f>
        <v>X</v>
      </c>
      <c r="AV78" s="38" t="str">
        <f>IFERROR(__xludf.DUMMYFUNCTION("if(countif(kr.bun,CONCATENATE(regexextract($C78,""[\w]* [\w]*""), ""*"")),""X"","""")"),"X")</f>
        <v>X</v>
      </c>
      <c r="AW78" s="38" t="str">
        <f>IFERROR(__xludf.DUMMYFUNCTION("if(countif(kr.kxn,CONCATENATE(regexextract($C78,""[\w]* [\w]*""), ""*"")),""X"","""")"),"X")</f>
        <v>X</v>
      </c>
      <c r="AX78" s="38" t="str">
        <f>IFERROR(__xludf.DUMMYFUNCTION("if(countif(kr.hwb,CONCATENATE(regexextract($C78,""[\w]* [\w]*""), ""*"")),""X"","""")"),"X")</f>
        <v>X</v>
      </c>
      <c r="AY78" s="38" t="str">
        <f>IFERROR(__xludf.DUMMYFUNCTION("if(countif(kr.ec,CONCATENATE(regexextract($C78,""[\w]* [\w]*""), ""*"")),""X"","""")"),"X")</f>
        <v>X</v>
      </c>
      <c r="AZ78" s="38" t="str">
        <f>IFERROR(__xludf.DUMMYFUNCTION("if(countif(kr.egt,CONCATENATE(regexextract($C78,""[\w]* [\w]*""), ""*"")),""X"","""")"),"X")</f>
        <v>X</v>
      </c>
      <c r="BA78" s="38"/>
      <c r="BB78" s="38" t="str">
        <f>IFERROR(__xludf.DUMMYFUNCTION("if(countif(kr.erd,CONCATENATE(regexextract($C78,""[\w]* [\w]*""), ""*"")),""X"","""")"),"X")</f>
        <v>X</v>
      </c>
      <c r="BC78" s="38" t="str">
        <f>IFERROR(__xludf.DUMMYFUNCTION("if(countif(kr.gkxn,CONCATENATE(regexextract($C78,""[\w]* [\w]*""), ""*"")),""X"","""")"),"X")</f>
        <v>X</v>
      </c>
      <c r="BD78" s="38" t="str">
        <f>IFERROR(__xludf.DUMMYFUNCTION("if(countif(kr.gen,CONCATENATE(regexextract(C78,""[\w]* [\w]*""), ""*"")),""X"","""")"),"X")</f>
        <v>X</v>
      </c>
      <c r="BE78" s="38" t="str">
        <f>IFERROR(__xludf.DUMMYFUNCTION("if(countif(kr.hcc,CONCATENATE(regexextract($C78,""[\w]* [\w]*""), ""*"")),""X"","""")"),"X")</f>
        <v>X</v>
      </c>
      <c r="BF78" s="38" t="str">
        <f>IFERROR(__xludf.DUMMYFUNCTION("if(countif(kr.kmp,CONCATENATE(regexextract($C78,""[\w]* [\w]*""), ""*"")),""X"","""")"),"X")</f>
        <v>X</v>
      </c>
      <c r="BG78" s="38" t="str">
        <f>IFERROR(__xludf.DUMMYFUNCTION("if(countif(kr.lu2,CONCATENATE(regexextract($C78,""[\w]* [\w]*""), ""*"")),""X"","""")"),"X")</f>
        <v>X</v>
      </c>
      <c r="BH78" s="38" t="str">
        <f>IFERROR(__xludf.DUMMYFUNCTION("if(countif(kr.myc,CONCATENATE(regexextract($C78,""[\w]* [\w]*""), ""*"")),""X"","""")"),"X")</f>
        <v>X</v>
      </c>
      <c r="BI78" s="38" t="str">
        <f>IFERROR(__xludf.DUMMYFUNCTION("if(countif(kr.nar,CONCATENATE(regexextract($C78,""[\w]* [\w]*""), ""*"")),""X"","""")"),"X")</f>
        <v>X</v>
      </c>
      <c r="BJ78" s="38" t="str">
        <f>IFERROR(__xludf.DUMMYFUNCTION("if(countif(kr.que,CONCATENATE(regexextract($C78,""[\w]* [\w]*""), ""*"")),""X"","""")"),"X")</f>
        <v>X</v>
      </c>
      <c r="BK78" s="39"/>
      <c r="BL78" s="40" t="str">
        <f>IFERROR(__xludf.DUMMYFUNCTION(" CONCATENATE( 
if (regexmatch(I78, ""^[A-Za-z\.\_]+""), ""L"", 
if(regexmatch(AB78, ""^[A-Za-z\.\_]+""),""S"","""")),
if(AU78=""X"",""K"",""""))"),"LK")</f>
        <v>LK</v>
      </c>
      <c r="BM78" s="40" t="str">
        <f>IFERROR(__xludf.DUMMYFUNCTION(" CONCATENATE( 
if (regexmatch(J78, ""^[A-Za-z\.\_]+""), ""L"", 
if(regexmatch(AC78, ""^[A-Za-z\.\_]+""),""S"","""")),
if(AV78=""X"",""K"",""""))"),"K")</f>
        <v>K</v>
      </c>
      <c r="BN78" s="40" t="str">
        <f>IFERROR(__xludf.DUMMYFUNCTION(" CONCATENATE( 
if (regexmatch(K78, ""^[A-Za-z\.\_]+""), ""L"", 
if(regexmatch(AD78, ""^[A-Za-z\.\_]+""),""S"","""")),
if(AW78=""X"",""K"",""""))"),"LK")</f>
        <v>LK</v>
      </c>
      <c r="BO78" s="40" t="str">
        <f>IFERROR(__xludf.DUMMYFUNCTION(" CONCATENATE( 
if (regexmatch(L78, ""^[A-Za-z\.\_]+""), ""L"", 
if(regexmatch(AE78, ""^[A-Za-z\.\_]+""),""S"","""")),
if(AX78=""X"",""K"",""""))"),"LK")</f>
        <v>LK</v>
      </c>
      <c r="BP78" s="40" t="str">
        <f>IFERROR(__xludf.DUMMYFUNCTION(" CONCATENATE( 
if (regexmatch(M78, ""^[A-Za-z\.\_]+""), ""L"", 
if(regexmatch(AF78, ""^[A-Za-z\.\_]+""),""S"","""")),
if(AY78=""X"",""K"",""""))"),"LK")</f>
        <v>LK</v>
      </c>
      <c r="BQ78" s="40" t="str">
        <f>IFERROR(__xludf.DUMMYFUNCTION("CONCATENATE( 
if (regexmatch(O78, ""^[A-Za-z\.\_]+""), ""L"", 
if(regexmatch(AH78, ""^[A-Za-z\.\_]+""),""S"","""")),
if(AZ78=""X"",""K"",""""))"),"LK")</f>
        <v>LK</v>
      </c>
      <c r="BR78" s="40" t="str">
        <f>IFERROR(__xludf.DUMMYFUNCTION("CONCATENATE( 
if (regexmatch(Q78, ""^[A-Za-z\.\_]+""), ""L"", 
if(regexmatch(AJ78, ""^[A-Za-z\.\_]+""),""S"","""")),
if(BA78=""X"",""K"",""""))"),"")</f>
        <v/>
      </c>
      <c r="BS78" s="40" t="str">
        <f>IFERROR(__xludf.DUMMYFUNCTION(" CONCATENATE( 
if (regexmatch(R78, ""^[A-Za-z\.\_]+""), ""L"", 
if(regexmatch(AK78, ""^[A-Za-z\.\_]+""),""S"","""")),
if(BB78=""X"",""K"",""""))"),"K")</f>
        <v>K</v>
      </c>
      <c r="BT78" s="40" t="str">
        <f>IFERROR(__xludf.DUMMYFUNCTION("CONCATENATE( 
if (regexmatch(S78, ""^[A-Za-z\.\_]+""), ""L"", 
if(regexmatch(AL78, ""^[A-Za-z\.\_]+""),""S"","""")),
if(BC78=""X"",""K"",""""))"),"LK")</f>
        <v>LK</v>
      </c>
      <c r="BU78" s="40" t="str">
        <f>IFERROR(__xludf.DUMMYFUNCTION("CONCATENATE( 
if (regexmatch(T78, ""^[A-Za-z\.\_]+""), ""L"", 
if(regexmatch(AM78, ""^[A-Za-z\.\_]+""),""S"","""")),
if(BD78=""X"",""K"",""""))"),"LK")</f>
        <v>LK</v>
      </c>
      <c r="BV78" s="40" t="str">
        <f>IFERROR(__xludf.DUMMYFUNCTION("CONCATENATE( 
if (regexmatch(U78, ""^[A-Za-z\.\_]+""), ""L"", 
if(regexmatch(AN78, ""^[A-Za-z\.\_]+""),""S"","""")),
if(BE78=""X"",""K"",""""))"),"K")</f>
        <v>K</v>
      </c>
      <c r="BW78" s="40" t="str">
        <f>IFERROR(__xludf.DUMMYFUNCTION(" CONCATENATE( 
if (regexmatch(V78, ""^[A-Za-z\.\_]+""), ""L"", 
if(regexmatch(AO78, ""^[A-Za-z\.\_]+""),""S"","""")),
if(BF78=""X"",""K"",""""))"),"LK")</f>
        <v>LK</v>
      </c>
      <c r="BX78" s="40" t="str">
        <f>IFERROR(__xludf.DUMMYFUNCTION("CONCATENATE( 
if (regexmatch(W78, ""^[A-Za-z\.\_]+""), ""L"", 
if(regexmatch(AP78, ""^[A-Za-z\.\_]+""),""S"","""")),
if(BG78=""X"",""K"",""""))"),"LK")</f>
        <v>LK</v>
      </c>
      <c r="BY78" s="40" t="str">
        <f>IFERROR(__xludf.DUMMYFUNCTION("CONCATENATE( 
if (regexmatch(X78, ""^[A-Za-z\.\_]+""), ""L"", 
if(regexmatch(AQ78, ""^[A-Za-z\.\_]+""),""S"","""")),
if(BH78=""X"",""K"",""""))"),"LK")</f>
        <v>LK</v>
      </c>
      <c r="BZ78" s="40" t="str">
        <f>IFERROR(__xludf.DUMMYFUNCTION("CONCATENATE( 
if (regexmatch(Y78, ""^[A-Za-z\.\_]+""), ""L"", 
if(regexmatch(AR78, ""^[A-Za-z\.\_]+""),""S"","""")),
if(BI78=""X"",""K"",""""))"),"LK")</f>
        <v>LK</v>
      </c>
      <c r="CA78" s="40" t="str">
        <f>IFERROR(__xludf.DUMMYFUNCTION("CONCATENATE( 
if (regexmatch(Z78, ""^[A-Za-z\.\_]+""), ""L"", 
if(regexmatch(AS78, ""^[A-Za-z\.\_]+""),""S"","""")),
if(BJ78=""X"",""K"",""""))"),"LK")</f>
        <v>LK</v>
      </c>
      <c r="CB78" s="39"/>
      <c r="CC78" s="39"/>
      <c r="CD78" s="39"/>
      <c r="CE78" s="39"/>
      <c r="CF78" s="39"/>
      <c r="CG78" s="39"/>
      <c r="CH78" s="39"/>
      <c r="CI78" s="39"/>
      <c r="CJ78" s="39"/>
      <c r="CK78" s="39"/>
      <c r="CL78" s="39"/>
      <c r="CM78" s="39"/>
      <c r="CN78" s="39"/>
      <c r="CO78" s="39"/>
      <c r="CP78" s="39"/>
      <c r="CQ78" s="39"/>
      <c r="CR78" s="39"/>
    </row>
    <row r="79" ht="15.75" customHeight="1">
      <c r="A79" s="25">
        <v>110.0</v>
      </c>
      <c r="B79" s="26" t="s">
        <v>308</v>
      </c>
      <c r="C79" s="27" t="s">
        <v>309</v>
      </c>
      <c r="D79" s="27" t="str">
        <f>IFERROR(__xludf.DUMMYFUNCTION("CONCATENATE(regexextract($C79,""[\w]* [\w]*""), ""*"")"),"Phoenix dactylifera*")</f>
        <v>Phoenix dactylifera*</v>
      </c>
      <c r="E79" s="59" t="s">
        <v>310</v>
      </c>
      <c r="F79" s="57">
        <v>42345.0</v>
      </c>
      <c r="G79" s="53"/>
      <c r="H79" s="31"/>
      <c r="I79" s="32" t="str">
        <f>CONCATENATE(
if(countif(dd.agi,$D79),"D",""),
if(countif(knap.agi,$D79),"K",""),
if(countif(mic.agi,$D79),"M",""),
if(countif(nap.agi,$D79),"N",""),
if(countif(np.agi,$D79),"P",""),
if(countif(imp.agi,$D79),"T",""),
if(countif(us.agi,$D79),"U",""),
if(countif(var.agi,$D79),"V","")
)</f>
        <v>DN</v>
      </c>
      <c r="J79" s="32" t="str">
        <f>
CONCATENATE(
if(countif(nap.bun,$D79),"N",""),
if(countif(np.bun,$D79),"P","")
)
</f>
        <v/>
      </c>
      <c r="K79" s="32" t="str">
        <f>CONCATENATE(
if(countif(dd.kxn,$D79),"D",""),
if(countif(knap.kxn,$D79),"K",""),
if(countif(mic.kxn,$D79),"M",""),
if(countif(nap.kxn,$D79),"N",""),
if(countif(np.kxn,$D79),"P",""),
if(countif(us.kxn,$D79),"U",""),
if(countif(var.kxn,$D79),"V","")
)</f>
        <v>N</v>
      </c>
      <c r="L79" s="32" t="str">
        <f>
CONCATENATE(
if(countif(dd.hwb,$D79),"D",""),
if(countif(knap.hwb,$D79),"K",""),
if(countif(mic.hwb,$D79),"M",""),
if(countif(nap.hwb,$D79),"N",""),
if(countif(np.hwb,$D79),"P",""),
if(countif(us.hwb,$D79),"U",""),
if(countif(imp.hwb,$D79),"T",""),
if(countif(var.hwb,$D79),"V","")
)</f>
        <v>MU</v>
      </c>
      <c r="M79" s="32" t="str">
        <f>CONCATENATE(
if(countif(dd.epc,$D79),"D",""),
if(countif(knap.ekxn,$D79),"K",""),
if(countif(mic.ekxn,$D79),"M",""),
if(countif(nap.ekxn,$D79),"N",""),
if(countif(np.ekxn,$D79),"P",""),
if(countif(imp.epc,$D79),"T",""),
if(countif(us.ekxn,$D79),"U",""),
if(countif(var.ekxn,$D79),"V","")
)</f>
        <v>N</v>
      </c>
      <c r="N79" s="32" t="str">
        <f>
CONCATENATE(
if(countif(dd.ecg,$D79),"D",""),
if(countif(mic.ecg,$D79),"M",""),
if(countif(np.ecg,$D79),"P",""),
if(countif(imp.ecg,$D79),"T",""),
if(countif(us.ecg,$D79),"U","")
)</f>
        <v/>
      </c>
      <c r="O79" s="32" t="str">
        <f>
CONCATENATE(
if(countif(dd.egt,$D79),"D",""),
if(countif(mic.egt,$D79),"M",""),
if(countif(nap.egt,$D79),"N",""),
if(countif(us.egt,$D79),"U",""),
if(countif(var.egt,$D79),"V",""))
</f>
        <v/>
      </c>
      <c r="P79" s="32" t="str">
        <f>CONCATENATE(
if(countif(knap.egcg,$D79),"K",""),
if(countif(mic.egcg,$D79),"M",""),
if(countif(np.egcg,$D79),"P",""),
if(countif(us.egcg,$D79),"U","")
)</f>
        <v/>
      </c>
      <c r="Q79" s="32" t="str">
        <f>CONCATENATE(if(countif(np.ecit,$D79),"P",""),
if(countif(nap.ecit,$D79),"A",""))</f>
        <v/>
      </c>
      <c r="R79" s="32" t="str">
        <f>
CONCATENATE(
if(countif(nap.erd,$D79),"N",""),
if(countif(np.erd,$D79),"P",""),
if(countif(var.erd,$D79),"V",""))</f>
        <v/>
      </c>
      <c r="S79" s="32" t="str">
        <f>
CONCATENATE(
if(countif(dd.gkxn,$D79),"D",""),
if(countif(knap.gkxn,$D79),"K",""),
if(countif(nap.gkxn,$D79),"N",""),
if(countif(np.gkxn,$D79),"P",""),
if(countif(imp.gkxn,$D79),"T",""),
if(countif(var.gkxn,$D79),"V",""))</f>
        <v/>
      </c>
      <c r="T79" s="32" t="str">
        <f>
CONCATENATE(
if(countif(dd.gen,$C79),"D",""),
if(countif(knap.gen,$C79),"K",""),
if(countif(nap.gen,$C79),"N",""),
if(countif(np.gen,$C79),"P",""),
if(countif(imp.gen,$C79),"T",""),
if(countif(var.gen,$C79),"V",""))</f>
        <v/>
      </c>
      <c r="U79" s="32" t="str">
        <f>
CONCATENATE(
if(countif(dd.hcc,$D79),"D",""),
if(countif(knap.hcc,$D79),"K",""),
if(countif(np.hcc,$D79),"P","")
)
</f>
        <v/>
      </c>
      <c r="V79" s="32" t="str">
        <f>
CONCATENATE(
if(countif(dd.kmp,$D79),"D",""),
if(countif(knap.kmp,$D79),"K",""),
if(countif(mic.kmp,$D79),"M",""),
if(countif(nap.kmp,$D79),"N",""),
if(countif(np.kmp,$D79),"P",""),
if(countif(imp.kmp,$D79),"T",""),
if(countif(us.kmp,$D79),"U",""),
if(countif(var.kmp,$D79),"V",""))</f>
        <v/>
      </c>
      <c r="W79" s="32" t="str">
        <f>
CONCATENATE(
if(countif(dd.lu2,$D79),"D",""),
if(countif(knap.lu2,$D79),"K",""),
if(countif(mic.lu2,$D79),"M",""),
if(countif(nap.lu2,$D79),"N",""),
if(countif(np.lu2,$D79),"P",""),
if(countif(imp.lu2,$D79),"T",""),
if(countif(us.lu2,$D79),"U",""),
if(countif(var.lu2,$D79),"V",""))</f>
        <v>V</v>
      </c>
      <c r="X79" s="32" t="str">
        <f>
CONCATENATE(
if(countif(dd.myc,$D79),"D",""),
if(countif(knap.myc,$D79),"K",""), 
if(countif(mic.myc,$D79),"M",""),
if(countif(nap.myc,$D79),"N",""),
if(countif(np.myc,$D79),"P",""),
if(countif(imp.myc,$D79),"T",""),
if(countif(us.myc,$D79),"U",""),
if(countif(var.myc,$D79),"V",""))</f>
        <v/>
      </c>
      <c r="Y79" s="32" t="str">
        <f>CONCATENATE(
if(countif(dd.nar,$D79),"D",""),
if(countif(knap.nar,$D79),"K",""),
if(countif(nap.nar,$D79),"N",""),
if(countif(np.nar,$D79),"P",""),
if(countif(imp.nar,$D79),"T",""),
if(countif(us.nar,$D79),"U",""),
if(countif(var.nar,$D79),"V",""))</f>
        <v>V</v>
      </c>
      <c r="Z79" s="33" t="str">
        <f>
CONCATENATE(
if(countif(dd.que,$D79),"D",""),
if(countif(knap.que,$D79),"K",""),
if(countif(mic.que,$D79),"M",""),
if(countif(nap.que,$D79),"N",""),
if(countif(np.que,$D79),"P",""),
if(countif(imp.que,$D79),"T",""),
if(countif(us.que,$D79),"U",""),
if(countif(var.que,$D79),"V",""))</f>
        <v>NUV</v>
      </c>
      <c r="AA79" s="32"/>
      <c r="AB79" s="34" t="str">
        <f>
CONCATENATE(if(countif(knap.agi.sim,$D79),"K",""),
if(countif(dd.agi.sim,$D79),"D",""),
if(countif(nap.agi.sim,$D79),"A",""),
if(countif(var.agi.sim,$D79),"V",""))</f>
        <v>V</v>
      </c>
      <c r="AC79" s="34" t="str">
        <f>
if(countif(nap.bun.sim,$D79),"A","")</f>
        <v/>
      </c>
      <c r="AD79" s="34" t="str">
        <f>
CONCATENATE(if(countif(knap.kxn.sim,$D79),"K",""),
if(countif(np.kxn.sim,$D79),"P",""),
if(countif(dd.kxn.sim,$D79),"D",""),
if(countif(nap.kxn.sim,$D79),"A",""),
if(countif(var.kxn.sim,$D79),"V",""))</f>
        <v/>
      </c>
      <c r="AE79" s="34" t="str">
        <f>
CONCATENATE(if(countif(knap.hwb.sim,$D79),"K",""),
if(countif(np.hwb.sim,$D79),"P",""),
if(countif(mic.hwb.sim,$D79),"M",""),
if(countif(imp.hwb.sim,$D79),"T",""),
if(countif(dd.cyan.sim,$D79),"D",""),
if(countif(nap.hwb.sim,$D79),"A",""),
if(countif(var.hwb.sim,$D79),"V",""))</f>
        <v/>
      </c>
      <c r="AF79" s="34" t="str">
        <f>
CONCATENATE(if(countif(us.ekxn.sim,$D79),"U",""),
if(countif(knap.ekxn.sim,$D79),"K",""),
if(countif(np.ekxn.sim,$D79),"P",""),
if(countif(mic.ekxn.sim,$D79),"M",""),
if(countif(imp.epc.sim,$D79),"T",""),
if(countif(nap.ekxn.sim,$D79),"A",""))</f>
        <v/>
      </c>
      <c r="AG79" s="34"/>
      <c r="AH79" s="34" t="str">
        <f>
CONCATENATE(if(countif(us.egt.sim,$D79),"U",""),
if(countif(knap.egt.sim,$D79),"K",""),
if(countif(np.egt.sim,$D79),"P",""),
if(countif(mic.egt.sim,$D79),"M",""))</f>
        <v>M</v>
      </c>
      <c r="AI79" s="34"/>
      <c r="AJ79" s="34" t="str">
        <f>if(countif(nap.ecit.sim,$D79),"A","")</f>
        <v/>
      </c>
      <c r="AK79" s="34" t="str">
        <f>
CONCATENATE(if(countif(nap.erd,$D79),"M",""),
if(countif(nap.erd.sim,$D79),"A",""),
if(countif(var.erd.sim,$D79),"V",""))</f>
        <v/>
      </c>
      <c r="AL79" s="34" t="str">
        <f>
CONCATENATE(if(countif(knap.gkxn.sim,$D79),"K",""),
if(countif(nap.gkxn.sim,$D79),"A",""))</f>
        <v/>
      </c>
      <c r="AM79" s="34" t="str">
        <f>
CONCATENATE(if(countif(knap.gen.sim,$C79),"K",""),
if(countif(imp.gen.sim,$C79),"T",""),
if(countif(dd.gen.sim,$C79),"D",""),
if(countif(nap.gen.sim,$C79),"A",""),
if(countif(var.gen.sim,$C79),"V",""))
</f>
        <v/>
      </c>
      <c r="AN79" s="34" t="str">
        <f>IFERROR(__xludf.DUMMYFUNCTION("
if(countif(#REF!,CONCATENATE(regexextract($C79,""[\w]* [\w]*""), ""*"")),""V"","""")"),"")</f>
        <v/>
      </c>
      <c r="AO79" s="34" t="str">
        <f>
CONCATENATE(if(countif(knap.kmp.sim,$D79),"K",""),
if(countif(np.kmp.sim,$D79),"P",""),
if(countif(imp.kmp.sim,$D79),"T",""),
if(countif(dd.kmp,$D79),"D",""),
if(countif(nap.kmp.sim,$D79),"A",""),
if(countif(var.kmp.sim,$D79),"V",""))</f>
        <v>V</v>
      </c>
      <c r="AP79" s="34" t="str">
        <f>
CONCATENATE(if(countif(knap.lu2.sim,$D79),"K",""),
if(countif(np.lu2.sim,$D79),"P",""),
if(countif(imp.lu2.sim,$D79),"T",""),
if(countif(dd.lu2.sim,$D79),"D",""),
if(countif(nap.lu2.sim,$D79),"A",""),
if(countif(var.lu2.sim,$D79),"V",""))</f>
        <v>DAV</v>
      </c>
      <c r="AQ79" s="34" t="str">
        <f>
CONCATENATE(if(countif(np.myc.sim,$D79),"P",""),
if(countif(imp.myc.sim,$D79),"T",""),
if(countif(nap.myc.sim,$D79),"A",""))
</f>
        <v/>
      </c>
      <c r="AR79" s="36" t="str">
        <f>
CONCATENATE(if(countif(knap.nar.sim,$D79),"K",""),
if(countif(np.nar.sim,$D79),"P",""),
if(countif(imp.nar.sim,$D79),"T",""),
if(countif(dd.nar.sim,$D79),"D",""),
if(countif(nap.nar.sim,$D79),"A",""),
if(countif(var.nar.sim,$D79),"V",""))</f>
        <v/>
      </c>
      <c r="AS79" s="34" t="str">
        <f>
CONCATENATE(if(countif(knap.que.sim,$D79),"K",""),
if(countif(np.que.sim,$D79),"P",""),
if(countif(imp.que.sim,$D79),"T",""),
if(countif(dd.que.sim,$D79),"D",""),
if(countif(nap.que.sim,$D79),"A",""),
if(countif(var.que.sim,$D79),"V",""))</f>
        <v>DV</v>
      </c>
      <c r="AT79" s="37"/>
      <c r="AU79" s="32" t="str">
        <f>IFERROR(__xludf.DUMMYFUNCTION("if(countif(kr.agi, CONCATENATE(regexextract($C79,""[\w]* [\w]*""), ""*"")),""X"","""")"),"")</f>
        <v/>
      </c>
      <c r="AV79" s="38" t="str">
        <f>IFERROR(__xludf.DUMMYFUNCTION("if(countif(kr.bun,CONCATENATE(regexextract($C79,""[\w]* [\w]*""), ""*"")),""X"","""")"),"X")</f>
        <v>X</v>
      </c>
      <c r="AW79" s="38" t="str">
        <f>IFERROR(__xludf.DUMMYFUNCTION("if(countif(kr.kxn,CONCATENATE(regexextract($C79,""[\w]* [\w]*""), ""*"")),""X"","""")"),"X")</f>
        <v>X</v>
      </c>
      <c r="AX79" s="38" t="str">
        <f>IFERROR(__xludf.DUMMYFUNCTION("if(countif(kr.hwb,CONCATENATE(regexextract($C79,""[\w]* [\w]*""), ""*"")),""X"","""")"),"X")</f>
        <v>X</v>
      </c>
      <c r="AY79" s="38" t="str">
        <f>IFERROR(__xludf.DUMMYFUNCTION("if(countif(kr.ec,CONCATENATE(regexextract($C79,""[\w]* [\w]*""), ""*"")),""X"","""")"),"X")</f>
        <v>X</v>
      </c>
      <c r="AZ79" s="38" t="str">
        <f>IFERROR(__xludf.DUMMYFUNCTION("if(countif(kr.egt,CONCATENATE(regexextract($C79,""[\w]* [\w]*""), ""*"")),""X"","""")"),"X")</f>
        <v>X</v>
      </c>
      <c r="BA79" s="38"/>
      <c r="BB79" s="38" t="str">
        <f>IFERROR(__xludf.DUMMYFUNCTION("if(countif(kr.erd,CONCATENATE(regexextract($C79,""[\w]* [\w]*""), ""*"")),""X"","""")"),"X")</f>
        <v>X</v>
      </c>
      <c r="BC79" s="38" t="str">
        <f>IFERROR(__xludf.DUMMYFUNCTION("if(countif(kr.gkxn,CONCATENATE(regexextract($C79,""[\w]* [\w]*""), ""*"")),""X"","""")"),"X")</f>
        <v>X</v>
      </c>
      <c r="BD79" s="38" t="str">
        <f>IFERROR(__xludf.DUMMYFUNCTION("if(countif(kr.gen,CONCATENATE(regexextract(C79,""[\w]* [\w]*""), ""*"")),""X"","""")"),"")</f>
        <v/>
      </c>
      <c r="BE79" s="38" t="str">
        <f>IFERROR(__xludf.DUMMYFUNCTION("if(countif(kr.hcc,CONCATENATE(regexextract($C79,""[\w]* [\w]*""), ""*"")),""X"","""")"),"X")</f>
        <v>X</v>
      </c>
      <c r="BF79" s="38" t="str">
        <f>IFERROR(__xludf.DUMMYFUNCTION("if(countif(kr.kmp,CONCATENATE(regexextract($C79,""[\w]* [\w]*""), ""*"")),""X"","""")"),"X")</f>
        <v>X</v>
      </c>
      <c r="BG79" s="38" t="str">
        <f>IFERROR(__xludf.DUMMYFUNCTION("if(countif(kr.lu2,CONCATENATE(regexextract($C79,""[\w]* [\w]*""), ""*"")),""X"","""")"),"")</f>
        <v/>
      </c>
      <c r="BH79" s="38" t="str">
        <f>IFERROR(__xludf.DUMMYFUNCTION("if(countif(kr.myc,CONCATENATE(regexextract($C79,""[\w]* [\w]*""), ""*"")),""X"","""")"),"X")</f>
        <v>X</v>
      </c>
      <c r="BI79" s="38" t="str">
        <f>IFERROR(__xludf.DUMMYFUNCTION("if(countif(kr.nar,CONCATENATE(regexextract($C79,""[\w]* [\w]*""), ""*"")),""X"","""")"),"X")</f>
        <v>X</v>
      </c>
      <c r="BJ79" s="38" t="str">
        <f>IFERROR(__xludf.DUMMYFUNCTION("if(countif(kr.que,CONCATENATE(regexextract($C79,""[\w]* [\w]*""), ""*"")),""X"","""")"),"X")</f>
        <v>X</v>
      </c>
      <c r="BK79" s="39"/>
      <c r="BL79" s="40" t="str">
        <f>IFERROR(__xludf.DUMMYFUNCTION(" CONCATENATE( 
if (regexmatch(I79, ""^[A-Za-z\.\_]+""), ""L"", 
if(regexmatch(AB79, ""^[A-Za-z\.\_]+""),""S"","""")),
if(AU79=""X"",""K"",""""))"),"L")</f>
        <v>L</v>
      </c>
      <c r="BM79" s="40" t="str">
        <f>IFERROR(__xludf.DUMMYFUNCTION(" CONCATENATE( 
if (regexmatch(J79, ""^[A-Za-z\.\_]+""), ""L"", 
if(regexmatch(AC79, ""^[A-Za-z\.\_]+""),""S"","""")),
if(AV79=""X"",""K"",""""))"),"K")</f>
        <v>K</v>
      </c>
      <c r="BN79" s="40" t="str">
        <f>IFERROR(__xludf.DUMMYFUNCTION(" CONCATENATE( 
if (regexmatch(K79, ""^[A-Za-z\.\_]+""), ""L"", 
if(regexmatch(AD79, ""^[A-Za-z\.\_]+""),""S"","""")),
if(AW79=""X"",""K"",""""))"),"LK")</f>
        <v>LK</v>
      </c>
      <c r="BO79" s="40" t="str">
        <f>IFERROR(__xludf.DUMMYFUNCTION(" CONCATENATE( 
if (regexmatch(L79, ""^[A-Za-z\.\_]+""), ""L"", 
if(regexmatch(AE79, ""^[A-Za-z\.\_]+""),""S"","""")),
if(AX79=""X"",""K"",""""))"),"LK")</f>
        <v>LK</v>
      </c>
      <c r="BP79" s="40" t="str">
        <f>IFERROR(__xludf.DUMMYFUNCTION(" CONCATENATE( 
if (regexmatch(M79, ""^[A-Za-z\.\_]+""), ""L"", 
if(regexmatch(AF79, ""^[A-Za-z\.\_]+""),""S"","""")),
if(AY79=""X"",""K"",""""))"),"LK")</f>
        <v>LK</v>
      </c>
      <c r="BQ79" s="40" t="str">
        <f>IFERROR(__xludf.DUMMYFUNCTION("CONCATENATE( 
if (regexmatch(O79, ""^[A-Za-z\.\_]+""), ""L"", 
if(regexmatch(AH79, ""^[A-Za-z\.\_]+""),""S"","""")),
if(AZ79=""X"",""K"",""""))"),"SK")</f>
        <v>SK</v>
      </c>
      <c r="BR79" s="40" t="str">
        <f>IFERROR(__xludf.DUMMYFUNCTION("CONCATENATE( 
if (regexmatch(Q79, ""^[A-Za-z\.\_]+""), ""L"", 
if(regexmatch(AJ79, ""^[A-Za-z\.\_]+""),""S"","""")),
if(BA79=""X"",""K"",""""))"),"")</f>
        <v/>
      </c>
      <c r="BS79" s="40" t="str">
        <f>IFERROR(__xludf.DUMMYFUNCTION(" CONCATENATE( 
if (regexmatch(R79, ""^[A-Za-z\.\_]+""), ""L"", 
if(regexmatch(AK79, ""^[A-Za-z\.\_]+""),""S"","""")),
if(BB79=""X"",""K"",""""))"),"K")</f>
        <v>K</v>
      </c>
      <c r="BT79" s="40" t="str">
        <f>IFERROR(__xludf.DUMMYFUNCTION("CONCATENATE( 
if (regexmatch(S79, ""^[A-Za-z\.\_]+""), ""L"", 
if(regexmatch(AL79, ""^[A-Za-z\.\_]+""),""S"","""")),
if(BC79=""X"",""K"",""""))"),"K")</f>
        <v>K</v>
      </c>
      <c r="BU79" s="40" t="str">
        <f>IFERROR(__xludf.DUMMYFUNCTION("CONCATENATE( 
if (regexmatch(T79, ""^[A-Za-z\.\_]+""), ""L"", 
if(regexmatch(AM79, ""^[A-Za-z\.\_]+""),""S"","""")),
if(BD79=""X"",""K"",""""))"),"")</f>
        <v/>
      </c>
      <c r="BV79" s="40" t="str">
        <f>IFERROR(__xludf.DUMMYFUNCTION("CONCATENATE( 
if (regexmatch(U79, ""^[A-Za-z\.\_]+""), ""L"", 
if(regexmatch(AN79, ""^[A-Za-z\.\_]+""),""S"","""")),
if(BE79=""X"",""K"",""""))"),"K")</f>
        <v>K</v>
      </c>
      <c r="BW79" s="40" t="str">
        <f>IFERROR(__xludf.DUMMYFUNCTION(" CONCATENATE( 
if (regexmatch(V79, ""^[A-Za-z\.\_]+""), ""L"", 
if(regexmatch(AO79, ""^[A-Za-z\.\_]+""),""S"","""")),
if(BF79=""X"",""K"",""""))"),"SK")</f>
        <v>SK</v>
      </c>
      <c r="BX79" s="40" t="str">
        <f>IFERROR(__xludf.DUMMYFUNCTION("CONCATENATE( 
if (regexmatch(W79, ""^[A-Za-z\.\_]+""), ""L"", 
if(regexmatch(AP79, ""^[A-Za-z\.\_]+""),""S"","""")),
if(BG79=""X"",""K"",""""))"),"L")</f>
        <v>L</v>
      </c>
      <c r="BY79" s="40" t="str">
        <f>IFERROR(__xludf.DUMMYFUNCTION("CONCATENATE( 
if (regexmatch(X79, ""^[A-Za-z\.\_]+""), ""L"", 
if(regexmatch(AQ79, ""^[A-Za-z\.\_]+""),""S"","""")),
if(BH79=""X"",""K"",""""))"),"K")</f>
        <v>K</v>
      </c>
      <c r="BZ79" s="40" t="str">
        <f>IFERROR(__xludf.DUMMYFUNCTION("CONCATENATE( 
if (regexmatch(Y79, ""^[A-Za-z\.\_]+""), ""L"", 
if(regexmatch(AR79, ""^[A-Za-z\.\_]+""),""S"","""")),
if(BI79=""X"",""K"",""""))"),"LK")</f>
        <v>LK</v>
      </c>
      <c r="CA79" s="40" t="str">
        <f>IFERROR(__xludf.DUMMYFUNCTION("CONCATENATE( 
if (regexmatch(Z79, ""^[A-Za-z\.\_]+""), ""L"", 
if(regexmatch(AS79, ""^[A-Za-z\.\_]+""),""S"","""")),
if(BJ79=""X"",""K"",""""))"),"LK")</f>
        <v>LK</v>
      </c>
      <c r="CB79" s="39"/>
      <c r="CC79" s="39"/>
      <c r="CD79" s="39"/>
      <c r="CE79" s="39"/>
      <c r="CF79" s="39"/>
      <c r="CG79" s="39"/>
      <c r="CH79" s="39"/>
      <c r="CI79" s="39"/>
      <c r="CJ79" s="39"/>
      <c r="CK79" s="39"/>
      <c r="CL79" s="39"/>
      <c r="CM79" s="39"/>
      <c r="CN79" s="39"/>
      <c r="CO79" s="39"/>
      <c r="CP79" s="39"/>
      <c r="CQ79" s="39"/>
      <c r="CR79" s="39"/>
    </row>
    <row r="80" ht="15.75" customHeight="1">
      <c r="A80" s="25">
        <v>123.0</v>
      </c>
      <c r="B80" s="26" t="s">
        <v>311</v>
      </c>
      <c r="C80" s="63" t="s">
        <v>312</v>
      </c>
      <c r="D80" s="27" t="str">
        <f>IFERROR(__xludf.DUMMYFUNCTION("CONCATENATE(regexextract($C80,""[\w]* [\w]*""), ""*"")"),"Physcomitrium patens*")</f>
        <v>Physcomitrium patens*</v>
      </c>
      <c r="E80" s="26" t="s">
        <v>313</v>
      </c>
      <c r="F80" s="57">
        <v>3218.0</v>
      </c>
      <c r="G80" s="53"/>
      <c r="H80" s="31"/>
      <c r="I80" s="32" t="str">
        <f>CONCATENATE(
if(countif(dd.agi,$D80),"D",""),
if(countif(knap.agi,$D80),"K",""),
if(countif(mic.agi,$D80),"M",""),
if(countif(nap.agi,$D80),"N",""),
if(countif(np.agi,$D80),"P",""),
if(countif(imp.agi,$D80),"T",""),
if(countif(us.agi,$D80),"U",""),
if(countif(var.agi,$D80),"V","")
)</f>
        <v/>
      </c>
      <c r="J80" s="32" t="str">
        <f>
CONCATENATE(
if(countif(nap.bun,$D80),"N",""),
if(countif(np.bun,$D80),"P","")
)
</f>
        <v/>
      </c>
      <c r="K80" s="32" t="str">
        <f>CONCATENATE(
if(countif(dd.kxn,$D80),"D",""),
if(countif(knap.kxn,$D80),"K",""),
if(countif(mic.kxn,$D80),"M",""),
if(countif(nap.kxn,$D80),"N",""),
if(countif(np.kxn,$D80),"P",""),
if(countif(us.kxn,$D80),"U",""),
if(countif(var.kxn,$D80),"V","")
)</f>
        <v/>
      </c>
      <c r="L80" s="32" t="str">
        <f>
CONCATENATE(
if(countif(dd.hwb,$D80),"D",""),
if(countif(knap.hwb,$D80),"K",""),
if(countif(mic.hwb,$D80),"M",""),
if(countif(nap.hwb,$D80),"N",""),
if(countif(np.hwb,$D80),"P",""),
if(countif(us.hwb,$D80),"U",""),
if(countif(imp.hwb,$D80),"T",""),
if(countif(var.hwb,$D80),"V","")
)</f>
        <v/>
      </c>
      <c r="M80" s="32" t="str">
        <f>CONCATENATE(
if(countif(dd.epc,$D80),"D",""),
if(countif(knap.ekxn,$D80),"K",""),
if(countif(mic.ekxn,$D80),"M",""),
if(countif(nap.ekxn,$D80),"N",""),
if(countif(np.ekxn,$D80),"P",""),
if(countif(imp.epc,$D80),"T",""),
if(countif(us.ekxn,$D80),"U",""),
if(countif(var.ekxn,$D80),"V","")
)</f>
        <v/>
      </c>
      <c r="N80" s="32" t="str">
        <f>
CONCATENATE(
if(countif(dd.ecg,$D80),"D",""),
if(countif(mic.ecg,$D80),"M",""),
if(countif(np.ecg,$D80),"P",""),
if(countif(imp.ecg,$D80),"T",""),
if(countif(us.ecg,$D80),"U","")
)</f>
        <v/>
      </c>
      <c r="O80" s="32" t="str">
        <f>
CONCATENATE(
if(countif(dd.egt,$D80),"D",""),
if(countif(mic.egt,$D80),"M",""),
if(countif(nap.egt,$D80),"N",""),
if(countif(us.egt,$D80),"U",""),
if(countif(var.egt,$D80),"V",""))
</f>
        <v/>
      </c>
      <c r="P80" s="32" t="str">
        <f>CONCATENATE(
if(countif(knap.egcg,$D80),"K",""),
if(countif(mic.egcg,$D80),"M",""),
if(countif(np.egcg,$D80),"P",""),
if(countif(us.egcg,$D80),"U","")
)</f>
        <v/>
      </c>
      <c r="Q80" s="32" t="str">
        <f>CONCATENATE(if(countif(np.ecit,$D80),"P",""),
if(countif(nap.ecit,$D80),"A",""))</f>
        <v/>
      </c>
      <c r="R80" s="32" t="str">
        <f>
CONCATENATE(
if(countif(nap.erd,$D80),"N",""),
if(countif(np.erd,$D80),"P",""),
if(countif(var.erd,$D80),"V",""))</f>
        <v/>
      </c>
      <c r="S80" s="32" t="str">
        <f>
CONCATENATE(
if(countif(dd.gkxn,$D80),"D",""),
if(countif(knap.gkxn,$D80),"K",""),
if(countif(nap.gkxn,$D80),"N",""),
if(countif(np.gkxn,$D80),"P",""),
if(countif(imp.gkxn,$D80),"T",""),
if(countif(var.gkxn,$D80),"V",""))</f>
        <v/>
      </c>
      <c r="T80" s="32" t="str">
        <f>
CONCATENATE(
if(countif(dd.gen,$C80),"D",""),
if(countif(knap.gen,$C80),"K",""),
if(countif(nap.gen,$C80),"N",""),
if(countif(np.gen,$C80),"P",""),
if(countif(imp.gen,$C80),"T",""),
if(countif(var.gen,$C80),"V",""))</f>
        <v/>
      </c>
      <c r="U80" s="32" t="str">
        <f>
CONCATENATE(
if(countif(dd.hcc,$D80),"D",""),
if(countif(knap.hcc,$D80),"K",""),
if(countif(np.hcc,$D80),"P","")
)
</f>
        <v/>
      </c>
      <c r="V80" s="32" t="str">
        <f>
CONCATENATE(
if(countif(dd.kmp,$D80),"D",""),
if(countif(knap.kmp,$D80),"K",""),
if(countif(mic.kmp,$D80),"M",""),
if(countif(nap.kmp,$D80),"N",""),
if(countif(np.kmp,$D80),"P",""),
if(countif(imp.kmp,$D80),"T",""),
if(countif(us.kmp,$D80),"U",""),
if(countif(var.kmp,$D80),"V",""))</f>
        <v/>
      </c>
      <c r="W80" s="32" t="str">
        <f>
CONCATENATE(
if(countif(dd.lu2,$D80),"D",""),
if(countif(knap.lu2,$D80),"K",""),
if(countif(mic.lu2,$D80),"M",""),
if(countif(nap.lu2,$D80),"N",""),
if(countif(np.lu2,$D80),"P",""),
if(countif(imp.lu2,$D80),"T",""),
if(countif(us.lu2,$D80),"U",""),
if(countif(var.lu2,$D80),"V",""))</f>
        <v/>
      </c>
      <c r="X80" s="32" t="str">
        <f>
CONCATENATE(
if(countif(dd.myc,$D80),"D",""),
if(countif(knap.myc,$D80),"K",""), 
if(countif(mic.myc,$D80),"M",""),
if(countif(nap.myc,$D80),"N",""),
if(countif(np.myc,$D80),"P",""),
if(countif(imp.myc,$D80),"T",""),
if(countif(us.myc,$D80),"U",""),
if(countif(var.myc,$D80),"V",""))</f>
        <v/>
      </c>
      <c r="Y80" s="32" t="str">
        <f>CONCATENATE(
if(countif(dd.nar,$D80),"D",""),
if(countif(knap.nar,$D80),"K",""),
if(countif(nap.nar,$D80),"N",""),
if(countif(np.nar,$D80),"P",""),
if(countif(imp.nar,$D80),"T",""),
if(countif(us.nar,$D80),"U",""),
if(countif(var.nar,$D80),"V",""))</f>
        <v/>
      </c>
      <c r="Z80" s="33" t="str">
        <f>
CONCATENATE(
if(countif(dd.que,$D80),"D",""),
if(countif(knap.que,$D80),"K",""),
if(countif(mic.que,$D80),"M",""),
if(countif(nap.que,$D80),"N",""),
if(countif(np.que,$D80),"P",""),
if(countif(imp.que,$D80),"T",""),
if(countif(us.que,$D80),"U",""),
if(countif(var.que,$D80),"V",""))</f>
        <v/>
      </c>
      <c r="AA80" s="32"/>
      <c r="AB80" s="34" t="str">
        <f>
CONCATENATE(if(countif(knap.agi.sim,$D80),"K",""),
if(countif(dd.agi.sim,$D80),"D",""),
if(countif(nap.agi.sim,$D80),"A",""),
if(countif(var.agi.sim,$D80),"V",""))</f>
        <v/>
      </c>
      <c r="AC80" s="34" t="str">
        <f>
if(countif(nap.bun.sim,$D80),"A","")</f>
        <v/>
      </c>
      <c r="AD80" s="34" t="str">
        <f>
CONCATENATE(if(countif(knap.kxn.sim,$D80),"K",""),
if(countif(np.kxn.sim,$D80),"P",""),
if(countif(dd.kxn.sim,$D80),"D",""),
if(countif(nap.kxn.sim,$D80),"A",""),
if(countif(var.kxn.sim,$D80),"V",""))</f>
        <v/>
      </c>
      <c r="AE80" s="34" t="str">
        <f>
CONCATENATE(if(countif(knap.hwb.sim,$D80),"K",""),
if(countif(np.hwb.sim,$D80),"P",""),
if(countif(mic.hwb.sim,$D80),"M",""),
if(countif(imp.hwb.sim,$D80),"T",""),
if(countif(dd.cyan.sim,$D80),"D",""),
if(countif(nap.hwb.sim,$D80),"A",""),
if(countif(var.hwb.sim,$D80),"V",""))</f>
        <v/>
      </c>
      <c r="AF80" s="34" t="str">
        <f>
CONCATENATE(if(countif(us.ekxn.sim,$D80),"U",""),
if(countif(knap.ekxn.sim,$D80),"K",""),
if(countif(np.ekxn.sim,$D80),"P",""),
if(countif(mic.ekxn.sim,$D80),"M",""),
if(countif(imp.epc.sim,$D80),"T",""),
if(countif(nap.ekxn.sim,$D80),"A",""))</f>
        <v/>
      </c>
      <c r="AG80" s="34"/>
      <c r="AH80" s="34" t="str">
        <f>
CONCATENATE(if(countif(us.egt.sim,$D80),"U",""),
if(countif(knap.egt.sim,$D80),"K",""),
if(countif(np.egt.sim,$D80),"P",""),
if(countif(mic.egt.sim,$D80),"M",""))</f>
        <v/>
      </c>
      <c r="AI80" s="34"/>
      <c r="AJ80" s="34" t="str">
        <f>if(countif(nap.ecit.sim,$D80),"A","")</f>
        <v/>
      </c>
      <c r="AK80" s="34" t="str">
        <f>
CONCATENATE(if(countif(nap.erd,$D80),"M",""),
if(countif(nap.erd.sim,$D80),"A",""),
if(countif(var.erd.sim,$D80),"V",""))</f>
        <v/>
      </c>
      <c r="AL80" s="34" t="str">
        <f>
CONCATENATE(if(countif(knap.gkxn.sim,$D80),"K",""),
if(countif(nap.gkxn.sim,$D80),"A",""))</f>
        <v/>
      </c>
      <c r="AM80" s="34" t="str">
        <f>
CONCATENATE(if(countif(knap.gen.sim,$C80),"K",""),
if(countif(imp.gen.sim,$C80),"T",""),
if(countif(dd.gen.sim,$C80),"D",""),
if(countif(nap.gen.sim,$C80),"A",""),
if(countif(var.gen.sim,$C80),"V",""))
</f>
        <v/>
      </c>
      <c r="AN80" s="34" t="str">
        <f>IFERROR(__xludf.DUMMYFUNCTION("
if(countif(#REF!,CONCATENATE(regexextract($C80,""[\w]* [\w]*""), ""*"")),""V"","""")"),"")</f>
        <v/>
      </c>
      <c r="AO80" s="34" t="str">
        <f>
CONCATENATE(if(countif(knap.kmp.sim,$D80),"K",""),
if(countif(np.kmp.sim,$D80),"P",""),
if(countif(imp.kmp.sim,$D80),"T",""),
if(countif(dd.kmp,$D80),"D",""),
if(countif(nap.kmp.sim,$D80),"A",""),
if(countif(var.kmp.sim,$D80),"V",""))</f>
        <v/>
      </c>
      <c r="AP80" s="34" t="str">
        <f>
CONCATENATE(if(countif(knap.lu2.sim,$D80),"K",""),
if(countif(np.lu2.sim,$D80),"P",""),
if(countif(imp.lu2.sim,$D80),"T",""),
if(countif(dd.lu2.sim,$D80),"D",""),
if(countif(nap.lu2.sim,$D80),"A",""),
if(countif(var.lu2.sim,$D80),"V",""))</f>
        <v/>
      </c>
      <c r="AQ80" s="34" t="str">
        <f>
CONCATENATE(if(countif(np.myc.sim,$D80),"P",""),
if(countif(imp.myc.sim,$D80),"T",""),
if(countif(nap.myc.sim,$D80),"A",""))
</f>
        <v/>
      </c>
      <c r="AR80" s="36" t="str">
        <f>
CONCATENATE(if(countif(knap.nar.sim,$D80),"K",""),
if(countif(np.nar.sim,$D80),"P",""),
if(countif(imp.nar.sim,$D80),"T",""),
if(countif(dd.nar.sim,$D80),"D",""),
if(countif(nap.nar.sim,$D80),"A",""),
if(countif(var.nar.sim,$D80),"V",""))</f>
        <v/>
      </c>
      <c r="AS80" s="34" t="str">
        <f>
CONCATENATE(if(countif(knap.que.sim,$D80),"K",""),
if(countif(np.que.sim,$D80),"P",""),
if(countif(imp.que.sim,$D80),"T",""),
if(countif(dd.que.sim,$D80),"D",""),
if(countif(nap.que.sim,$D80),"A",""),
if(countif(var.que.sim,$D80),"V",""))</f>
        <v/>
      </c>
      <c r="AT80" s="37"/>
      <c r="AU80" s="32" t="str">
        <f>IFERROR(__xludf.DUMMYFUNCTION("if(countif(kr.agi, CONCATENATE(regexextract($C80,""[\w]* [\w]*""), ""*"")),""X"","""")"),"")</f>
        <v/>
      </c>
      <c r="AV80" s="38" t="str">
        <f>IFERROR(__xludf.DUMMYFUNCTION("if(countif(kr.bun,CONCATENATE(regexextract($C80,""[\w]* [\w]*""), ""*"")),""X"","""")"),"X")</f>
        <v>X</v>
      </c>
      <c r="AW80" s="38" t="str">
        <f>IFERROR(__xludf.DUMMYFUNCTION("if(countif(kr.kxn,CONCATENATE(regexextract($C80,""[\w]* [\w]*""), ""*"")),""X"","""")"),"")</f>
        <v/>
      </c>
      <c r="AX80" s="38" t="str">
        <f>IFERROR(__xludf.DUMMYFUNCTION("if(countif(kr.hwb,CONCATENATE(regexextract($C80,""[\w]* [\w]*""), ""*"")),""X"","""")"),"")</f>
        <v/>
      </c>
      <c r="AY80" s="38" t="str">
        <f>IFERROR(__xludf.DUMMYFUNCTION("if(countif(kr.ec,CONCATENATE(regexextract($C80,""[\w]* [\w]*""), ""*"")),""X"","""")"),"")</f>
        <v/>
      </c>
      <c r="AZ80" s="38" t="str">
        <f>IFERROR(__xludf.DUMMYFUNCTION("if(countif(kr.egt,CONCATENATE(regexextract($C80,""[\w]* [\w]*""), ""*"")),""X"","""")"),"")</f>
        <v/>
      </c>
      <c r="BA80" s="38"/>
      <c r="BB80" s="38" t="str">
        <f>IFERROR(__xludf.DUMMYFUNCTION("if(countif(kr.erd,CONCATENATE(regexextract($C80,""[\w]* [\w]*""), ""*"")),""X"","""")"),"X")</f>
        <v>X</v>
      </c>
      <c r="BC80" s="38" t="str">
        <f>IFERROR(__xludf.DUMMYFUNCTION("if(countif(kr.gkxn,CONCATENATE(regexextract($C80,""[\w]* [\w]*""), ""*"")),""X"","""")"),"")</f>
        <v/>
      </c>
      <c r="BD80" s="38" t="str">
        <f>IFERROR(__xludf.DUMMYFUNCTION("if(countif(kr.gen,CONCATENATE(regexextract(C80,""[\w]* [\w]*""), ""*"")),""X"","""")"),"")</f>
        <v/>
      </c>
      <c r="BE80" s="38" t="str">
        <f>IFERROR(__xludf.DUMMYFUNCTION("if(countif(kr.hcc,CONCATENATE(regexextract($C80,""[\w]* [\w]*""), ""*"")),""X"","""")"),"X")</f>
        <v>X</v>
      </c>
      <c r="BF80" s="38" t="str">
        <f>IFERROR(__xludf.DUMMYFUNCTION("if(countif(kr.kmp,CONCATENATE(regexextract($C80,""[\w]* [\w]*""), ""*"")),""X"","""")"),"")</f>
        <v/>
      </c>
      <c r="BG80" s="38" t="str">
        <f>IFERROR(__xludf.DUMMYFUNCTION("if(countif(kr.lu2,CONCATENATE(regexextract($C80,""[\w]* [\w]*""), ""*"")),""X"","""")"),"")</f>
        <v/>
      </c>
      <c r="BH80" s="38" t="str">
        <f>IFERROR(__xludf.DUMMYFUNCTION("if(countif(kr.myc,CONCATENATE(regexextract($C80,""[\w]* [\w]*""), ""*"")),""X"","""")"),"")</f>
        <v/>
      </c>
      <c r="BI80" s="38" t="str">
        <f>IFERROR(__xludf.DUMMYFUNCTION("if(countif(kr.nar,CONCATENATE(regexextract($C80,""[\w]* [\w]*""), ""*"")),""X"","""")"),"X")</f>
        <v>X</v>
      </c>
      <c r="BJ80" s="38" t="str">
        <f>IFERROR(__xludf.DUMMYFUNCTION("if(countif(kr.que,CONCATENATE(regexextract($C80,""[\w]* [\w]*""), ""*"")),""X"","""")"),"")</f>
        <v/>
      </c>
      <c r="BK80" s="39"/>
      <c r="BL80" s="40" t="str">
        <f>IFERROR(__xludf.DUMMYFUNCTION(" CONCATENATE( 
if (regexmatch(I80, ""^[A-Za-z\.\_]+""), ""L"", 
if(regexmatch(AB80, ""^[A-Za-z\.\_]+""),""S"","""")),
if(AU80=""X"",""K"",""""))"),"")</f>
        <v/>
      </c>
      <c r="BM80" s="40" t="str">
        <f>IFERROR(__xludf.DUMMYFUNCTION(" CONCATENATE( 
if (regexmatch(J80, ""^[A-Za-z\.\_]+""), ""L"", 
if(regexmatch(AC80, ""^[A-Za-z\.\_]+""),""S"","""")),
if(AV80=""X"",""K"",""""))"),"K")</f>
        <v>K</v>
      </c>
      <c r="BN80" s="40" t="str">
        <f>IFERROR(__xludf.DUMMYFUNCTION(" CONCATENATE( 
if (regexmatch(K80, ""^[A-Za-z\.\_]+""), ""L"", 
if(regexmatch(AD80, ""^[A-Za-z\.\_]+""),""S"","""")),
if(AW80=""X"",""K"",""""))"),"")</f>
        <v/>
      </c>
      <c r="BO80" s="40" t="str">
        <f>IFERROR(__xludf.DUMMYFUNCTION(" CONCATENATE( 
if (regexmatch(L80, ""^[A-Za-z\.\_]+""), ""L"", 
if(regexmatch(AE80, ""^[A-Za-z\.\_]+""),""S"","""")),
if(AX80=""X"",""K"",""""))"),"")</f>
        <v/>
      </c>
      <c r="BP80" s="40" t="str">
        <f>IFERROR(__xludf.DUMMYFUNCTION(" CONCATENATE( 
if (regexmatch(M80, ""^[A-Za-z\.\_]+""), ""L"", 
if(regexmatch(AF80, ""^[A-Za-z\.\_]+""),""S"","""")),
if(AY80=""X"",""K"",""""))"),"")</f>
        <v/>
      </c>
      <c r="BQ80" s="40" t="str">
        <f>IFERROR(__xludf.DUMMYFUNCTION("CONCATENATE( 
if (regexmatch(O80, ""^[A-Za-z\.\_]+""), ""L"", 
if(regexmatch(AH80, ""^[A-Za-z\.\_]+""),""S"","""")),
if(AZ80=""X"",""K"",""""))"),"")</f>
        <v/>
      </c>
      <c r="BR80" s="40" t="str">
        <f>IFERROR(__xludf.DUMMYFUNCTION("CONCATENATE( 
if (regexmatch(Q80, ""^[A-Za-z\.\_]+""), ""L"", 
if(regexmatch(AJ80, ""^[A-Za-z\.\_]+""),""S"","""")),
if(BA80=""X"",""K"",""""))"),"")</f>
        <v/>
      </c>
      <c r="BS80" s="40" t="str">
        <f>IFERROR(__xludf.DUMMYFUNCTION(" CONCATENATE( 
if (regexmatch(R80, ""^[A-Za-z\.\_]+""), ""L"", 
if(regexmatch(AK80, ""^[A-Za-z\.\_]+""),""S"","""")),
if(BB80=""X"",""K"",""""))"),"K")</f>
        <v>K</v>
      </c>
      <c r="BT80" s="40" t="str">
        <f>IFERROR(__xludf.DUMMYFUNCTION("CONCATENATE( 
if (regexmatch(S80, ""^[A-Za-z\.\_]+""), ""L"", 
if(regexmatch(AL80, ""^[A-Za-z\.\_]+""),""S"","""")),
if(BC80=""X"",""K"",""""))"),"")</f>
        <v/>
      </c>
      <c r="BU80" s="40" t="str">
        <f>IFERROR(__xludf.DUMMYFUNCTION("CONCATENATE( 
if (regexmatch(T80, ""^[A-Za-z\.\_]+""), ""L"", 
if(regexmatch(AM80, ""^[A-Za-z\.\_]+""),""S"","""")),
if(BD80=""X"",""K"",""""))"),"")</f>
        <v/>
      </c>
      <c r="BV80" s="40" t="str">
        <f>IFERROR(__xludf.DUMMYFUNCTION("CONCATENATE( 
if (regexmatch(U80, ""^[A-Za-z\.\_]+""), ""L"", 
if(regexmatch(AN80, ""^[A-Za-z\.\_]+""),""S"","""")),
if(BE80=""X"",""K"",""""))"),"K")</f>
        <v>K</v>
      </c>
      <c r="BW80" s="40" t="str">
        <f>IFERROR(__xludf.DUMMYFUNCTION(" CONCATENATE( 
if (regexmatch(V80, ""^[A-Za-z\.\_]+""), ""L"", 
if(regexmatch(AO80, ""^[A-Za-z\.\_]+""),""S"","""")),
if(BF80=""X"",""K"",""""))"),"")</f>
        <v/>
      </c>
      <c r="BX80" s="40" t="str">
        <f>IFERROR(__xludf.DUMMYFUNCTION("CONCATENATE( 
if (regexmatch(W80, ""^[A-Za-z\.\_]+""), ""L"", 
if(regexmatch(AP80, ""^[A-Za-z\.\_]+""),""S"","""")),
if(BG80=""X"",""K"",""""))"),"")</f>
        <v/>
      </c>
      <c r="BY80" s="40" t="str">
        <f>IFERROR(__xludf.DUMMYFUNCTION("CONCATENATE( 
if (regexmatch(X80, ""^[A-Za-z\.\_]+""), ""L"", 
if(regexmatch(AQ80, ""^[A-Za-z\.\_]+""),""S"","""")),
if(BH80=""X"",""K"",""""))"),"")</f>
        <v/>
      </c>
      <c r="BZ80" s="40" t="str">
        <f>IFERROR(__xludf.DUMMYFUNCTION("CONCATENATE( 
if (regexmatch(Y80, ""^[A-Za-z\.\_]+""), ""L"", 
if(regexmatch(AR80, ""^[A-Za-z\.\_]+""),""S"","""")),
if(BI80=""X"",""K"",""""))"),"K")</f>
        <v>K</v>
      </c>
      <c r="CA80" s="40" t="str">
        <f>IFERROR(__xludf.DUMMYFUNCTION("CONCATENATE( 
if (regexmatch(Z80, ""^[A-Za-z\.\_]+""), ""L"", 
if(regexmatch(AS80, ""^[A-Za-z\.\_]+""),""S"","""")),
if(BJ80=""X"",""K"",""""))"),"")</f>
        <v/>
      </c>
      <c r="CB80" s="39"/>
      <c r="CC80" s="39"/>
      <c r="CD80" s="39"/>
      <c r="CE80" s="39"/>
      <c r="CF80" s="39"/>
      <c r="CG80" s="39"/>
      <c r="CH80" s="39"/>
      <c r="CI80" s="39"/>
      <c r="CJ80" s="39"/>
      <c r="CK80" s="39"/>
      <c r="CL80" s="39"/>
      <c r="CM80" s="39"/>
      <c r="CN80" s="39"/>
      <c r="CO80" s="39"/>
      <c r="CP80" s="39"/>
      <c r="CQ80" s="39"/>
      <c r="CR80" s="39"/>
    </row>
    <row r="81" ht="15.75" customHeight="1">
      <c r="A81" s="25">
        <v>62.0</v>
      </c>
      <c r="B81" s="26" t="s">
        <v>314</v>
      </c>
      <c r="C81" s="41" t="s">
        <v>315</v>
      </c>
      <c r="D81" s="27" t="str">
        <f>IFERROR(__xludf.DUMMYFUNCTION("CONCATENATE(regexextract($C81,""[\w]* [\w]*""), ""*"")"),"Populus euphratica*")</f>
        <v>Populus euphratica*</v>
      </c>
      <c r="E81" s="59" t="s">
        <v>316</v>
      </c>
      <c r="F81" s="58">
        <v>75702.0</v>
      </c>
      <c r="G81" s="53"/>
      <c r="H81" s="31"/>
      <c r="I81" s="32" t="str">
        <f>CONCATENATE(
if(countif(dd.agi,$D81),"D",""),
if(countif(knap.agi,$D81),"K",""),
if(countif(mic.agi,$D81),"M",""),
if(countif(nap.agi,$D81),"N",""),
if(countif(np.agi,$D81),"P",""),
if(countif(imp.agi,$D81),"T",""),
if(countif(us.agi,$D81),"U",""),
if(countif(var.agi,$D81),"V","")
)</f>
        <v/>
      </c>
      <c r="J81" s="32" t="str">
        <f>
CONCATENATE(
if(countif(nap.bun,$D81),"N",""),
if(countif(np.bun,$D81),"P","")
)
</f>
        <v/>
      </c>
      <c r="K81" s="32" t="str">
        <f>CONCATENATE(
if(countif(dd.kxn,$D81),"D",""),
if(countif(knap.kxn,$D81),"K",""),
if(countif(mic.kxn,$D81),"M",""),
if(countif(nap.kxn,$D81),"N",""),
if(countif(np.kxn,$D81),"P",""),
if(countif(us.kxn,$D81),"U",""),
if(countif(var.kxn,$D81),"V","")
)</f>
        <v/>
      </c>
      <c r="L81" s="32" t="str">
        <f>
CONCATENATE(
if(countif(dd.hwb,$D81),"D",""),
if(countif(knap.hwb,$D81),"K",""),
if(countif(mic.hwb,$D81),"M",""),
if(countif(nap.hwb,$D81),"N",""),
if(countif(np.hwb,$D81),"P",""),
if(countif(us.hwb,$D81),"U",""),
if(countif(imp.hwb,$D81),"T",""),
if(countif(var.hwb,$D81),"V","")
)</f>
        <v/>
      </c>
      <c r="M81" s="32" t="str">
        <f>CONCATENATE(
if(countif(dd.epc,$D81),"D",""),
if(countif(knap.ekxn,$D81),"K",""),
if(countif(mic.ekxn,$D81),"M",""),
if(countif(nap.ekxn,$D81),"N",""),
if(countif(np.ekxn,$D81),"P",""),
if(countif(imp.epc,$D81),"T",""),
if(countif(us.ekxn,$D81),"U",""),
if(countif(var.ekxn,$D81),"V","")
)</f>
        <v/>
      </c>
      <c r="N81" s="32" t="str">
        <f>
CONCATENATE(
if(countif(dd.ecg,$D81),"D",""),
if(countif(mic.ecg,$D81),"M",""),
if(countif(np.ecg,$D81),"P",""),
if(countif(imp.ecg,$D81),"T",""),
if(countif(us.ecg,$D81),"U","")
)</f>
        <v/>
      </c>
      <c r="O81" s="32" t="str">
        <f>
CONCATENATE(
if(countif(dd.egt,$D81),"D",""),
if(countif(mic.egt,$D81),"M",""),
if(countif(nap.egt,$D81),"N",""),
if(countif(us.egt,$D81),"U",""),
if(countif(var.egt,$D81),"V",""))
</f>
        <v/>
      </c>
      <c r="P81" s="32" t="str">
        <f>CONCATENATE(
if(countif(knap.egcg,$D81),"K",""),
if(countif(mic.egcg,$D81),"M",""),
if(countif(np.egcg,$D81),"P",""),
if(countif(us.egcg,$D81),"U","")
)</f>
        <v/>
      </c>
      <c r="Q81" s="32" t="str">
        <f>CONCATENATE(if(countif(np.ecit,$D81),"P",""),
if(countif(nap.ecit,$D81),"A",""))</f>
        <v/>
      </c>
      <c r="R81" s="32" t="str">
        <f>
CONCATENATE(
if(countif(nap.erd,$D81),"N",""),
if(countif(np.erd,$D81),"P",""),
if(countif(var.erd,$D81),"V",""))</f>
        <v/>
      </c>
      <c r="S81" s="32" t="str">
        <f>
CONCATENATE(
if(countif(dd.gkxn,$D81),"D",""),
if(countif(knap.gkxn,$D81),"K",""),
if(countif(nap.gkxn,$D81),"N",""),
if(countif(np.gkxn,$D81),"P",""),
if(countif(imp.gkxn,$D81),"T",""),
if(countif(var.gkxn,$D81),"V",""))</f>
        <v/>
      </c>
      <c r="T81" s="32" t="str">
        <f>
CONCATENATE(
if(countif(dd.gen,$C81),"D",""),
if(countif(knap.gen,$C81),"K",""),
if(countif(nap.gen,$C81),"N",""),
if(countif(np.gen,$C81),"P",""),
if(countif(imp.gen,$C81),"T",""),
if(countif(var.gen,$C81),"V",""))</f>
        <v/>
      </c>
      <c r="U81" s="32" t="str">
        <f>
CONCATENATE(
if(countif(dd.hcc,$D81),"D",""),
if(countif(knap.hcc,$D81),"K",""),
if(countif(np.hcc,$D81),"P","")
)
</f>
        <v/>
      </c>
      <c r="V81" s="32" t="str">
        <f>
CONCATENATE(
if(countif(dd.kmp,$D81),"D",""),
if(countif(knap.kmp,$D81),"K",""),
if(countif(mic.kmp,$D81),"M",""),
if(countif(nap.kmp,$D81),"N",""),
if(countif(np.kmp,$D81),"P",""),
if(countif(imp.kmp,$D81),"T",""),
if(countif(us.kmp,$D81),"U",""),
if(countif(var.kmp,$D81),"V",""))</f>
        <v/>
      </c>
      <c r="W81" s="32" t="str">
        <f>
CONCATENATE(
if(countif(dd.lu2,$D81),"D",""),
if(countif(knap.lu2,$D81),"K",""),
if(countif(mic.lu2,$D81),"M",""),
if(countif(nap.lu2,$D81),"N",""),
if(countif(np.lu2,$D81),"P",""),
if(countif(imp.lu2,$D81),"T",""),
if(countif(us.lu2,$D81),"U",""),
if(countif(var.lu2,$D81),"V",""))</f>
        <v/>
      </c>
      <c r="X81" s="32" t="str">
        <f>
CONCATENATE(
if(countif(dd.myc,$D81),"D",""),
if(countif(knap.myc,$D81),"K",""), 
if(countif(mic.myc,$D81),"M",""),
if(countif(nap.myc,$D81),"N",""),
if(countif(np.myc,$D81),"P",""),
if(countif(imp.myc,$D81),"T",""),
if(countif(us.myc,$D81),"U",""),
if(countif(var.myc,$D81),"V",""))</f>
        <v/>
      </c>
      <c r="Y81" s="32" t="str">
        <f>CONCATENATE(
if(countif(dd.nar,$D81),"D",""),
if(countif(knap.nar,$D81),"K",""),
if(countif(nap.nar,$D81),"N",""),
if(countif(np.nar,$D81),"P",""),
if(countif(imp.nar,$D81),"T",""),
if(countif(us.nar,$D81),"U",""),
if(countif(var.nar,$D81),"V",""))</f>
        <v/>
      </c>
      <c r="Z81" s="33" t="str">
        <f>
CONCATENATE(
if(countif(dd.que,$D81),"D",""),
if(countif(knap.que,$D81),"K",""),
if(countif(mic.que,$D81),"M",""),
if(countif(nap.que,$D81),"N",""),
if(countif(np.que,$D81),"P",""),
if(countif(imp.que,$D81),"T",""),
if(countif(us.que,$D81),"U",""),
if(countif(var.que,$D81),"V",""))</f>
        <v/>
      </c>
      <c r="AA81" s="32"/>
      <c r="AB81" s="34" t="str">
        <f>
CONCATENATE(if(countif(knap.agi.sim,$D81),"K",""),
if(countif(dd.agi.sim,$D81),"D",""),
if(countif(nap.agi.sim,$D81),"A",""),
if(countif(var.agi.sim,$D81),"V",""))</f>
        <v/>
      </c>
      <c r="AC81" s="34" t="str">
        <f>
if(countif(nap.bun.sim,$D81),"A","")</f>
        <v/>
      </c>
      <c r="AD81" s="34" t="str">
        <f>
CONCATENATE(if(countif(knap.kxn.sim,$D81),"K",""),
if(countif(np.kxn.sim,$D81),"P",""),
if(countif(dd.kxn.sim,$D81),"D",""),
if(countif(nap.kxn.sim,$D81),"A",""),
if(countif(var.kxn.sim,$D81),"V",""))</f>
        <v/>
      </c>
      <c r="AE81" s="34" t="str">
        <f>
CONCATENATE(if(countif(knap.hwb.sim,$D81),"K",""),
if(countif(np.hwb.sim,$D81),"P",""),
if(countif(mic.hwb.sim,$D81),"M",""),
if(countif(imp.hwb.sim,$D81),"T",""),
if(countif(dd.cyan.sim,$D81),"D",""),
if(countif(nap.hwb.sim,$D81),"A",""),
if(countif(var.hwb.sim,$D81),"V",""))</f>
        <v/>
      </c>
      <c r="AF81" s="34" t="str">
        <f>
CONCATENATE(if(countif(us.ekxn.sim,$D81),"U",""),
if(countif(knap.ekxn.sim,$D81),"K",""),
if(countif(np.ekxn.sim,$D81),"P",""),
if(countif(mic.ekxn.sim,$D81),"M",""),
if(countif(imp.epc.sim,$D81),"T",""),
if(countif(nap.ekxn.sim,$D81),"A",""))</f>
        <v/>
      </c>
      <c r="AG81" s="34"/>
      <c r="AH81" s="34" t="str">
        <f>
CONCATENATE(if(countif(us.egt.sim,$D81),"U",""),
if(countif(knap.egt.sim,$D81),"K",""),
if(countif(np.egt.sim,$D81),"P",""),
if(countif(mic.egt.sim,$D81),"M",""))</f>
        <v/>
      </c>
      <c r="AI81" s="34"/>
      <c r="AJ81" s="34" t="str">
        <f>if(countif(nap.ecit.sim,$D81),"A","")</f>
        <v/>
      </c>
      <c r="AK81" s="34" t="str">
        <f>
CONCATENATE(if(countif(nap.erd,$D81),"M",""),
if(countif(nap.erd.sim,$D81),"A",""),
if(countif(var.erd.sim,$D81),"V",""))</f>
        <v/>
      </c>
      <c r="AL81" s="34" t="str">
        <f>
CONCATENATE(if(countif(knap.gkxn.sim,$D81),"K",""),
if(countif(nap.gkxn.sim,$D81),"A",""))</f>
        <v/>
      </c>
      <c r="AM81" s="34" t="str">
        <f>
CONCATENATE(if(countif(knap.gen.sim,$C81),"K",""),
if(countif(imp.gen.sim,$C81),"T",""),
if(countif(dd.gen.sim,$C81),"D",""),
if(countif(nap.gen.sim,$C81),"A",""),
if(countif(var.gen.sim,$C81),"V",""))
</f>
        <v/>
      </c>
      <c r="AN81" s="34" t="str">
        <f>IFERROR(__xludf.DUMMYFUNCTION("
if(countif(#REF!,CONCATENATE(regexextract($C81,""[\w]* [\w]*""), ""*"")),""V"","""")"),"")</f>
        <v/>
      </c>
      <c r="AO81" s="34" t="str">
        <f>
CONCATENATE(if(countif(knap.kmp.sim,$D81),"K",""),
if(countif(np.kmp.sim,$D81),"P",""),
if(countif(imp.kmp.sim,$D81),"T",""),
if(countif(dd.kmp,$D81),"D",""),
if(countif(nap.kmp.sim,$D81),"A",""),
if(countif(var.kmp.sim,$D81),"V",""))</f>
        <v/>
      </c>
      <c r="AP81" s="34" t="str">
        <f>
CONCATENATE(if(countif(knap.lu2.sim,$D81),"K",""),
if(countif(np.lu2.sim,$D81),"P",""),
if(countif(imp.lu2.sim,$D81),"T",""),
if(countif(dd.lu2.sim,$D81),"D",""),
if(countif(nap.lu2.sim,$D81),"A",""),
if(countif(var.lu2.sim,$D81),"V",""))</f>
        <v/>
      </c>
      <c r="AQ81" s="34" t="str">
        <f>
CONCATENATE(if(countif(np.myc.sim,$D81),"P",""),
if(countif(imp.myc.sim,$D81),"T",""),
if(countif(nap.myc.sim,$D81),"A",""))
</f>
        <v/>
      </c>
      <c r="AR81" s="36" t="str">
        <f>
CONCATENATE(if(countif(knap.nar.sim,$D81),"K",""),
if(countif(np.nar.sim,$D81),"P",""),
if(countif(imp.nar.sim,$D81),"T",""),
if(countif(dd.nar.sim,$D81),"D",""),
if(countif(nap.nar.sim,$D81),"A",""),
if(countif(var.nar.sim,$D81),"V",""))</f>
        <v/>
      </c>
      <c r="AS81" s="34" t="str">
        <f>
CONCATENATE(if(countif(knap.que.sim,$D81),"K",""),
if(countif(np.que.sim,$D81),"P",""),
if(countif(imp.que.sim,$D81),"T",""),
if(countif(dd.que.sim,$D81),"D",""),
if(countif(nap.que.sim,$D81),"A",""),
if(countif(var.que.sim,$D81),"V",""))</f>
        <v/>
      </c>
      <c r="AT81" s="37"/>
      <c r="AU81" s="32" t="str">
        <f>IFERROR(__xludf.DUMMYFUNCTION("if(countif(kr.agi, CONCATENATE(regexextract($C81,""[\w]* [\w]*""), ""*"")),""X"","""")"),"X")</f>
        <v>X</v>
      </c>
      <c r="AV81" s="38" t="str">
        <f>IFERROR(__xludf.DUMMYFUNCTION("if(countif(kr.bun,CONCATENATE(regexextract($C81,""[\w]* [\w]*""), ""*"")),""X"","""")"),"X")</f>
        <v>X</v>
      </c>
      <c r="AW81" s="38" t="str">
        <f>IFERROR(__xludf.DUMMYFUNCTION("if(countif(kr.kxn,CONCATENATE(regexextract($C81,""[\w]* [\w]*""), ""*"")),""X"","""")"),"X")</f>
        <v>X</v>
      </c>
      <c r="AX81" s="38" t="str">
        <f>IFERROR(__xludf.DUMMYFUNCTION("if(countif(kr.hwb,CONCATENATE(regexextract($C81,""[\w]* [\w]*""), ""*"")),""X"","""")"),"X")</f>
        <v>X</v>
      </c>
      <c r="AY81" s="38" t="str">
        <f>IFERROR(__xludf.DUMMYFUNCTION("if(countif(kr.ec,CONCATENATE(regexextract($C81,""[\w]* [\w]*""), ""*"")),""X"","""")"),"X")</f>
        <v>X</v>
      </c>
      <c r="AZ81" s="38" t="str">
        <f>IFERROR(__xludf.DUMMYFUNCTION("if(countif(kr.egt,CONCATENATE(regexextract($C81,""[\w]* [\w]*""), ""*"")),""X"","""")"),"X")</f>
        <v>X</v>
      </c>
      <c r="BA81" s="38"/>
      <c r="BB81" s="38" t="str">
        <f>IFERROR(__xludf.DUMMYFUNCTION("if(countif(kr.erd,CONCATENATE(regexextract($C81,""[\w]* [\w]*""), ""*"")),""X"","""")"),"X")</f>
        <v>X</v>
      </c>
      <c r="BC81" s="38" t="str">
        <f>IFERROR(__xludf.DUMMYFUNCTION("if(countif(kr.gkxn,CONCATENATE(regexextract($C81,""[\w]* [\w]*""), ""*"")),""X"","""")"),"X")</f>
        <v>X</v>
      </c>
      <c r="BD81" s="38" t="str">
        <f>IFERROR(__xludf.DUMMYFUNCTION("if(countif(kr.gen,CONCATENATE(regexextract(C81,""[\w]* [\w]*""), ""*"")),""X"","""")"),"")</f>
        <v/>
      </c>
      <c r="BE81" s="38" t="str">
        <f>IFERROR(__xludf.DUMMYFUNCTION("if(countif(kr.hcc,CONCATENATE(regexextract($C81,""[\w]* [\w]*""), ""*"")),""X"","""")"),"X")</f>
        <v>X</v>
      </c>
      <c r="BF81" s="38" t="str">
        <f>IFERROR(__xludf.DUMMYFUNCTION("if(countif(kr.kmp,CONCATENATE(regexextract($C81,""[\w]* [\w]*""), ""*"")),""X"","""")"),"X")</f>
        <v>X</v>
      </c>
      <c r="BG81" s="38" t="str">
        <f>IFERROR(__xludf.DUMMYFUNCTION("if(countif(kr.lu2,CONCATENATE(regexextract($C81,""[\w]* [\w]*""), ""*"")),""X"","""")"),"X")</f>
        <v>X</v>
      </c>
      <c r="BH81" s="38" t="str">
        <f>IFERROR(__xludf.DUMMYFUNCTION("if(countif(kr.myc,CONCATENATE(regexextract($C81,""[\w]* [\w]*""), ""*"")),""X"","""")"),"X")</f>
        <v>X</v>
      </c>
      <c r="BI81" s="38" t="str">
        <f>IFERROR(__xludf.DUMMYFUNCTION("if(countif(kr.nar,CONCATENATE(regexextract($C81,""[\w]* [\w]*""), ""*"")),""X"","""")"),"X")</f>
        <v>X</v>
      </c>
      <c r="BJ81" s="38" t="str">
        <f>IFERROR(__xludf.DUMMYFUNCTION("if(countif(kr.que,CONCATENATE(regexextract($C81,""[\w]* [\w]*""), ""*"")),""X"","""")"),"X")</f>
        <v>X</v>
      </c>
      <c r="BK81" s="39"/>
      <c r="BL81" s="40" t="str">
        <f>IFERROR(__xludf.DUMMYFUNCTION(" CONCATENATE( 
if (regexmatch(I81, ""^[A-Za-z\.\_]+""), ""L"", 
if(regexmatch(AB81, ""^[A-Za-z\.\_]+""),""S"","""")),
if(AU81=""X"",""K"",""""))"),"K")</f>
        <v>K</v>
      </c>
      <c r="BM81" s="40" t="str">
        <f>IFERROR(__xludf.DUMMYFUNCTION(" CONCATENATE( 
if (regexmatch(J81, ""^[A-Za-z\.\_]+""), ""L"", 
if(regexmatch(AC81, ""^[A-Za-z\.\_]+""),""S"","""")),
if(AV81=""X"",""K"",""""))"),"K")</f>
        <v>K</v>
      </c>
      <c r="BN81" s="40" t="str">
        <f>IFERROR(__xludf.DUMMYFUNCTION(" CONCATENATE( 
if (regexmatch(K81, ""^[A-Za-z\.\_]+""), ""L"", 
if(regexmatch(AD81, ""^[A-Za-z\.\_]+""),""S"","""")),
if(AW81=""X"",""K"",""""))"),"K")</f>
        <v>K</v>
      </c>
      <c r="BO81" s="40" t="str">
        <f>IFERROR(__xludf.DUMMYFUNCTION(" CONCATENATE( 
if (regexmatch(L81, ""^[A-Za-z\.\_]+""), ""L"", 
if(regexmatch(AE81, ""^[A-Za-z\.\_]+""),""S"","""")),
if(AX81=""X"",""K"",""""))"),"K")</f>
        <v>K</v>
      </c>
      <c r="BP81" s="40" t="str">
        <f>IFERROR(__xludf.DUMMYFUNCTION(" CONCATENATE( 
if (regexmatch(M81, ""^[A-Za-z\.\_]+""), ""L"", 
if(regexmatch(AF81, ""^[A-Za-z\.\_]+""),""S"","""")),
if(AY81=""X"",""K"",""""))"),"K")</f>
        <v>K</v>
      </c>
      <c r="BQ81" s="40" t="str">
        <f>IFERROR(__xludf.DUMMYFUNCTION("CONCATENATE( 
if (regexmatch(O81, ""^[A-Za-z\.\_]+""), ""L"", 
if(regexmatch(AH81, ""^[A-Za-z\.\_]+""),""S"","""")),
if(AZ81=""X"",""K"",""""))"),"K")</f>
        <v>K</v>
      </c>
      <c r="BR81" s="40" t="str">
        <f>IFERROR(__xludf.DUMMYFUNCTION("CONCATENATE( 
if (regexmatch(Q81, ""^[A-Za-z\.\_]+""), ""L"", 
if(regexmatch(AJ81, ""^[A-Za-z\.\_]+""),""S"","""")),
if(BA81=""X"",""K"",""""))"),"")</f>
        <v/>
      </c>
      <c r="BS81" s="40" t="str">
        <f>IFERROR(__xludf.DUMMYFUNCTION(" CONCATENATE( 
if (regexmatch(R81, ""^[A-Za-z\.\_]+""), ""L"", 
if(regexmatch(AK81, ""^[A-Za-z\.\_]+""),""S"","""")),
if(BB81=""X"",""K"",""""))"),"K")</f>
        <v>K</v>
      </c>
      <c r="BT81" s="40" t="str">
        <f>IFERROR(__xludf.DUMMYFUNCTION("CONCATENATE( 
if (regexmatch(S81, ""^[A-Za-z\.\_]+""), ""L"", 
if(regexmatch(AL81, ""^[A-Za-z\.\_]+""),""S"","""")),
if(BC81=""X"",""K"",""""))"),"K")</f>
        <v>K</v>
      </c>
      <c r="BU81" s="40" t="str">
        <f>IFERROR(__xludf.DUMMYFUNCTION("CONCATENATE( 
if (regexmatch(T81, ""^[A-Za-z\.\_]+""), ""L"", 
if(regexmatch(AM81, ""^[A-Za-z\.\_]+""),""S"","""")),
if(BD81=""X"",""K"",""""))"),"")</f>
        <v/>
      </c>
      <c r="BV81" s="40" t="str">
        <f>IFERROR(__xludf.DUMMYFUNCTION("CONCATENATE( 
if (regexmatch(U81, ""^[A-Za-z\.\_]+""), ""L"", 
if(regexmatch(AN81, ""^[A-Za-z\.\_]+""),""S"","""")),
if(BE81=""X"",""K"",""""))"),"K")</f>
        <v>K</v>
      </c>
      <c r="BW81" s="40" t="str">
        <f>IFERROR(__xludf.DUMMYFUNCTION(" CONCATENATE( 
if (regexmatch(V81, ""^[A-Za-z\.\_]+""), ""L"", 
if(regexmatch(AO81, ""^[A-Za-z\.\_]+""),""S"","""")),
if(BF81=""X"",""K"",""""))"),"K")</f>
        <v>K</v>
      </c>
      <c r="BX81" s="40" t="str">
        <f>IFERROR(__xludf.DUMMYFUNCTION("CONCATENATE( 
if (regexmatch(W81, ""^[A-Za-z\.\_]+""), ""L"", 
if(regexmatch(AP81, ""^[A-Za-z\.\_]+""),""S"","""")),
if(BG81=""X"",""K"",""""))"),"K")</f>
        <v>K</v>
      </c>
      <c r="BY81" s="40" t="str">
        <f>IFERROR(__xludf.DUMMYFUNCTION("CONCATENATE( 
if (regexmatch(X81, ""^[A-Za-z\.\_]+""), ""L"", 
if(regexmatch(AQ81, ""^[A-Za-z\.\_]+""),""S"","""")),
if(BH81=""X"",""K"",""""))"),"K")</f>
        <v>K</v>
      </c>
      <c r="BZ81" s="40" t="str">
        <f>IFERROR(__xludf.DUMMYFUNCTION("CONCATENATE( 
if (regexmatch(Y81, ""^[A-Za-z\.\_]+""), ""L"", 
if(regexmatch(AR81, ""^[A-Za-z\.\_]+""),""S"","""")),
if(BI81=""X"",""K"",""""))"),"K")</f>
        <v>K</v>
      </c>
      <c r="CA81" s="40" t="str">
        <f>IFERROR(__xludf.DUMMYFUNCTION("CONCATENATE( 
if (regexmatch(Z81, ""^[A-Za-z\.\_]+""), ""L"", 
if(regexmatch(AS81, ""^[A-Za-z\.\_]+""),""S"","""")),
if(BJ81=""X"",""K"",""""))"),"K")</f>
        <v>K</v>
      </c>
      <c r="CB81" s="39"/>
      <c r="CC81" s="39"/>
      <c r="CD81" s="39"/>
      <c r="CE81" s="39"/>
      <c r="CF81" s="39"/>
      <c r="CG81" s="39"/>
      <c r="CH81" s="39"/>
      <c r="CI81" s="39"/>
      <c r="CJ81" s="39"/>
      <c r="CK81" s="39"/>
      <c r="CL81" s="39"/>
      <c r="CM81" s="39"/>
      <c r="CN81" s="39"/>
      <c r="CO81" s="39"/>
      <c r="CP81" s="39"/>
      <c r="CQ81" s="39"/>
      <c r="CR81" s="39"/>
    </row>
    <row r="82" ht="15.75" customHeight="1">
      <c r="A82" s="25">
        <v>63.0</v>
      </c>
      <c r="B82" s="26" t="s">
        <v>317</v>
      </c>
      <c r="C82" s="27" t="s">
        <v>318</v>
      </c>
      <c r="D82" s="27" t="str">
        <f>IFERROR(__xludf.DUMMYFUNCTION("CONCATENATE(regexextract($C82,""[\w]* [\w]*""), ""*"")"),"Populus trichocarpa*")</f>
        <v>Populus trichocarpa*</v>
      </c>
      <c r="E82" s="59" t="s">
        <v>319</v>
      </c>
      <c r="F82" s="57">
        <v>3694.0</v>
      </c>
      <c r="G82" s="53"/>
      <c r="H82" s="31"/>
      <c r="I82" s="32" t="str">
        <f>CONCATENATE(
if(countif(dd.agi,$D82),"D",""),
if(countif(knap.agi,$D82),"K",""),
if(countif(mic.agi,$D82),"M",""),
if(countif(nap.agi,$D82),"N",""),
if(countif(np.agi,$D82),"P",""),
if(countif(imp.agi,$D82),"T",""),
if(countif(us.agi,$D82),"U",""),
if(countif(var.agi,$D82),"V","")
)</f>
        <v>N</v>
      </c>
      <c r="J82" s="32" t="str">
        <f>
CONCATENATE(
if(countif(nap.bun,$D82),"N",""),
if(countif(np.bun,$D82),"P","")
)
</f>
        <v/>
      </c>
      <c r="K82" s="32" t="str">
        <f>CONCATENATE(
if(countif(dd.kxn,$D82),"D",""),
if(countif(knap.kxn,$D82),"K",""),
if(countif(mic.kxn,$D82),"M",""),
if(countif(nap.kxn,$D82),"N",""),
if(countif(np.kxn,$D82),"P",""),
if(countif(us.kxn,$D82),"U",""),
if(countif(var.kxn,$D82),"V","")
)</f>
        <v>V</v>
      </c>
      <c r="L82" s="32" t="str">
        <f>
CONCATENATE(
if(countif(dd.hwb,$D82),"D",""),
if(countif(knap.hwb,$D82),"K",""),
if(countif(mic.hwb,$D82),"M",""),
if(countif(nap.hwb,$D82),"N",""),
if(countif(np.hwb,$D82),"P",""),
if(countif(us.hwb,$D82),"U",""),
if(countif(imp.hwb,$D82),"T",""),
if(countif(var.hwb,$D82),"V","")
)</f>
        <v/>
      </c>
      <c r="M82" s="32" t="str">
        <f>CONCATENATE(
if(countif(dd.epc,$D82),"D",""),
if(countif(knap.ekxn,$D82),"K",""),
if(countif(mic.ekxn,$D82),"M",""),
if(countif(nap.ekxn,$D82),"N",""),
if(countif(np.ekxn,$D82),"P",""),
if(countif(imp.epc,$D82),"T",""),
if(countif(us.ekxn,$D82),"U",""),
if(countif(var.ekxn,$D82),"V","")
)</f>
        <v>V</v>
      </c>
      <c r="N82" s="32" t="str">
        <f>
CONCATENATE(
if(countif(dd.ecg,$D82),"D",""),
if(countif(mic.ecg,$D82),"M",""),
if(countif(np.ecg,$D82),"P",""),
if(countif(imp.ecg,$D82),"T",""),
if(countif(us.ecg,$D82),"U","")
)</f>
        <v/>
      </c>
      <c r="O82" s="32" t="str">
        <f>
CONCATENATE(
if(countif(dd.egt,$D82),"D",""),
if(countif(mic.egt,$D82),"M",""),
if(countif(nap.egt,$D82),"N",""),
if(countif(us.egt,$D82),"U",""),
if(countif(var.egt,$D82),"V",""))
</f>
        <v/>
      </c>
      <c r="P82" s="32" t="str">
        <f>CONCATENATE(
if(countif(knap.egcg,$D82),"K",""),
if(countif(mic.egcg,$D82),"M",""),
if(countif(np.egcg,$D82),"P",""),
if(countif(us.egcg,$D82),"U","")
)</f>
        <v/>
      </c>
      <c r="Q82" s="32" t="str">
        <f>CONCATENATE(if(countif(np.ecit,$D82),"P",""),
if(countif(nap.ecit,$D82),"A",""))</f>
        <v/>
      </c>
      <c r="R82" s="32" t="str">
        <f>
CONCATENATE(
if(countif(nap.erd,$D82),"N",""),
if(countif(np.erd,$D82),"P",""),
if(countif(var.erd,$D82),"V",""))</f>
        <v/>
      </c>
      <c r="S82" s="32" t="str">
        <f>
CONCATENATE(
if(countif(dd.gkxn,$D82),"D",""),
if(countif(knap.gkxn,$D82),"K",""),
if(countif(nap.gkxn,$D82),"N",""),
if(countif(np.gkxn,$D82),"P",""),
if(countif(imp.gkxn,$D82),"T",""),
if(countif(var.gkxn,$D82),"V",""))</f>
        <v/>
      </c>
      <c r="T82" s="32" t="str">
        <f>
CONCATENATE(
if(countif(dd.gen,$C82),"D",""),
if(countif(knap.gen,$C82),"K",""),
if(countif(nap.gen,$C82),"N",""),
if(countif(np.gen,$C82),"P",""),
if(countif(imp.gen,$C82),"T",""),
if(countif(var.gen,$C82),"V",""))</f>
        <v/>
      </c>
      <c r="U82" s="32" t="str">
        <f>
CONCATENATE(
if(countif(dd.hcc,$D82),"D",""),
if(countif(knap.hcc,$D82),"K",""),
if(countif(np.hcc,$D82),"P","")
)
</f>
        <v/>
      </c>
      <c r="V82" s="32" t="str">
        <f>
CONCATENATE(
if(countif(dd.kmp,$D82),"D",""),
if(countif(knap.kmp,$D82),"K",""),
if(countif(mic.kmp,$D82),"M",""),
if(countif(nap.kmp,$D82),"N",""),
if(countif(np.kmp,$D82),"P",""),
if(countif(imp.kmp,$D82),"T",""),
if(countif(us.kmp,$D82),"U",""),
if(countif(var.kmp,$D82),"V",""))</f>
        <v/>
      </c>
      <c r="W82" s="32" t="str">
        <f>
CONCATENATE(
if(countif(dd.lu2,$D82),"D",""),
if(countif(knap.lu2,$D82),"K",""),
if(countif(mic.lu2,$D82),"M",""),
if(countif(nap.lu2,$D82),"N",""),
if(countif(np.lu2,$D82),"P",""),
if(countif(imp.lu2,$D82),"T",""),
if(countif(us.lu2,$D82),"U",""),
if(countif(var.lu2,$D82),"V",""))</f>
        <v/>
      </c>
      <c r="X82" s="32" t="str">
        <f>
CONCATENATE(
if(countif(dd.myc,$D82),"D",""),
if(countif(knap.myc,$D82),"K",""), 
if(countif(mic.myc,$D82),"M",""),
if(countif(nap.myc,$D82),"N",""),
if(countif(np.myc,$D82),"P",""),
if(countif(imp.myc,$D82),"T",""),
if(countif(us.myc,$D82),"U",""),
if(countif(var.myc,$D82),"V",""))</f>
        <v/>
      </c>
      <c r="Y82" s="32" t="str">
        <f>CONCATENATE(
if(countif(dd.nar,$D82),"D",""),
if(countif(knap.nar,$D82),"K",""),
if(countif(nap.nar,$D82),"N",""),
if(countif(np.nar,$D82),"P",""),
if(countif(imp.nar,$D82),"T",""),
if(countif(us.nar,$D82),"U",""),
if(countif(var.nar,$D82),"V",""))</f>
        <v/>
      </c>
      <c r="Z82" s="33" t="str">
        <f>
CONCATENATE(
if(countif(dd.que,$D82),"D",""),
if(countif(knap.que,$D82),"K",""),
if(countif(mic.que,$D82),"M",""),
if(countif(nap.que,$D82),"N",""),
if(countif(np.que,$D82),"P",""),
if(countif(imp.que,$D82),"T",""),
if(countif(us.que,$D82),"U",""),
if(countif(var.que,$D82),"V",""))</f>
        <v/>
      </c>
      <c r="AA82" s="32"/>
      <c r="AB82" s="34" t="str">
        <f>
CONCATENATE(if(countif(knap.agi.sim,$D82),"K",""),
if(countif(dd.agi.sim,$D82),"D",""),
if(countif(nap.agi.sim,$D82),"A",""),
if(countif(var.agi.sim,$D82),"V",""))</f>
        <v>A</v>
      </c>
      <c r="AC82" s="34" t="str">
        <f>
if(countif(nap.bun.sim,$D82),"A","")</f>
        <v/>
      </c>
      <c r="AD82" s="34" t="str">
        <f>
CONCATENATE(if(countif(knap.kxn.sim,$D82),"K",""),
if(countif(np.kxn.sim,$D82),"P",""),
if(countif(dd.kxn.sim,$D82),"D",""),
if(countif(nap.kxn.sim,$D82),"A",""),
if(countif(var.kxn.sim,$D82),"V",""))</f>
        <v/>
      </c>
      <c r="AE82" s="34" t="str">
        <f>
CONCATENATE(if(countif(knap.hwb.sim,$D82),"K",""),
if(countif(np.hwb.sim,$D82),"P",""),
if(countif(mic.hwb.sim,$D82),"M",""),
if(countif(imp.hwb.sim,$D82),"T",""),
if(countif(dd.cyan.sim,$D82),"D",""),
if(countif(nap.hwb.sim,$D82),"A",""),
if(countif(var.hwb.sim,$D82),"V",""))</f>
        <v/>
      </c>
      <c r="AF82" s="34" t="str">
        <f>
CONCATENATE(if(countif(us.ekxn.sim,$D82),"U",""),
if(countif(knap.ekxn.sim,$D82),"K",""),
if(countif(np.ekxn.sim,$D82),"P",""),
if(countif(mic.ekxn.sim,$D82),"M",""),
if(countif(imp.epc.sim,$D82),"T",""),
if(countif(nap.ekxn.sim,$D82),"A",""))</f>
        <v/>
      </c>
      <c r="AG82" s="34"/>
      <c r="AH82" s="34" t="str">
        <f>
CONCATENATE(if(countif(us.egt.sim,$D82),"U",""),
if(countif(knap.egt.sim,$D82),"K",""),
if(countif(np.egt.sim,$D82),"P",""),
if(countif(mic.egt.sim,$D82),"M",""))</f>
        <v/>
      </c>
      <c r="AI82" s="34"/>
      <c r="AJ82" s="34" t="str">
        <f>if(countif(nap.ecit.sim,$D82),"A","")</f>
        <v/>
      </c>
      <c r="AK82" s="34" t="str">
        <f>
CONCATENATE(if(countif(nap.erd,$D82),"M",""),
if(countif(nap.erd.sim,$D82),"A",""),
if(countif(var.erd.sim,$D82),"V",""))</f>
        <v/>
      </c>
      <c r="AL82" s="34" t="str">
        <f>
CONCATENATE(if(countif(knap.gkxn.sim,$D82),"K",""),
if(countif(nap.gkxn.sim,$D82),"A",""))</f>
        <v/>
      </c>
      <c r="AM82" s="34" t="str">
        <f>
CONCATENATE(if(countif(knap.gen.sim,$C82),"K",""),
if(countif(imp.gen.sim,$C82),"T",""),
if(countif(dd.gen.sim,$C82),"D",""),
if(countif(nap.gen.sim,$C82),"A",""),
if(countif(var.gen.sim,$C82),"V",""))
</f>
        <v/>
      </c>
      <c r="AN82" s="34" t="str">
        <f>IFERROR(__xludf.DUMMYFUNCTION("
if(countif(#REF!,CONCATENATE(regexextract($C82,""[\w]* [\w]*""), ""*"")),""V"","""")"),"")</f>
        <v/>
      </c>
      <c r="AO82" s="34" t="str">
        <f>
CONCATENATE(if(countif(knap.kmp.sim,$D82),"K",""),
if(countif(np.kmp.sim,$D82),"P",""),
if(countif(imp.kmp.sim,$D82),"T",""),
if(countif(dd.kmp,$D82),"D",""),
if(countif(nap.kmp.sim,$D82),"A",""),
if(countif(var.kmp.sim,$D82),"V",""))</f>
        <v>A</v>
      </c>
      <c r="AP82" s="34" t="str">
        <f>
CONCATENATE(if(countif(knap.lu2.sim,$D82),"K",""),
if(countif(np.lu2.sim,$D82),"P",""),
if(countif(imp.lu2.sim,$D82),"T",""),
if(countif(dd.lu2.sim,$D82),"D",""),
if(countif(nap.lu2.sim,$D82),"A",""),
if(countif(var.lu2.sim,$D82),"V",""))</f>
        <v/>
      </c>
      <c r="AQ82" s="34" t="str">
        <f>
CONCATENATE(if(countif(np.myc.sim,$D82),"P",""),
if(countif(imp.myc.sim,$D82),"T",""),
if(countif(nap.myc.sim,$D82),"A",""))
</f>
        <v/>
      </c>
      <c r="AR82" s="36" t="str">
        <f>
CONCATENATE(if(countif(knap.nar.sim,$D82),"K",""),
if(countif(np.nar.sim,$D82),"P",""),
if(countif(imp.nar.sim,$D82),"T",""),
if(countif(dd.nar.sim,$D82),"D",""),
if(countif(nap.nar.sim,$D82),"A",""),
if(countif(var.nar.sim,$D82),"V",""))</f>
        <v/>
      </c>
      <c r="AS82" s="34" t="str">
        <f>
CONCATENATE(if(countif(knap.que.sim,$D82),"K",""),
if(countif(np.que.sim,$D82),"P",""),
if(countif(imp.que.sim,$D82),"T",""),
if(countif(dd.que.sim,$D82),"D",""),
if(countif(nap.que.sim,$D82),"A",""),
if(countif(var.que.sim,$D82),"V",""))</f>
        <v/>
      </c>
      <c r="AT82" s="37"/>
      <c r="AU82" s="32" t="str">
        <f>IFERROR(__xludf.DUMMYFUNCTION("if(countif(kr.agi, CONCATENATE(regexextract($C82,""[\w]* [\w]*""), ""*"")),""X"","""")"),"X")</f>
        <v>X</v>
      </c>
      <c r="AV82" s="38" t="str">
        <f>IFERROR(__xludf.DUMMYFUNCTION("if(countif(kr.bun,CONCATENATE(regexextract($C82,""[\w]* [\w]*""), ""*"")),""X"","""")"),"X")</f>
        <v>X</v>
      </c>
      <c r="AW82" s="38" t="str">
        <f>IFERROR(__xludf.DUMMYFUNCTION("if(countif(kr.kxn,CONCATENATE(regexextract($C82,""[\w]* [\w]*""), ""*"")),""X"","""")"),"X")</f>
        <v>X</v>
      </c>
      <c r="AX82" s="38" t="str">
        <f>IFERROR(__xludf.DUMMYFUNCTION("if(countif(kr.hwb,CONCATENATE(regexextract($C82,""[\w]* [\w]*""), ""*"")),""X"","""")"),"X")</f>
        <v>X</v>
      </c>
      <c r="AY82" s="38" t="str">
        <f>IFERROR(__xludf.DUMMYFUNCTION("if(countif(kr.ec,CONCATENATE(regexextract($C82,""[\w]* [\w]*""), ""*"")),""X"","""")"),"X")</f>
        <v>X</v>
      </c>
      <c r="AZ82" s="38" t="str">
        <f>IFERROR(__xludf.DUMMYFUNCTION("if(countif(kr.egt,CONCATENATE(regexextract($C82,""[\w]* [\w]*""), ""*"")),""X"","""")"),"X")</f>
        <v>X</v>
      </c>
      <c r="BA82" s="38"/>
      <c r="BB82" s="38" t="str">
        <f>IFERROR(__xludf.DUMMYFUNCTION("if(countif(kr.erd,CONCATENATE(regexextract($C82,""[\w]* [\w]*""), ""*"")),""X"","""")"),"X")</f>
        <v>X</v>
      </c>
      <c r="BC82" s="38" t="str">
        <f>IFERROR(__xludf.DUMMYFUNCTION("if(countif(kr.gkxn,CONCATENATE(regexextract($C82,""[\w]* [\w]*""), ""*"")),""X"","""")"),"X")</f>
        <v>X</v>
      </c>
      <c r="BD82" s="38" t="str">
        <f>IFERROR(__xludf.DUMMYFUNCTION("if(countif(kr.gen,CONCATENATE(regexextract(C82,""[\w]* [\w]*""), ""*"")),""X"","""")"),"")</f>
        <v/>
      </c>
      <c r="BE82" s="38" t="str">
        <f>IFERROR(__xludf.DUMMYFUNCTION("if(countif(kr.hcc,CONCATENATE(regexextract($C82,""[\w]* [\w]*""), ""*"")),""X"","""")"),"X")</f>
        <v>X</v>
      </c>
      <c r="BF82" s="38" t="str">
        <f>IFERROR(__xludf.DUMMYFUNCTION("if(countif(kr.kmp,CONCATENATE(regexextract($C82,""[\w]* [\w]*""), ""*"")),""X"","""")"),"X")</f>
        <v>X</v>
      </c>
      <c r="BG82" s="38" t="str">
        <f>IFERROR(__xludf.DUMMYFUNCTION("if(countif(kr.lu2,CONCATENATE(regexextract($C82,""[\w]* [\w]*""), ""*"")),""X"","""")"),"X")</f>
        <v>X</v>
      </c>
      <c r="BH82" s="38" t="str">
        <f>IFERROR(__xludf.DUMMYFUNCTION("if(countif(kr.myc,CONCATENATE(regexextract($C82,""[\w]* [\w]*""), ""*"")),""X"","""")"),"X")</f>
        <v>X</v>
      </c>
      <c r="BI82" s="38" t="str">
        <f>IFERROR(__xludf.DUMMYFUNCTION("if(countif(kr.nar,CONCATENATE(regexextract($C82,""[\w]* [\w]*""), ""*"")),""X"","""")"),"X")</f>
        <v>X</v>
      </c>
      <c r="BJ82" s="38" t="str">
        <f>IFERROR(__xludf.DUMMYFUNCTION("if(countif(kr.que,CONCATENATE(regexextract($C82,""[\w]* [\w]*""), ""*"")),""X"","""")"),"X")</f>
        <v>X</v>
      </c>
      <c r="BK82" s="39"/>
      <c r="BL82" s="40" t="str">
        <f>IFERROR(__xludf.DUMMYFUNCTION(" CONCATENATE( 
if (regexmatch(I82, ""^[A-Za-z\.\_]+""), ""L"", 
if(regexmatch(AB82, ""^[A-Za-z\.\_]+""),""S"","""")),
if(AU82=""X"",""K"",""""))"),"LK")</f>
        <v>LK</v>
      </c>
      <c r="BM82" s="40" t="str">
        <f>IFERROR(__xludf.DUMMYFUNCTION(" CONCATENATE( 
if (regexmatch(J82, ""^[A-Za-z\.\_]+""), ""L"", 
if(regexmatch(AC82, ""^[A-Za-z\.\_]+""),""S"","""")),
if(AV82=""X"",""K"",""""))"),"K")</f>
        <v>K</v>
      </c>
      <c r="BN82" s="40" t="str">
        <f>IFERROR(__xludf.DUMMYFUNCTION(" CONCATENATE( 
if (regexmatch(K82, ""^[A-Za-z\.\_]+""), ""L"", 
if(regexmatch(AD82, ""^[A-Za-z\.\_]+""),""S"","""")),
if(AW82=""X"",""K"",""""))"),"LK")</f>
        <v>LK</v>
      </c>
      <c r="BO82" s="40" t="str">
        <f>IFERROR(__xludf.DUMMYFUNCTION(" CONCATENATE( 
if (regexmatch(L82, ""^[A-Za-z\.\_]+""), ""L"", 
if(regexmatch(AE82, ""^[A-Za-z\.\_]+""),""S"","""")),
if(AX82=""X"",""K"",""""))"),"K")</f>
        <v>K</v>
      </c>
      <c r="BP82" s="40" t="str">
        <f>IFERROR(__xludf.DUMMYFUNCTION(" CONCATENATE( 
if (regexmatch(M82, ""^[A-Za-z\.\_]+""), ""L"", 
if(regexmatch(AF82, ""^[A-Za-z\.\_]+""),""S"","""")),
if(AY82=""X"",""K"",""""))"),"LK")</f>
        <v>LK</v>
      </c>
      <c r="BQ82" s="40" t="str">
        <f>IFERROR(__xludf.DUMMYFUNCTION("CONCATENATE( 
if (regexmatch(O82, ""^[A-Za-z\.\_]+""), ""L"", 
if(regexmatch(AH82, ""^[A-Za-z\.\_]+""),""S"","""")),
if(AZ82=""X"",""K"",""""))"),"K")</f>
        <v>K</v>
      </c>
      <c r="BR82" s="40" t="str">
        <f>IFERROR(__xludf.DUMMYFUNCTION("CONCATENATE( 
if (regexmatch(Q82, ""^[A-Za-z\.\_]+""), ""L"", 
if(regexmatch(AJ82, ""^[A-Za-z\.\_]+""),""S"","""")),
if(BA82=""X"",""K"",""""))"),"")</f>
        <v/>
      </c>
      <c r="BS82" s="40" t="str">
        <f>IFERROR(__xludf.DUMMYFUNCTION(" CONCATENATE( 
if (regexmatch(R82, ""^[A-Za-z\.\_]+""), ""L"", 
if(regexmatch(AK82, ""^[A-Za-z\.\_]+""),""S"","""")),
if(BB82=""X"",""K"",""""))"),"K")</f>
        <v>K</v>
      </c>
      <c r="BT82" s="40" t="str">
        <f>IFERROR(__xludf.DUMMYFUNCTION("CONCATENATE( 
if (regexmatch(S82, ""^[A-Za-z\.\_]+""), ""L"", 
if(regexmatch(AL82, ""^[A-Za-z\.\_]+""),""S"","""")),
if(BC82=""X"",""K"",""""))"),"K")</f>
        <v>K</v>
      </c>
      <c r="BU82" s="40" t="str">
        <f>IFERROR(__xludf.DUMMYFUNCTION("CONCATENATE( 
if (regexmatch(T82, ""^[A-Za-z\.\_]+""), ""L"", 
if(regexmatch(AM82, ""^[A-Za-z\.\_]+""),""S"","""")),
if(BD82=""X"",""K"",""""))"),"")</f>
        <v/>
      </c>
      <c r="BV82" s="40" t="str">
        <f>IFERROR(__xludf.DUMMYFUNCTION("CONCATENATE( 
if (regexmatch(U82, ""^[A-Za-z\.\_]+""), ""L"", 
if(regexmatch(AN82, ""^[A-Za-z\.\_]+""),""S"","""")),
if(BE82=""X"",""K"",""""))"),"K")</f>
        <v>K</v>
      </c>
      <c r="BW82" s="40" t="str">
        <f>IFERROR(__xludf.DUMMYFUNCTION(" CONCATENATE( 
if (regexmatch(V82, ""^[A-Za-z\.\_]+""), ""L"", 
if(regexmatch(AO82, ""^[A-Za-z\.\_]+""),""S"","""")),
if(BF82=""X"",""K"",""""))"),"SK")</f>
        <v>SK</v>
      </c>
      <c r="BX82" s="40" t="str">
        <f>IFERROR(__xludf.DUMMYFUNCTION("CONCATENATE( 
if (regexmatch(W82, ""^[A-Za-z\.\_]+""), ""L"", 
if(regexmatch(AP82, ""^[A-Za-z\.\_]+""),""S"","""")),
if(BG82=""X"",""K"",""""))"),"K")</f>
        <v>K</v>
      </c>
      <c r="BY82" s="40" t="str">
        <f>IFERROR(__xludf.DUMMYFUNCTION("CONCATENATE( 
if (regexmatch(X82, ""^[A-Za-z\.\_]+""), ""L"", 
if(regexmatch(AQ82, ""^[A-Za-z\.\_]+""),""S"","""")),
if(BH82=""X"",""K"",""""))"),"K")</f>
        <v>K</v>
      </c>
      <c r="BZ82" s="40" t="str">
        <f>IFERROR(__xludf.DUMMYFUNCTION("CONCATENATE( 
if (regexmatch(Y82, ""^[A-Za-z\.\_]+""), ""L"", 
if(regexmatch(AR82, ""^[A-Za-z\.\_]+""),""S"","""")),
if(BI82=""X"",""K"",""""))"),"K")</f>
        <v>K</v>
      </c>
      <c r="CA82" s="40" t="str">
        <f>IFERROR(__xludf.DUMMYFUNCTION("CONCATENATE( 
if (regexmatch(Z82, ""^[A-Za-z\.\_]+""), ""L"", 
if(regexmatch(AS82, ""^[A-Za-z\.\_]+""),""S"","""")),
if(BJ82=""X"",""K"",""""))"),"K")</f>
        <v>K</v>
      </c>
      <c r="CB82" s="39"/>
      <c r="CC82" s="39"/>
      <c r="CD82" s="39"/>
      <c r="CE82" s="39"/>
      <c r="CF82" s="39"/>
      <c r="CG82" s="39"/>
      <c r="CH82" s="39"/>
      <c r="CI82" s="39"/>
      <c r="CJ82" s="39"/>
      <c r="CK82" s="39"/>
      <c r="CL82" s="39"/>
      <c r="CM82" s="39"/>
      <c r="CN82" s="39"/>
      <c r="CO82" s="39"/>
      <c r="CP82" s="39"/>
      <c r="CQ82" s="39"/>
      <c r="CR82" s="39"/>
    </row>
    <row r="83" ht="15.75" customHeight="1">
      <c r="A83" s="25">
        <v>42.0</v>
      </c>
      <c r="B83" s="26" t="s">
        <v>320</v>
      </c>
      <c r="C83" s="27" t="s">
        <v>321</v>
      </c>
      <c r="D83" s="27" t="str">
        <f>IFERROR(__xludf.DUMMYFUNCTION("CONCATENATE(regexextract($C83,""[\w]* [\w]*""), ""*"")"),"Prunus avium*")</f>
        <v>Prunus avium*</v>
      </c>
      <c r="E83" s="26" t="s">
        <v>322</v>
      </c>
      <c r="F83" s="57">
        <v>42229.0</v>
      </c>
      <c r="G83" s="53"/>
      <c r="H83" s="31"/>
      <c r="I83" s="32" t="str">
        <f>CONCATENATE(
if(countif(dd.agi,$D83),"D",""),
if(countif(knap.agi,$D83),"K",""),
if(countif(mic.agi,$D83),"M",""),
if(countif(nap.agi,$D83),"N",""),
if(countif(np.agi,$D83),"P",""),
if(countif(imp.agi,$D83),"T",""),
if(countif(us.agi,$D83),"U",""),
if(countif(var.agi,$D83),"V","")
)</f>
        <v>K</v>
      </c>
      <c r="J83" s="32" t="str">
        <f>
CONCATENATE(
if(countif(nap.bun,$D83),"N",""),
if(countif(np.bun,$D83),"P","")
)
</f>
        <v/>
      </c>
      <c r="K83" s="32" t="str">
        <f>CONCATENATE(
if(countif(dd.kxn,$D83),"D",""),
if(countif(knap.kxn,$D83),"K",""),
if(countif(mic.kxn,$D83),"M",""),
if(countif(nap.kxn,$D83),"N",""),
if(countif(np.kxn,$D83),"P",""),
if(countif(us.kxn,$D83),"U",""),
if(countif(var.kxn,$D83),"V","")
)</f>
        <v>KMNU</v>
      </c>
      <c r="L83" s="32" t="str">
        <f>
CONCATENATE(
if(countif(dd.hwb,$D83),"D",""),
if(countif(knap.hwb,$D83),"K",""),
if(countif(mic.hwb,$D83),"M",""),
if(countif(nap.hwb,$D83),"N",""),
if(countif(np.hwb,$D83),"P",""),
if(countif(us.hwb,$D83),"U",""),
if(countif(imp.hwb,$D83),"T",""),
if(countif(var.hwb,$D83),"V","")
)</f>
        <v>KMU</v>
      </c>
      <c r="M83" s="32" t="str">
        <f>CONCATENATE(
if(countif(dd.epc,$D83),"D",""),
if(countif(knap.ekxn,$D83),"K",""),
if(countif(mic.ekxn,$D83),"M",""),
if(countif(nap.ekxn,$D83),"N",""),
if(countif(np.ekxn,$D83),"P",""),
if(countif(imp.epc,$D83),"T",""),
if(countif(us.ekxn,$D83),"U",""),
if(countif(var.ekxn,$D83),"V","")
)</f>
        <v>KMU</v>
      </c>
      <c r="N83" s="32" t="str">
        <f>
CONCATENATE(
if(countif(dd.ecg,$D83),"D",""),
if(countif(mic.ecg,$D83),"M",""),
if(countif(np.ecg,$D83),"P",""),
if(countif(imp.ecg,$D83),"T",""),
if(countif(us.ecg,$D83),"U","")
)</f>
        <v>MU</v>
      </c>
      <c r="O83" s="32" t="str">
        <f>
CONCATENATE(
if(countif(dd.egt,$D83),"D",""),
if(countif(mic.egt,$D83),"M",""),
if(countif(nap.egt,$D83),"N",""),
if(countif(us.egt,$D83),"U",""),
if(countif(var.egt,$D83),"V",""))
</f>
        <v>MU</v>
      </c>
      <c r="P83" s="32" t="str">
        <f>CONCATENATE(
if(countif(knap.egcg,$D83),"K",""),
if(countif(mic.egcg,$D83),"M",""),
if(countif(np.egcg,$D83),"P",""),
if(countif(us.egcg,$D83),"U","")
)</f>
        <v/>
      </c>
      <c r="Q83" s="32" t="str">
        <f>CONCATENATE(if(countif(np.ecit,$D83),"P",""),
if(countif(nap.ecit,$D83),"A",""))</f>
        <v/>
      </c>
      <c r="R83" s="32" t="str">
        <f>
CONCATENATE(
if(countif(nap.erd,$D83),"N",""),
if(countif(np.erd,$D83),"P",""),
if(countif(var.erd,$D83),"V",""))</f>
        <v>V</v>
      </c>
      <c r="S83" s="32" t="str">
        <f>
CONCATENATE(
if(countif(dd.gkxn,$D83),"D",""),
if(countif(knap.gkxn,$D83),"K",""),
if(countif(nap.gkxn,$D83),"N",""),
if(countif(np.gkxn,$D83),"P",""),
if(countif(imp.gkxn,$D83),"T",""),
if(countif(var.gkxn,$D83),"V",""))</f>
        <v/>
      </c>
      <c r="T83" s="32" t="str">
        <f>
CONCATENATE(
if(countif(dd.gen,$C83),"D",""),
if(countif(knap.gen,$C83),"K",""),
if(countif(nap.gen,$C83),"N",""),
if(countif(np.gen,$C83),"P",""),
if(countif(imp.gen,$C83),"T",""),
if(countif(var.gen,$C83),"V",""))</f>
        <v>T</v>
      </c>
      <c r="U83" s="32" t="str">
        <f>
CONCATENATE(
if(countif(dd.hcc,$D83),"D",""),
if(countif(knap.hcc,$D83),"K",""),
if(countif(np.hcc,$D83),"P","")
)
</f>
        <v/>
      </c>
      <c r="V83" s="32" t="str">
        <f>
CONCATENATE(
if(countif(dd.kmp,$D83),"D",""),
if(countif(knap.kmp,$D83),"K",""),
if(countif(mic.kmp,$D83),"M",""),
if(countif(nap.kmp,$D83),"N",""),
if(countif(np.kmp,$D83),"P",""),
if(countif(imp.kmp,$D83),"T",""),
if(countif(us.kmp,$D83),"U",""),
if(countif(var.kmp,$D83),"V",""))</f>
        <v>DMNU</v>
      </c>
      <c r="W83" s="32" t="str">
        <f>
CONCATENATE(
if(countif(dd.lu2,$D83),"D",""),
if(countif(knap.lu2,$D83),"K",""),
if(countif(mic.lu2,$D83),"M",""),
if(countif(nap.lu2,$D83),"N",""),
if(countif(np.lu2,$D83),"P",""),
if(countif(imp.lu2,$D83),"T",""),
if(countif(us.lu2,$D83),"U",""),
if(countif(var.lu2,$D83),"V",""))</f>
        <v/>
      </c>
      <c r="X83" s="32" t="str">
        <f>
CONCATENATE(
if(countif(dd.myc,$D83),"D",""),
if(countif(knap.myc,$D83),"K",""), 
if(countif(mic.myc,$D83),"M",""),
if(countif(nap.myc,$D83),"N",""),
if(countif(np.myc,$D83),"P",""),
if(countif(imp.myc,$D83),"T",""),
if(countif(us.myc,$D83),"U",""),
if(countif(var.myc,$D83),"V",""))</f>
        <v>MU</v>
      </c>
      <c r="Y83" s="32" t="str">
        <f>CONCATENATE(
if(countif(dd.nar,$D83),"D",""),
if(countif(knap.nar,$D83),"K",""),
if(countif(nap.nar,$D83),"N",""),
if(countif(np.nar,$D83),"P",""),
if(countif(imp.nar,$D83),"T",""),
if(countif(us.nar,$D83),"U",""),
if(countif(var.nar,$D83),"V",""))</f>
        <v>DKN</v>
      </c>
      <c r="Z83" s="33" t="str">
        <f>
CONCATENATE(
if(countif(dd.que,$D83),"D",""),
if(countif(knap.que,$D83),"K",""),
if(countif(mic.que,$D83),"M",""),
if(countif(nap.que,$D83),"N",""),
if(countif(np.que,$D83),"P",""),
if(countif(imp.que,$D83),"T",""),
if(countif(us.que,$D83),"U",""),
if(countif(var.que,$D83),"V",""))</f>
        <v>DKMNU</v>
      </c>
      <c r="AA83" s="32"/>
      <c r="AB83" s="34" t="str">
        <f>
CONCATENATE(if(countif(knap.agi.sim,$D83),"K",""),
if(countif(dd.agi.sim,$D83),"D",""),
if(countif(nap.agi.sim,$D83),"A",""),
if(countif(var.agi.sim,$D83),"V",""))</f>
        <v/>
      </c>
      <c r="AC83" s="34" t="str">
        <f>
if(countif(nap.bun.sim,$D83),"A","")</f>
        <v/>
      </c>
      <c r="AD83" s="34" t="str">
        <f>
CONCATENATE(if(countif(knap.kxn.sim,$D83),"K",""),
if(countif(np.kxn.sim,$D83),"P",""),
if(countif(dd.kxn.sim,$D83),"D",""),
if(countif(nap.kxn.sim,$D83),"A",""),
if(countif(var.kxn.sim,$D83),"V",""))</f>
        <v/>
      </c>
      <c r="AE83" s="34" t="str">
        <f>
CONCATENATE(if(countif(knap.hwb.sim,$D83),"K",""),
if(countif(np.hwb.sim,$D83),"P",""),
if(countif(mic.hwb.sim,$D83),"M",""),
if(countif(imp.hwb.sim,$D83),"T",""),
if(countif(dd.cyan.sim,$D83),"D",""),
if(countif(nap.hwb.sim,$D83),"A",""),
if(countif(var.hwb.sim,$D83),"V",""))</f>
        <v>KA</v>
      </c>
      <c r="AF83" s="34" t="str">
        <f>
CONCATENATE(if(countif(us.ekxn.sim,$D83),"U",""),
if(countif(knap.ekxn.sim,$D83),"K",""),
if(countif(np.ekxn.sim,$D83),"P",""),
if(countif(mic.ekxn.sim,$D83),"M",""),
if(countif(imp.epc.sim,$D83),"T",""),
if(countif(nap.ekxn.sim,$D83),"A",""))</f>
        <v>UM</v>
      </c>
      <c r="AG83" s="34"/>
      <c r="AH83" s="34" t="str">
        <f>
CONCATENATE(if(countif(us.egt.sim,$D83),"U",""),
if(countif(knap.egt.sim,$D83),"K",""),
if(countif(np.egt.sim,$D83),"P",""),
if(countif(mic.egt.sim,$D83),"M",""))</f>
        <v/>
      </c>
      <c r="AI83" s="34"/>
      <c r="AJ83" s="34" t="str">
        <f>if(countif(nap.ecit.sim,$D83),"A","")</f>
        <v/>
      </c>
      <c r="AK83" s="34" t="str">
        <f>
CONCATENATE(if(countif(nap.erd,$D83),"M",""),
if(countif(nap.erd.sim,$D83),"A",""),
if(countif(var.erd.sim,$D83),"V",""))</f>
        <v>A</v>
      </c>
      <c r="AL83" s="34" t="str">
        <f>
CONCATENATE(if(countif(knap.gkxn.sim,$D83),"K",""),
if(countif(nap.gkxn.sim,$D83),"A",""))</f>
        <v/>
      </c>
      <c r="AM83" s="34" t="str">
        <f>
CONCATENATE(if(countif(knap.gen.sim,$C83),"K",""),
if(countif(imp.gen.sim,$C83),"T",""),
if(countif(dd.gen.sim,$C83),"D",""),
if(countif(nap.gen.sim,$C83),"A",""),
if(countif(var.gen.sim,$C83),"V",""))
</f>
        <v/>
      </c>
      <c r="AN83" s="34" t="str">
        <f>IFERROR(__xludf.DUMMYFUNCTION("
if(countif(#REF!,CONCATENATE(regexextract($C83,""[\w]* [\w]*""), ""*"")),""V"","""")"),"")</f>
        <v/>
      </c>
      <c r="AO83" s="34" t="str">
        <f>
CONCATENATE(if(countif(knap.kmp.sim,$D83),"K",""),
if(countif(np.kmp.sim,$D83),"P",""),
if(countif(imp.kmp.sim,$D83),"T",""),
if(countif(dd.kmp,$D83),"D",""),
if(countif(nap.kmp.sim,$D83),"A",""),
if(countif(var.kmp.sim,$D83),"V",""))</f>
        <v>KDA</v>
      </c>
      <c r="AP83" s="34" t="str">
        <f>
CONCATENATE(if(countif(knap.lu2.sim,$D83),"K",""),
if(countif(np.lu2.sim,$D83),"P",""),
if(countif(imp.lu2.sim,$D83),"T",""),
if(countif(dd.lu2.sim,$D83),"D",""),
if(countif(nap.lu2.sim,$D83),"A",""),
if(countif(var.lu2.sim,$D83),"V",""))</f>
        <v/>
      </c>
      <c r="AQ83" s="34" t="str">
        <f>
CONCATENATE(if(countif(np.myc.sim,$D83),"P",""),
if(countif(imp.myc.sim,$D83),"T",""),
if(countif(nap.myc.sim,$D83),"A",""))
</f>
        <v/>
      </c>
      <c r="AR83" s="36" t="str">
        <f>
CONCATENATE(if(countif(knap.nar.sim,$D83),"K",""),
if(countif(np.nar.sim,$D83),"P",""),
if(countif(imp.nar.sim,$D83),"T",""),
if(countif(dd.nar.sim,$D83),"D",""),
if(countif(nap.nar.sim,$D83),"A",""),
if(countif(var.nar.sim,$D83),"V",""))</f>
        <v>K</v>
      </c>
      <c r="AS83" s="34" t="str">
        <f>
CONCATENATE(if(countif(knap.que.sim,$D83),"K",""),
if(countif(np.que.sim,$D83),"P",""),
if(countif(imp.que.sim,$D83),"T",""),
if(countif(dd.que.sim,$D83),"D",""),
if(countif(nap.que.sim,$D83),"A",""),
if(countif(var.que.sim,$D83),"V",""))</f>
        <v>K</v>
      </c>
      <c r="AT83" s="37"/>
      <c r="AU83" s="32" t="str">
        <f>IFERROR(__xludf.DUMMYFUNCTION("if(countif(kr.agi, CONCATENATE(regexextract($C83,""[\w]* [\w]*""), ""*"")),""X"","""")"),"")</f>
        <v/>
      </c>
      <c r="AV83" s="38" t="str">
        <f>IFERROR(__xludf.DUMMYFUNCTION("if(countif(kr.bun,CONCATENATE(regexextract($C83,""[\w]* [\w]*""), ""*"")),""X"","""")"),"X")</f>
        <v>X</v>
      </c>
      <c r="AW83" s="38" t="str">
        <f>IFERROR(__xludf.DUMMYFUNCTION("if(countif(kr.kxn,CONCATENATE(regexextract($C83,""[\w]* [\w]*""), ""*"")),""X"","""")"),"X")</f>
        <v>X</v>
      </c>
      <c r="AX83" s="38" t="str">
        <f>IFERROR(__xludf.DUMMYFUNCTION("if(countif(kr.hwb,CONCATENATE(regexextract($C83,""[\w]* [\w]*""), ""*"")),""X"","""")"),"X")</f>
        <v>X</v>
      </c>
      <c r="AY83" s="38" t="str">
        <f>IFERROR(__xludf.DUMMYFUNCTION("if(countif(kr.ec,CONCATENATE(regexextract($C83,""[\w]* [\w]*""), ""*"")),""X"","""")"),"X")</f>
        <v>X</v>
      </c>
      <c r="AZ83" s="38" t="str">
        <f>IFERROR(__xludf.DUMMYFUNCTION("if(countif(kr.egt,CONCATENATE(regexextract($C83,""[\w]* [\w]*""), ""*"")),""X"","""")"),"")</f>
        <v/>
      </c>
      <c r="BA83" s="38"/>
      <c r="BB83" s="38" t="str">
        <f>IFERROR(__xludf.DUMMYFUNCTION("if(countif(kr.erd,CONCATENATE(regexextract($C83,""[\w]* [\w]*""), ""*"")),""X"","""")"),"X")</f>
        <v>X</v>
      </c>
      <c r="BC83" s="38" t="str">
        <f>IFERROR(__xludf.DUMMYFUNCTION("if(countif(kr.gkxn,CONCATENATE(regexextract($C83,""[\w]* [\w]*""), ""*"")),""X"","""")"),"")</f>
        <v/>
      </c>
      <c r="BD83" s="38" t="str">
        <f>IFERROR(__xludf.DUMMYFUNCTION("if(countif(kr.gen,CONCATENATE(regexextract(C83,""[\w]* [\w]*""), ""*"")),""X"","""")"),"")</f>
        <v/>
      </c>
      <c r="BE83" s="38" t="str">
        <f>IFERROR(__xludf.DUMMYFUNCTION("if(countif(kr.hcc,CONCATENATE(regexextract($C83,""[\w]* [\w]*""), ""*"")),""X"","""")"),"X")</f>
        <v>X</v>
      </c>
      <c r="BF83" s="38" t="str">
        <f>IFERROR(__xludf.DUMMYFUNCTION("if(countif(kr.kmp,CONCATENATE(regexextract($C83,""[\w]* [\w]*""), ""*"")),""X"","""")"),"X")</f>
        <v>X</v>
      </c>
      <c r="BG83" s="38" t="str">
        <f>IFERROR(__xludf.DUMMYFUNCTION("if(countif(kr.lu2,CONCATENATE(regexextract($C83,""[\w]* [\w]*""), ""*"")),""X"","""")"),"")</f>
        <v/>
      </c>
      <c r="BH83" s="38" t="str">
        <f>IFERROR(__xludf.DUMMYFUNCTION("if(countif(kr.myc,CONCATENATE(regexextract($C83,""[\w]* [\w]*""), ""*"")),""X"","""")"),"")</f>
        <v/>
      </c>
      <c r="BI83" s="38" t="str">
        <f>IFERROR(__xludf.DUMMYFUNCTION("if(countif(kr.nar,CONCATENATE(regexextract($C83,""[\w]* [\w]*""), ""*"")),""X"","""")"),"X")</f>
        <v>X</v>
      </c>
      <c r="BJ83" s="38" t="str">
        <f>IFERROR(__xludf.DUMMYFUNCTION("if(countif(kr.que,CONCATENATE(regexextract($C83,""[\w]* [\w]*""), ""*"")),""X"","""")"),"X")</f>
        <v>X</v>
      </c>
      <c r="BK83" s="39"/>
      <c r="BL83" s="40" t="str">
        <f>IFERROR(__xludf.DUMMYFUNCTION(" CONCATENATE( 
if (regexmatch(I83, ""^[A-Za-z\.\_]+""), ""L"", 
if(regexmatch(AB83, ""^[A-Za-z\.\_]+""),""S"","""")),
if(AU83=""X"",""K"",""""))"),"L")</f>
        <v>L</v>
      </c>
      <c r="BM83" s="40" t="str">
        <f>IFERROR(__xludf.DUMMYFUNCTION(" CONCATENATE( 
if (regexmatch(J83, ""^[A-Za-z\.\_]+""), ""L"", 
if(regexmatch(AC83, ""^[A-Za-z\.\_]+""),""S"","""")),
if(AV83=""X"",""K"",""""))"),"K")</f>
        <v>K</v>
      </c>
      <c r="BN83" s="40" t="str">
        <f>IFERROR(__xludf.DUMMYFUNCTION(" CONCATENATE( 
if (regexmatch(K83, ""^[A-Za-z\.\_]+""), ""L"", 
if(regexmatch(AD83, ""^[A-Za-z\.\_]+""),""S"","""")),
if(AW83=""X"",""K"",""""))"),"LK")</f>
        <v>LK</v>
      </c>
      <c r="BO83" s="40" t="str">
        <f>IFERROR(__xludf.DUMMYFUNCTION(" CONCATENATE( 
if (regexmatch(L83, ""^[A-Za-z\.\_]+""), ""L"", 
if(regexmatch(AE83, ""^[A-Za-z\.\_]+""),""S"","""")),
if(AX83=""X"",""K"",""""))"),"LK")</f>
        <v>LK</v>
      </c>
      <c r="BP83" s="40" t="str">
        <f>IFERROR(__xludf.DUMMYFUNCTION(" CONCATENATE( 
if (regexmatch(M83, ""^[A-Za-z\.\_]+""), ""L"", 
if(regexmatch(AF83, ""^[A-Za-z\.\_]+""),""S"","""")),
if(AY83=""X"",""K"",""""))"),"LK")</f>
        <v>LK</v>
      </c>
      <c r="BQ83" s="40" t="str">
        <f>IFERROR(__xludf.DUMMYFUNCTION("CONCATENATE( 
if (regexmatch(O83, ""^[A-Za-z\.\_]+""), ""L"", 
if(regexmatch(AH83, ""^[A-Za-z\.\_]+""),""S"","""")),
if(AZ83=""X"",""K"",""""))"),"L")</f>
        <v>L</v>
      </c>
      <c r="BR83" s="40" t="str">
        <f>IFERROR(__xludf.DUMMYFUNCTION("CONCATENATE( 
if (regexmatch(Q83, ""^[A-Za-z\.\_]+""), ""L"", 
if(regexmatch(AJ83, ""^[A-Za-z\.\_]+""),""S"","""")),
if(BA83=""X"",""K"",""""))"),"")</f>
        <v/>
      </c>
      <c r="BS83" s="40" t="str">
        <f>IFERROR(__xludf.DUMMYFUNCTION(" CONCATENATE( 
if (regexmatch(R83, ""^[A-Za-z\.\_]+""), ""L"", 
if(regexmatch(AK83, ""^[A-Za-z\.\_]+""),""S"","""")),
if(BB83=""X"",""K"",""""))"),"LK")</f>
        <v>LK</v>
      </c>
      <c r="BT83" s="40" t="str">
        <f>IFERROR(__xludf.DUMMYFUNCTION("CONCATENATE( 
if (regexmatch(S83, ""^[A-Za-z\.\_]+""), ""L"", 
if(regexmatch(AL83, ""^[A-Za-z\.\_]+""),""S"","""")),
if(BC83=""X"",""K"",""""))"),"")</f>
        <v/>
      </c>
      <c r="BU83" s="40" t="str">
        <f>IFERROR(__xludf.DUMMYFUNCTION("CONCATENATE( 
if (regexmatch(T83, ""^[A-Za-z\.\_]+""), ""L"", 
if(regexmatch(AM83, ""^[A-Za-z\.\_]+""),""S"","""")),
if(BD83=""X"",""K"",""""))"),"L")</f>
        <v>L</v>
      </c>
      <c r="BV83" s="40" t="str">
        <f>IFERROR(__xludf.DUMMYFUNCTION("CONCATENATE( 
if (regexmatch(U83, ""^[A-Za-z\.\_]+""), ""L"", 
if(regexmatch(AN83, ""^[A-Za-z\.\_]+""),""S"","""")),
if(BE83=""X"",""K"",""""))"),"K")</f>
        <v>K</v>
      </c>
      <c r="BW83" s="40" t="str">
        <f>IFERROR(__xludf.DUMMYFUNCTION(" CONCATENATE( 
if (regexmatch(V83, ""^[A-Za-z\.\_]+""), ""L"", 
if(regexmatch(AO83, ""^[A-Za-z\.\_]+""),""S"","""")),
if(BF83=""X"",""K"",""""))"),"LK")</f>
        <v>LK</v>
      </c>
      <c r="BX83" s="40" t="str">
        <f>IFERROR(__xludf.DUMMYFUNCTION("CONCATENATE( 
if (regexmatch(W83, ""^[A-Za-z\.\_]+""), ""L"", 
if(regexmatch(AP83, ""^[A-Za-z\.\_]+""),""S"","""")),
if(BG83=""X"",""K"",""""))"),"")</f>
        <v/>
      </c>
      <c r="BY83" s="40" t="str">
        <f>IFERROR(__xludf.DUMMYFUNCTION("CONCATENATE( 
if (regexmatch(X83, ""^[A-Za-z\.\_]+""), ""L"", 
if(regexmatch(AQ83, ""^[A-Za-z\.\_]+""),""S"","""")),
if(BH83=""X"",""K"",""""))"),"L")</f>
        <v>L</v>
      </c>
      <c r="BZ83" s="40" t="str">
        <f>IFERROR(__xludf.DUMMYFUNCTION("CONCATENATE( 
if (regexmatch(Y83, ""^[A-Za-z\.\_]+""), ""L"", 
if(regexmatch(AR83, ""^[A-Za-z\.\_]+""),""S"","""")),
if(BI83=""X"",""K"",""""))"),"LK")</f>
        <v>LK</v>
      </c>
      <c r="CA83" s="40" t="str">
        <f>IFERROR(__xludf.DUMMYFUNCTION("CONCATENATE( 
if (regexmatch(Z83, ""^[A-Za-z\.\_]+""), ""L"", 
if(regexmatch(AS83, ""^[A-Za-z\.\_]+""),""S"","""")),
if(BJ83=""X"",""K"",""""))"),"LK")</f>
        <v>LK</v>
      </c>
      <c r="CB83" s="39"/>
      <c r="CC83" s="39"/>
      <c r="CD83" s="39"/>
      <c r="CE83" s="39"/>
      <c r="CF83" s="39"/>
      <c r="CG83" s="39"/>
      <c r="CH83" s="39"/>
      <c r="CI83" s="39"/>
      <c r="CJ83" s="39"/>
      <c r="CK83" s="39"/>
      <c r="CL83" s="39"/>
      <c r="CM83" s="39"/>
      <c r="CN83" s="39"/>
      <c r="CO83" s="39"/>
      <c r="CP83" s="39"/>
      <c r="CQ83" s="39"/>
      <c r="CR83" s="39"/>
    </row>
    <row r="84" ht="15.75" customHeight="1">
      <c r="A84" s="25">
        <v>43.0</v>
      </c>
      <c r="B84" s="26" t="s">
        <v>323</v>
      </c>
      <c r="C84" s="27" t="s">
        <v>324</v>
      </c>
      <c r="D84" s="27" t="str">
        <f>IFERROR(__xludf.DUMMYFUNCTION("CONCATENATE(regexextract($C84,""[\w]* [\w]*""), ""*"")"),"Prunus mume*")</f>
        <v>Prunus mume*</v>
      </c>
      <c r="E84" s="26" t="s">
        <v>325</v>
      </c>
      <c r="F84" s="57">
        <v>102107.0</v>
      </c>
      <c r="G84" s="53"/>
      <c r="H84" s="31"/>
      <c r="I84" s="32" t="str">
        <f>CONCATENATE(
if(countif(dd.agi,$D84),"D",""),
if(countif(knap.agi,$D84),"K",""),
if(countif(mic.agi,$D84),"M",""),
if(countif(nap.agi,$D84),"N",""),
if(countif(np.agi,$D84),"P",""),
if(countif(imp.agi,$D84),"T",""),
if(countif(us.agi,$D84),"U",""),
if(countif(var.agi,$D84),"V","")
)</f>
        <v/>
      </c>
      <c r="J84" s="32" t="str">
        <f>
CONCATENATE(
if(countif(nap.bun,$D84),"N",""),
if(countif(np.bun,$D84),"P","")
)
</f>
        <v/>
      </c>
      <c r="K84" s="32" t="str">
        <f>CONCATENATE(
if(countif(dd.kxn,$D84),"D",""),
if(countif(knap.kxn,$D84),"K",""),
if(countif(mic.kxn,$D84),"M",""),
if(countif(nap.kxn,$D84),"N",""),
if(countif(np.kxn,$D84),"P",""),
if(countif(us.kxn,$D84),"U",""),
if(countif(var.kxn,$D84),"V","")
)</f>
        <v>NP</v>
      </c>
      <c r="L84" s="32" t="str">
        <f>
CONCATENATE(
if(countif(dd.hwb,$D84),"D",""),
if(countif(knap.hwb,$D84),"K",""),
if(countif(mic.hwb,$D84),"M",""),
if(countif(nap.hwb,$D84),"N",""),
if(countif(np.hwb,$D84),"P",""),
if(countif(us.hwb,$D84),"U",""),
if(countif(imp.hwb,$D84),"T",""),
if(countif(var.hwb,$D84),"V","")
)</f>
        <v/>
      </c>
      <c r="M84" s="32" t="str">
        <f>CONCATENATE(
if(countif(dd.epc,$D84),"D",""),
if(countif(knap.ekxn,$D84),"K",""),
if(countif(mic.ekxn,$D84),"M",""),
if(countif(nap.ekxn,$D84),"N",""),
if(countif(np.ekxn,$D84),"P",""),
if(countif(imp.epc,$D84),"T",""),
if(countif(us.ekxn,$D84),"U",""),
if(countif(var.ekxn,$D84),"V","")
)</f>
        <v>P</v>
      </c>
      <c r="N84" s="32" t="str">
        <f>
CONCATENATE(
if(countif(dd.ecg,$D84),"D",""),
if(countif(mic.ecg,$D84),"M",""),
if(countif(np.ecg,$D84),"P",""),
if(countif(imp.ecg,$D84),"T",""),
if(countif(us.ecg,$D84),"U","")
)</f>
        <v/>
      </c>
      <c r="O84" s="32" t="str">
        <f>
CONCATENATE(
if(countif(dd.egt,$D84),"D",""),
if(countif(mic.egt,$D84),"M",""),
if(countif(nap.egt,$D84),"N",""),
if(countif(us.egt,$D84),"U",""),
if(countif(var.egt,$D84),"V",""))
</f>
        <v/>
      </c>
      <c r="P84" s="32" t="str">
        <f>CONCATENATE(
if(countif(knap.egcg,$D84),"K",""),
if(countif(mic.egcg,$D84),"M",""),
if(countif(np.egcg,$D84),"P",""),
if(countif(us.egcg,$D84),"U","")
)</f>
        <v/>
      </c>
      <c r="Q84" s="32" t="str">
        <f>CONCATENATE(if(countif(np.ecit,$D84),"P",""),
if(countif(nap.ecit,$D84),"A",""))</f>
        <v/>
      </c>
      <c r="R84" s="32" t="str">
        <f>
CONCATENATE(
if(countif(nap.erd,$D84),"N",""),
if(countif(np.erd,$D84),"P",""),
if(countif(var.erd,$D84),"V",""))</f>
        <v/>
      </c>
      <c r="S84" s="32" t="str">
        <f>
CONCATENATE(
if(countif(dd.gkxn,$D84),"D",""),
if(countif(knap.gkxn,$D84),"K",""),
if(countif(nap.gkxn,$D84),"N",""),
if(countif(np.gkxn,$D84),"P",""),
if(countif(imp.gkxn,$D84),"T",""),
if(countif(var.gkxn,$D84),"V",""))</f>
        <v/>
      </c>
      <c r="T84" s="32" t="str">
        <f>
CONCATENATE(
if(countif(dd.gen,$C84),"D",""),
if(countif(knap.gen,$C84),"K",""),
if(countif(nap.gen,$C84),"N",""),
if(countif(np.gen,$C84),"P",""),
if(countif(imp.gen,$C84),"T",""),
if(countif(var.gen,$C84),"V",""))</f>
        <v/>
      </c>
      <c r="U84" s="32" t="str">
        <f>
CONCATENATE(
if(countif(dd.hcc,$D84),"D",""),
if(countif(knap.hcc,$D84),"K",""),
if(countif(np.hcc,$D84),"P","")
)
</f>
        <v/>
      </c>
      <c r="V84" s="32" t="str">
        <f>
CONCATENATE(
if(countif(dd.kmp,$D84),"D",""),
if(countif(knap.kmp,$D84),"K",""),
if(countif(mic.kmp,$D84),"M",""),
if(countif(nap.kmp,$D84),"N",""),
if(countif(np.kmp,$D84),"P",""),
if(countif(imp.kmp,$D84),"T",""),
if(countif(us.kmp,$D84),"U",""),
if(countif(var.kmp,$D84),"V",""))</f>
        <v/>
      </c>
      <c r="W84" s="32" t="str">
        <f>
CONCATENATE(
if(countif(dd.lu2,$D84),"D",""),
if(countif(knap.lu2,$D84),"K",""),
if(countif(mic.lu2,$D84),"M",""),
if(countif(nap.lu2,$D84),"N",""),
if(countif(np.lu2,$D84),"P",""),
if(countif(imp.lu2,$D84),"T",""),
if(countif(us.lu2,$D84),"U",""),
if(countif(var.lu2,$D84),"V",""))</f>
        <v/>
      </c>
      <c r="X84" s="32" t="str">
        <f>
CONCATENATE(
if(countif(dd.myc,$D84),"D",""),
if(countif(knap.myc,$D84),"K",""), 
if(countif(mic.myc,$D84),"M",""),
if(countif(nap.myc,$D84),"N",""),
if(countif(np.myc,$D84),"P",""),
if(countif(imp.myc,$D84),"T",""),
if(countif(us.myc,$D84),"U",""),
if(countif(var.myc,$D84),"V",""))</f>
        <v/>
      </c>
      <c r="Y84" s="32" t="str">
        <f>CONCATENATE(
if(countif(dd.nar,$D84),"D",""),
if(countif(knap.nar,$D84),"K",""),
if(countif(nap.nar,$D84),"N",""),
if(countif(np.nar,$D84),"P",""),
if(countif(imp.nar,$D84),"T",""),
if(countif(us.nar,$D84),"U",""),
if(countif(var.nar,$D84),"V",""))</f>
        <v>KNP</v>
      </c>
      <c r="Z84" s="33" t="str">
        <f>
CONCATENATE(
if(countif(dd.que,$D84),"D",""),
if(countif(knap.que,$D84),"K",""),
if(countif(mic.que,$D84),"M",""),
if(countif(nap.que,$D84),"N",""),
if(countif(np.que,$D84),"P",""),
if(countif(imp.que,$D84),"T",""),
if(countif(us.que,$D84),"U",""),
if(countif(var.que,$D84),"V",""))</f>
        <v>P</v>
      </c>
      <c r="AA84" s="32"/>
      <c r="AB84" s="34" t="str">
        <f>
CONCATENATE(if(countif(knap.agi.sim,$D84),"K",""),
if(countif(dd.agi.sim,$D84),"D",""),
if(countif(nap.agi.sim,$D84),"A",""),
if(countif(var.agi.sim,$D84),"V",""))</f>
        <v/>
      </c>
      <c r="AC84" s="34" t="str">
        <f>
if(countif(nap.bun.sim,$D84),"A","")</f>
        <v/>
      </c>
      <c r="AD84" s="34" t="str">
        <f>
CONCATENATE(if(countif(knap.kxn.sim,$D84),"K",""),
if(countif(np.kxn.sim,$D84),"P",""),
if(countif(dd.kxn.sim,$D84),"D",""),
if(countif(nap.kxn.sim,$D84),"A",""),
if(countif(var.kxn.sim,$D84),"V",""))</f>
        <v/>
      </c>
      <c r="AE84" s="34" t="str">
        <f>
CONCATENATE(if(countif(knap.hwb.sim,$D84),"K",""),
if(countif(np.hwb.sim,$D84),"P",""),
if(countif(mic.hwb.sim,$D84),"M",""),
if(countif(imp.hwb.sim,$D84),"T",""),
if(countif(dd.cyan.sim,$D84),"D",""),
if(countif(nap.hwb.sim,$D84),"A",""),
if(countif(var.hwb.sim,$D84),"V",""))</f>
        <v/>
      </c>
      <c r="AF84" s="34" t="str">
        <f>
CONCATENATE(if(countif(us.ekxn.sim,$D84),"U",""),
if(countif(knap.ekxn.sim,$D84),"K",""),
if(countif(np.ekxn.sim,$D84),"P",""),
if(countif(mic.ekxn.sim,$D84),"M",""),
if(countif(imp.epc.sim,$D84),"T",""),
if(countif(nap.ekxn.sim,$D84),"A",""))</f>
        <v/>
      </c>
      <c r="AG84" s="34"/>
      <c r="AH84" s="34" t="str">
        <f>
CONCATENATE(if(countif(us.egt.sim,$D84),"U",""),
if(countif(knap.egt.sim,$D84),"K",""),
if(countif(np.egt.sim,$D84),"P",""),
if(countif(mic.egt.sim,$D84),"M",""))</f>
        <v/>
      </c>
      <c r="AI84" s="34"/>
      <c r="AJ84" s="34" t="str">
        <f>if(countif(nap.ecit.sim,$D84),"A","")</f>
        <v/>
      </c>
      <c r="AK84" s="34" t="str">
        <f>
CONCATENATE(if(countif(nap.erd,$D84),"M",""),
if(countif(nap.erd.sim,$D84),"A",""),
if(countif(var.erd.sim,$D84),"V",""))</f>
        <v/>
      </c>
      <c r="AL84" s="34" t="str">
        <f>
CONCATENATE(if(countif(knap.gkxn.sim,$D84),"K",""),
if(countif(nap.gkxn.sim,$D84),"A",""))</f>
        <v/>
      </c>
      <c r="AM84" s="34" t="str">
        <f>
CONCATENATE(if(countif(knap.gen.sim,$C84),"K",""),
if(countif(imp.gen.sim,$C84),"T",""),
if(countif(dd.gen.sim,$C84),"D",""),
if(countif(nap.gen.sim,$C84),"A",""),
if(countif(var.gen.sim,$C84),"V",""))
</f>
        <v/>
      </c>
      <c r="AN84" s="34" t="str">
        <f>IFERROR(__xludf.DUMMYFUNCTION("
if(countif(#REF!,CONCATENATE(regexextract($C84,""[\w]* [\w]*""), ""*"")),""V"","""")"),"")</f>
        <v/>
      </c>
      <c r="AO84" s="34" t="str">
        <f>
CONCATENATE(if(countif(knap.kmp.sim,$D84),"K",""),
if(countif(np.kmp.sim,$D84),"P",""),
if(countif(imp.kmp.sim,$D84),"T",""),
if(countif(dd.kmp,$D84),"D",""),
if(countif(nap.kmp.sim,$D84),"A",""),
if(countif(var.kmp.sim,$D84),"V",""))</f>
        <v>V</v>
      </c>
      <c r="AP84" s="34" t="str">
        <f>
CONCATENATE(if(countif(knap.lu2.sim,$D84),"K",""),
if(countif(np.lu2.sim,$D84),"P",""),
if(countif(imp.lu2.sim,$D84),"T",""),
if(countif(dd.lu2.sim,$D84),"D",""),
if(countif(nap.lu2.sim,$D84),"A",""),
if(countif(var.lu2.sim,$D84),"V",""))</f>
        <v>P</v>
      </c>
      <c r="AQ84" s="34" t="str">
        <f>
CONCATENATE(if(countif(np.myc.sim,$D84),"P",""),
if(countif(imp.myc.sim,$D84),"T",""),
if(countif(nap.myc.sim,$D84),"A",""))
</f>
        <v/>
      </c>
      <c r="AR84" s="36" t="str">
        <f>
CONCATENATE(if(countif(knap.nar.sim,$D84),"K",""),
if(countif(np.nar.sim,$D84),"P",""),
if(countif(imp.nar.sim,$D84),"T",""),
if(countif(dd.nar.sim,$D84),"D",""),
if(countif(nap.nar.sim,$D84),"A",""),
if(countif(var.nar.sim,$D84),"V",""))</f>
        <v>P</v>
      </c>
      <c r="AS84" s="34" t="str">
        <f>
CONCATENATE(if(countif(knap.que.sim,$D84),"K",""),
if(countif(np.que.sim,$D84),"P",""),
if(countif(imp.que.sim,$D84),"T",""),
if(countif(dd.que.sim,$D84),"D",""),
if(countif(nap.que.sim,$D84),"A",""),
if(countif(var.que.sim,$D84),"V",""))</f>
        <v>KPAV</v>
      </c>
      <c r="AT84" s="37"/>
      <c r="AU84" s="32" t="str">
        <f>IFERROR(__xludf.DUMMYFUNCTION("if(countif(kr.agi, CONCATENATE(regexextract($C84,""[\w]* [\w]*""), ""*"")),""X"","""")"),"")</f>
        <v/>
      </c>
      <c r="AV84" s="38" t="str">
        <f>IFERROR(__xludf.DUMMYFUNCTION("if(countif(kr.bun,CONCATENATE(regexextract($C84,""[\w]* [\w]*""), ""*"")),""X"","""")"),"X")</f>
        <v>X</v>
      </c>
      <c r="AW84" s="38" t="str">
        <f>IFERROR(__xludf.DUMMYFUNCTION("if(countif(kr.kxn,CONCATENATE(regexextract($C84,""[\w]* [\w]*""), ""*"")),""X"","""")"),"X")</f>
        <v>X</v>
      </c>
      <c r="AX84" s="38" t="str">
        <f>IFERROR(__xludf.DUMMYFUNCTION("if(countif(kr.hwb,CONCATENATE(regexextract($C84,""[\w]* [\w]*""), ""*"")),""X"","""")"),"X")</f>
        <v>X</v>
      </c>
      <c r="AY84" s="38" t="str">
        <f>IFERROR(__xludf.DUMMYFUNCTION("if(countif(kr.ec,CONCATENATE(regexextract($C84,""[\w]* [\w]*""), ""*"")),""X"","""")"),"X")</f>
        <v>X</v>
      </c>
      <c r="AZ84" s="38" t="str">
        <f>IFERROR(__xludf.DUMMYFUNCTION("if(countif(kr.egt,CONCATENATE(regexextract($C84,""[\w]* [\w]*""), ""*"")),""X"","""")"),"")</f>
        <v/>
      </c>
      <c r="BA84" s="38"/>
      <c r="BB84" s="38" t="str">
        <f>IFERROR(__xludf.DUMMYFUNCTION("if(countif(kr.erd,CONCATENATE(regexextract($C84,""[\w]* [\w]*""), ""*"")),""X"","""")"),"X")</f>
        <v>X</v>
      </c>
      <c r="BC84" s="38" t="str">
        <f>IFERROR(__xludf.DUMMYFUNCTION("if(countif(kr.gkxn,CONCATENATE(regexextract($C84,""[\w]* [\w]*""), ""*"")),""X"","""")"),"")</f>
        <v/>
      </c>
      <c r="BD84" s="38" t="str">
        <f>IFERROR(__xludf.DUMMYFUNCTION("if(countif(kr.gen,CONCATENATE(regexextract(C84,""[\w]* [\w]*""), ""*"")),""X"","""")"),"")</f>
        <v/>
      </c>
      <c r="BE84" s="38" t="str">
        <f>IFERROR(__xludf.DUMMYFUNCTION("if(countif(kr.hcc,CONCATENATE(regexextract($C84,""[\w]* [\w]*""), ""*"")),""X"","""")"),"X")</f>
        <v>X</v>
      </c>
      <c r="BF84" s="38" t="str">
        <f>IFERROR(__xludf.DUMMYFUNCTION("if(countif(kr.kmp,CONCATENATE(regexextract($C84,""[\w]* [\w]*""), ""*"")),""X"","""")"),"X")</f>
        <v>X</v>
      </c>
      <c r="BG84" s="38" t="str">
        <f>IFERROR(__xludf.DUMMYFUNCTION("if(countif(kr.lu2,CONCATENATE(regexextract($C84,""[\w]* [\w]*""), ""*"")),""X"","""")"),"")</f>
        <v/>
      </c>
      <c r="BH84" s="38" t="str">
        <f>IFERROR(__xludf.DUMMYFUNCTION("if(countif(kr.myc,CONCATENATE(regexextract($C84,""[\w]* [\w]*""), ""*"")),""X"","""")"),"")</f>
        <v/>
      </c>
      <c r="BI84" s="38" t="str">
        <f>IFERROR(__xludf.DUMMYFUNCTION("if(countif(kr.nar,CONCATENATE(regexextract($C84,""[\w]* [\w]*""), ""*"")),""X"","""")"),"X")</f>
        <v>X</v>
      </c>
      <c r="BJ84" s="38" t="str">
        <f>IFERROR(__xludf.DUMMYFUNCTION("if(countif(kr.que,CONCATENATE(regexextract($C84,""[\w]* [\w]*""), ""*"")),""X"","""")"),"X")</f>
        <v>X</v>
      </c>
      <c r="BK84" s="39"/>
      <c r="BL84" s="40" t="str">
        <f>IFERROR(__xludf.DUMMYFUNCTION(" CONCATENATE( 
if (regexmatch(I84, ""^[A-Za-z\.\_]+""), ""L"", 
if(regexmatch(AB84, ""^[A-Za-z\.\_]+""),""S"","""")),
if(AU84=""X"",""K"",""""))"),"")</f>
        <v/>
      </c>
      <c r="BM84" s="40" t="str">
        <f>IFERROR(__xludf.DUMMYFUNCTION(" CONCATENATE( 
if (regexmatch(J84, ""^[A-Za-z\.\_]+""), ""L"", 
if(regexmatch(AC84, ""^[A-Za-z\.\_]+""),""S"","""")),
if(AV84=""X"",""K"",""""))"),"K")</f>
        <v>K</v>
      </c>
      <c r="BN84" s="40" t="str">
        <f>IFERROR(__xludf.DUMMYFUNCTION(" CONCATENATE( 
if (regexmatch(K84, ""^[A-Za-z\.\_]+""), ""L"", 
if(regexmatch(AD84, ""^[A-Za-z\.\_]+""),""S"","""")),
if(AW84=""X"",""K"",""""))"),"LK")</f>
        <v>LK</v>
      </c>
      <c r="BO84" s="40" t="str">
        <f>IFERROR(__xludf.DUMMYFUNCTION(" CONCATENATE( 
if (regexmatch(L84, ""^[A-Za-z\.\_]+""), ""L"", 
if(regexmatch(AE84, ""^[A-Za-z\.\_]+""),""S"","""")),
if(AX84=""X"",""K"",""""))"),"K")</f>
        <v>K</v>
      </c>
      <c r="BP84" s="40" t="str">
        <f>IFERROR(__xludf.DUMMYFUNCTION(" CONCATENATE( 
if (regexmatch(M84, ""^[A-Za-z\.\_]+""), ""L"", 
if(regexmatch(AF84, ""^[A-Za-z\.\_]+""),""S"","""")),
if(AY84=""X"",""K"",""""))"),"LK")</f>
        <v>LK</v>
      </c>
      <c r="BQ84" s="40" t="str">
        <f>IFERROR(__xludf.DUMMYFUNCTION("CONCATENATE( 
if (regexmatch(O84, ""^[A-Za-z\.\_]+""), ""L"", 
if(regexmatch(AH84, ""^[A-Za-z\.\_]+""),""S"","""")),
if(AZ84=""X"",""K"",""""))"),"")</f>
        <v/>
      </c>
      <c r="BR84" s="40" t="str">
        <f>IFERROR(__xludf.DUMMYFUNCTION("CONCATENATE( 
if (regexmatch(Q84, ""^[A-Za-z\.\_]+""), ""L"", 
if(regexmatch(AJ84, ""^[A-Za-z\.\_]+""),""S"","""")),
if(BA84=""X"",""K"",""""))"),"")</f>
        <v/>
      </c>
      <c r="BS84" s="40" t="str">
        <f>IFERROR(__xludf.DUMMYFUNCTION(" CONCATENATE( 
if (regexmatch(R84, ""^[A-Za-z\.\_]+""), ""L"", 
if(regexmatch(AK84, ""^[A-Za-z\.\_]+""),""S"","""")),
if(BB84=""X"",""K"",""""))"),"K")</f>
        <v>K</v>
      </c>
      <c r="BT84" s="40" t="str">
        <f>IFERROR(__xludf.DUMMYFUNCTION("CONCATENATE( 
if (regexmatch(S84, ""^[A-Za-z\.\_]+""), ""L"", 
if(regexmatch(AL84, ""^[A-Za-z\.\_]+""),""S"","""")),
if(BC84=""X"",""K"",""""))"),"")</f>
        <v/>
      </c>
      <c r="BU84" s="40" t="str">
        <f>IFERROR(__xludf.DUMMYFUNCTION("CONCATENATE( 
if (regexmatch(T84, ""^[A-Za-z\.\_]+""), ""L"", 
if(regexmatch(AM84, ""^[A-Za-z\.\_]+""),""S"","""")),
if(BD84=""X"",""K"",""""))"),"")</f>
        <v/>
      </c>
      <c r="BV84" s="40" t="str">
        <f>IFERROR(__xludf.DUMMYFUNCTION("CONCATENATE( 
if (regexmatch(U84, ""^[A-Za-z\.\_]+""), ""L"", 
if(regexmatch(AN84, ""^[A-Za-z\.\_]+""),""S"","""")),
if(BE84=""X"",""K"",""""))"),"K")</f>
        <v>K</v>
      </c>
      <c r="BW84" s="40" t="str">
        <f>IFERROR(__xludf.DUMMYFUNCTION(" CONCATENATE( 
if (regexmatch(V84, ""^[A-Za-z\.\_]+""), ""L"", 
if(regexmatch(AO84, ""^[A-Za-z\.\_]+""),""S"","""")),
if(BF84=""X"",""K"",""""))"),"SK")</f>
        <v>SK</v>
      </c>
      <c r="BX84" s="40" t="str">
        <f>IFERROR(__xludf.DUMMYFUNCTION("CONCATENATE( 
if (regexmatch(W84, ""^[A-Za-z\.\_]+""), ""L"", 
if(regexmatch(AP84, ""^[A-Za-z\.\_]+""),""S"","""")),
if(BG84=""X"",""K"",""""))"),"S")</f>
        <v>S</v>
      </c>
      <c r="BY84" s="40" t="str">
        <f>IFERROR(__xludf.DUMMYFUNCTION("CONCATENATE( 
if (regexmatch(X84, ""^[A-Za-z\.\_]+""), ""L"", 
if(regexmatch(AQ84, ""^[A-Za-z\.\_]+""),""S"","""")),
if(BH84=""X"",""K"",""""))"),"")</f>
        <v/>
      </c>
      <c r="BZ84" s="40" t="str">
        <f>IFERROR(__xludf.DUMMYFUNCTION("CONCATENATE( 
if (regexmatch(Y84, ""^[A-Za-z\.\_]+""), ""L"", 
if(regexmatch(AR84, ""^[A-Za-z\.\_]+""),""S"","""")),
if(BI84=""X"",""K"",""""))"),"LK")</f>
        <v>LK</v>
      </c>
      <c r="CA84" s="40" t="str">
        <f>IFERROR(__xludf.DUMMYFUNCTION("CONCATENATE( 
if (regexmatch(Z84, ""^[A-Za-z\.\_]+""), ""L"", 
if(regexmatch(AS84, ""^[A-Za-z\.\_]+""),""S"","""")),
if(BJ84=""X"",""K"",""""))"),"LK")</f>
        <v>LK</v>
      </c>
      <c r="CB84" s="39"/>
      <c r="CC84" s="39"/>
      <c r="CD84" s="39"/>
      <c r="CE84" s="39"/>
      <c r="CF84" s="39"/>
      <c r="CG84" s="39"/>
      <c r="CH84" s="39"/>
      <c r="CI84" s="39"/>
      <c r="CJ84" s="39"/>
      <c r="CK84" s="39"/>
      <c r="CL84" s="39"/>
      <c r="CM84" s="39"/>
      <c r="CN84" s="39"/>
      <c r="CO84" s="39"/>
      <c r="CP84" s="39"/>
      <c r="CQ84" s="39"/>
      <c r="CR84" s="39"/>
    </row>
    <row r="85" ht="15.75" customHeight="1">
      <c r="A85" s="25">
        <v>44.0</v>
      </c>
      <c r="B85" s="26" t="s">
        <v>326</v>
      </c>
      <c r="C85" s="41" t="s">
        <v>327</v>
      </c>
      <c r="D85" s="27" t="str">
        <f>IFERROR(__xludf.DUMMYFUNCTION("CONCATENATE(regexextract($C85,""[\w]* [\w]*""), ""*"")"),"Prunus persica*")</f>
        <v>Prunus persica*</v>
      </c>
      <c r="E85" s="26" t="s">
        <v>328</v>
      </c>
      <c r="F85" s="58">
        <v>3760.0</v>
      </c>
      <c r="G85" s="53"/>
      <c r="H85" s="31"/>
      <c r="I85" s="32" t="str">
        <f>CONCATENATE(
if(countif(dd.agi,$D85),"D",""),
if(countif(knap.agi,$D85),"K",""),
if(countif(mic.agi,$D85),"M",""),
if(countif(nap.agi,$D85),"N",""),
if(countif(np.agi,$D85),"P",""),
if(countif(imp.agi,$D85),"T",""),
if(countif(us.agi,$D85),"U",""),
if(countif(var.agi,$D85),"V","")
)</f>
        <v/>
      </c>
      <c r="J85" s="32" t="str">
        <f>
CONCATENATE(
if(countif(nap.bun,$D85),"N",""),
if(countif(np.bun,$D85),"P","")
)
</f>
        <v/>
      </c>
      <c r="K85" s="32" t="str">
        <f>CONCATENATE(
if(countif(dd.kxn,$D85),"D",""),
if(countif(knap.kxn,$D85),"K",""),
if(countif(mic.kxn,$D85),"M",""),
if(countif(nap.kxn,$D85),"N",""),
if(countif(np.kxn,$D85),"P",""),
if(countif(us.kxn,$D85),"U",""),
if(countif(var.kxn,$D85),"V","")
)</f>
        <v>KMU</v>
      </c>
      <c r="L85" s="32" t="str">
        <f>
CONCATENATE(
if(countif(dd.hwb,$D85),"D",""),
if(countif(knap.hwb,$D85),"K",""),
if(countif(mic.hwb,$D85),"M",""),
if(countif(nap.hwb,$D85),"N",""),
if(countif(np.hwb,$D85),"P",""),
if(countif(us.hwb,$D85),"U",""),
if(countif(imp.hwb,$D85),"T",""),
if(countif(var.hwb,$D85),"V","")
)</f>
        <v>U</v>
      </c>
      <c r="M85" s="32" t="str">
        <f>CONCATENATE(
if(countif(dd.epc,$D85),"D",""),
if(countif(knap.ekxn,$D85),"K",""),
if(countif(mic.ekxn,$D85),"M",""),
if(countif(nap.ekxn,$D85),"N",""),
if(countif(np.ekxn,$D85),"P",""),
if(countif(imp.epc,$D85),"T",""),
if(countif(us.ekxn,$D85),"U",""),
if(countif(var.ekxn,$D85),"V","")
)</f>
        <v>U</v>
      </c>
      <c r="N85" s="32" t="str">
        <f>
CONCATENATE(
if(countif(dd.ecg,$D85),"D",""),
if(countif(mic.ecg,$D85),"M",""),
if(countif(np.ecg,$D85),"P",""),
if(countif(imp.ecg,$D85),"T",""),
if(countif(us.ecg,$D85),"U","")
)</f>
        <v/>
      </c>
      <c r="O85" s="32" t="str">
        <f>
CONCATENATE(
if(countif(dd.egt,$D85),"D",""),
if(countif(mic.egt,$D85),"M",""),
if(countif(nap.egt,$D85),"N",""),
if(countif(us.egt,$D85),"U",""),
if(countif(var.egt,$D85),"V",""))
</f>
        <v>MU</v>
      </c>
      <c r="P85" s="32" t="str">
        <f>CONCATENATE(
if(countif(knap.egcg,$D85),"K",""),
if(countif(mic.egcg,$D85),"M",""),
if(countif(np.egcg,$D85),"P",""),
if(countif(us.egcg,$D85),"U","")
)</f>
        <v>MU</v>
      </c>
      <c r="Q85" s="32" t="str">
        <f>CONCATENATE(if(countif(np.ecit,$D85),"P",""),
if(countif(nap.ecit,$D85),"A",""))</f>
        <v/>
      </c>
      <c r="R85" s="32" t="str">
        <f>
CONCATENATE(
if(countif(nap.erd,$D85),"N",""),
if(countif(np.erd,$D85),"P",""),
if(countif(var.erd,$D85),"V",""))</f>
        <v>N</v>
      </c>
      <c r="S85" s="32" t="str">
        <f>
CONCATENATE(
if(countif(dd.gkxn,$D85),"D",""),
if(countif(knap.gkxn,$D85),"K",""),
if(countif(nap.gkxn,$D85),"N",""),
if(countif(np.gkxn,$D85),"P",""),
if(countif(imp.gkxn,$D85),"T",""),
if(countif(var.gkxn,$D85),"V",""))</f>
        <v/>
      </c>
      <c r="T85" s="32" t="str">
        <f>
CONCATENATE(
if(countif(dd.gen,$C85),"D",""),
if(countif(knap.gen,$C85),"K",""),
if(countif(nap.gen,$C85),"N",""),
if(countif(np.gen,$C85),"P",""),
if(countif(imp.gen,$C85),"T",""),
if(countif(var.gen,$C85),"V",""))</f>
        <v/>
      </c>
      <c r="U85" s="32" t="str">
        <f>
CONCATENATE(
if(countif(dd.hcc,$D85),"D",""),
if(countif(knap.hcc,$D85),"K",""),
if(countif(np.hcc,$D85),"P","")
)
</f>
        <v/>
      </c>
      <c r="V85" s="32" t="str">
        <f>
CONCATENATE(
if(countif(dd.kmp,$D85),"D",""),
if(countif(knap.kmp,$D85),"K",""),
if(countif(mic.kmp,$D85),"M",""),
if(countif(nap.kmp,$D85),"N",""),
if(countif(np.kmp,$D85),"P",""),
if(countif(imp.kmp,$D85),"T",""),
if(countif(us.kmp,$D85),"U",""),
if(countif(var.kmp,$D85),"V",""))</f>
        <v>KMNTU</v>
      </c>
      <c r="W85" s="32" t="str">
        <f>
CONCATENATE(
if(countif(dd.lu2,$D85),"D",""),
if(countif(knap.lu2,$D85),"K",""),
if(countif(mic.lu2,$D85),"M",""),
if(countif(nap.lu2,$D85),"N",""),
if(countif(np.lu2,$D85),"P",""),
if(countif(imp.lu2,$D85),"T",""),
if(countif(us.lu2,$D85),"U",""),
if(countif(var.lu2,$D85),"V",""))</f>
        <v/>
      </c>
      <c r="X85" s="32" t="str">
        <f>
CONCATENATE(
if(countif(dd.myc,$D85),"D",""),
if(countif(knap.myc,$D85),"K",""), 
if(countif(mic.myc,$D85),"M",""),
if(countif(nap.myc,$D85),"N",""),
if(countif(np.myc,$D85),"P",""),
if(countif(imp.myc,$D85),"T",""),
if(countif(us.myc,$D85),"U",""),
if(countif(var.myc,$D85),"V",""))</f>
        <v/>
      </c>
      <c r="Y85" s="32" t="str">
        <f>CONCATENATE(
if(countif(dd.nar,$D85),"D",""),
if(countif(knap.nar,$D85),"K",""),
if(countif(nap.nar,$D85),"N",""),
if(countif(np.nar,$D85),"P",""),
if(countif(imp.nar,$D85),"T",""),
if(countif(us.nar,$D85),"U",""),
if(countif(var.nar,$D85),"V",""))</f>
        <v>KNT</v>
      </c>
      <c r="Z85" s="33" t="str">
        <f>
CONCATENATE(
if(countif(dd.que,$D85),"D",""),
if(countif(knap.que,$D85),"K",""),
if(countif(mic.que,$D85),"M",""),
if(countif(nap.que,$D85),"N",""),
if(countif(np.que,$D85),"P",""),
if(countif(imp.que,$D85),"T",""),
if(countif(us.que,$D85),"U",""),
if(countif(var.que,$D85),"V",""))</f>
        <v>MNU</v>
      </c>
      <c r="AA85" s="32"/>
      <c r="AB85" s="34" t="str">
        <f>
CONCATENATE(if(countif(knap.agi.sim,$D85),"K",""),
if(countif(dd.agi.sim,$D85),"D",""),
if(countif(nap.agi.sim,$D85),"A",""),
if(countif(var.agi.sim,$D85),"V",""))</f>
        <v/>
      </c>
      <c r="AC85" s="34" t="str">
        <f>
if(countif(nap.bun.sim,$D85),"A","")</f>
        <v/>
      </c>
      <c r="AD85" s="34" t="str">
        <f>
CONCATENATE(if(countif(knap.kxn.sim,$D85),"K",""),
if(countif(np.kxn.sim,$D85),"P",""),
if(countif(dd.kxn.sim,$D85),"D",""),
if(countif(nap.kxn.sim,$D85),"A",""),
if(countif(var.kxn.sim,$D85),"V",""))</f>
        <v/>
      </c>
      <c r="AE85" s="34" t="str">
        <f>
CONCATENATE(if(countif(knap.hwb.sim,$D85),"K",""),
if(countif(np.hwb.sim,$D85),"P",""),
if(countif(mic.hwb.sim,$D85),"M",""),
if(countif(imp.hwb.sim,$D85),"T",""),
if(countif(dd.cyan.sim,$D85),"D",""),
if(countif(nap.hwb.sim,$D85),"A",""),
if(countif(var.hwb.sim,$D85),"V",""))</f>
        <v/>
      </c>
      <c r="AF85" s="34" t="str">
        <f>
CONCATENATE(if(countif(us.ekxn.sim,$D85),"U",""),
if(countif(knap.ekxn.sim,$D85),"K",""),
if(countif(np.ekxn.sim,$D85),"P",""),
if(countif(mic.ekxn.sim,$D85),"M",""),
if(countif(imp.epc.sim,$D85),"T",""),
if(countif(nap.ekxn.sim,$D85),"A",""))</f>
        <v>UPA</v>
      </c>
      <c r="AG85" s="34"/>
      <c r="AH85" s="34" t="str">
        <f>
CONCATENATE(if(countif(us.egt.sim,$D85),"U",""),
if(countif(knap.egt.sim,$D85),"K",""),
if(countif(np.egt.sim,$D85),"P",""),
if(countif(mic.egt.sim,$D85),"M",""))</f>
        <v>UM</v>
      </c>
      <c r="AI85" s="34"/>
      <c r="AJ85" s="34" t="str">
        <f>if(countif(nap.ecit.sim,$D85),"A","")</f>
        <v/>
      </c>
      <c r="AK85" s="34" t="str">
        <f>
CONCATENATE(if(countif(nap.erd,$D85),"M",""),
if(countif(nap.erd.sim,$D85),"A",""),
if(countif(var.erd.sim,$D85),"V",""))</f>
        <v>M</v>
      </c>
      <c r="AL85" s="34" t="str">
        <f>
CONCATENATE(if(countif(knap.gkxn.sim,$D85),"K",""),
if(countif(nap.gkxn.sim,$D85),"A",""))</f>
        <v/>
      </c>
      <c r="AM85" s="34" t="str">
        <f>
CONCATENATE(if(countif(knap.gen.sim,$C85),"K",""),
if(countif(imp.gen.sim,$C85),"T",""),
if(countif(dd.gen.sim,$C85),"D",""),
if(countif(nap.gen.sim,$C85),"A",""),
if(countif(var.gen.sim,$C85),"V",""))
</f>
        <v/>
      </c>
      <c r="AN85" s="34" t="str">
        <f>IFERROR(__xludf.DUMMYFUNCTION("
if(countif(#REF!,CONCATENATE(regexextract($C85,""[\w]* [\w]*""), ""*"")),""V"","""")"),"")</f>
        <v/>
      </c>
      <c r="AO85" s="34" t="str">
        <f>
CONCATENATE(if(countif(knap.kmp.sim,$D85),"K",""),
if(countif(np.kmp.sim,$D85),"P",""),
if(countif(imp.kmp.sim,$D85),"T",""),
if(countif(dd.kmp,$D85),"D",""),
if(countif(nap.kmp.sim,$D85),"A",""),
if(countif(var.kmp.sim,$D85),"V",""))</f>
        <v>A</v>
      </c>
      <c r="AP85" s="34" t="str">
        <f>
CONCATENATE(if(countif(knap.lu2.sim,$D85),"K",""),
if(countif(np.lu2.sim,$D85),"P",""),
if(countif(imp.lu2.sim,$D85),"T",""),
if(countif(dd.lu2.sim,$D85),"D",""),
if(countif(nap.lu2.sim,$D85),"A",""),
if(countif(var.lu2.sim,$D85),"V",""))</f>
        <v/>
      </c>
      <c r="AQ85" s="34" t="str">
        <f>
CONCATENATE(if(countif(np.myc.sim,$D85),"P",""),
if(countif(imp.myc.sim,$D85),"T",""),
if(countif(nap.myc.sim,$D85),"A",""))
</f>
        <v/>
      </c>
      <c r="AR85" s="36" t="str">
        <f>
CONCATENATE(if(countif(knap.nar.sim,$D85),"K",""),
if(countif(np.nar.sim,$D85),"P",""),
if(countif(imp.nar.sim,$D85),"T",""),
if(countif(dd.nar.sim,$D85),"D",""),
if(countif(nap.nar.sim,$D85),"A",""),
if(countif(var.nar.sim,$D85),"V",""))</f>
        <v>KP</v>
      </c>
      <c r="AS85" s="34" t="str">
        <f>
CONCATENATE(if(countif(knap.que.sim,$D85),"K",""),
if(countif(np.que.sim,$D85),"P",""),
if(countif(imp.que.sim,$D85),"T",""),
if(countif(dd.que.sim,$D85),"D",""),
if(countif(nap.que.sim,$D85),"A",""),
if(countif(var.que.sim,$D85),"V",""))</f>
        <v>A</v>
      </c>
      <c r="AT85" s="37"/>
      <c r="AU85" s="32" t="str">
        <f>IFERROR(__xludf.DUMMYFUNCTION("if(countif(kr.agi, CONCATENATE(regexextract($C85,""[\w]* [\w]*""), ""*"")),""X"","""")"),"")</f>
        <v/>
      </c>
      <c r="AV85" s="38" t="str">
        <f>IFERROR(__xludf.DUMMYFUNCTION("if(countif(kr.bun,CONCATENATE(regexextract($C85,""[\w]* [\w]*""), ""*"")),""X"","""")"),"X")</f>
        <v>X</v>
      </c>
      <c r="AW85" s="38" t="str">
        <f>IFERROR(__xludf.DUMMYFUNCTION("if(countif(kr.kxn,CONCATENATE(regexextract($C85,""[\w]* [\w]*""), ""*"")),""X"","""")"),"X")</f>
        <v>X</v>
      </c>
      <c r="AX85" s="38" t="str">
        <f>IFERROR(__xludf.DUMMYFUNCTION("if(countif(kr.hwb,CONCATENATE(regexextract($C85,""[\w]* [\w]*""), ""*"")),""X"","""")"),"X")</f>
        <v>X</v>
      </c>
      <c r="AY85" s="38" t="str">
        <f>IFERROR(__xludf.DUMMYFUNCTION("if(countif(kr.ec,CONCATENATE(regexextract($C85,""[\w]* [\w]*""), ""*"")),""X"","""")"),"X")</f>
        <v>X</v>
      </c>
      <c r="AZ85" s="38" t="str">
        <f>IFERROR(__xludf.DUMMYFUNCTION("if(countif(kr.egt,CONCATENATE(regexextract($C85,""[\w]* [\w]*""), ""*"")),""X"","""")"),"")</f>
        <v/>
      </c>
      <c r="BA85" s="38"/>
      <c r="BB85" s="38" t="str">
        <f>IFERROR(__xludf.DUMMYFUNCTION("if(countif(kr.erd,CONCATENATE(regexextract($C85,""[\w]* [\w]*""), ""*"")),""X"","""")"),"X")</f>
        <v>X</v>
      </c>
      <c r="BC85" s="38" t="str">
        <f>IFERROR(__xludf.DUMMYFUNCTION("if(countif(kr.gkxn,CONCATENATE(regexextract($C85,""[\w]* [\w]*""), ""*"")),""X"","""")"),"")</f>
        <v/>
      </c>
      <c r="BD85" s="38" t="str">
        <f>IFERROR(__xludf.DUMMYFUNCTION("if(countif(kr.gen,CONCATENATE(regexextract(C85,""[\w]* [\w]*""), ""*"")),""X"","""")"),"")</f>
        <v/>
      </c>
      <c r="BE85" s="38" t="str">
        <f>IFERROR(__xludf.DUMMYFUNCTION("if(countif(kr.hcc,CONCATENATE(regexextract($C85,""[\w]* [\w]*""), ""*"")),""X"","""")"),"X")</f>
        <v>X</v>
      </c>
      <c r="BF85" s="38" t="str">
        <f>IFERROR(__xludf.DUMMYFUNCTION("if(countif(kr.kmp,CONCATENATE(regexextract($C85,""[\w]* [\w]*""), ""*"")),""X"","""")"),"X")</f>
        <v>X</v>
      </c>
      <c r="BG85" s="38" t="str">
        <f>IFERROR(__xludf.DUMMYFUNCTION("if(countif(kr.lu2,CONCATENATE(regexextract($C85,""[\w]* [\w]*""), ""*"")),""X"","""")"),"")</f>
        <v/>
      </c>
      <c r="BH85" s="38" t="str">
        <f>IFERROR(__xludf.DUMMYFUNCTION("if(countif(kr.myc,CONCATENATE(regexextract($C85,""[\w]* [\w]*""), ""*"")),""X"","""")"),"")</f>
        <v/>
      </c>
      <c r="BI85" s="38" t="str">
        <f>IFERROR(__xludf.DUMMYFUNCTION("if(countif(kr.nar,CONCATENATE(regexextract($C85,""[\w]* [\w]*""), ""*"")),""X"","""")"),"X")</f>
        <v>X</v>
      </c>
      <c r="BJ85" s="38" t="str">
        <f>IFERROR(__xludf.DUMMYFUNCTION("if(countif(kr.que,CONCATENATE(regexextract($C85,""[\w]* [\w]*""), ""*"")),""X"","""")"),"X")</f>
        <v>X</v>
      </c>
      <c r="BK85" s="39"/>
      <c r="BL85" s="40" t="str">
        <f>IFERROR(__xludf.DUMMYFUNCTION(" CONCATENATE( 
if (regexmatch(I85, ""^[A-Za-z\.\_]+""), ""L"", 
if(regexmatch(AB85, ""^[A-Za-z\.\_]+""),""S"","""")),
if(AU85=""X"",""K"",""""))"),"")</f>
        <v/>
      </c>
      <c r="BM85" s="40" t="str">
        <f>IFERROR(__xludf.DUMMYFUNCTION(" CONCATENATE( 
if (regexmatch(J85, ""^[A-Za-z\.\_]+""), ""L"", 
if(regexmatch(AC85, ""^[A-Za-z\.\_]+""),""S"","""")),
if(AV85=""X"",""K"",""""))"),"K")</f>
        <v>K</v>
      </c>
      <c r="BN85" s="40" t="str">
        <f>IFERROR(__xludf.DUMMYFUNCTION(" CONCATENATE( 
if (regexmatch(K85, ""^[A-Za-z\.\_]+""), ""L"", 
if(regexmatch(AD85, ""^[A-Za-z\.\_]+""),""S"","""")),
if(AW85=""X"",""K"",""""))"),"LK")</f>
        <v>LK</v>
      </c>
      <c r="BO85" s="40" t="str">
        <f>IFERROR(__xludf.DUMMYFUNCTION(" CONCATENATE( 
if (regexmatch(L85, ""^[A-Za-z\.\_]+""), ""L"", 
if(regexmatch(AE85, ""^[A-Za-z\.\_]+""),""S"","""")),
if(AX85=""X"",""K"",""""))"),"LK")</f>
        <v>LK</v>
      </c>
      <c r="BP85" s="40" t="str">
        <f>IFERROR(__xludf.DUMMYFUNCTION(" CONCATENATE( 
if (regexmatch(M85, ""^[A-Za-z\.\_]+""), ""L"", 
if(regexmatch(AF85, ""^[A-Za-z\.\_]+""),""S"","""")),
if(AY85=""X"",""K"",""""))"),"LK")</f>
        <v>LK</v>
      </c>
      <c r="BQ85" s="40" t="str">
        <f>IFERROR(__xludf.DUMMYFUNCTION("CONCATENATE( 
if (regexmatch(O85, ""^[A-Za-z\.\_]+""), ""L"", 
if(regexmatch(AH85, ""^[A-Za-z\.\_]+""),""S"","""")),
if(AZ85=""X"",""K"",""""))"),"L")</f>
        <v>L</v>
      </c>
      <c r="BR85" s="40" t="str">
        <f>IFERROR(__xludf.DUMMYFUNCTION("CONCATENATE( 
if (regexmatch(Q85, ""^[A-Za-z\.\_]+""), ""L"", 
if(regexmatch(AJ85, ""^[A-Za-z\.\_]+""),""S"","""")),
if(BA85=""X"",""K"",""""))"),"")</f>
        <v/>
      </c>
      <c r="BS85" s="40" t="str">
        <f>IFERROR(__xludf.DUMMYFUNCTION(" CONCATENATE( 
if (regexmatch(R85, ""^[A-Za-z\.\_]+""), ""L"", 
if(regexmatch(AK85, ""^[A-Za-z\.\_]+""),""S"","""")),
if(BB85=""X"",""K"",""""))"),"LK")</f>
        <v>LK</v>
      </c>
      <c r="BT85" s="40" t="str">
        <f>IFERROR(__xludf.DUMMYFUNCTION("CONCATENATE( 
if (regexmatch(S85, ""^[A-Za-z\.\_]+""), ""L"", 
if(regexmatch(AL85, ""^[A-Za-z\.\_]+""),""S"","""")),
if(BC85=""X"",""K"",""""))"),"")</f>
        <v/>
      </c>
      <c r="BU85" s="40" t="str">
        <f>IFERROR(__xludf.DUMMYFUNCTION("CONCATENATE( 
if (regexmatch(T85, ""^[A-Za-z\.\_]+""), ""L"", 
if(regexmatch(AM85, ""^[A-Za-z\.\_]+""),""S"","""")),
if(BD85=""X"",""K"",""""))"),"")</f>
        <v/>
      </c>
      <c r="BV85" s="40" t="str">
        <f>IFERROR(__xludf.DUMMYFUNCTION("CONCATENATE( 
if (regexmatch(U85, ""^[A-Za-z\.\_]+""), ""L"", 
if(regexmatch(AN85, ""^[A-Za-z\.\_]+""),""S"","""")),
if(BE85=""X"",""K"",""""))"),"K")</f>
        <v>K</v>
      </c>
      <c r="BW85" s="40" t="str">
        <f>IFERROR(__xludf.DUMMYFUNCTION(" CONCATENATE( 
if (regexmatch(V85, ""^[A-Za-z\.\_]+""), ""L"", 
if(regexmatch(AO85, ""^[A-Za-z\.\_]+""),""S"","""")),
if(BF85=""X"",""K"",""""))"),"LK")</f>
        <v>LK</v>
      </c>
      <c r="BX85" s="40" t="str">
        <f>IFERROR(__xludf.DUMMYFUNCTION("CONCATENATE( 
if (regexmatch(W85, ""^[A-Za-z\.\_]+""), ""L"", 
if(regexmatch(AP85, ""^[A-Za-z\.\_]+""),""S"","""")),
if(BG85=""X"",""K"",""""))"),"")</f>
        <v/>
      </c>
      <c r="BY85" s="40" t="str">
        <f>IFERROR(__xludf.DUMMYFUNCTION("CONCATENATE( 
if (regexmatch(X85, ""^[A-Za-z\.\_]+""), ""L"", 
if(regexmatch(AQ85, ""^[A-Za-z\.\_]+""),""S"","""")),
if(BH85=""X"",""K"",""""))"),"")</f>
        <v/>
      </c>
      <c r="BZ85" s="40" t="str">
        <f>IFERROR(__xludf.DUMMYFUNCTION("CONCATENATE( 
if (regexmatch(Y85, ""^[A-Za-z\.\_]+""), ""L"", 
if(regexmatch(AR85, ""^[A-Za-z\.\_]+""),""S"","""")),
if(BI85=""X"",""K"",""""))"),"LK")</f>
        <v>LK</v>
      </c>
      <c r="CA85" s="40" t="str">
        <f>IFERROR(__xludf.DUMMYFUNCTION("CONCATENATE( 
if (regexmatch(Z85, ""^[A-Za-z\.\_]+""), ""L"", 
if(regexmatch(AS85, ""^[A-Za-z\.\_]+""),""S"","""")),
if(BJ85=""X"",""K"",""""))"),"LK")</f>
        <v>LK</v>
      </c>
      <c r="CB85" s="39"/>
      <c r="CC85" s="39"/>
      <c r="CD85" s="39"/>
      <c r="CE85" s="39"/>
      <c r="CF85" s="39"/>
      <c r="CG85" s="39"/>
      <c r="CH85" s="39"/>
      <c r="CI85" s="39"/>
      <c r="CJ85" s="39"/>
      <c r="CK85" s="39"/>
      <c r="CL85" s="39"/>
      <c r="CM85" s="39"/>
      <c r="CN85" s="39"/>
      <c r="CO85" s="39"/>
      <c r="CP85" s="39"/>
      <c r="CQ85" s="39"/>
      <c r="CR85" s="39"/>
    </row>
    <row r="86" ht="15.75" customHeight="1">
      <c r="A86" s="25">
        <v>45.0</v>
      </c>
      <c r="B86" s="26" t="s">
        <v>329</v>
      </c>
      <c r="C86" s="27" t="s">
        <v>330</v>
      </c>
      <c r="D86" s="27" t="str">
        <f>IFERROR(__xludf.DUMMYFUNCTION("CONCATENATE(regexextract($C86,""[\w]* [\w]*""), ""*"")"),"Pyrus x*")</f>
        <v>Pyrus x*</v>
      </c>
      <c r="E86" s="59" t="s">
        <v>331</v>
      </c>
      <c r="F86" s="57">
        <v>225117.0</v>
      </c>
      <c r="G86" s="64"/>
      <c r="H86" s="31"/>
      <c r="I86" s="32" t="str">
        <f>CONCATENATE(
if(countif(dd.agi,$D86),"D",""),
if(countif(knap.agi,$D86),"K",""),
if(countif(mic.agi,$D86),"M",""),
if(countif(nap.agi,$D86),"N",""),
if(countif(np.agi,$D86),"P",""),
if(countif(imp.agi,$D86),"T",""),
if(countif(us.agi,$D86),"U",""),
if(countif(var.agi,$D86),"V","")
)</f>
        <v/>
      </c>
      <c r="J86" s="32" t="str">
        <f>
CONCATENATE(
if(countif(nap.bun,$D86),"N",""),
if(countif(np.bun,$D86),"P","")
)
</f>
        <v/>
      </c>
      <c r="K86" s="32" t="str">
        <f>CONCATENATE(
if(countif(dd.kxn,$D86),"D",""),
if(countif(knap.kxn,$D86),"K",""),
if(countif(mic.kxn,$D86),"M",""),
if(countif(nap.kxn,$D86),"N",""),
if(countif(np.kxn,$D86),"P",""),
if(countif(us.kxn,$D86),"U",""),
if(countif(var.kxn,$D86),"V","")
)</f>
        <v>V</v>
      </c>
      <c r="L86" s="32" t="str">
        <f>
CONCATENATE(
if(countif(dd.hwb,$D86),"D",""),
if(countif(knap.hwb,$D86),"K",""),
if(countif(mic.hwb,$D86),"M",""),
if(countif(nap.hwb,$D86),"N",""),
if(countif(np.hwb,$D86),"P",""),
if(countif(us.hwb,$D86),"U",""),
if(countif(imp.hwb,$D86),"T",""),
if(countif(var.hwb,$D86),"V","")
)</f>
        <v/>
      </c>
      <c r="M86" s="32" t="str">
        <f>CONCATENATE(
if(countif(dd.epc,$D86),"D",""),
if(countif(knap.ekxn,$D86),"K",""),
if(countif(mic.ekxn,$D86),"M",""),
if(countif(nap.ekxn,$D86),"N",""),
if(countif(np.ekxn,$D86),"P",""),
if(countif(imp.epc,$D86),"T",""),
if(countif(us.ekxn,$D86),"U",""),
if(countif(var.ekxn,$D86),"V","")
)</f>
        <v>V</v>
      </c>
      <c r="N86" s="32" t="str">
        <f>
CONCATENATE(
if(countif(dd.ecg,$D86),"D",""),
if(countif(mic.ecg,$D86),"M",""),
if(countif(np.ecg,$D86),"P",""),
if(countif(imp.ecg,$D86),"T",""),
if(countif(us.ecg,$D86),"U","")
)</f>
        <v/>
      </c>
      <c r="O86" s="32" t="str">
        <f>
CONCATENATE(
if(countif(dd.egt,$D86),"D",""),
if(countif(mic.egt,$D86),"M",""),
if(countif(nap.egt,$D86),"N",""),
if(countif(us.egt,$D86),"U",""),
if(countif(var.egt,$D86),"V",""))
</f>
        <v/>
      </c>
      <c r="P86" s="32" t="str">
        <f>CONCATENATE(
if(countif(knap.egcg,$D86),"K",""),
if(countif(mic.egcg,$D86),"M",""),
if(countif(np.egcg,$D86),"P",""),
if(countif(us.egcg,$D86),"U","")
)</f>
        <v/>
      </c>
      <c r="Q86" s="32" t="str">
        <f>CONCATENATE(if(countif(np.ecit,$D86),"P",""),
if(countif(nap.ecit,$D86),"A",""))</f>
        <v/>
      </c>
      <c r="R86" s="32" t="str">
        <f>
CONCATENATE(
if(countif(nap.erd,$D86),"N",""),
if(countif(np.erd,$D86),"P",""),
if(countif(var.erd,$D86),"V",""))</f>
        <v/>
      </c>
      <c r="S86" s="32" t="str">
        <f>
CONCATENATE(
if(countif(dd.gkxn,$D86),"D",""),
if(countif(knap.gkxn,$D86),"K",""),
if(countif(nap.gkxn,$D86),"N",""),
if(countif(np.gkxn,$D86),"P",""),
if(countif(imp.gkxn,$D86),"T",""),
if(countif(var.gkxn,$D86),"V",""))</f>
        <v/>
      </c>
      <c r="T86" s="32" t="str">
        <f>
CONCATENATE(
if(countif(dd.gen,$C86),"D",""),
if(countif(knap.gen,$C86),"K",""),
if(countif(nap.gen,$C86),"N",""),
if(countif(np.gen,$C86),"P",""),
if(countif(imp.gen,$C86),"T",""),
if(countif(var.gen,$C86),"V",""))</f>
        <v/>
      </c>
      <c r="U86" s="32" t="str">
        <f>
CONCATENATE(
if(countif(dd.hcc,$D86),"D",""),
if(countif(knap.hcc,$D86),"K",""),
if(countif(np.hcc,$D86),"P","")
)
</f>
        <v/>
      </c>
      <c r="V86" s="32" t="str">
        <f>
CONCATENATE(
if(countif(dd.kmp,$D86),"D",""),
if(countif(knap.kmp,$D86),"K",""),
if(countif(mic.kmp,$D86),"M",""),
if(countif(nap.kmp,$D86),"N",""),
if(countif(np.kmp,$D86),"P",""),
if(countif(imp.kmp,$D86),"T",""),
if(countif(us.kmp,$D86),"U",""),
if(countif(var.kmp,$D86),"V",""))</f>
        <v/>
      </c>
      <c r="W86" s="32" t="str">
        <f>
CONCATENATE(
if(countif(dd.lu2,$D86),"D",""),
if(countif(knap.lu2,$D86),"K",""),
if(countif(mic.lu2,$D86),"M",""),
if(countif(nap.lu2,$D86),"N",""),
if(countif(np.lu2,$D86),"P",""),
if(countif(imp.lu2,$D86),"T",""),
if(countif(us.lu2,$D86),"U",""),
if(countif(var.lu2,$D86),"V",""))</f>
        <v/>
      </c>
      <c r="X86" s="32" t="str">
        <f>
CONCATENATE(
if(countif(dd.myc,$D86),"D",""),
if(countif(knap.myc,$D86),"K",""), 
if(countif(mic.myc,$D86),"M",""),
if(countif(nap.myc,$D86),"N",""),
if(countif(np.myc,$D86),"P",""),
if(countif(imp.myc,$D86),"T",""),
if(countif(us.myc,$D86),"U",""),
if(countif(var.myc,$D86),"V",""))</f>
        <v/>
      </c>
      <c r="Y86" s="32" t="str">
        <f>CONCATENATE(
if(countif(dd.nar,$D86),"D",""),
if(countif(knap.nar,$D86),"K",""),
if(countif(nap.nar,$D86),"N",""),
if(countif(np.nar,$D86),"P",""),
if(countif(imp.nar,$D86),"T",""),
if(countif(us.nar,$D86),"U",""),
if(countif(var.nar,$D86),"V",""))</f>
        <v/>
      </c>
      <c r="Z86" s="33" t="str">
        <f>
CONCATENATE(
if(countif(dd.que,$D86),"D",""),
if(countif(knap.que,$D86),"K",""),
if(countif(mic.que,$D86),"M",""),
if(countif(nap.que,$D86),"N",""),
if(countif(np.que,$D86),"P",""),
if(countif(imp.que,$D86),"T",""),
if(countif(us.que,$D86),"U",""),
if(countif(var.que,$D86),"V",""))</f>
        <v/>
      </c>
      <c r="AA86" s="32"/>
      <c r="AB86" s="34" t="str">
        <f>
CONCATENATE(if(countif(knap.agi.sim,$D86),"K",""),
if(countif(dd.agi.sim,$D86),"D",""),
if(countif(nap.agi.sim,$D86),"A",""),
if(countif(var.agi.sim,$D86),"V",""))</f>
        <v/>
      </c>
      <c r="AC86" s="34" t="str">
        <f>
if(countif(nap.bun.sim,$D86),"A","")</f>
        <v/>
      </c>
      <c r="AD86" s="34" t="str">
        <f>
CONCATENATE(if(countif(knap.kxn.sim,$D86),"K",""),
if(countif(np.kxn.sim,$D86),"P",""),
if(countif(dd.kxn.sim,$D86),"D",""),
if(countif(nap.kxn.sim,$D86),"A",""),
if(countif(var.kxn.sim,$D86),"V",""))</f>
        <v/>
      </c>
      <c r="AE86" s="34" t="str">
        <f>
CONCATENATE(if(countif(knap.hwb.sim,$D86),"K",""),
if(countif(np.hwb.sim,$D86),"P",""),
if(countif(mic.hwb.sim,$D86),"M",""),
if(countif(imp.hwb.sim,$D86),"T",""),
if(countif(dd.cyan.sim,$D86),"D",""),
if(countif(nap.hwb.sim,$D86),"A",""),
if(countif(var.hwb.sim,$D86),"V",""))</f>
        <v/>
      </c>
      <c r="AF86" s="34" t="str">
        <f>
CONCATENATE(if(countif(us.ekxn.sim,$D86),"U",""),
if(countif(knap.ekxn.sim,$D86),"K",""),
if(countif(np.ekxn.sim,$D86),"P",""),
if(countif(mic.ekxn.sim,$D86),"M",""),
if(countif(imp.epc.sim,$D86),"T",""),
if(countif(nap.ekxn.sim,$D86),"A",""))</f>
        <v/>
      </c>
      <c r="AG86" s="34"/>
      <c r="AH86" s="34" t="str">
        <f>
CONCATENATE(if(countif(us.egt.sim,$D86),"U",""),
if(countif(knap.egt.sim,$D86),"K",""),
if(countif(np.egt.sim,$D86),"P",""),
if(countif(mic.egt.sim,$D86),"M",""))</f>
        <v/>
      </c>
      <c r="AI86" s="34"/>
      <c r="AJ86" s="34" t="str">
        <f>if(countif(nap.ecit.sim,$D86),"A","")</f>
        <v/>
      </c>
      <c r="AK86" s="34" t="str">
        <f>
CONCATENATE(if(countif(nap.erd,$D86),"M",""),
if(countif(nap.erd.sim,$D86),"A",""),
if(countif(var.erd.sim,$D86),"V",""))</f>
        <v/>
      </c>
      <c r="AL86" s="34" t="str">
        <f>
CONCATENATE(if(countif(knap.gkxn.sim,$D86),"K",""),
if(countif(nap.gkxn.sim,$D86),"A",""))</f>
        <v/>
      </c>
      <c r="AM86" s="34" t="str">
        <f>
CONCATENATE(if(countif(knap.gen.sim,$C86),"K",""),
if(countif(imp.gen.sim,$C86),"T",""),
if(countif(dd.gen.sim,$C86),"D",""),
if(countif(nap.gen.sim,$C86),"A",""),
if(countif(var.gen.sim,$C86),"V",""))
</f>
        <v/>
      </c>
      <c r="AN86" s="34" t="str">
        <f>IFERROR(__xludf.DUMMYFUNCTION("
if(countif(#REF!,CONCATENATE(regexextract($C86,""[\w]* [\w]*""), ""*"")),""V"","""")"),"")</f>
        <v/>
      </c>
      <c r="AO86" s="34" t="str">
        <f>
CONCATENATE(if(countif(knap.kmp.sim,$D86),"K",""),
if(countif(np.kmp.sim,$D86),"P",""),
if(countif(imp.kmp.sim,$D86),"T",""),
if(countif(dd.kmp,$D86),"D",""),
if(countif(nap.kmp.sim,$D86),"A",""),
if(countif(var.kmp.sim,$D86),"V",""))</f>
        <v/>
      </c>
      <c r="AP86" s="34" t="str">
        <f>
CONCATENATE(if(countif(knap.lu2.sim,$D86),"K",""),
if(countif(np.lu2.sim,$D86),"P",""),
if(countif(imp.lu2.sim,$D86),"T",""),
if(countif(dd.lu2.sim,$D86),"D",""),
if(countif(nap.lu2.sim,$D86),"A",""),
if(countif(var.lu2.sim,$D86),"V",""))</f>
        <v/>
      </c>
      <c r="AQ86" s="34" t="str">
        <f>
CONCATENATE(if(countif(np.myc.sim,$D86),"P",""),
if(countif(imp.myc.sim,$D86),"T",""),
if(countif(nap.myc.sim,$D86),"A",""))
</f>
        <v/>
      </c>
      <c r="AR86" s="36" t="str">
        <f>
CONCATENATE(if(countif(knap.nar.sim,$D86),"K",""),
if(countif(np.nar.sim,$D86),"P",""),
if(countif(imp.nar.sim,$D86),"T",""),
if(countif(dd.nar.sim,$D86),"D",""),
if(countif(nap.nar.sim,$D86),"A",""),
if(countif(var.nar.sim,$D86),"V",""))</f>
        <v/>
      </c>
      <c r="AS86" s="34" t="str">
        <f>
CONCATENATE(if(countif(knap.que.sim,$D86),"K",""),
if(countif(np.que.sim,$D86),"P",""),
if(countif(imp.que.sim,$D86),"T",""),
if(countif(dd.que.sim,$D86),"D",""),
if(countif(nap.que.sim,$D86),"A",""),
if(countif(var.que.sim,$D86),"V",""))</f>
        <v/>
      </c>
      <c r="AT86" s="37"/>
      <c r="AU86" s="32" t="str">
        <f>IFERROR(__xludf.DUMMYFUNCTION("if(countif(kr.agi, CONCATENATE(regexextract($C86,""[\w]* [\w]*""), ""*"")),""X"","""")"),"")</f>
        <v/>
      </c>
      <c r="AV86" s="38" t="str">
        <f>IFERROR(__xludf.DUMMYFUNCTION("if(countif(kr.bun,CONCATENATE(regexextract($C86,""[\w]* [\w]*""), ""*"")),""X"","""")"),"X")</f>
        <v>X</v>
      </c>
      <c r="AW86" s="38" t="str">
        <f>IFERROR(__xludf.DUMMYFUNCTION("if(countif(kr.kxn,CONCATENATE(regexextract($C86,""[\w]* [\w]*""), ""*"")),""X"","""")"),"X")</f>
        <v>X</v>
      </c>
      <c r="AX86" s="38" t="str">
        <f>IFERROR(__xludf.DUMMYFUNCTION("if(countif(kr.hwb,CONCATENATE(regexextract($C86,""[\w]* [\w]*""), ""*"")),""X"","""")"),"X")</f>
        <v>X</v>
      </c>
      <c r="AY86" s="38" t="str">
        <f>IFERROR(__xludf.DUMMYFUNCTION("if(countif(kr.ec,CONCATENATE(regexextract($C86,""[\w]* [\w]*""), ""*"")),""X"","""")"),"X")</f>
        <v>X</v>
      </c>
      <c r="AZ86" s="38" t="str">
        <f>IFERROR(__xludf.DUMMYFUNCTION("if(countif(kr.egt,CONCATENATE(regexextract($C86,""[\w]* [\w]*""), ""*"")),""X"","""")"),"")</f>
        <v/>
      </c>
      <c r="BA86" s="38"/>
      <c r="BB86" s="38" t="str">
        <f>IFERROR(__xludf.DUMMYFUNCTION("if(countif(kr.erd,CONCATENATE(regexextract($C86,""[\w]* [\w]*""), ""*"")),""X"","""")"),"X")</f>
        <v>X</v>
      </c>
      <c r="BC86" s="38" t="str">
        <f>IFERROR(__xludf.DUMMYFUNCTION("if(countif(kr.gkxn,CONCATENATE(regexextract($C86,""[\w]* [\w]*""), ""*"")),""X"","""")"),"")</f>
        <v/>
      </c>
      <c r="BD86" s="38" t="str">
        <f>IFERROR(__xludf.DUMMYFUNCTION("if(countif(kr.gen,CONCATENATE(regexextract(C86,""[\w]* [\w]*""), ""*"")),""X"","""")"),"")</f>
        <v/>
      </c>
      <c r="BE86" s="38" t="str">
        <f>IFERROR(__xludf.DUMMYFUNCTION("if(countif(kr.hcc,CONCATENATE(regexextract($C86,""[\w]* [\w]*""), ""*"")),""X"","""")"),"X")</f>
        <v>X</v>
      </c>
      <c r="BF86" s="38" t="str">
        <f>IFERROR(__xludf.DUMMYFUNCTION("if(countif(kr.kmp,CONCATENATE(regexextract($C86,""[\w]* [\w]*""), ""*"")),""X"","""")"),"X")</f>
        <v>X</v>
      </c>
      <c r="BG86" s="38" t="str">
        <f>IFERROR(__xludf.DUMMYFUNCTION("if(countif(kr.lu2,CONCATENATE(regexextract($C86,""[\w]* [\w]*""), ""*"")),""X"","""")"),"")</f>
        <v/>
      </c>
      <c r="BH86" s="38" t="str">
        <f>IFERROR(__xludf.DUMMYFUNCTION("if(countif(kr.myc,CONCATENATE(regexextract($C86,""[\w]* [\w]*""), ""*"")),""X"","""")"),"")</f>
        <v/>
      </c>
      <c r="BI86" s="38" t="str">
        <f>IFERROR(__xludf.DUMMYFUNCTION("if(countif(kr.nar,CONCATENATE(regexextract($C86,""[\w]* [\w]*""), ""*"")),""X"","""")"),"X")</f>
        <v>X</v>
      </c>
      <c r="BJ86" s="38" t="str">
        <f>IFERROR(__xludf.DUMMYFUNCTION("if(countif(kr.que,CONCATENATE(regexextract($C86,""[\w]* [\w]*""), ""*"")),""X"","""")"),"X")</f>
        <v>X</v>
      </c>
      <c r="BK86" s="39"/>
      <c r="BL86" s="40" t="str">
        <f>IFERROR(__xludf.DUMMYFUNCTION(" CONCATENATE( 
if (regexmatch(I86, ""^[A-Za-z\.\_]+""), ""L"", 
if(regexmatch(AB86, ""^[A-Za-z\.\_]+""),""S"","""")),
if(AU86=""X"",""K"",""""))"),"")</f>
        <v/>
      </c>
      <c r="BM86" s="40" t="str">
        <f>IFERROR(__xludf.DUMMYFUNCTION(" CONCATENATE( 
if (regexmatch(J86, ""^[A-Za-z\.\_]+""), ""L"", 
if(regexmatch(AC86, ""^[A-Za-z\.\_]+""),""S"","""")),
if(AV86=""X"",""K"",""""))"),"K")</f>
        <v>K</v>
      </c>
      <c r="BN86" s="40" t="str">
        <f>IFERROR(__xludf.DUMMYFUNCTION(" CONCATENATE( 
if (regexmatch(K86, ""^[A-Za-z\.\_]+""), ""L"", 
if(regexmatch(AD86, ""^[A-Za-z\.\_]+""),""S"","""")),
if(AW86=""X"",""K"",""""))"),"LK")</f>
        <v>LK</v>
      </c>
      <c r="BO86" s="40" t="str">
        <f>IFERROR(__xludf.DUMMYFUNCTION(" CONCATENATE( 
if (regexmatch(L86, ""^[A-Za-z\.\_]+""), ""L"", 
if(regexmatch(AE86, ""^[A-Za-z\.\_]+""),""S"","""")),
if(AX86=""X"",""K"",""""))"),"K")</f>
        <v>K</v>
      </c>
      <c r="BP86" s="40" t="str">
        <f>IFERROR(__xludf.DUMMYFUNCTION(" CONCATENATE( 
if (regexmatch(M86, ""^[A-Za-z\.\_]+""), ""L"", 
if(regexmatch(AF86, ""^[A-Za-z\.\_]+""),""S"","""")),
if(AY86=""X"",""K"",""""))"),"LK")</f>
        <v>LK</v>
      </c>
      <c r="BQ86" s="40" t="str">
        <f>IFERROR(__xludf.DUMMYFUNCTION("CONCATENATE( 
if (regexmatch(O86, ""^[A-Za-z\.\_]+""), ""L"", 
if(regexmatch(AH86, ""^[A-Za-z\.\_]+""),""S"","""")),
if(AZ86=""X"",""K"",""""))"),"")</f>
        <v/>
      </c>
      <c r="BR86" s="40" t="str">
        <f>IFERROR(__xludf.DUMMYFUNCTION("CONCATENATE( 
if (regexmatch(Q86, ""^[A-Za-z\.\_]+""), ""L"", 
if(regexmatch(AJ86, ""^[A-Za-z\.\_]+""),""S"","""")),
if(BA86=""X"",""K"",""""))"),"")</f>
        <v/>
      </c>
      <c r="BS86" s="40" t="str">
        <f>IFERROR(__xludf.DUMMYFUNCTION(" CONCATENATE( 
if (regexmatch(R86, ""^[A-Za-z\.\_]+""), ""L"", 
if(regexmatch(AK86, ""^[A-Za-z\.\_]+""),""S"","""")),
if(BB86=""X"",""K"",""""))"),"K")</f>
        <v>K</v>
      </c>
      <c r="BT86" s="40" t="str">
        <f>IFERROR(__xludf.DUMMYFUNCTION("CONCATENATE( 
if (regexmatch(S86, ""^[A-Za-z\.\_]+""), ""L"", 
if(regexmatch(AL86, ""^[A-Za-z\.\_]+""),""S"","""")),
if(BC86=""X"",""K"",""""))"),"")</f>
        <v/>
      </c>
      <c r="BU86" s="40" t="str">
        <f>IFERROR(__xludf.DUMMYFUNCTION("CONCATENATE( 
if (regexmatch(T86, ""^[A-Za-z\.\_]+""), ""L"", 
if(regexmatch(AM86, ""^[A-Za-z\.\_]+""),""S"","""")),
if(BD86=""X"",""K"",""""))"),"")</f>
        <v/>
      </c>
      <c r="BV86" s="40" t="str">
        <f>IFERROR(__xludf.DUMMYFUNCTION("CONCATENATE( 
if (regexmatch(U86, ""^[A-Za-z\.\_]+""), ""L"", 
if(regexmatch(AN86, ""^[A-Za-z\.\_]+""),""S"","""")),
if(BE86=""X"",""K"",""""))"),"K")</f>
        <v>K</v>
      </c>
      <c r="BW86" s="40" t="str">
        <f>IFERROR(__xludf.DUMMYFUNCTION(" CONCATENATE( 
if (regexmatch(V86, ""^[A-Za-z\.\_]+""), ""L"", 
if(regexmatch(AO86, ""^[A-Za-z\.\_]+""),""S"","""")),
if(BF86=""X"",""K"",""""))"),"K")</f>
        <v>K</v>
      </c>
      <c r="BX86" s="40" t="str">
        <f>IFERROR(__xludf.DUMMYFUNCTION("CONCATENATE( 
if (regexmatch(W86, ""^[A-Za-z\.\_]+""), ""L"", 
if(regexmatch(AP86, ""^[A-Za-z\.\_]+""),""S"","""")),
if(BG86=""X"",""K"",""""))"),"")</f>
        <v/>
      </c>
      <c r="BY86" s="40" t="str">
        <f>IFERROR(__xludf.DUMMYFUNCTION("CONCATENATE( 
if (regexmatch(X86, ""^[A-Za-z\.\_]+""), ""L"", 
if(regexmatch(AQ86, ""^[A-Za-z\.\_]+""),""S"","""")),
if(BH86=""X"",""K"",""""))"),"")</f>
        <v/>
      </c>
      <c r="BZ86" s="40" t="str">
        <f>IFERROR(__xludf.DUMMYFUNCTION("CONCATENATE( 
if (regexmatch(Y86, ""^[A-Za-z\.\_]+""), ""L"", 
if(regexmatch(AR86, ""^[A-Za-z\.\_]+""),""S"","""")),
if(BI86=""X"",""K"",""""))"),"K")</f>
        <v>K</v>
      </c>
      <c r="CA86" s="40" t="str">
        <f>IFERROR(__xludf.DUMMYFUNCTION("CONCATENATE( 
if (regexmatch(Z86, ""^[A-Za-z\.\_]+""), ""L"", 
if(regexmatch(AS86, ""^[A-Za-z\.\_]+""),""S"","""")),
if(BJ86=""X"",""K"",""""))"),"K")</f>
        <v>K</v>
      </c>
      <c r="CB86" s="39"/>
      <c r="CC86" s="39"/>
      <c r="CD86" s="39"/>
      <c r="CE86" s="39"/>
      <c r="CF86" s="39"/>
      <c r="CG86" s="39"/>
      <c r="CH86" s="39"/>
      <c r="CI86" s="39"/>
      <c r="CJ86" s="39"/>
      <c r="CK86" s="39"/>
      <c r="CL86" s="39"/>
      <c r="CM86" s="39"/>
      <c r="CN86" s="39"/>
      <c r="CO86" s="39"/>
      <c r="CP86" s="39"/>
      <c r="CQ86" s="39"/>
      <c r="CR86" s="39"/>
    </row>
    <row r="87" ht="15.75" customHeight="1">
      <c r="A87" s="25">
        <v>67.0</v>
      </c>
      <c r="B87" s="26" t="s">
        <v>332</v>
      </c>
      <c r="C87" s="41" t="s">
        <v>333</v>
      </c>
      <c r="D87" s="27" t="str">
        <f>IFERROR(__xludf.DUMMYFUNCTION("CONCATENATE(regexextract($C87,""[\w]* [\w]*""), ""*"")"),"Quercus suber*")</f>
        <v>Quercus suber*</v>
      </c>
      <c r="E87" s="59" t="s">
        <v>334</v>
      </c>
      <c r="F87" s="58">
        <v>58331.0</v>
      </c>
      <c r="G87" s="53"/>
      <c r="H87" s="31"/>
      <c r="I87" s="32" t="str">
        <f>CONCATENATE(
if(countif(dd.agi,$D87),"D",""),
if(countif(knap.agi,$D87),"K",""),
if(countif(mic.agi,$D87),"M",""),
if(countif(nap.agi,$D87),"N",""),
if(countif(np.agi,$D87),"P",""),
if(countif(imp.agi,$D87),"T",""),
if(countif(us.agi,$D87),"U",""),
if(countif(var.agi,$D87),"V","")
)</f>
        <v/>
      </c>
      <c r="J87" s="32" t="str">
        <f>
CONCATENATE(
if(countif(nap.bun,$D87),"N",""),
if(countif(np.bun,$D87),"P","")
)
</f>
        <v/>
      </c>
      <c r="K87" s="32" t="str">
        <f>CONCATENATE(
if(countif(dd.kxn,$D87),"D",""),
if(countif(knap.kxn,$D87),"K",""),
if(countif(mic.kxn,$D87),"M",""),
if(countif(nap.kxn,$D87),"N",""),
if(countif(np.kxn,$D87),"P",""),
if(countif(us.kxn,$D87),"U",""),
if(countif(var.kxn,$D87),"V","")
)</f>
        <v/>
      </c>
      <c r="L87" s="32" t="str">
        <f>
CONCATENATE(
if(countif(dd.hwb,$D87),"D",""),
if(countif(knap.hwb,$D87),"K",""),
if(countif(mic.hwb,$D87),"M",""),
if(countif(nap.hwb,$D87),"N",""),
if(countif(np.hwb,$D87),"P",""),
if(countif(us.hwb,$D87),"U",""),
if(countif(imp.hwb,$D87),"T",""),
if(countif(var.hwb,$D87),"V","")
)</f>
        <v/>
      </c>
      <c r="M87" s="32" t="str">
        <f>CONCATENATE(
if(countif(dd.epc,$D87),"D",""),
if(countif(knap.ekxn,$D87),"K",""),
if(countif(mic.ekxn,$D87),"M",""),
if(countif(nap.ekxn,$D87),"N",""),
if(countif(np.ekxn,$D87),"P",""),
if(countif(imp.epc,$D87),"T",""),
if(countif(us.ekxn,$D87),"U",""),
if(countif(var.ekxn,$D87),"V","")
)</f>
        <v/>
      </c>
      <c r="N87" s="32" t="str">
        <f>
CONCATENATE(
if(countif(dd.ecg,$D87),"D",""),
if(countif(mic.ecg,$D87),"M",""),
if(countif(np.ecg,$D87),"P",""),
if(countif(imp.ecg,$D87),"T",""),
if(countif(us.ecg,$D87),"U","")
)</f>
        <v/>
      </c>
      <c r="O87" s="32" t="str">
        <f>
CONCATENATE(
if(countif(dd.egt,$D87),"D",""),
if(countif(mic.egt,$D87),"M",""),
if(countif(nap.egt,$D87),"N",""),
if(countif(us.egt,$D87),"U",""),
if(countif(var.egt,$D87),"V",""))
</f>
        <v/>
      </c>
      <c r="P87" s="32" t="str">
        <f>CONCATENATE(
if(countif(knap.egcg,$D87),"K",""),
if(countif(mic.egcg,$D87),"M",""),
if(countif(np.egcg,$D87),"P",""),
if(countif(us.egcg,$D87),"U","")
)</f>
        <v/>
      </c>
      <c r="Q87" s="32" t="str">
        <f>CONCATENATE(if(countif(np.ecit,$D87),"P",""),
if(countif(nap.ecit,$D87),"A",""))</f>
        <v/>
      </c>
      <c r="R87" s="32" t="str">
        <f>
CONCATENATE(
if(countif(nap.erd,$D87),"N",""),
if(countif(np.erd,$D87),"P",""),
if(countif(var.erd,$D87),"V",""))</f>
        <v/>
      </c>
      <c r="S87" s="32" t="str">
        <f>
CONCATENATE(
if(countif(dd.gkxn,$D87),"D",""),
if(countif(knap.gkxn,$D87),"K",""),
if(countif(nap.gkxn,$D87),"N",""),
if(countif(np.gkxn,$D87),"P",""),
if(countif(imp.gkxn,$D87),"T",""),
if(countif(var.gkxn,$D87),"V",""))</f>
        <v/>
      </c>
      <c r="T87" s="32" t="str">
        <f>
CONCATENATE(
if(countif(dd.gen,$C87),"D",""),
if(countif(knap.gen,$C87),"K",""),
if(countif(nap.gen,$C87),"N",""),
if(countif(np.gen,$C87),"P",""),
if(countif(imp.gen,$C87),"T",""),
if(countif(var.gen,$C87),"V",""))</f>
        <v/>
      </c>
      <c r="U87" s="32" t="str">
        <f>
CONCATENATE(
if(countif(dd.hcc,$D87),"D",""),
if(countif(knap.hcc,$D87),"K",""),
if(countif(np.hcc,$D87),"P","")
)
</f>
        <v/>
      </c>
      <c r="V87" s="32" t="str">
        <f>
CONCATENATE(
if(countif(dd.kmp,$D87),"D",""),
if(countif(knap.kmp,$D87),"K",""),
if(countif(mic.kmp,$D87),"M",""),
if(countif(nap.kmp,$D87),"N",""),
if(countif(np.kmp,$D87),"P",""),
if(countif(imp.kmp,$D87),"T",""),
if(countif(us.kmp,$D87),"U",""),
if(countif(var.kmp,$D87),"V",""))</f>
        <v/>
      </c>
      <c r="W87" s="32" t="str">
        <f>
CONCATENATE(
if(countif(dd.lu2,$D87),"D",""),
if(countif(knap.lu2,$D87),"K",""),
if(countif(mic.lu2,$D87),"M",""),
if(countif(nap.lu2,$D87),"N",""),
if(countif(np.lu2,$D87),"P",""),
if(countif(imp.lu2,$D87),"T",""),
if(countif(us.lu2,$D87),"U",""),
if(countif(var.lu2,$D87),"V",""))</f>
        <v/>
      </c>
      <c r="X87" s="32" t="str">
        <f>
CONCATENATE(
if(countif(dd.myc,$D87),"D",""),
if(countif(knap.myc,$D87),"K",""), 
if(countif(mic.myc,$D87),"M",""),
if(countif(nap.myc,$D87),"N",""),
if(countif(np.myc,$D87),"P",""),
if(countif(imp.myc,$D87),"T",""),
if(countif(us.myc,$D87),"U",""),
if(countif(var.myc,$D87),"V",""))</f>
        <v/>
      </c>
      <c r="Y87" s="32" t="str">
        <f>CONCATENATE(
if(countif(dd.nar,$D87),"D",""),
if(countif(knap.nar,$D87),"K",""),
if(countif(nap.nar,$D87),"N",""),
if(countif(np.nar,$D87),"P",""),
if(countif(imp.nar,$D87),"T",""),
if(countif(us.nar,$D87),"U",""),
if(countif(var.nar,$D87),"V",""))</f>
        <v/>
      </c>
      <c r="Z87" s="33" t="str">
        <f>
CONCATENATE(
if(countif(dd.que,$D87),"D",""),
if(countif(knap.que,$D87),"K",""),
if(countif(mic.que,$D87),"M",""),
if(countif(nap.que,$D87),"N",""),
if(countif(np.que,$D87),"P",""),
if(countif(imp.que,$D87),"T",""),
if(countif(us.que,$D87),"U",""),
if(countif(var.que,$D87),"V",""))</f>
        <v>NP</v>
      </c>
      <c r="AA87" s="32"/>
      <c r="AB87" s="34" t="str">
        <f>
CONCATENATE(if(countif(knap.agi.sim,$D87),"K",""),
if(countif(dd.agi.sim,$D87),"D",""),
if(countif(nap.agi.sim,$D87),"A",""),
if(countif(var.agi.sim,$D87),"V",""))</f>
        <v/>
      </c>
      <c r="AC87" s="34" t="str">
        <f>
if(countif(nap.bun.sim,$D87),"A","")</f>
        <v/>
      </c>
      <c r="AD87" s="34" t="str">
        <f>
CONCATENATE(if(countif(knap.kxn.sim,$D87),"K",""),
if(countif(np.kxn.sim,$D87),"P",""),
if(countif(dd.kxn.sim,$D87),"D",""),
if(countif(nap.kxn.sim,$D87),"A",""),
if(countif(var.kxn.sim,$D87),"V",""))</f>
        <v/>
      </c>
      <c r="AE87" s="34" t="str">
        <f>
CONCATENATE(if(countif(knap.hwb.sim,$D87),"K",""),
if(countif(np.hwb.sim,$D87),"P",""),
if(countif(mic.hwb.sim,$D87),"M",""),
if(countif(imp.hwb.sim,$D87),"T",""),
if(countif(dd.cyan.sim,$D87),"D",""),
if(countif(nap.hwb.sim,$D87),"A",""),
if(countif(var.hwb.sim,$D87),"V",""))</f>
        <v/>
      </c>
      <c r="AF87" s="34" t="str">
        <f>
CONCATENATE(if(countif(us.ekxn.sim,$D87),"U",""),
if(countif(knap.ekxn.sim,$D87),"K",""),
if(countif(np.ekxn.sim,$D87),"P",""),
if(countif(mic.ekxn.sim,$D87),"M",""),
if(countif(imp.epc.sim,$D87),"T",""),
if(countif(nap.ekxn.sim,$D87),"A",""))</f>
        <v/>
      </c>
      <c r="AG87" s="34"/>
      <c r="AH87" s="34" t="str">
        <f>
CONCATENATE(if(countif(us.egt.sim,$D87),"U",""),
if(countif(knap.egt.sim,$D87),"K",""),
if(countif(np.egt.sim,$D87),"P",""),
if(countif(mic.egt.sim,$D87),"M",""))</f>
        <v/>
      </c>
      <c r="AI87" s="34"/>
      <c r="AJ87" s="34" t="str">
        <f>if(countif(nap.ecit.sim,$D87),"A","")</f>
        <v/>
      </c>
      <c r="AK87" s="34" t="str">
        <f>
CONCATENATE(if(countif(nap.erd,$D87),"M",""),
if(countif(nap.erd.sim,$D87),"A",""),
if(countif(var.erd.sim,$D87),"V",""))</f>
        <v/>
      </c>
      <c r="AL87" s="34" t="str">
        <f>
CONCATENATE(if(countif(knap.gkxn.sim,$D87),"K",""),
if(countif(nap.gkxn.sim,$D87),"A",""))</f>
        <v/>
      </c>
      <c r="AM87" s="34" t="str">
        <f>
CONCATENATE(if(countif(knap.gen.sim,$C87),"K",""),
if(countif(imp.gen.sim,$C87),"T",""),
if(countif(dd.gen.sim,$C87),"D",""),
if(countif(nap.gen.sim,$C87),"A",""),
if(countif(var.gen.sim,$C87),"V",""))
</f>
        <v/>
      </c>
      <c r="AN87" s="34" t="str">
        <f>IFERROR(__xludf.DUMMYFUNCTION("
if(countif(#REF!,CONCATENATE(regexextract($C87,""[\w]* [\w]*""), ""*"")),""V"","""")"),"")</f>
        <v/>
      </c>
      <c r="AO87" s="34" t="str">
        <f>
CONCATENATE(if(countif(knap.kmp.sim,$D87),"K",""),
if(countif(np.kmp.sim,$D87),"P",""),
if(countif(imp.kmp.sim,$D87),"T",""),
if(countif(dd.kmp,$D87),"D",""),
if(countif(nap.kmp.sim,$D87),"A",""),
if(countif(var.kmp.sim,$D87),"V",""))</f>
        <v>KP</v>
      </c>
      <c r="AP87" s="34" t="str">
        <f>
CONCATENATE(if(countif(knap.lu2.sim,$D87),"K",""),
if(countif(np.lu2.sim,$D87),"P",""),
if(countif(imp.lu2.sim,$D87),"T",""),
if(countif(dd.lu2.sim,$D87),"D",""),
if(countif(nap.lu2.sim,$D87),"A",""),
if(countif(var.lu2.sim,$D87),"V",""))</f>
        <v/>
      </c>
      <c r="AQ87" s="34" t="str">
        <f>
CONCATENATE(if(countif(np.myc.sim,$D87),"P",""),
if(countif(imp.myc.sim,$D87),"T",""),
if(countif(nap.myc.sim,$D87),"A",""))
</f>
        <v/>
      </c>
      <c r="AR87" s="36" t="str">
        <f>
CONCATENATE(if(countif(knap.nar.sim,$D87),"K",""),
if(countif(np.nar.sim,$D87),"P",""),
if(countif(imp.nar.sim,$D87),"T",""),
if(countif(dd.nar.sim,$D87),"D",""),
if(countif(nap.nar.sim,$D87),"A",""),
if(countif(var.nar.sim,$D87),"V",""))</f>
        <v/>
      </c>
      <c r="AS87" s="34" t="str">
        <f>
CONCATENATE(if(countif(knap.que.sim,$D87),"K",""),
if(countif(np.que.sim,$D87),"P",""),
if(countif(imp.que.sim,$D87),"T",""),
if(countif(dd.que.sim,$D87),"D",""),
if(countif(nap.que.sim,$D87),"A",""),
if(countif(var.que.sim,$D87),"V",""))</f>
        <v>P</v>
      </c>
      <c r="AT87" s="37"/>
      <c r="AU87" s="32" t="str">
        <f>IFERROR(__xludf.DUMMYFUNCTION("if(countif(kr.agi, CONCATENATE(regexextract($C87,""[\w]* [\w]*""), ""*"")),""X"","""")"),"")</f>
        <v/>
      </c>
      <c r="AV87" s="38" t="str">
        <f>IFERROR(__xludf.DUMMYFUNCTION("if(countif(kr.bun,CONCATENATE(regexextract($C87,""[\w]* [\w]*""), ""*"")),""X"","""")"),"X")</f>
        <v>X</v>
      </c>
      <c r="AW87" s="38" t="str">
        <f>IFERROR(__xludf.DUMMYFUNCTION("if(countif(kr.kxn,CONCATENATE(regexextract($C87,""[\w]* [\w]*""), ""*"")),""X"","""")"),"X")</f>
        <v>X</v>
      </c>
      <c r="AX87" s="38" t="str">
        <f>IFERROR(__xludf.DUMMYFUNCTION("if(countif(kr.hwb,CONCATENATE(regexextract($C87,""[\w]* [\w]*""), ""*"")),""X"","""")"),"X")</f>
        <v>X</v>
      </c>
      <c r="AY87" s="38" t="str">
        <f>IFERROR(__xludf.DUMMYFUNCTION("if(countif(kr.ec,CONCATENATE(regexextract($C87,""[\w]* [\w]*""), ""*"")),""X"","""")"),"X")</f>
        <v>X</v>
      </c>
      <c r="AZ87" s="38" t="str">
        <f>IFERROR(__xludf.DUMMYFUNCTION("if(countif(kr.egt,CONCATENATE(regexextract($C87,""[\w]* [\w]*""), ""*"")),""X"","""")"),"X")</f>
        <v>X</v>
      </c>
      <c r="BA87" s="38"/>
      <c r="BB87" s="38" t="str">
        <f>IFERROR(__xludf.DUMMYFUNCTION("if(countif(kr.erd,CONCATENATE(regexextract($C87,""[\w]* [\w]*""), ""*"")),""X"","""")"),"X")</f>
        <v>X</v>
      </c>
      <c r="BC87" s="38" t="str">
        <f>IFERROR(__xludf.DUMMYFUNCTION("if(countif(kr.gkxn,CONCATENATE(regexextract($C87,""[\w]* [\w]*""), ""*"")),""X"","""")"),"X")</f>
        <v>X</v>
      </c>
      <c r="BD87" s="38" t="str">
        <f>IFERROR(__xludf.DUMMYFUNCTION("if(countif(kr.gen,CONCATENATE(regexextract(C87,""[\w]* [\w]*""), ""*"")),""X"","""")"),"")</f>
        <v/>
      </c>
      <c r="BE87" s="38" t="str">
        <f>IFERROR(__xludf.DUMMYFUNCTION("if(countif(kr.hcc,CONCATENATE(regexextract($C87,""[\w]* [\w]*""), ""*"")),""X"","""")"),"X")</f>
        <v>X</v>
      </c>
      <c r="BF87" s="38" t="str">
        <f>IFERROR(__xludf.DUMMYFUNCTION("if(countif(kr.kmp,CONCATENATE(regexextract($C87,""[\w]* [\w]*""), ""*"")),""X"","""")"),"X")</f>
        <v>X</v>
      </c>
      <c r="BG87" s="38" t="str">
        <f>IFERROR(__xludf.DUMMYFUNCTION("if(countif(kr.lu2,CONCATENATE(regexextract($C87,""[\w]* [\w]*""), ""*"")),""X"","""")"),"")</f>
        <v/>
      </c>
      <c r="BH87" s="38" t="str">
        <f>IFERROR(__xludf.DUMMYFUNCTION("if(countif(kr.myc,CONCATENATE(regexextract($C87,""[\w]* [\w]*""), ""*"")),""X"","""")"),"X")</f>
        <v>X</v>
      </c>
      <c r="BI87" s="38" t="str">
        <f>IFERROR(__xludf.DUMMYFUNCTION("if(countif(kr.nar,CONCATENATE(regexextract($C87,""[\w]* [\w]*""), ""*"")),""X"","""")"),"X")</f>
        <v>X</v>
      </c>
      <c r="BJ87" s="38" t="str">
        <f>IFERROR(__xludf.DUMMYFUNCTION("if(countif(kr.que,CONCATENATE(regexextract($C87,""[\w]* [\w]*""), ""*"")),""X"","""")"),"X")</f>
        <v>X</v>
      </c>
      <c r="BK87" s="39"/>
      <c r="BL87" s="40" t="str">
        <f>IFERROR(__xludf.DUMMYFUNCTION(" CONCATENATE( 
if (regexmatch(I87, ""^[A-Za-z\.\_]+""), ""L"", 
if(regexmatch(AB87, ""^[A-Za-z\.\_]+""),""S"","""")),
if(AU87=""X"",""K"",""""))"),"")</f>
        <v/>
      </c>
      <c r="BM87" s="40" t="str">
        <f>IFERROR(__xludf.DUMMYFUNCTION(" CONCATENATE( 
if (regexmatch(J87, ""^[A-Za-z\.\_]+""), ""L"", 
if(regexmatch(AC87, ""^[A-Za-z\.\_]+""),""S"","""")),
if(AV87=""X"",""K"",""""))"),"K")</f>
        <v>K</v>
      </c>
      <c r="BN87" s="40" t="str">
        <f>IFERROR(__xludf.DUMMYFUNCTION(" CONCATENATE( 
if (regexmatch(K87, ""^[A-Za-z\.\_]+""), ""L"", 
if(regexmatch(AD87, ""^[A-Za-z\.\_]+""),""S"","""")),
if(AW87=""X"",""K"",""""))"),"K")</f>
        <v>K</v>
      </c>
      <c r="BO87" s="40" t="str">
        <f>IFERROR(__xludf.DUMMYFUNCTION(" CONCATENATE( 
if (regexmatch(L87, ""^[A-Za-z\.\_]+""), ""L"", 
if(regexmatch(AE87, ""^[A-Za-z\.\_]+""),""S"","""")),
if(AX87=""X"",""K"",""""))"),"K")</f>
        <v>K</v>
      </c>
      <c r="BP87" s="40" t="str">
        <f>IFERROR(__xludf.DUMMYFUNCTION(" CONCATENATE( 
if (regexmatch(M87, ""^[A-Za-z\.\_]+""), ""L"", 
if(regexmatch(AF87, ""^[A-Za-z\.\_]+""),""S"","""")),
if(AY87=""X"",""K"",""""))"),"K")</f>
        <v>K</v>
      </c>
      <c r="BQ87" s="40" t="str">
        <f>IFERROR(__xludf.DUMMYFUNCTION("CONCATENATE( 
if (regexmatch(O87, ""^[A-Za-z\.\_]+""), ""L"", 
if(regexmatch(AH87, ""^[A-Za-z\.\_]+""),""S"","""")),
if(AZ87=""X"",""K"",""""))"),"K")</f>
        <v>K</v>
      </c>
      <c r="BR87" s="40" t="str">
        <f>IFERROR(__xludf.DUMMYFUNCTION("CONCATENATE( 
if (regexmatch(Q87, ""^[A-Za-z\.\_]+""), ""L"", 
if(regexmatch(AJ87, ""^[A-Za-z\.\_]+""),""S"","""")),
if(BA87=""X"",""K"",""""))"),"")</f>
        <v/>
      </c>
      <c r="BS87" s="40" t="str">
        <f>IFERROR(__xludf.DUMMYFUNCTION(" CONCATENATE( 
if (regexmatch(R87, ""^[A-Za-z\.\_]+""), ""L"", 
if(regexmatch(AK87, ""^[A-Za-z\.\_]+""),""S"","""")),
if(BB87=""X"",""K"",""""))"),"K")</f>
        <v>K</v>
      </c>
      <c r="BT87" s="40" t="str">
        <f>IFERROR(__xludf.DUMMYFUNCTION("CONCATENATE( 
if (regexmatch(S87, ""^[A-Za-z\.\_]+""), ""L"", 
if(regexmatch(AL87, ""^[A-Za-z\.\_]+""),""S"","""")),
if(BC87=""X"",""K"",""""))"),"K")</f>
        <v>K</v>
      </c>
      <c r="BU87" s="40" t="str">
        <f>IFERROR(__xludf.DUMMYFUNCTION("CONCATENATE( 
if (regexmatch(T87, ""^[A-Za-z\.\_]+""), ""L"", 
if(regexmatch(AM87, ""^[A-Za-z\.\_]+""),""S"","""")),
if(BD87=""X"",""K"",""""))"),"")</f>
        <v/>
      </c>
      <c r="BV87" s="40" t="str">
        <f>IFERROR(__xludf.DUMMYFUNCTION("CONCATENATE( 
if (regexmatch(U87, ""^[A-Za-z\.\_]+""), ""L"", 
if(regexmatch(AN87, ""^[A-Za-z\.\_]+""),""S"","""")),
if(BE87=""X"",""K"",""""))"),"K")</f>
        <v>K</v>
      </c>
      <c r="BW87" s="40" t="str">
        <f>IFERROR(__xludf.DUMMYFUNCTION(" CONCATENATE( 
if (regexmatch(V87, ""^[A-Za-z\.\_]+""), ""L"", 
if(regexmatch(AO87, ""^[A-Za-z\.\_]+""),""S"","""")),
if(BF87=""X"",""K"",""""))"),"SK")</f>
        <v>SK</v>
      </c>
      <c r="BX87" s="40" t="str">
        <f>IFERROR(__xludf.DUMMYFUNCTION("CONCATENATE( 
if (regexmatch(W87, ""^[A-Za-z\.\_]+""), ""L"", 
if(regexmatch(AP87, ""^[A-Za-z\.\_]+""),""S"","""")),
if(BG87=""X"",""K"",""""))"),"")</f>
        <v/>
      </c>
      <c r="BY87" s="40" t="str">
        <f>IFERROR(__xludf.DUMMYFUNCTION("CONCATENATE( 
if (regexmatch(X87, ""^[A-Za-z\.\_]+""), ""L"", 
if(regexmatch(AQ87, ""^[A-Za-z\.\_]+""),""S"","""")),
if(BH87=""X"",""K"",""""))"),"K")</f>
        <v>K</v>
      </c>
      <c r="BZ87" s="40" t="str">
        <f>IFERROR(__xludf.DUMMYFUNCTION("CONCATENATE( 
if (regexmatch(Y87, ""^[A-Za-z\.\_]+""), ""L"", 
if(regexmatch(AR87, ""^[A-Za-z\.\_]+""),""S"","""")),
if(BI87=""X"",""K"",""""))"),"K")</f>
        <v>K</v>
      </c>
      <c r="CA87" s="40" t="str">
        <f>IFERROR(__xludf.DUMMYFUNCTION("CONCATENATE( 
if (regexmatch(Z87, ""^[A-Za-z\.\_]+""), ""L"", 
if(regexmatch(AS87, ""^[A-Za-z\.\_]+""),""S"","""")),
if(BJ87=""X"",""K"",""""))"),"LK")</f>
        <v>LK</v>
      </c>
      <c r="CB87" s="39"/>
      <c r="CC87" s="39"/>
      <c r="CD87" s="39"/>
      <c r="CE87" s="39"/>
      <c r="CF87" s="39"/>
      <c r="CG87" s="39"/>
      <c r="CH87" s="39"/>
      <c r="CI87" s="39"/>
      <c r="CJ87" s="39"/>
      <c r="CK87" s="39"/>
      <c r="CL87" s="39"/>
      <c r="CM87" s="39"/>
      <c r="CN87" s="39"/>
      <c r="CO87" s="39"/>
      <c r="CP87" s="39"/>
      <c r="CQ87" s="39"/>
      <c r="CR87" s="39"/>
    </row>
    <row r="88" ht="15.75" customHeight="1">
      <c r="A88" s="25">
        <v>9.0</v>
      </c>
      <c r="B88" s="44" t="s">
        <v>335</v>
      </c>
      <c r="C88" s="27" t="s">
        <v>336</v>
      </c>
      <c r="D88" s="27" t="str">
        <f>IFERROR(__xludf.DUMMYFUNCTION("CONCATENATE(regexextract($C88,""[\w]* [\w]*""), ""*"")"),"Raphanus sativus*")</f>
        <v>Raphanus sativus*</v>
      </c>
      <c r="E88" s="26" t="s">
        <v>337</v>
      </c>
      <c r="F88" s="57">
        <v>3726.0</v>
      </c>
      <c r="G88" s="53"/>
      <c r="H88" s="31"/>
      <c r="I88" s="32" t="str">
        <f>CONCATENATE(
if(countif(dd.agi,$D88),"D",""),
if(countif(knap.agi,$D88),"K",""),
if(countif(mic.agi,$D88),"M",""),
if(countif(nap.agi,$D88),"N",""),
if(countif(np.agi,$D88),"P",""),
if(countif(imp.agi,$D88),"T",""),
if(countif(us.agi,$D88),"U",""),
if(countif(var.agi,$D88),"V","")
)</f>
        <v>K</v>
      </c>
      <c r="J88" s="32" t="str">
        <f>
CONCATENATE(
if(countif(nap.bun,$D88),"N",""),
if(countif(np.bun,$D88),"P","")
)
</f>
        <v/>
      </c>
      <c r="K88" s="32" t="str">
        <f>CONCATENATE(
if(countif(dd.kxn,$D88),"D",""),
if(countif(knap.kxn,$D88),"K",""),
if(countif(mic.kxn,$D88),"M",""),
if(countif(nap.kxn,$D88),"N",""),
if(countif(np.kxn,$D88),"P",""),
if(countif(us.kxn,$D88),"U",""),
if(countif(var.kxn,$D88),"V","")
)</f>
        <v/>
      </c>
      <c r="L88" s="32" t="str">
        <f>
CONCATENATE(
if(countif(dd.hwb,$D88),"D",""),
if(countif(knap.hwb,$D88),"K",""),
if(countif(mic.hwb,$D88),"M",""),
if(countif(nap.hwb,$D88),"N",""),
if(countif(np.hwb,$D88),"P",""),
if(countif(us.hwb,$D88),"U",""),
if(countif(imp.hwb,$D88),"T",""),
if(countif(var.hwb,$D88),"V","")
)</f>
        <v>K</v>
      </c>
      <c r="M88" s="32" t="str">
        <f>CONCATENATE(
if(countif(dd.epc,$D88),"D",""),
if(countif(knap.ekxn,$D88),"K",""),
if(countif(mic.ekxn,$D88),"M",""),
if(countif(nap.ekxn,$D88),"N",""),
if(countif(np.ekxn,$D88),"P",""),
if(countif(imp.epc,$D88),"T",""),
if(countif(us.ekxn,$D88),"U",""),
if(countif(var.ekxn,$D88),"V","")
)</f>
        <v/>
      </c>
      <c r="N88" s="32" t="str">
        <f>
CONCATENATE(
if(countif(dd.ecg,$D88),"D",""),
if(countif(mic.ecg,$D88),"M",""),
if(countif(np.ecg,$D88),"P",""),
if(countif(imp.ecg,$D88),"T",""),
if(countif(us.ecg,$D88),"U","")
)</f>
        <v/>
      </c>
      <c r="O88" s="32" t="str">
        <f>
CONCATENATE(
if(countif(dd.egt,$D88),"D",""),
if(countif(mic.egt,$D88),"M",""),
if(countif(nap.egt,$D88),"N",""),
if(countif(us.egt,$D88),"U",""),
if(countif(var.egt,$D88),"V",""))
</f>
        <v/>
      </c>
      <c r="P88" s="32" t="str">
        <f>CONCATENATE(
if(countif(knap.egcg,$D88),"K",""),
if(countif(mic.egcg,$D88),"M",""),
if(countif(np.egcg,$D88),"P",""),
if(countif(us.egcg,$D88),"U","")
)</f>
        <v/>
      </c>
      <c r="Q88" s="32" t="str">
        <f>CONCATENATE(if(countif(np.ecit,$D88),"P",""),
if(countif(nap.ecit,$D88),"A",""))</f>
        <v/>
      </c>
      <c r="R88" s="32" t="str">
        <f>
CONCATENATE(
if(countif(nap.erd,$D88),"N",""),
if(countif(np.erd,$D88),"P",""),
if(countif(var.erd,$D88),"V",""))</f>
        <v/>
      </c>
      <c r="S88" s="32" t="str">
        <f>
CONCATENATE(
if(countif(dd.gkxn,$D88),"D",""),
if(countif(knap.gkxn,$D88),"K",""),
if(countif(nap.gkxn,$D88),"N",""),
if(countif(np.gkxn,$D88),"P",""),
if(countif(imp.gkxn,$D88),"T",""),
if(countif(var.gkxn,$D88),"V",""))</f>
        <v/>
      </c>
      <c r="T88" s="32" t="str">
        <f>
CONCATENATE(
if(countif(dd.gen,$C88),"D",""),
if(countif(knap.gen,$C88),"K",""),
if(countif(nap.gen,$C88),"N",""),
if(countif(np.gen,$C88),"P",""),
if(countif(imp.gen,$C88),"T",""),
if(countif(var.gen,$C88),"V",""))</f>
        <v/>
      </c>
      <c r="U88" s="32" t="str">
        <f>
CONCATENATE(
if(countif(dd.hcc,$D88),"D",""),
if(countif(knap.hcc,$D88),"K",""),
if(countif(np.hcc,$D88),"P","")
)
</f>
        <v/>
      </c>
      <c r="V88" s="32" t="str">
        <f>
CONCATENATE(
if(countif(dd.kmp,$D88),"D",""),
if(countif(knap.kmp,$D88),"K",""),
if(countif(mic.kmp,$D88),"M",""),
if(countif(nap.kmp,$D88),"N",""),
if(countif(np.kmp,$D88),"P",""),
if(countif(imp.kmp,$D88),"T",""),
if(countif(us.kmp,$D88),"U",""),
if(countif(var.kmp,$D88),"V",""))</f>
        <v>KMNU</v>
      </c>
      <c r="W88" s="32" t="str">
        <f>
CONCATENATE(
if(countif(dd.lu2,$D88),"D",""),
if(countif(knap.lu2,$D88),"K",""),
if(countif(mic.lu2,$D88),"M",""),
if(countif(nap.lu2,$D88),"N",""),
if(countif(np.lu2,$D88),"P",""),
if(countif(imp.lu2,$D88),"T",""),
if(countif(us.lu2,$D88),"U",""),
if(countif(var.lu2,$D88),"V",""))</f>
        <v>K</v>
      </c>
      <c r="X88" s="32" t="str">
        <f>
CONCATENATE(
if(countif(dd.myc,$D88),"D",""),
if(countif(knap.myc,$D88),"K",""), 
if(countif(mic.myc,$D88),"M",""),
if(countif(nap.myc,$D88),"N",""),
if(countif(np.myc,$D88),"P",""),
if(countif(imp.myc,$D88),"T",""),
if(countif(us.myc,$D88),"U",""),
if(countif(var.myc,$D88),"V",""))</f>
        <v/>
      </c>
      <c r="Y88" s="32" t="str">
        <f>CONCATENATE(
if(countif(dd.nar,$D88),"D",""),
if(countif(knap.nar,$D88),"K",""),
if(countif(nap.nar,$D88),"N",""),
if(countif(np.nar,$D88),"P",""),
if(countif(imp.nar,$D88),"T",""),
if(countif(us.nar,$D88),"U",""),
if(countif(var.nar,$D88),"V",""))</f>
        <v>K</v>
      </c>
      <c r="Z88" s="33" t="str">
        <f>
CONCATENATE(
if(countif(dd.que,$D88),"D",""),
if(countif(knap.que,$D88),"K",""),
if(countif(mic.que,$D88),"M",""),
if(countif(nap.que,$D88),"N",""),
if(countif(np.que,$D88),"P",""),
if(countif(imp.que,$D88),"T",""),
if(countif(us.que,$D88),"U",""),
if(countif(var.que,$D88),"V",""))</f>
        <v>KN</v>
      </c>
      <c r="AA88" s="32"/>
      <c r="AB88" s="34" t="str">
        <f>
CONCATENATE(if(countif(knap.agi.sim,$D88),"K",""),
if(countif(dd.agi.sim,$D88),"D",""),
if(countif(nap.agi.sim,$D88),"A",""),
if(countif(var.agi.sim,$D88),"V",""))</f>
        <v/>
      </c>
      <c r="AC88" s="34" t="str">
        <f>
if(countif(nap.bun.sim,$D88),"A","")</f>
        <v/>
      </c>
      <c r="AD88" s="34" t="str">
        <f>
CONCATENATE(if(countif(knap.kxn.sim,$D88),"K",""),
if(countif(np.kxn.sim,$D88),"P",""),
if(countif(dd.kxn.sim,$D88),"D",""),
if(countif(nap.kxn.sim,$D88),"A",""),
if(countif(var.kxn.sim,$D88),"V",""))</f>
        <v/>
      </c>
      <c r="AE88" s="34" t="str">
        <f>
CONCATENATE(if(countif(knap.hwb.sim,$D88),"K",""),
if(countif(np.hwb.sim,$D88),"P",""),
if(countif(mic.hwb.sim,$D88),"M",""),
if(countif(imp.hwb.sim,$D88),"T",""),
if(countif(dd.cyan.sim,$D88),"D",""),
if(countif(nap.hwb.sim,$D88),"A",""),
if(countif(var.hwb.sim,$D88),"V",""))</f>
        <v>KA</v>
      </c>
      <c r="AF88" s="34" t="str">
        <f>
CONCATENATE(if(countif(us.ekxn.sim,$D88),"U",""),
if(countif(knap.ekxn.sim,$D88),"K",""),
if(countif(np.ekxn.sim,$D88),"P",""),
if(countif(mic.ekxn.sim,$D88),"M",""),
if(countif(imp.epc.sim,$D88),"T",""),
if(countif(nap.ekxn.sim,$D88),"A",""))</f>
        <v/>
      </c>
      <c r="AG88" s="34"/>
      <c r="AH88" s="34" t="str">
        <f>
CONCATENATE(if(countif(us.egt.sim,$D88),"U",""),
if(countif(knap.egt.sim,$D88),"K",""),
if(countif(np.egt.sim,$D88),"P",""),
if(countif(mic.egt.sim,$D88),"M",""))</f>
        <v/>
      </c>
      <c r="AI88" s="34"/>
      <c r="AJ88" s="34" t="str">
        <f>if(countif(nap.ecit.sim,$D88),"A","")</f>
        <v/>
      </c>
      <c r="AK88" s="34" t="str">
        <f>
CONCATENATE(if(countif(nap.erd,$D88),"M",""),
if(countif(nap.erd.sim,$D88),"A",""),
if(countif(var.erd.sim,$D88),"V",""))</f>
        <v/>
      </c>
      <c r="AL88" s="34" t="str">
        <f>
CONCATENATE(if(countif(knap.gkxn.sim,$D88),"K",""),
if(countif(nap.gkxn.sim,$D88),"A",""))</f>
        <v/>
      </c>
      <c r="AM88" s="34" t="str">
        <f>
CONCATENATE(if(countif(knap.gen.sim,$C88),"K",""),
if(countif(imp.gen.sim,$C88),"T",""),
if(countif(dd.gen.sim,$C88),"D",""),
if(countif(nap.gen.sim,$C88),"A",""),
if(countif(var.gen.sim,$C88),"V",""))
</f>
        <v>K</v>
      </c>
      <c r="AN88" s="34" t="str">
        <f>IFERROR(__xludf.DUMMYFUNCTION("
if(countif(#REF!,CONCATENATE(regexextract($C88,""[\w]* [\w]*""), ""*"")),""V"","""")"),"")</f>
        <v/>
      </c>
      <c r="AO88" s="34" t="str">
        <f>
CONCATENATE(if(countif(knap.kmp.sim,$D88),"K",""),
if(countif(np.kmp.sim,$D88),"P",""),
if(countif(imp.kmp.sim,$D88),"T",""),
if(countif(dd.kmp,$D88),"D",""),
if(countif(nap.kmp.sim,$D88),"A",""),
if(countif(var.kmp.sim,$D88),"V",""))</f>
        <v>KA</v>
      </c>
      <c r="AP88" s="34" t="str">
        <f>
CONCATENATE(if(countif(knap.lu2.sim,$D88),"K",""),
if(countif(np.lu2.sim,$D88),"P",""),
if(countif(imp.lu2.sim,$D88),"T",""),
if(countif(dd.lu2.sim,$D88),"D",""),
if(countif(nap.lu2.sim,$D88),"A",""),
if(countif(var.lu2.sim,$D88),"V",""))</f>
        <v/>
      </c>
      <c r="AQ88" s="34" t="str">
        <f>
CONCATENATE(if(countif(np.myc.sim,$D88),"P",""),
if(countif(imp.myc.sim,$D88),"T",""),
if(countif(nap.myc.sim,$D88),"A",""))
</f>
        <v/>
      </c>
      <c r="AR88" s="36" t="str">
        <f>
CONCATENATE(if(countif(knap.nar.sim,$D88),"K",""),
if(countif(np.nar.sim,$D88),"P",""),
if(countif(imp.nar.sim,$D88),"T",""),
if(countif(dd.nar.sim,$D88),"D",""),
if(countif(nap.nar.sim,$D88),"A",""),
if(countif(var.nar.sim,$D88),"V",""))</f>
        <v>K</v>
      </c>
      <c r="AS88" s="34" t="str">
        <f>
CONCATENATE(if(countif(knap.que.sim,$D88),"K",""),
if(countif(np.que.sim,$D88),"P",""),
if(countif(imp.que.sim,$D88),"T",""),
if(countif(dd.que.sim,$D88),"D",""),
if(countif(nap.que.sim,$D88),"A",""),
if(countif(var.que.sim,$D88),"V",""))</f>
        <v>K</v>
      </c>
      <c r="AT88" s="37"/>
      <c r="AU88" s="32" t="str">
        <f>IFERROR(__xludf.DUMMYFUNCTION("if(countif(kr.agi, CONCATENATE(regexextract($C88,""[\w]* [\w]*""), ""*"")),""X"","""")"),"")</f>
        <v/>
      </c>
      <c r="AV88" s="38" t="str">
        <f>IFERROR(__xludf.DUMMYFUNCTION("if(countif(kr.bun,CONCATENATE(regexextract($C88,""[\w]* [\w]*""), ""*"")),""X"","""")"),"X")</f>
        <v>X</v>
      </c>
      <c r="AW88" s="38" t="str">
        <f>IFERROR(__xludf.DUMMYFUNCTION("if(countif(kr.kxn,CONCATENATE(regexextract($C88,""[\w]* [\w]*""), ""*"")),""X"","""")"),"")</f>
        <v/>
      </c>
      <c r="AX88" s="38" t="str">
        <f>IFERROR(__xludf.DUMMYFUNCTION("if(countif(kr.hwb,CONCATENATE(regexextract($C88,""[\w]* [\w]*""), ""*"")),""X"","""")"),"X")</f>
        <v>X</v>
      </c>
      <c r="AY88" s="38" t="str">
        <f>IFERROR(__xludf.DUMMYFUNCTION("if(countif(kr.ec,CONCATENATE(regexextract($C88,""[\w]* [\w]*""), ""*"")),""X"","""")"),"X")</f>
        <v>X</v>
      </c>
      <c r="AZ88" s="38" t="str">
        <f>IFERROR(__xludf.DUMMYFUNCTION("if(countif(kr.egt,CONCATENATE(regexextract($C88,""[\w]* [\w]*""), ""*"")),""X"","""")"),"")</f>
        <v/>
      </c>
      <c r="BA88" s="38"/>
      <c r="BB88" s="38" t="str">
        <f>IFERROR(__xludf.DUMMYFUNCTION("if(countif(kr.erd,CONCATENATE(regexextract($C88,""[\w]* [\w]*""), ""*"")),""X"","""")"),"X")</f>
        <v>X</v>
      </c>
      <c r="BC88" s="38" t="str">
        <f>IFERROR(__xludf.DUMMYFUNCTION("if(countif(kr.gkxn,CONCATENATE(regexextract($C88,""[\w]* [\w]*""), ""*"")),""X"","""")"),"")</f>
        <v/>
      </c>
      <c r="BD88" s="38" t="str">
        <f>IFERROR(__xludf.DUMMYFUNCTION("if(countif(kr.gen,CONCATENATE(regexextract(C88,""[\w]* [\w]*""), ""*"")),""X"","""")"),"")</f>
        <v/>
      </c>
      <c r="BE88" s="38" t="str">
        <f>IFERROR(__xludf.DUMMYFUNCTION("if(countif(kr.hcc,CONCATENATE(regexextract($C88,""[\w]* [\w]*""), ""*"")),""X"","""")"),"X")</f>
        <v>X</v>
      </c>
      <c r="BF88" s="38" t="str">
        <f>IFERROR(__xludf.DUMMYFUNCTION("if(countif(kr.kmp,CONCATENATE(regexextract($C88,""[\w]* [\w]*""), ""*"")),""X"","""")"),"X")</f>
        <v>X</v>
      </c>
      <c r="BG88" s="38" t="str">
        <f>IFERROR(__xludf.DUMMYFUNCTION("if(countif(kr.lu2,CONCATENATE(regexextract($C88,""[\w]* [\w]*""), ""*"")),""X"","""")"),"")</f>
        <v/>
      </c>
      <c r="BH88" s="38" t="str">
        <f>IFERROR(__xludf.DUMMYFUNCTION("if(countif(kr.myc,CONCATENATE(regexextract($C88,""[\w]* [\w]*""), ""*"")),""X"","""")"),"")</f>
        <v/>
      </c>
      <c r="BI88" s="38" t="str">
        <f>IFERROR(__xludf.DUMMYFUNCTION("if(countif(kr.nar,CONCATENATE(regexextract($C88,""[\w]* [\w]*""), ""*"")),""X"","""")"),"X")</f>
        <v>X</v>
      </c>
      <c r="BJ88" s="38" t="str">
        <f>IFERROR(__xludf.DUMMYFUNCTION("if(countif(kr.que,CONCATENATE(regexextract($C88,""[\w]* [\w]*""), ""*"")),""X"","""")"),"X")</f>
        <v>X</v>
      </c>
      <c r="BK88" s="39"/>
      <c r="BL88" s="40" t="str">
        <f>IFERROR(__xludf.DUMMYFUNCTION(" CONCATENATE( 
if (regexmatch(I88, ""^[A-Za-z\.\_]+""), ""L"", 
if(regexmatch(AB88, ""^[A-Za-z\.\_]+""),""S"","""")),
if(AU88=""X"",""K"",""""))"),"L")</f>
        <v>L</v>
      </c>
      <c r="BM88" s="40" t="str">
        <f>IFERROR(__xludf.DUMMYFUNCTION(" CONCATENATE( 
if (regexmatch(J88, ""^[A-Za-z\.\_]+""), ""L"", 
if(regexmatch(AC88, ""^[A-Za-z\.\_]+""),""S"","""")),
if(AV88=""X"",""K"",""""))"),"K")</f>
        <v>K</v>
      </c>
      <c r="BN88" s="40" t="str">
        <f>IFERROR(__xludf.DUMMYFUNCTION(" CONCATENATE( 
if (regexmatch(K88, ""^[A-Za-z\.\_]+""), ""L"", 
if(regexmatch(AD88, ""^[A-Za-z\.\_]+""),""S"","""")),
if(AW88=""X"",""K"",""""))"),"")</f>
        <v/>
      </c>
      <c r="BO88" s="40" t="str">
        <f>IFERROR(__xludf.DUMMYFUNCTION(" CONCATENATE( 
if (regexmatch(L88, ""^[A-Za-z\.\_]+""), ""L"", 
if(regexmatch(AE88, ""^[A-Za-z\.\_]+""),""S"","""")),
if(AX88=""X"",""K"",""""))"),"LK")</f>
        <v>LK</v>
      </c>
      <c r="BP88" s="40" t="str">
        <f>IFERROR(__xludf.DUMMYFUNCTION(" CONCATENATE( 
if (regexmatch(M88, ""^[A-Za-z\.\_]+""), ""L"", 
if(regexmatch(AF88, ""^[A-Za-z\.\_]+""),""S"","""")),
if(AY88=""X"",""K"",""""))"),"K")</f>
        <v>K</v>
      </c>
      <c r="BQ88" s="40" t="str">
        <f>IFERROR(__xludf.DUMMYFUNCTION("CONCATENATE( 
if (regexmatch(O88, ""^[A-Za-z\.\_]+""), ""L"", 
if(regexmatch(AH88, ""^[A-Za-z\.\_]+""),""S"","""")),
if(AZ88=""X"",""K"",""""))"),"")</f>
        <v/>
      </c>
      <c r="BR88" s="40" t="str">
        <f>IFERROR(__xludf.DUMMYFUNCTION("CONCATENATE( 
if (regexmatch(Q88, ""^[A-Za-z\.\_]+""), ""L"", 
if(regexmatch(AJ88, ""^[A-Za-z\.\_]+""),""S"","""")),
if(BA88=""X"",""K"",""""))"),"")</f>
        <v/>
      </c>
      <c r="BS88" s="40" t="str">
        <f>IFERROR(__xludf.DUMMYFUNCTION(" CONCATENATE( 
if (regexmatch(R88, ""^[A-Za-z\.\_]+""), ""L"", 
if(regexmatch(AK88, ""^[A-Za-z\.\_]+""),""S"","""")),
if(BB88=""X"",""K"",""""))"),"K")</f>
        <v>K</v>
      </c>
      <c r="BT88" s="40" t="str">
        <f>IFERROR(__xludf.DUMMYFUNCTION("CONCATENATE( 
if (regexmatch(S88, ""^[A-Za-z\.\_]+""), ""L"", 
if(regexmatch(AL88, ""^[A-Za-z\.\_]+""),""S"","""")),
if(BC88=""X"",""K"",""""))"),"")</f>
        <v/>
      </c>
      <c r="BU88" s="40" t="str">
        <f>IFERROR(__xludf.DUMMYFUNCTION("CONCATENATE( 
if (regexmatch(T88, ""^[A-Za-z\.\_]+""), ""L"", 
if(regexmatch(AM88, ""^[A-Za-z\.\_]+""),""S"","""")),
if(BD88=""X"",""K"",""""))"),"S")</f>
        <v>S</v>
      </c>
      <c r="BV88" s="40" t="str">
        <f>IFERROR(__xludf.DUMMYFUNCTION("CONCATENATE( 
if (regexmatch(U88, ""^[A-Za-z\.\_]+""), ""L"", 
if(regexmatch(AN88, ""^[A-Za-z\.\_]+""),""S"","""")),
if(BE88=""X"",""K"",""""))"),"K")</f>
        <v>K</v>
      </c>
      <c r="BW88" s="40" t="str">
        <f>IFERROR(__xludf.DUMMYFUNCTION(" CONCATENATE( 
if (regexmatch(V88, ""^[A-Za-z\.\_]+""), ""L"", 
if(regexmatch(AO88, ""^[A-Za-z\.\_]+""),""S"","""")),
if(BF88=""X"",""K"",""""))"),"LK")</f>
        <v>LK</v>
      </c>
      <c r="BX88" s="40" t="str">
        <f>IFERROR(__xludf.DUMMYFUNCTION("CONCATENATE( 
if (regexmatch(W88, ""^[A-Za-z\.\_]+""), ""L"", 
if(regexmatch(AP88, ""^[A-Za-z\.\_]+""),""S"","""")),
if(BG88=""X"",""K"",""""))"),"L")</f>
        <v>L</v>
      </c>
      <c r="BY88" s="40" t="str">
        <f>IFERROR(__xludf.DUMMYFUNCTION("CONCATENATE( 
if (regexmatch(X88, ""^[A-Za-z\.\_]+""), ""L"", 
if(regexmatch(AQ88, ""^[A-Za-z\.\_]+""),""S"","""")),
if(BH88=""X"",""K"",""""))"),"")</f>
        <v/>
      </c>
      <c r="BZ88" s="40" t="str">
        <f>IFERROR(__xludf.DUMMYFUNCTION("CONCATENATE( 
if (regexmatch(Y88, ""^[A-Za-z\.\_]+""), ""L"", 
if(regexmatch(AR88, ""^[A-Za-z\.\_]+""),""S"","""")),
if(BI88=""X"",""K"",""""))"),"LK")</f>
        <v>LK</v>
      </c>
      <c r="CA88" s="40" t="str">
        <f>IFERROR(__xludf.DUMMYFUNCTION("CONCATENATE( 
if (regexmatch(Z88, ""^[A-Za-z\.\_]+""), ""L"", 
if(regexmatch(AS88, ""^[A-Za-z\.\_]+""),""S"","""")),
if(BJ88=""X"",""K"",""""))"),"LK")</f>
        <v>LK</v>
      </c>
      <c r="CB88" s="39"/>
      <c r="CC88" s="39"/>
      <c r="CD88" s="39"/>
      <c r="CE88" s="39"/>
      <c r="CF88" s="39"/>
      <c r="CG88" s="39"/>
      <c r="CH88" s="39"/>
      <c r="CI88" s="39"/>
      <c r="CJ88" s="39"/>
      <c r="CK88" s="39"/>
      <c r="CL88" s="39"/>
      <c r="CM88" s="39"/>
      <c r="CN88" s="39"/>
      <c r="CO88" s="39"/>
      <c r="CP88" s="39"/>
      <c r="CQ88" s="39"/>
      <c r="CR88" s="39"/>
    </row>
    <row r="89" ht="15.75" customHeight="1">
      <c r="A89" s="25">
        <v>60.0</v>
      </c>
      <c r="B89" s="26" t="s">
        <v>338</v>
      </c>
      <c r="C89" s="27" t="s">
        <v>339</v>
      </c>
      <c r="D89" s="27" t="str">
        <f>IFERROR(__xludf.DUMMYFUNCTION("CONCATENATE(regexextract($C89,""[\w]* [\w]*""), ""*"")"),"Ricinus communis*")</f>
        <v>Ricinus communis*</v>
      </c>
      <c r="E89" s="26" t="s">
        <v>340</v>
      </c>
      <c r="F89" s="57">
        <v>3988.0</v>
      </c>
      <c r="G89" s="53"/>
      <c r="H89" s="31"/>
      <c r="I89" s="32" t="str">
        <f>CONCATENATE(
if(countif(dd.agi,$D89),"D",""),
if(countif(knap.agi,$D89),"K",""),
if(countif(mic.agi,$D89),"M",""),
if(countif(nap.agi,$D89),"N",""),
if(countif(np.agi,$D89),"P",""),
if(countif(imp.agi,$D89),"T",""),
if(countif(us.agi,$D89),"U",""),
if(countif(var.agi,$D89),"V","")
)</f>
        <v>T</v>
      </c>
      <c r="J89" s="32" t="str">
        <f>
CONCATENATE(
if(countif(nap.bun,$D89),"N",""),
if(countif(np.bun,$D89),"P","")
)
</f>
        <v/>
      </c>
      <c r="K89" s="32" t="str">
        <f>CONCATENATE(
if(countif(dd.kxn,$D89),"D",""),
if(countif(knap.kxn,$D89),"K",""),
if(countif(mic.kxn,$D89),"M",""),
if(countif(nap.kxn,$D89),"N",""),
if(countif(np.kxn,$D89),"P",""),
if(countif(us.kxn,$D89),"U",""),
if(countif(var.kxn,$D89),"V","")
)</f>
        <v/>
      </c>
      <c r="L89" s="32" t="str">
        <f>
CONCATENATE(
if(countif(dd.hwb,$D89),"D",""),
if(countif(knap.hwb,$D89),"K",""),
if(countif(mic.hwb,$D89),"M",""),
if(countif(nap.hwb,$D89),"N",""),
if(countif(np.hwb,$D89),"P",""),
if(countif(us.hwb,$D89),"U",""),
if(countif(imp.hwb,$D89),"T",""),
if(countif(var.hwb,$D89),"V","")
)</f>
        <v/>
      </c>
      <c r="M89" s="32" t="str">
        <f>CONCATENATE(
if(countif(dd.epc,$D89),"D",""),
if(countif(knap.ekxn,$D89),"K",""),
if(countif(mic.ekxn,$D89),"M",""),
if(countif(nap.ekxn,$D89),"N",""),
if(countif(np.ekxn,$D89),"P",""),
if(countif(imp.epc,$D89),"T",""),
if(countif(us.ekxn,$D89),"U",""),
if(countif(var.ekxn,$D89),"V","")
)</f>
        <v>N</v>
      </c>
      <c r="N89" s="32" t="str">
        <f>
CONCATENATE(
if(countif(dd.ecg,$D89),"D",""),
if(countif(mic.ecg,$D89),"M",""),
if(countif(np.ecg,$D89),"P",""),
if(countif(imp.ecg,$D89),"T",""),
if(countif(us.ecg,$D89),"U","")
)</f>
        <v/>
      </c>
      <c r="O89" s="32" t="str">
        <f>
CONCATENATE(
if(countif(dd.egt,$D89),"D",""),
if(countif(mic.egt,$D89),"M",""),
if(countif(nap.egt,$D89),"N",""),
if(countif(us.egt,$D89),"U",""),
if(countif(var.egt,$D89),"V",""))
</f>
        <v/>
      </c>
      <c r="P89" s="32" t="str">
        <f>CONCATENATE(
if(countif(knap.egcg,$D89),"K",""),
if(countif(mic.egcg,$D89),"M",""),
if(countif(np.egcg,$D89),"P",""),
if(countif(us.egcg,$D89),"U","")
)</f>
        <v/>
      </c>
      <c r="Q89" s="32" t="str">
        <f>CONCATENATE(if(countif(np.ecit,$D89),"P",""),
if(countif(nap.ecit,$D89),"A",""))</f>
        <v/>
      </c>
      <c r="R89" s="32" t="str">
        <f>
CONCATENATE(
if(countif(nap.erd,$D89),"N",""),
if(countif(np.erd,$D89),"P",""),
if(countif(var.erd,$D89),"V",""))</f>
        <v/>
      </c>
      <c r="S89" s="32" t="str">
        <f>
CONCATENATE(
if(countif(dd.gkxn,$D89),"D",""),
if(countif(knap.gkxn,$D89),"K",""),
if(countif(nap.gkxn,$D89),"N",""),
if(countif(np.gkxn,$D89),"P",""),
if(countif(imp.gkxn,$D89),"T",""),
if(countif(var.gkxn,$D89),"V",""))</f>
        <v/>
      </c>
      <c r="T89" s="32" t="str">
        <f>
CONCATENATE(
if(countif(dd.gen,$C89),"D",""),
if(countif(knap.gen,$C89),"K",""),
if(countif(nap.gen,$C89),"N",""),
if(countif(np.gen,$C89),"P",""),
if(countif(imp.gen,$C89),"T",""),
if(countif(var.gen,$C89),"V",""))</f>
        <v/>
      </c>
      <c r="U89" s="32" t="str">
        <f>
CONCATENATE(
if(countif(dd.hcc,$D89),"D",""),
if(countif(knap.hcc,$D89),"K",""),
if(countif(np.hcc,$D89),"P","")
)
</f>
        <v/>
      </c>
      <c r="V89" s="32" t="str">
        <f>
CONCATENATE(
if(countif(dd.kmp,$D89),"D",""),
if(countif(knap.kmp,$D89),"K",""),
if(countif(mic.kmp,$D89),"M",""),
if(countif(nap.kmp,$D89),"N",""),
if(countif(np.kmp,$D89),"P",""),
if(countif(imp.kmp,$D89),"T",""),
if(countif(us.kmp,$D89),"U",""),
if(countif(var.kmp,$D89),"V",""))</f>
        <v>D</v>
      </c>
      <c r="W89" s="32" t="str">
        <f>
CONCATENATE(
if(countif(dd.lu2,$D89),"D",""),
if(countif(knap.lu2,$D89),"K",""),
if(countif(mic.lu2,$D89),"M",""),
if(countif(nap.lu2,$D89),"N",""),
if(countif(np.lu2,$D89),"P",""),
if(countif(imp.lu2,$D89),"T",""),
if(countif(us.lu2,$D89),"U",""),
if(countif(var.lu2,$D89),"V",""))</f>
        <v/>
      </c>
      <c r="X89" s="32" t="str">
        <f>
CONCATENATE(
if(countif(dd.myc,$D89),"D",""),
if(countif(knap.myc,$D89),"K",""), 
if(countif(mic.myc,$D89),"M",""),
if(countif(nap.myc,$D89),"N",""),
if(countif(np.myc,$D89),"P",""),
if(countif(imp.myc,$D89),"T",""),
if(countif(us.myc,$D89),"U",""),
if(countif(var.myc,$D89),"V",""))</f>
        <v/>
      </c>
      <c r="Y89" s="32" t="str">
        <f>CONCATENATE(
if(countif(dd.nar,$D89),"D",""),
if(countif(knap.nar,$D89),"K",""),
if(countif(nap.nar,$D89),"N",""),
if(countif(np.nar,$D89),"P",""),
if(countif(imp.nar,$D89),"T",""),
if(countif(us.nar,$D89),"U",""),
if(countif(var.nar,$D89),"V",""))</f>
        <v/>
      </c>
      <c r="Z89" s="33" t="str">
        <f>
CONCATENATE(
if(countif(dd.que,$D89),"D",""),
if(countif(knap.que,$D89),"K",""),
if(countif(mic.que,$D89),"M",""),
if(countif(nap.que,$D89),"N",""),
if(countif(np.que,$D89),"P",""),
if(countif(imp.que,$D89),"T",""),
if(countif(us.que,$D89),"U",""),
if(countif(var.que,$D89),"V",""))</f>
        <v>DN</v>
      </c>
      <c r="AA89" s="32"/>
      <c r="AB89" s="34" t="str">
        <f>
CONCATENATE(if(countif(knap.agi.sim,$D89),"K",""),
if(countif(dd.agi.sim,$D89),"D",""),
if(countif(nap.agi.sim,$D89),"A",""),
if(countif(var.agi.sim,$D89),"V",""))</f>
        <v/>
      </c>
      <c r="AC89" s="34" t="str">
        <f>
if(countif(nap.bun.sim,$D89),"A","")</f>
        <v/>
      </c>
      <c r="AD89" s="34" t="str">
        <f>
CONCATENATE(if(countif(knap.kxn.sim,$D89),"K",""),
if(countif(np.kxn.sim,$D89),"P",""),
if(countif(dd.kxn.sim,$D89),"D",""),
if(countif(nap.kxn.sim,$D89),"A",""),
if(countif(var.kxn.sim,$D89),"V",""))</f>
        <v/>
      </c>
      <c r="AE89" s="34" t="str">
        <f>
CONCATENATE(if(countif(knap.hwb.sim,$D89),"K",""),
if(countif(np.hwb.sim,$D89),"P",""),
if(countif(mic.hwb.sim,$D89),"M",""),
if(countif(imp.hwb.sim,$D89),"T",""),
if(countif(dd.cyan.sim,$D89),"D",""),
if(countif(nap.hwb.sim,$D89),"A",""),
if(countif(var.hwb.sim,$D89),"V",""))</f>
        <v/>
      </c>
      <c r="AF89" s="34" t="str">
        <f>
CONCATENATE(if(countif(us.ekxn.sim,$D89),"U",""),
if(countif(knap.ekxn.sim,$D89),"K",""),
if(countif(np.ekxn.sim,$D89),"P",""),
if(countif(mic.ekxn.sim,$D89),"M",""),
if(countif(imp.epc.sim,$D89),"T",""),
if(countif(nap.ekxn.sim,$D89),"A",""))</f>
        <v/>
      </c>
      <c r="AG89" s="34"/>
      <c r="AH89" s="34" t="str">
        <f>
CONCATENATE(if(countif(us.egt.sim,$D89),"U",""),
if(countif(knap.egt.sim,$D89),"K",""),
if(countif(np.egt.sim,$D89),"P",""),
if(countif(mic.egt.sim,$D89),"M",""))</f>
        <v/>
      </c>
      <c r="AI89" s="34"/>
      <c r="AJ89" s="34" t="str">
        <f>if(countif(nap.ecit.sim,$D89),"A","")</f>
        <v/>
      </c>
      <c r="AK89" s="34" t="str">
        <f>
CONCATENATE(if(countif(nap.erd,$D89),"M",""),
if(countif(nap.erd.sim,$D89),"A",""),
if(countif(var.erd.sim,$D89),"V",""))</f>
        <v/>
      </c>
      <c r="AL89" s="34" t="str">
        <f>
CONCATENATE(if(countif(knap.gkxn.sim,$D89),"K",""),
if(countif(nap.gkxn.sim,$D89),"A",""))</f>
        <v/>
      </c>
      <c r="AM89" s="34" t="str">
        <f>
CONCATENATE(if(countif(knap.gen.sim,$C89),"K",""),
if(countif(imp.gen.sim,$C89),"T",""),
if(countif(dd.gen.sim,$C89),"D",""),
if(countif(nap.gen.sim,$C89),"A",""),
if(countif(var.gen.sim,$C89),"V",""))
</f>
        <v/>
      </c>
      <c r="AN89" s="34" t="str">
        <f>IFERROR(__xludf.DUMMYFUNCTION("
if(countif(#REF!,CONCATENATE(regexextract($C89,""[\w]* [\w]*""), ""*"")),""V"","""")"),"")</f>
        <v/>
      </c>
      <c r="AO89" s="34" t="str">
        <f>
CONCATENATE(if(countif(knap.kmp.sim,$D89),"K",""),
if(countif(np.kmp.sim,$D89),"P",""),
if(countif(imp.kmp.sim,$D89),"T",""),
if(countif(dd.kmp,$D89),"D",""),
if(countif(nap.kmp.sim,$D89),"A",""),
if(countif(var.kmp.sim,$D89),"V",""))</f>
        <v>KDA</v>
      </c>
      <c r="AP89" s="34" t="str">
        <f>
CONCATENATE(if(countif(knap.lu2.sim,$D89),"K",""),
if(countif(np.lu2.sim,$D89),"P",""),
if(countif(imp.lu2.sim,$D89),"T",""),
if(countif(dd.lu2.sim,$D89),"D",""),
if(countif(nap.lu2.sim,$D89),"A",""),
if(countif(var.lu2.sim,$D89),"V",""))</f>
        <v/>
      </c>
      <c r="AQ89" s="34" t="str">
        <f>
CONCATENATE(if(countif(np.myc.sim,$D89),"P",""),
if(countif(imp.myc.sim,$D89),"T",""),
if(countif(nap.myc.sim,$D89),"A",""))
</f>
        <v/>
      </c>
      <c r="AR89" s="36" t="str">
        <f>
CONCATENATE(if(countif(knap.nar.sim,$D89),"K",""),
if(countif(np.nar.sim,$D89),"P",""),
if(countif(imp.nar.sim,$D89),"T",""),
if(countif(dd.nar.sim,$D89),"D",""),
if(countif(nap.nar.sim,$D89),"A",""),
if(countif(var.nar.sim,$D89),"V",""))</f>
        <v>K</v>
      </c>
      <c r="AS89" s="34" t="str">
        <f>
CONCATENATE(if(countif(knap.que.sim,$D89),"K",""),
if(countif(np.que.sim,$D89),"P",""),
if(countif(imp.que.sim,$D89),"T",""),
if(countif(dd.que.sim,$D89),"D",""),
if(countif(nap.que.sim,$D89),"A",""),
if(countif(var.que.sim,$D89),"V",""))</f>
        <v>KTD</v>
      </c>
      <c r="AT89" s="37"/>
      <c r="AU89" s="32" t="str">
        <f>IFERROR(__xludf.DUMMYFUNCTION("if(countif(kr.agi, CONCATENATE(regexextract($C89,""[\w]* [\w]*""), ""*"")),""X"","""")"),"X")</f>
        <v>X</v>
      </c>
      <c r="AV89" s="38" t="str">
        <f>IFERROR(__xludf.DUMMYFUNCTION("if(countif(kr.bun,CONCATENATE(regexextract($C89,""[\w]* [\w]*""), ""*"")),""X"","""")"),"X")</f>
        <v>X</v>
      </c>
      <c r="AW89" s="38" t="str">
        <f>IFERROR(__xludf.DUMMYFUNCTION("if(countif(kr.kxn,CONCATENATE(regexextract($C89,""[\w]* [\w]*""), ""*"")),""X"","""")"),"X")</f>
        <v>X</v>
      </c>
      <c r="AX89" s="38" t="str">
        <f>IFERROR(__xludf.DUMMYFUNCTION("if(countif(kr.hwb,CONCATENATE(regexextract($C89,""[\w]* [\w]*""), ""*"")),""X"","""")"),"X")</f>
        <v>X</v>
      </c>
      <c r="AY89" s="38" t="str">
        <f>IFERROR(__xludf.DUMMYFUNCTION("if(countif(kr.ec,CONCATENATE(regexextract($C89,""[\w]* [\w]*""), ""*"")),""X"","""")"),"X")</f>
        <v>X</v>
      </c>
      <c r="AZ89" s="38" t="str">
        <f>IFERROR(__xludf.DUMMYFUNCTION("if(countif(kr.egt,CONCATENATE(regexextract($C89,""[\w]* [\w]*""), ""*"")),""X"","""")"),"")</f>
        <v/>
      </c>
      <c r="BA89" s="38"/>
      <c r="BB89" s="38" t="str">
        <f>IFERROR(__xludf.DUMMYFUNCTION("if(countif(kr.erd,CONCATENATE(regexextract($C89,""[\w]* [\w]*""), ""*"")),""X"","""")"),"X")</f>
        <v>X</v>
      </c>
      <c r="BC89" s="38" t="str">
        <f>IFERROR(__xludf.DUMMYFUNCTION("if(countif(kr.gkxn,CONCATENATE(regexextract($C89,""[\w]* [\w]*""), ""*"")),""X"","""")"),"")</f>
        <v/>
      </c>
      <c r="BD89" s="38" t="str">
        <f>IFERROR(__xludf.DUMMYFUNCTION("if(countif(kr.gen,CONCATENATE(regexextract(C89,""[\w]* [\w]*""), ""*"")),""X"","""")"),"")</f>
        <v/>
      </c>
      <c r="BE89" s="38" t="str">
        <f>IFERROR(__xludf.DUMMYFUNCTION("if(countif(kr.hcc,CONCATENATE(regexextract($C89,""[\w]* [\w]*""), ""*"")),""X"","""")"),"X")</f>
        <v>X</v>
      </c>
      <c r="BF89" s="38" t="str">
        <f>IFERROR(__xludf.DUMMYFUNCTION("if(countif(kr.kmp,CONCATENATE(regexextract($C89,""[\w]* [\w]*""), ""*"")),""X"","""")"),"X")</f>
        <v>X</v>
      </c>
      <c r="BG89" s="38" t="str">
        <f>IFERROR(__xludf.DUMMYFUNCTION("if(countif(kr.lu2,CONCATENATE(regexextract($C89,""[\w]* [\w]*""), ""*"")),""X"","""")"),"X")</f>
        <v>X</v>
      </c>
      <c r="BH89" s="38" t="str">
        <f>IFERROR(__xludf.DUMMYFUNCTION("if(countif(kr.myc,CONCATENATE(regexextract($C89,""[\w]* [\w]*""), ""*"")),""X"","""")"),"")</f>
        <v/>
      </c>
      <c r="BI89" s="38" t="str">
        <f>IFERROR(__xludf.DUMMYFUNCTION("if(countif(kr.nar,CONCATENATE(regexextract($C89,""[\w]* [\w]*""), ""*"")),""X"","""")"),"X")</f>
        <v>X</v>
      </c>
      <c r="BJ89" s="38" t="str">
        <f>IFERROR(__xludf.DUMMYFUNCTION("if(countif(kr.que,CONCATENATE(regexextract($C89,""[\w]* [\w]*""), ""*"")),""X"","""")"),"X")</f>
        <v>X</v>
      </c>
      <c r="BK89" s="39"/>
      <c r="BL89" s="40" t="str">
        <f>IFERROR(__xludf.DUMMYFUNCTION(" CONCATENATE( 
if (regexmatch(I89, ""^[A-Za-z\.\_]+""), ""L"", 
if(regexmatch(AB89, ""^[A-Za-z\.\_]+""),""S"","""")),
if(AU89=""X"",""K"",""""))"),"LK")</f>
        <v>LK</v>
      </c>
      <c r="BM89" s="40" t="str">
        <f>IFERROR(__xludf.DUMMYFUNCTION(" CONCATENATE( 
if (regexmatch(J89, ""^[A-Za-z\.\_]+""), ""L"", 
if(regexmatch(AC89, ""^[A-Za-z\.\_]+""),""S"","""")),
if(AV89=""X"",""K"",""""))"),"K")</f>
        <v>K</v>
      </c>
      <c r="BN89" s="40" t="str">
        <f>IFERROR(__xludf.DUMMYFUNCTION(" CONCATENATE( 
if (regexmatch(K89, ""^[A-Za-z\.\_]+""), ""L"", 
if(regexmatch(AD89, ""^[A-Za-z\.\_]+""),""S"","""")),
if(AW89=""X"",""K"",""""))"),"K")</f>
        <v>K</v>
      </c>
      <c r="BO89" s="40" t="str">
        <f>IFERROR(__xludf.DUMMYFUNCTION(" CONCATENATE( 
if (regexmatch(L89, ""^[A-Za-z\.\_]+""), ""L"", 
if(regexmatch(AE89, ""^[A-Za-z\.\_]+""),""S"","""")),
if(AX89=""X"",""K"",""""))"),"K")</f>
        <v>K</v>
      </c>
      <c r="BP89" s="40" t="str">
        <f>IFERROR(__xludf.DUMMYFUNCTION(" CONCATENATE( 
if (regexmatch(M89, ""^[A-Za-z\.\_]+""), ""L"", 
if(regexmatch(AF89, ""^[A-Za-z\.\_]+""),""S"","""")),
if(AY89=""X"",""K"",""""))"),"LK")</f>
        <v>LK</v>
      </c>
      <c r="BQ89" s="40" t="str">
        <f>IFERROR(__xludf.DUMMYFUNCTION("CONCATENATE( 
if (regexmatch(O89, ""^[A-Za-z\.\_]+""), ""L"", 
if(regexmatch(AH89, ""^[A-Za-z\.\_]+""),""S"","""")),
if(AZ89=""X"",""K"",""""))"),"")</f>
        <v/>
      </c>
      <c r="BR89" s="40" t="str">
        <f>IFERROR(__xludf.DUMMYFUNCTION("CONCATENATE( 
if (regexmatch(Q89, ""^[A-Za-z\.\_]+""), ""L"", 
if(regexmatch(AJ89, ""^[A-Za-z\.\_]+""),""S"","""")),
if(BA89=""X"",""K"",""""))"),"")</f>
        <v/>
      </c>
      <c r="BS89" s="40" t="str">
        <f>IFERROR(__xludf.DUMMYFUNCTION(" CONCATENATE( 
if (regexmatch(R89, ""^[A-Za-z\.\_]+""), ""L"", 
if(regexmatch(AK89, ""^[A-Za-z\.\_]+""),""S"","""")),
if(BB89=""X"",""K"",""""))"),"K")</f>
        <v>K</v>
      </c>
      <c r="BT89" s="40" t="str">
        <f>IFERROR(__xludf.DUMMYFUNCTION("CONCATENATE( 
if (regexmatch(S89, ""^[A-Za-z\.\_]+""), ""L"", 
if(regexmatch(AL89, ""^[A-Za-z\.\_]+""),""S"","""")),
if(BC89=""X"",""K"",""""))"),"")</f>
        <v/>
      </c>
      <c r="BU89" s="40" t="str">
        <f>IFERROR(__xludf.DUMMYFUNCTION("CONCATENATE( 
if (regexmatch(T89, ""^[A-Za-z\.\_]+""), ""L"", 
if(regexmatch(AM89, ""^[A-Za-z\.\_]+""),""S"","""")),
if(BD89=""X"",""K"",""""))"),"")</f>
        <v/>
      </c>
      <c r="BV89" s="40" t="str">
        <f>IFERROR(__xludf.DUMMYFUNCTION("CONCATENATE( 
if (regexmatch(U89, ""^[A-Za-z\.\_]+""), ""L"", 
if(regexmatch(AN89, ""^[A-Za-z\.\_]+""),""S"","""")),
if(BE89=""X"",""K"",""""))"),"K")</f>
        <v>K</v>
      </c>
      <c r="BW89" s="40" t="str">
        <f>IFERROR(__xludf.DUMMYFUNCTION(" CONCATENATE( 
if (regexmatch(V89, ""^[A-Za-z\.\_]+""), ""L"", 
if(regexmatch(AO89, ""^[A-Za-z\.\_]+""),""S"","""")),
if(BF89=""X"",""K"",""""))"),"LK")</f>
        <v>LK</v>
      </c>
      <c r="BX89" s="40" t="str">
        <f>IFERROR(__xludf.DUMMYFUNCTION("CONCATENATE( 
if (regexmatch(W89, ""^[A-Za-z\.\_]+""), ""L"", 
if(regexmatch(AP89, ""^[A-Za-z\.\_]+""),""S"","""")),
if(BG89=""X"",""K"",""""))"),"K")</f>
        <v>K</v>
      </c>
      <c r="BY89" s="40" t="str">
        <f>IFERROR(__xludf.DUMMYFUNCTION("CONCATENATE( 
if (regexmatch(X89, ""^[A-Za-z\.\_]+""), ""L"", 
if(regexmatch(AQ89, ""^[A-Za-z\.\_]+""),""S"","""")),
if(BH89=""X"",""K"",""""))"),"")</f>
        <v/>
      </c>
      <c r="BZ89" s="40" t="str">
        <f>IFERROR(__xludf.DUMMYFUNCTION("CONCATENATE( 
if (regexmatch(Y89, ""^[A-Za-z\.\_]+""), ""L"", 
if(regexmatch(AR89, ""^[A-Za-z\.\_]+""),""S"","""")),
if(BI89=""X"",""K"",""""))"),"SK")</f>
        <v>SK</v>
      </c>
      <c r="CA89" s="40" t="str">
        <f>IFERROR(__xludf.DUMMYFUNCTION("CONCATENATE( 
if (regexmatch(Z89, ""^[A-Za-z\.\_]+""), ""L"", 
if(regexmatch(AS89, ""^[A-Za-z\.\_]+""),""S"","""")),
if(BJ89=""X"",""K"",""""))"),"LK")</f>
        <v>LK</v>
      </c>
      <c r="CB89" s="39"/>
      <c r="CC89" s="39"/>
      <c r="CD89" s="39"/>
      <c r="CE89" s="39"/>
      <c r="CF89" s="39"/>
      <c r="CG89" s="39"/>
      <c r="CH89" s="39"/>
      <c r="CI89" s="39"/>
      <c r="CJ89" s="39"/>
      <c r="CK89" s="39"/>
      <c r="CL89" s="39"/>
      <c r="CM89" s="39"/>
      <c r="CN89" s="39"/>
      <c r="CO89" s="39"/>
      <c r="CP89" s="39"/>
      <c r="CQ89" s="39"/>
      <c r="CR89" s="39"/>
    </row>
    <row r="90" ht="15.75" customHeight="1">
      <c r="A90" s="25">
        <v>46.0</v>
      </c>
      <c r="B90" s="26" t="s">
        <v>341</v>
      </c>
      <c r="C90" s="27" t="s">
        <v>342</v>
      </c>
      <c r="D90" s="27" t="str">
        <f>IFERROR(__xludf.DUMMYFUNCTION("CONCATENATE(regexextract($C90,""[\w]* [\w]*""), ""*"")"),"Rosa chinensis*")</f>
        <v>Rosa chinensis*</v>
      </c>
      <c r="E90" s="26" t="s">
        <v>343</v>
      </c>
      <c r="F90" s="57">
        <v>74649.0</v>
      </c>
      <c r="G90" s="53"/>
      <c r="H90" s="31"/>
      <c r="I90" s="32" t="str">
        <f>CONCATENATE(
if(countif(dd.agi,$D90),"D",""),
if(countif(knap.agi,$D90),"K",""),
if(countif(mic.agi,$D90),"M",""),
if(countif(nap.agi,$D90),"N",""),
if(countif(np.agi,$D90),"P",""),
if(countif(imp.agi,$D90),"T",""),
if(countif(us.agi,$D90),"U",""),
if(countif(var.agi,$D90),"V","")
)</f>
        <v/>
      </c>
      <c r="J90" s="32" t="str">
        <f>
CONCATENATE(
if(countif(nap.bun,$D90),"N",""),
if(countif(np.bun,$D90),"P","")
)
</f>
        <v/>
      </c>
      <c r="K90" s="32" t="str">
        <f>CONCATENATE(
if(countif(dd.kxn,$D90),"D",""),
if(countif(knap.kxn,$D90),"K",""),
if(countif(mic.kxn,$D90),"M",""),
if(countif(nap.kxn,$D90),"N",""),
if(countif(np.kxn,$D90),"P",""),
if(countif(us.kxn,$D90),"U",""),
if(countif(var.kxn,$D90),"V","")
)</f>
        <v/>
      </c>
      <c r="L90" s="32" t="str">
        <f>
CONCATENATE(
if(countif(dd.hwb,$D90),"D",""),
if(countif(knap.hwb,$D90),"K",""),
if(countif(mic.hwb,$D90),"M",""),
if(countif(nap.hwb,$D90),"N",""),
if(countif(np.hwb,$D90),"P",""),
if(countif(us.hwb,$D90),"U",""),
if(countif(imp.hwb,$D90),"T",""),
if(countif(var.hwb,$D90),"V","")
)</f>
        <v/>
      </c>
      <c r="M90" s="32" t="str">
        <f>CONCATENATE(
if(countif(dd.epc,$D90),"D",""),
if(countif(knap.ekxn,$D90),"K",""),
if(countif(mic.ekxn,$D90),"M",""),
if(countif(nap.ekxn,$D90),"N",""),
if(countif(np.ekxn,$D90),"P",""),
if(countif(imp.epc,$D90),"T",""),
if(countif(us.ekxn,$D90),"U",""),
if(countif(var.ekxn,$D90),"V","")
)</f>
        <v/>
      </c>
      <c r="N90" s="32" t="str">
        <f>
CONCATENATE(
if(countif(dd.ecg,$D90),"D",""),
if(countif(mic.ecg,$D90),"M",""),
if(countif(np.ecg,$D90),"P",""),
if(countif(imp.ecg,$D90),"T",""),
if(countif(us.ecg,$D90),"U","")
)</f>
        <v/>
      </c>
      <c r="O90" s="32" t="str">
        <f>
CONCATENATE(
if(countif(dd.egt,$D90),"D",""),
if(countif(mic.egt,$D90),"M",""),
if(countif(nap.egt,$D90),"N",""),
if(countif(us.egt,$D90),"U",""),
if(countif(var.egt,$D90),"V",""))
</f>
        <v/>
      </c>
      <c r="P90" s="32" t="str">
        <f>CONCATENATE(
if(countif(knap.egcg,$D90),"K",""),
if(countif(mic.egcg,$D90),"M",""),
if(countif(np.egcg,$D90),"P",""),
if(countif(us.egcg,$D90),"U","")
)</f>
        <v/>
      </c>
      <c r="Q90" s="32" t="str">
        <f>CONCATENATE(if(countif(np.ecit,$D90),"P",""),
if(countif(nap.ecit,$D90),"A",""))</f>
        <v/>
      </c>
      <c r="R90" s="32" t="str">
        <f>
CONCATENATE(
if(countif(nap.erd,$D90),"N",""),
if(countif(np.erd,$D90),"P",""),
if(countif(var.erd,$D90),"V",""))</f>
        <v/>
      </c>
      <c r="S90" s="32" t="str">
        <f>
CONCATENATE(
if(countif(dd.gkxn,$D90),"D",""),
if(countif(knap.gkxn,$D90),"K",""),
if(countif(nap.gkxn,$D90),"N",""),
if(countif(np.gkxn,$D90),"P",""),
if(countif(imp.gkxn,$D90),"T",""),
if(countif(var.gkxn,$D90),"V",""))</f>
        <v/>
      </c>
      <c r="T90" s="32" t="str">
        <f>
CONCATENATE(
if(countif(dd.gen,$C90),"D",""),
if(countif(knap.gen,$C90),"K",""),
if(countif(nap.gen,$C90),"N",""),
if(countif(np.gen,$C90),"P",""),
if(countif(imp.gen,$C90),"T",""),
if(countif(var.gen,$C90),"V",""))</f>
        <v/>
      </c>
      <c r="U90" s="32" t="str">
        <f>
CONCATENATE(
if(countif(dd.hcc,$D90),"D",""),
if(countif(knap.hcc,$D90),"K",""),
if(countif(np.hcc,$D90),"P","")
)
</f>
        <v/>
      </c>
      <c r="V90" s="32" t="str">
        <f>
CONCATENATE(
if(countif(dd.kmp,$D90),"D",""),
if(countif(knap.kmp,$D90),"K",""),
if(countif(mic.kmp,$D90),"M",""),
if(countif(nap.kmp,$D90),"N",""),
if(countif(np.kmp,$D90),"P",""),
if(countif(imp.kmp,$D90),"T",""),
if(countif(us.kmp,$D90),"U",""),
if(countif(var.kmp,$D90),"V",""))</f>
        <v>NP</v>
      </c>
      <c r="W90" s="32" t="str">
        <f>
CONCATENATE(
if(countif(dd.lu2,$D90),"D",""),
if(countif(knap.lu2,$D90),"K",""),
if(countif(mic.lu2,$D90),"M",""),
if(countif(nap.lu2,$D90),"N",""),
if(countif(np.lu2,$D90),"P",""),
if(countif(imp.lu2,$D90),"T",""),
if(countif(us.lu2,$D90),"U",""),
if(countif(var.lu2,$D90),"V",""))</f>
        <v/>
      </c>
      <c r="X90" s="32" t="str">
        <f>
CONCATENATE(
if(countif(dd.myc,$D90),"D",""),
if(countif(knap.myc,$D90),"K",""), 
if(countif(mic.myc,$D90),"M",""),
if(countif(nap.myc,$D90),"N",""),
if(countif(np.myc,$D90),"P",""),
if(countif(imp.myc,$D90),"T",""),
if(countif(us.myc,$D90),"U",""),
if(countif(var.myc,$D90),"V",""))</f>
        <v/>
      </c>
      <c r="Y90" s="32" t="str">
        <f>CONCATENATE(
if(countif(dd.nar,$D90),"D",""),
if(countif(knap.nar,$D90),"K",""),
if(countif(nap.nar,$D90),"N",""),
if(countif(np.nar,$D90),"P",""),
if(countif(imp.nar,$D90),"T",""),
if(countif(us.nar,$D90),"U",""),
if(countif(var.nar,$D90),"V",""))</f>
        <v/>
      </c>
      <c r="Z90" s="33" t="str">
        <f>
CONCATENATE(
if(countif(dd.que,$D90),"D",""),
if(countif(knap.que,$D90),"K",""),
if(countif(mic.que,$D90),"M",""),
if(countif(nap.que,$D90),"N",""),
if(countif(np.que,$D90),"P",""),
if(countif(imp.que,$D90),"T",""),
if(countif(us.que,$D90),"U",""),
if(countif(var.que,$D90),"V",""))</f>
        <v>NP</v>
      </c>
      <c r="AA90" s="32"/>
      <c r="AB90" s="34" t="str">
        <f>
CONCATENATE(if(countif(knap.agi.sim,$D90),"K",""),
if(countif(dd.agi.sim,$D90),"D",""),
if(countif(nap.agi.sim,$D90),"A",""),
if(countif(var.agi.sim,$D90),"V",""))</f>
        <v/>
      </c>
      <c r="AC90" s="34" t="str">
        <f>
if(countif(nap.bun.sim,$D90),"A","")</f>
        <v/>
      </c>
      <c r="AD90" s="34" t="str">
        <f>
CONCATENATE(if(countif(knap.kxn.sim,$D90),"K",""),
if(countif(np.kxn.sim,$D90),"P",""),
if(countif(dd.kxn.sim,$D90),"D",""),
if(countif(nap.kxn.sim,$D90),"A",""),
if(countif(var.kxn.sim,$D90),"V",""))</f>
        <v/>
      </c>
      <c r="AE90" s="34" t="str">
        <f>
CONCATENATE(if(countif(knap.hwb.sim,$D90),"K",""),
if(countif(np.hwb.sim,$D90),"P",""),
if(countif(mic.hwb.sim,$D90),"M",""),
if(countif(imp.hwb.sim,$D90),"T",""),
if(countif(dd.cyan.sim,$D90),"D",""),
if(countif(nap.hwb.sim,$D90),"A",""),
if(countif(var.hwb.sim,$D90),"V",""))</f>
        <v/>
      </c>
      <c r="AF90" s="34" t="str">
        <f>
CONCATENATE(if(countif(us.ekxn.sim,$D90),"U",""),
if(countif(knap.ekxn.sim,$D90),"K",""),
if(countif(np.ekxn.sim,$D90),"P",""),
if(countif(mic.ekxn.sim,$D90),"M",""),
if(countif(imp.epc.sim,$D90),"T",""),
if(countif(nap.ekxn.sim,$D90),"A",""))</f>
        <v/>
      </c>
      <c r="AG90" s="34"/>
      <c r="AH90" s="34" t="str">
        <f>
CONCATENATE(if(countif(us.egt.sim,$D90),"U",""),
if(countif(knap.egt.sim,$D90),"K",""),
if(countif(np.egt.sim,$D90),"P",""),
if(countif(mic.egt.sim,$D90),"M",""))</f>
        <v/>
      </c>
      <c r="AI90" s="34"/>
      <c r="AJ90" s="34" t="str">
        <f>if(countif(nap.ecit.sim,$D90),"A","")</f>
        <v/>
      </c>
      <c r="AK90" s="34" t="str">
        <f>
CONCATENATE(if(countif(nap.erd,$D90),"M",""),
if(countif(nap.erd.sim,$D90),"A",""),
if(countif(var.erd.sim,$D90),"V",""))</f>
        <v/>
      </c>
      <c r="AL90" s="34" t="str">
        <f>
CONCATENATE(if(countif(knap.gkxn.sim,$D90),"K",""),
if(countif(nap.gkxn.sim,$D90),"A",""))</f>
        <v/>
      </c>
      <c r="AM90" s="34" t="str">
        <f>
CONCATENATE(if(countif(knap.gen.sim,$C90),"K",""),
if(countif(imp.gen.sim,$C90),"T",""),
if(countif(dd.gen.sim,$C90),"D",""),
if(countif(nap.gen.sim,$C90),"A",""),
if(countif(var.gen.sim,$C90),"V",""))
</f>
        <v/>
      </c>
      <c r="AN90" s="34" t="str">
        <f>IFERROR(__xludf.DUMMYFUNCTION("
if(countif(#REF!,CONCATENATE(regexextract($C90,""[\w]* [\w]*""), ""*"")),""V"","""")"),"")</f>
        <v/>
      </c>
      <c r="AO90" s="34" t="str">
        <f>
CONCATENATE(if(countif(knap.kmp.sim,$D90),"K",""),
if(countif(np.kmp.sim,$D90),"P",""),
if(countif(imp.kmp.sim,$D90),"T",""),
if(countif(dd.kmp,$D90),"D",""),
if(countif(nap.kmp.sim,$D90),"A",""),
if(countif(var.kmp.sim,$D90),"V",""))</f>
        <v>P</v>
      </c>
      <c r="AP90" s="34" t="str">
        <f>
CONCATENATE(if(countif(knap.lu2.sim,$D90),"K",""),
if(countif(np.lu2.sim,$D90),"P",""),
if(countif(imp.lu2.sim,$D90),"T",""),
if(countif(dd.lu2.sim,$D90),"D",""),
if(countif(nap.lu2.sim,$D90),"A",""),
if(countif(var.lu2.sim,$D90),"V",""))</f>
        <v/>
      </c>
      <c r="AQ90" s="34" t="str">
        <f>
CONCATENATE(if(countif(np.myc.sim,$D90),"P",""),
if(countif(imp.myc.sim,$D90),"T",""),
if(countif(nap.myc.sim,$D90),"A",""))
</f>
        <v/>
      </c>
      <c r="AR90" s="36" t="str">
        <f>
CONCATENATE(if(countif(knap.nar.sim,$D90),"K",""),
if(countif(np.nar.sim,$D90),"P",""),
if(countif(imp.nar.sim,$D90),"T",""),
if(countif(dd.nar.sim,$D90),"D",""),
if(countif(nap.nar.sim,$D90),"A",""),
if(countif(var.nar.sim,$D90),"V",""))</f>
        <v/>
      </c>
      <c r="AS90" s="34" t="str">
        <f>
CONCATENATE(if(countif(knap.que.sim,$D90),"K",""),
if(countif(np.que.sim,$D90),"P",""),
if(countif(imp.que.sim,$D90),"T",""),
if(countif(dd.que.sim,$D90),"D",""),
if(countif(nap.que.sim,$D90),"A",""),
if(countif(var.que.sim,$D90),"V",""))</f>
        <v>P</v>
      </c>
      <c r="AT90" s="37"/>
      <c r="AU90" s="32" t="str">
        <f>IFERROR(__xludf.DUMMYFUNCTION("if(countif(kr.agi, CONCATENATE(regexextract($C90,""[\w]* [\w]*""), ""*"")),""X"","""")"),"")</f>
        <v/>
      </c>
      <c r="AV90" s="38" t="str">
        <f>IFERROR(__xludf.DUMMYFUNCTION("if(countif(kr.bun,CONCATENATE(regexextract($C90,""[\w]* [\w]*""), ""*"")),""X"","""")"),"X")</f>
        <v>X</v>
      </c>
      <c r="AW90" s="38" t="str">
        <f>IFERROR(__xludf.DUMMYFUNCTION("if(countif(kr.kxn,CONCATENATE(regexextract($C90,""[\w]* [\w]*""), ""*"")),""X"","""")"),"X")</f>
        <v>X</v>
      </c>
      <c r="AX90" s="38" t="str">
        <f>IFERROR(__xludf.DUMMYFUNCTION("if(countif(kr.hwb,CONCATENATE(regexextract($C90,""[\w]* [\w]*""), ""*"")),""X"","""")"),"X")</f>
        <v>X</v>
      </c>
      <c r="AY90" s="38" t="str">
        <f>IFERROR(__xludf.DUMMYFUNCTION("if(countif(kr.ec,CONCATENATE(regexextract($C90,""[\w]* [\w]*""), ""*"")),""X"","""")"),"X")</f>
        <v>X</v>
      </c>
      <c r="AZ90" s="38" t="str">
        <f>IFERROR(__xludf.DUMMYFUNCTION("if(countif(kr.egt,CONCATENATE(regexextract($C90,""[\w]* [\w]*""), ""*"")),""X"","""")"),"")</f>
        <v/>
      </c>
      <c r="BA90" s="38"/>
      <c r="BB90" s="38" t="str">
        <f>IFERROR(__xludf.DUMMYFUNCTION("if(countif(kr.erd,CONCATENATE(regexextract($C90,""[\w]* [\w]*""), ""*"")),""X"","""")"),"X")</f>
        <v>X</v>
      </c>
      <c r="BC90" s="38" t="str">
        <f>IFERROR(__xludf.DUMMYFUNCTION("if(countif(kr.gkxn,CONCATENATE(regexextract($C90,""[\w]* [\w]*""), ""*"")),""X"","""")"),"")</f>
        <v/>
      </c>
      <c r="BD90" s="38" t="str">
        <f>IFERROR(__xludf.DUMMYFUNCTION("if(countif(kr.gen,CONCATENATE(regexextract(C90,""[\w]* [\w]*""), ""*"")),""X"","""")"),"")</f>
        <v/>
      </c>
      <c r="BE90" s="38" t="str">
        <f>IFERROR(__xludf.DUMMYFUNCTION("if(countif(kr.hcc,CONCATENATE(regexextract($C90,""[\w]* [\w]*""), ""*"")),""X"","""")"),"X")</f>
        <v>X</v>
      </c>
      <c r="BF90" s="38" t="str">
        <f>IFERROR(__xludf.DUMMYFUNCTION("if(countif(kr.kmp,CONCATENATE(regexextract($C90,""[\w]* [\w]*""), ""*"")),""X"","""")"),"X")</f>
        <v>X</v>
      </c>
      <c r="BG90" s="38" t="str">
        <f>IFERROR(__xludf.DUMMYFUNCTION("if(countif(kr.lu2,CONCATENATE(regexextract($C90,""[\w]* [\w]*""), ""*"")),""X"","""")"),"")</f>
        <v/>
      </c>
      <c r="BH90" s="38" t="str">
        <f>IFERROR(__xludf.DUMMYFUNCTION("if(countif(kr.myc,CONCATENATE(regexextract($C90,""[\w]* [\w]*""), ""*"")),""X"","""")"),"")</f>
        <v/>
      </c>
      <c r="BI90" s="38" t="str">
        <f>IFERROR(__xludf.DUMMYFUNCTION("if(countif(kr.nar,CONCATENATE(regexextract($C90,""[\w]* [\w]*""), ""*"")),""X"","""")"),"X")</f>
        <v>X</v>
      </c>
      <c r="BJ90" s="38" t="str">
        <f>IFERROR(__xludf.DUMMYFUNCTION("if(countif(kr.que,CONCATENATE(regexextract($C90,""[\w]* [\w]*""), ""*"")),""X"","""")"),"X")</f>
        <v>X</v>
      </c>
      <c r="BK90" s="39"/>
      <c r="BL90" s="40" t="str">
        <f>IFERROR(__xludf.DUMMYFUNCTION(" CONCATENATE( 
if (regexmatch(I90, ""^[A-Za-z\.\_]+""), ""L"", 
if(regexmatch(AB90, ""^[A-Za-z\.\_]+""),""S"","""")),
if(AU90=""X"",""K"",""""))"),"")</f>
        <v/>
      </c>
      <c r="BM90" s="40" t="str">
        <f>IFERROR(__xludf.DUMMYFUNCTION(" CONCATENATE( 
if (regexmatch(J90, ""^[A-Za-z\.\_]+""), ""L"", 
if(regexmatch(AC90, ""^[A-Za-z\.\_]+""),""S"","""")),
if(AV90=""X"",""K"",""""))"),"K")</f>
        <v>K</v>
      </c>
      <c r="BN90" s="40" t="str">
        <f>IFERROR(__xludf.DUMMYFUNCTION(" CONCATENATE( 
if (regexmatch(K90, ""^[A-Za-z\.\_]+""), ""L"", 
if(regexmatch(AD90, ""^[A-Za-z\.\_]+""),""S"","""")),
if(AW90=""X"",""K"",""""))"),"K")</f>
        <v>K</v>
      </c>
      <c r="BO90" s="40" t="str">
        <f>IFERROR(__xludf.DUMMYFUNCTION(" CONCATENATE( 
if (regexmatch(L90, ""^[A-Za-z\.\_]+""), ""L"", 
if(regexmatch(AE90, ""^[A-Za-z\.\_]+""),""S"","""")),
if(AX90=""X"",""K"",""""))"),"K")</f>
        <v>K</v>
      </c>
      <c r="BP90" s="40" t="str">
        <f>IFERROR(__xludf.DUMMYFUNCTION(" CONCATENATE( 
if (regexmatch(M90, ""^[A-Za-z\.\_]+""), ""L"", 
if(regexmatch(AF90, ""^[A-Za-z\.\_]+""),""S"","""")),
if(AY90=""X"",""K"",""""))"),"K")</f>
        <v>K</v>
      </c>
      <c r="BQ90" s="40" t="str">
        <f>IFERROR(__xludf.DUMMYFUNCTION("CONCATENATE( 
if (regexmatch(O90, ""^[A-Za-z\.\_]+""), ""L"", 
if(regexmatch(AH90, ""^[A-Za-z\.\_]+""),""S"","""")),
if(AZ90=""X"",""K"",""""))"),"")</f>
        <v/>
      </c>
      <c r="BR90" s="40" t="str">
        <f>IFERROR(__xludf.DUMMYFUNCTION("CONCATENATE( 
if (regexmatch(Q90, ""^[A-Za-z\.\_]+""), ""L"", 
if(regexmatch(AJ90, ""^[A-Za-z\.\_]+""),""S"","""")),
if(BA90=""X"",""K"",""""))"),"")</f>
        <v/>
      </c>
      <c r="BS90" s="40" t="str">
        <f>IFERROR(__xludf.DUMMYFUNCTION(" CONCATENATE( 
if (regexmatch(R90, ""^[A-Za-z\.\_]+""), ""L"", 
if(regexmatch(AK90, ""^[A-Za-z\.\_]+""),""S"","""")),
if(BB90=""X"",""K"",""""))"),"K")</f>
        <v>K</v>
      </c>
      <c r="BT90" s="40" t="str">
        <f>IFERROR(__xludf.DUMMYFUNCTION("CONCATENATE( 
if (regexmatch(S90, ""^[A-Za-z\.\_]+""), ""L"", 
if(regexmatch(AL90, ""^[A-Za-z\.\_]+""),""S"","""")),
if(BC90=""X"",""K"",""""))"),"")</f>
        <v/>
      </c>
      <c r="BU90" s="40" t="str">
        <f>IFERROR(__xludf.DUMMYFUNCTION("CONCATENATE( 
if (regexmatch(T90, ""^[A-Za-z\.\_]+""), ""L"", 
if(regexmatch(AM90, ""^[A-Za-z\.\_]+""),""S"","""")),
if(BD90=""X"",""K"",""""))"),"")</f>
        <v/>
      </c>
      <c r="BV90" s="40" t="str">
        <f>IFERROR(__xludf.DUMMYFUNCTION("CONCATENATE( 
if (regexmatch(U90, ""^[A-Za-z\.\_]+""), ""L"", 
if(regexmatch(AN90, ""^[A-Za-z\.\_]+""),""S"","""")),
if(BE90=""X"",""K"",""""))"),"K")</f>
        <v>K</v>
      </c>
      <c r="BW90" s="40" t="str">
        <f>IFERROR(__xludf.DUMMYFUNCTION(" CONCATENATE( 
if (regexmatch(V90, ""^[A-Za-z\.\_]+""), ""L"", 
if(regexmatch(AO90, ""^[A-Za-z\.\_]+""),""S"","""")),
if(BF90=""X"",""K"",""""))"),"LK")</f>
        <v>LK</v>
      </c>
      <c r="BX90" s="40" t="str">
        <f>IFERROR(__xludf.DUMMYFUNCTION("CONCATENATE( 
if (regexmatch(W90, ""^[A-Za-z\.\_]+""), ""L"", 
if(regexmatch(AP90, ""^[A-Za-z\.\_]+""),""S"","""")),
if(BG90=""X"",""K"",""""))"),"")</f>
        <v/>
      </c>
      <c r="BY90" s="40" t="str">
        <f>IFERROR(__xludf.DUMMYFUNCTION("CONCATENATE( 
if (regexmatch(X90, ""^[A-Za-z\.\_]+""), ""L"", 
if(regexmatch(AQ90, ""^[A-Za-z\.\_]+""),""S"","""")),
if(BH90=""X"",""K"",""""))"),"")</f>
        <v/>
      </c>
      <c r="BZ90" s="40" t="str">
        <f>IFERROR(__xludf.DUMMYFUNCTION("CONCATENATE( 
if (regexmatch(Y90, ""^[A-Za-z\.\_]+""), ""L"", 
if(regexmatch(AR90, ""^[A-Za-z\.\_]+""),""S"","""")),
if(BI90=""X"",""K"",""""))"),"K")</f>
        <v>K</v>
      </c>
      <c r="CA90" s="40" t="str">
        <f>IFERROR(__xludf.DUMMYFUNCTION("CONCATENATE( 
if (regexmatch(Z90, ""^[A-Za-z\.\_]+""), ""L"", 
if(regexmatch(AS90, ""^[A-Za-z\.\_]+""),""S"","""")),
if(BJ90=""X"",""K"",""""))"),"LK")</f>
        <v>LK</v>
      </c>
      <c r="CB90" s="39"/>
      <c r="CC90" s="39"/>
      <c r="CD90" s="39"/>
      <c r="CE90" s="39"/>
      <c r="CF90" s="39"/>
      <c r="CG90" s="39"/>
      <c r="CH90" s="39"/>
      <c r="CI90" s="39"/>
      <c r="CJ90" s="39"/>
      <c r="CK90" s="39"/>
      <c r="CL90" s="39"/>
      <c r="CM90" s="39"/>
      <c r="CN90" s="39"/>
      <c r="CO90" s="39"/>
      <c r="CP90" s="39"/>
      <c r="CQ90" s="39"/>
      <c r="CR90" s="39"/>
    </row>
    <row r="91" ht="15.75" customHeight="1">
      <c r="A91" s="25">
        <v>121.0</v>
      </c>
      <c r="B91" s="26" t="s">
        <v>344</v>
      </c>
      <c r="C91" s="27" t="s">
        <v>345</v>
      </c>
      <c r="D91" s="27" t="str">
        <f>IFERROR(__xludf.DUMMYFUNCTION("CONCATENATE(regexextract($C91,""[\w]* [\w]*""), ""*"")"),"Selaginella moellendorffii*")</f>
        <v>Selaginella moellendorffii*</v>
      </c>
      <c r="E91" s="26" t="s">
        <v>346</v>
      </c>
      <c r="F91" s="57">
        <v>88036.0</v>
      </c>
      <c r="G91" s="53"/>
      <c r="H91" s="31"/>
      <c r="I91" s="32" t="str">
        <f>CONCATENATE(
if(countif(dd.agi,$D91),"D",""),
if(countif(knap.agi,$D91),"K",""),
if(countif(mic.agi,$D91),"M",""),
if(countif(nap.agi,$D91),"N",""),
if(countif(np.agi,$D91),"P",""),
if(countif(imp.agi,$D91),"T",""),
if(countif(us.agi,$D91),"U",""),
if(countif(var.agi,$D91),"V","")
)</f>
        <v/>
      </c>
      <c r="J91" s="32" t="str">
        <f>
CONCATENATE(
if(countif(nap.bun,$D91),"N",""),
if(countif(np.bun,$D91),"P","")
)
</f>
        <v/>
      </c>
      <c r="K91" s="32" t="str">
        <f>CONCATENATE(
if(countif(dd.kxn,$D91),"D",""),
if(countif(knap.kxn,$D91),"K",""),
if(countif(mic.kxn,$D91),"M",""),
if(countif(nap.kxn,$D91),"N",""),
if(countif(np.kxn,$D91),"P",""),
if(countif(us.kxn,$D91),"U",""),
if(countif(var.kxn,$D91),"V","")
)</f>
        <v/>
      </c>
      <c r="L91" s="32" t="str">
        <f>
CONCATENATE(
if(countif(dd.hwb,$D91),"D",""),
if(countif(knap.hwb,$D91),"K",""),
if(countif(mic.hwb,$D91),"M",""),
if(countif(nap.hwb,$D91),"N",""),
if(countif(np.hwb,$D91),"P",""),
if(countif(us.hwb,$D91),"U",""),
if(countif(imp.hwb,$D91),"T",""),
if(countif(var.hwb,$D91),"V","")
)</f>
        <v/>
      </c>
      <c r="M91" s="32" t="str">
        <f>CONCATENATE(
if(countif(dd.epc,$D91),"D",""),
if(countif(knap.ekxn,$D91),"K",""),
if(countif(mic.ekxn,$D91),"M",""),
if(countif(nap.ekxn,$D91),"N",""),
if(countif(np.ekxn,$D91),"P",""),
if(countif(imp.epc,$D91),"T",""),
if(countif(us.ekxn,$D91),"U",""),
if(countif(var.ekxn,$D91),"V","")
)</f>
        <v/>
      </c>
      <c r="N91" s="32" t="str">
        <f>
CONCATENATE(
if(countif(dd.ecg,$D91),"D",""),
if(countif(mic.ecg,$D91),"M",""),
if(countif(np.ecg,$D91),"P",""),
if(countif(imp.ecg,$D91),"T",""),
if(countif(us.ecg,$D91),"U","")
)</f>
        <v/>
      </c>
      <c r="O91" s="32" t="str">
        <f>
CONCATENATE(
if(countif(dd.egt,$D91),"D",""),
if(countif(mic.egt,$D91),"M",""),
if(countif(nap.egt,$D91),"N",""),
if(countif(us.egt,$D91),"U",""),
if(countif(var.egt,$D91),"V",""))
</f>
        <v/>
      </c>
      <c r="P91" s="32" t="str">
        <f>CONCATENATE(
if(countif(knap.egcg,$D91),"K",""),
if(countif(mic.egcg,$D91),"M",""),
if(countif(np.egcg,$D91),"P",""),
if(countif(us.egcg,$D91),"U","")
)</f>
        <v/>
      </c>
      <c r="Q91" s="32" t="str">
        <f>CONCATENATE(if(countif(np.ecit,$D91),"P",""),
if(countif(nap.ecit,$D91),"A",""))</f>
        <v/>
      </c>
      <c r="R91" s="32" t="str">
        <f>
CONCATENATE(
if(countif(nap.erd,$D91),"N",""),
if(countif(np.erd,$D91),"P",""),
if(countif(var.erd,$D91),"V",""))</f>
        <v/>
      </c>
      <c r="S91" s="32" t="str">
        <f>
CONCATENATE(
if(countif(dd.gkxn,$D91),"D",""),
if(countif(knap.gkxn,$D91),"K",""),
if(countif(nap.gkxn,$D91),"N",""),
if(countif(np.gkxn,$D91),"P",""),
if(countif(imp.gkxn,$D91),"T",""),
if(countif(var.gkxn,$D91),"V",""))</f>
        <v/>
      </c>
      <c r="T91" s="32" t="str">
        <f>
CONCATENATE(
if(countif(dd.gen,$C91),"D",""),
if(countif(knap.gen,$C91),"K",""),
if(countif(nap.gen,$C91),"N",""),
if(countif(np.gen,$C91),"P",""),
if(countif(imp.gen,$C91),"T",""),
if(countif(var.gen,$C91),"V",""))</f>
        <v/>
      </c>
      <c r="U91" s="32" t="str">
        <f>
CONCATENATE(
if(countif(dd.hcc,$D91),"D",""),
if(countif(knap.hcc,$D91),"K",""),
if(countif(np.hcc,$D91),"P","")
)
</f>
        <v/>
      </c>
      <c r="V91" s="32" t="str">
        <f>
CONCATENATE(
if(countif(dd.kmp,$D91),"D",""),
if(countif(knap.kmp,$D91),"K",""),
if(countif(mic.kmp,$D91),"M",""),
if(countif(nap.kmp,$D91),"N",""),
if(countif(np.kmp,$D91),"P",""),
if(countif(imp.kmp,$D91),"T",""),
if(countif(us.kmp,$D91),"U",""),
if(countif(var.kmp,$D91),"V",""))</f>
        <v/>
      </c>
      <c r="W91" s="32" t="str">
        <f>
CONCATENATE(
if(countif(dd.lu2,$D91),"D",""),
if(countif(knap.lu2,$D91),"K",""),
if(countif(mic.lu2,$D91),"M",""),
if(countif(nap.lu2,$D91),"N",""),
if(countif(np.lu2,$D91),"P",""),
if(countif(imp.lu2,$D91),"T",""),
if(countif(us.lu2,$D91),"U",""),
if(countif(var.lu2,$D91),"V",""))</f>
        <v/>
      </c>
      <c r="X91" s="32" t="str">
        <f>
CONCATENATE(
if(countif(dd.myc,$D91),"D",""),
if(countif(knap.myc,$D91),"K",""), 
if(countif(mic.myc,$D91),"M",""),
if(countif(nap.myc,$D91),"N",""),
if(countif(np.myc,$D91),"P",""),
if(countif(imp.myc,$D91),"T",""),
if(countif(us.myc,$D91),"U",""),
if(countif(var.myc,$D91),"V",""))</f>
        <v/>
      </c>
      <c r="Y91" s="32" t="str">
        <f>CONCATENATE(
if(countif(dd.nar,$D91),"D",""),
if(countif(knap.nar,$D91),"K",""),
if(countif(nap.nar,$D91),"N",""),
if(countif(np.nar,$D91),"P",""),
if(countif(imp.nar,$D91),"T",""),
if(countif(us.nar,$D91),"U",""),
if(countif(var.nar,$D91),"V",""))</f>
        <v>V</v>
      </c>
      <c r="Z91" s="33" t="str">
        <f>
CONCATENATE(
if(countif(dd.que,$D91),"D",""),
if(countif(knap.que,$D91),"K",""),
if(countif(mic.que,$D91),"M",""),
if(countif(nap.que,$D91),"N",""),
if(countif(np.que,$D91),"P",""),
if(countif(imp.que,$D91),"T",""),
if(countif(us.que,$D91),"U",""),
if(countif(var.que,$D91),"V",""))</f>
        <v/>
      </c>
      <c r="AA91" s="32"/>
      <c r="AB91" s="34" t="str">
        <f>
CONCATENATE(if(countif(knap.agi.sim,$D91),"K",""),
if(countif(dd.agi.sim,$D91),"D",""),
if(countif(nap.agi.sim,$D91),"A",""),
if(countif(var.agi.sim,$D91),"V",""))</f>
        <v/>
      </c>
      <c r="AC91" s="34" t="str">
        <f>
if(countif(nap.bun.sim,$D91),"A","")</f>
        <v/>
      </c>
      <c r="AD91" s="34" t="str">
        <f>
CONCATENATE(if(countif(knap.kxn.sim,$D91),"K",""),
if(countif(np.kxn.sim,$D91),"P",""),
if(countif(dd.kxn.sim,$D91),"D",""),
if(countif(nap.kxn.sim,$D91),"A",""),
if(countif(var.kxn.sim,$D91),"V",""))</f>
        <v/>
      </c>
      <c r="AE91" s="34" t="str">
        <f>
CONCATENATE(if(countif(knap.hwb.sim,$D91),"K",""),
if(countif(np.hwb.sim,$D91),"P",""),
if(countif(mic.hwb.sim,$D91),"M",""),
if(countif(imp.hwb.sim,$D91),"T",""),
if(countif(dd.cyan.sim,$D91),"D",""),
if(countif(nap.hwb.sim,$D91),"A",""),
if(countif(var.hwb.sim,$D91),"V",""))</f>
        <v/>
      </c>
      <c r="AF91" s="34" t="str">
        <f>
CONCATENATE(if(countif(us.ekxn.sim,$D91),"U",""),
if(countif(knap.ekxn.sim,$D91),"K",""),
if(countif(np.ekxn.sim,$D91),"P",""),
if(countif(mic.ekxn.sim,$D91),"M",""),
if(countif(imp.epc.sim,$D91),"T",""),
if(countif(nap.ekxn.sim,$D91),"A",""))</f>
        <v/>
      </c>
      <c r="AG91" s="34"/>
      <c r="AH91" s="34" t="str">
        <f>
CONCATENATE(if(countif(us.egt.sim,$D91),"U",""),
if(countif(knap.egt.sim,$D91),"K",""),
if(countif(np.egt.sim,$D91),"P",""),
if(countif(mic.egt.sim,$D91),"M",""))</f>
        <v/>
      </c>
      <c r="AI91" s="34"/>
      <c r="AJ91" s="34" t="str">
        <f>if(countif(nap.ecit.sim,$D91),"A","")</f>
        <v/>
      </c>
      <c r="AK91" s="34" t="str">
        <f>
CONCATENATE(if(countif(nap.erd,$D91),"M",""),
if(countif(nap.erd.sim,$D91),"A",""),
if(countif(var.erd.sim,$D91),"V",""))</f>
        <v/>
      </c>
      <c r="AL91" s="34" t="str">
        <f>
CONCATENATE(if(countif(knap.gkxn.sim,$D91),"K",""),
if(countif(nap.gkxn.sim,$D91),"A",""))</f>
        <v/>
      </c>
      <c r="AM91" s="34" t="str">
        <f>
CONCATENATE(if(countif(knap.gen.sim,$C91),"K",""),
if(countif(imp.gen.sim,$C91),"T",""),
if(countif(dd.gen.sim,$C91),"D",""),
if(countif(nap.gen.sim,$C91),"A",""),
if(countif(var.gen.sim,$C91),"V",""))
</f>
        <v/>
      </c>
      <c r="AN91" s="34" t="str">
        <f>IFERROR(__xludf.DUMMYFUNCTION("
if(countif(#REF!,CONCATENATE(regexextract($C91,""[\w]* [\w]*""), ""*"")),""V"","""")"),"")</f>
        <v/>
      </c>
      <c r="AO91" s="34" t="str">
        <f>
CONCATENATE(if(countif(knap.kmp.sim,$D91),"K",""),
if(countif(np.kmp.sim,$D91),"P",""),
if(countif(imp.kmp.sim,$D91),"T",""),
if(countif(dd.kmp,$D91),"D",""),
if(countif(nap.kmp.sim,$D91),"A",""),
if(countif(var.kmp.sim,$D91),"V",""))</f>
        <v/>
      </c>
      <c r="AP91" s="34" t="str">
        <f>
CONCATENATE(if(countif(knap.lu2.sim,$D91),"K",""),
if(countif(np.lu2.sim,$D91),"P",""),
if(countif(imp.lu2.sim,$D91),"T",""),
if(countif(dd.lu2.sim,$D91),"D",""),
if(countif(nap.lu2.sim,$D91),"A",""),
if(countif(var.lu2.sim,$D91),"V",""))</f>
        <v/>
      </c>
      <c r="AQ91" s="34" t="str">
        <f>
CONCATENATE(if(countif(np.myc.sim,$D91),"P",""),
if(countif(imp.myc.sim,$D91),"T",""),
if(countif(nap.myc.sim,$D91),"A",""))
</f>
        <v/>
      </c>
      <c r="AR91" s="36" t="str">
        <f>
CONCATENATE(if(countif(knap.nar.sim,$D91),"K",""),
if(countif(np.nar.sim,$D91),"P",""),
if(countif(imp.nar.sim,$D91),"T",""),
if(countif(dd.nar.sim,$D91),"D",""),
if(countif(nap.nar.sim,$D91),"A",""),
if(countif(var.nar.sim,$D91),"V",""))</f>
        <v/>
      </c>
      <c r="AS91" s="34" t="str">
        <f>
CONCATENATE(if(countif(knap.que.sim,$D91),"K",""),
if(countif(np.que.sim,$D91),"P",""),
if(countif(imp.que.sim,$D91),"T",""),
if(countif(dd.que.sim,$D91),"D",""),
if(countif(nap.que.sim,$D91),"A",""),
if(countif(var.que.sim,$D91),"V",""))</f>
        <v/>
      </c>
      <c r="AT91" s="37"/>
      <c r="AU91" s="32" t="str">
        <f>IFERROR(__xludf.DUMMYFUNCTION("if(countif(kr.agi, CONCATENATE(regexextract($C91,""[\w]* [\w]*""), ""*"")),""X"","""")"),"")</f>
        <v/>
      </c>
      <c r="AV91" s="38" t="str">
        <f>IFERROR(__xludf.DUMMYFUNCTION("if(countif(kr.bun,CONCATENATE(regexextract($C91,""[\w]* [\w]*""), ""*"")),""X"","""")"),"X")</f>
        <v>X</v>
      </c>
      <c r="AW91" s="38" t="str">
        <f>IFERROR(__xludf.DUMMYFUNCTION("if(countif(kr.kxn,CONCATENATE(regexextract($C91,""[\w]* [\w]*""), ""*"")),""X"","""")"),"")</f>
        <v/>
      </c>
      <c r="AX91" s="38" t="str">
        <f>IFERROR(__xludf.DUMMYFUNCTION("if(countif(kr.hwb,CONCATENATE(regexextract($C91,""[\w]* [\w]*""), ""*"")),""X"","""")"),"")</f>
        <v/>
      </c>
      <c r="AY91" s="38" t="str">
        <f>IFERROR(__xludf.DUMMYFUNCTION("if(countif(kr.ec,CONCATENATE(regexextract($C91,""[\w]* [\w]*""), ""*"")),""X"","""")"),"")</f>
        <v/>
      </c>
      <c r="AZ91" s="38" t="str">
        <f>IFERROR(__xludf.DUMMYFUNCTION("if(countif(kr.egt,CONCATENATE(regexextract($C91,""[\w]* [\w]*""), ""*"")),""X"","""")"),"")</f>
        <v/>
      </c>
      <c r="BA91" s="38"/>
      <c r="BB91" s="38" t="str">
        <f>IFERROR(__xludf.DUMMYFUNCTION("if(countif(kr.erd,CONCATENATE(regexextract($C91,""[\w]* [\w]*""), ""*"")),""X"","""")"),"X")</f>
        <v>X</v>
      </c>
      <c r="BC91" s="38" t="str">
        <f>IFERROR(__xludf.DUMMYFUNCTION("if(countif(kr.gkxn,CONCATENATE(regexextract($C91,""[\w]* [\w]*""), ""*"")),""X"","""")"),"")</f>
        <v/>
      </c>
      <c r="BD91" s="38" t="str">
        <f>IFERROR(__xludf.DUMMYFUNCTION("if(countif(kr.gen,CONCATENATE(regexextract(C91,""[\w]* [\w]*""), ""*"")),""X"","""")"),"")</f>
        <v/>
      </c>
      <c r="BE91" s="38" t="str">
        <f>IFERROR(__xludf.DUMMYFUNCTION("if(countif(kr.hcc,CONCATENATE(regexextract($C91,""[\w]* [\w]*""), ""*"")),""X"","""")"),"X")</f>
        <v>X</v>
      </c>
      <c r="BF91" s="38" t="str">
        <f>IFERROR(__xludf.DUMMYFUNCTION("if(countif(kr.kmp,CONCATENATE(regexextract($C91,""[\w]* [\w]*""), ""*"")),""X"","""")"),"")</f>
        <v/>
      </c>
      <c r="BG91" s="38" t="str">
        <f>IFERROR(__xludf.DUMMYFUNCTION("if(countif(kr.lu2,CONCATENATE(regexextract($C91,""[\w]* [\w]*""), ""*"")),""X"","""")"),"")</f>
        <v/>
      </c>
      <c r="BH91" s="38" t="str">
        <f>IFERROR(__xludf.DUMMYFUNCTION("if(countif(kr.myc,CONCATENATE(regexextract($C91,""[\w]* [\w]*""), ""*"")),""X"","""")"),"")</f>
        <v/>
      </c>
      <c r="BI91" s="38" t="str">
        <f>IFERROR(__xludf.DUMMYFUNCTION("if(countif(kr.nar,CONCATENATE(regexextract($C91,""[\w]* [\w]*""), ""*"")),""X"","""")"),"X")</f>
        <v>X</v>
      </c>
      <c r="BJ91" s="38" t="str">
        <f>IFERROR(__xludf.DUMMYFUNCTION("if(countif(kr.que,CONCATENATE(regexextract($C91,""[\w]* [\w]*""), ""*"")),""X"","""")"),"")</f>
        <v/>
      </c>
      <c r="BK91" s="39"/>
      <c r="BL91" s="40" t="str">
        <f>IFERROR(__xludf.DUMMYFUNCTION(" CONCATENATE( 
if (regexmatch(I91, ""^[A-Za-z\.\_]+""), ""L"", 
if(regexmatch(AB91, ""^[A-Za-z\.\_]+""),""S"","""")),
if(AU91=""X"",""K"",""""))"),"")</f>
        <v/>
      </c>
      <c r="BM91" s="40" t="str">
        <f>IFERROR(__xludf.DUMMYFUNCTION(" CONCATENATE( 
if (regexmatch(J91, ""^[A-Za-z\.\_]+""), ""L"", 
if(regexmatch(AC91, ""^[A-Za-z\.\_]+""),""S"","""")),
if(AV91=""X"",""K"",""""))"),"K")</f>
        <v>K</v>
      </c>
      <c r="BN91" s="40" t="str">
        <f>IFERROR(__xludf.DUMMYFUNCTION(" CONCATENATE( 
if (regexmatch(K91, ""^[A-Za-z\.\_]+""), ""L"", 
if(regexmatch(AD91, ""^[A-Za-z\.\_]+""),""S"","""")),
if(AW91=""X"",""K"",""""))"),"")</f>
        <v/>
      </c>
      <c r="BO91" s="40" t="str">
        <f>IFERROR(__xludf.DUMMYFUNCTION(" CONCATENATE( 
if (regexmatch(L91, ""^[A-Za-z\.\_]+""), ""L"", 
if(regexmatch(AE91, ""^[A-Za-z\.\_]+""),""S"","""")),
if(AX91=""X"",""K"",""""))"),"")</f>
        <v/>
      </c>
      <c r="BP91" s="40" t="str">
        <f>IFERROR(__xludf.DUMMYFUNCTION(" CONCATENATE( 
if (regexmatch(M91, ""^[A-Za-z\.\_]+""), ""L"", 
if(regexmatch(AF91, ""^[A-Za-z\.\_]+""),""S"","""")),
if(AY91=""X"",""K"",""""))"),"")</f>
        <v/>
      </c>
      <c r="BQ91" s="40" t="str">
        <f>IFERROR(__xludf.DUMMYFUNCTION("CONCATENATE( 
if (regexmatch(O91, ""^[A-Za-z\.\_]+""), ""L"", 
if(regexmatch(AH91, ""^[A-Za-z\.\_]+""),""S"","""")),
if(AZ91=""X"",""K"",""""))"),"")</f>
        <v/>
      </c>
      <c r="BR91" s="40" t="str">
        <f>IFERROR(__xludf.DUMMYFUNCTION("CONCATENATE( 
if (regexmatch(Q91, ""^[A-Za-z\.\_]+""), ""L"", 
if(regexmatch(AJ91, ""^[A-Za-z\.\_]+""),""S"","""")),
if(BA91=""X"",""K"",""""))"),"")</f>
        <v/>
      </c>
      <c r="BS91" s="40" t="str">
        <f>IFERROR(__xludf.DUMMYFUNCTION(" CONCATENATE( 
if (regexmatch(R91, ""^[A-Za-z\.\_]+""), ""L"", 
if(regexmatch(AK91, ""^[A-Za-z\.\_]+""),""S"","""")),
if(BB91=""X"",""K"",""""))"),"K")</f>
        <v>K</v>
      </c>
      <c r="BT91" s="40" t="str">
        <f>IFERROR(__xludf.DUMMYFUNCTION("CONCATENATE( 
if (regexmatch(S91, ""^[A-Za-z\.\_]+""), ""L"", 
if(regexmatch(AL91, ""^[A-Za-z\.\_]+""),""S"","""")),
if(BC91=""X"",""K"",""""))"),"")</f>
        <v/>
      </c>
      <c r="BU91" s="40" t="str">
        <f>IFERROR(__xludf.DUMMYFUNCTION("CONCATENATE( 
if (regexmatch(T91, ""^[A-Za-z\.\_]+""), ""L"", 
if(regexmatch(AM91, ""^[A-Za-z\.\_]+""),""S"","""")),
if(BD91=""X"",""K"",""""))"),"")</f>
        <v/>
      </c>
      <c r="BV91" s="40" t="str">
        <f>IFERROR(__xludf.DUMMYFUNCTION("CONCATENATE( 
if (regexmatch(U91, ""^[A-Za-z\.\_]+""), ""L"", 
if(regexmatch(AN91, ""^[A-Za-z\.\_]+""),""S"","""")),
if(BE91=""X"",""K"",""""))"),"K")</f>
        <v>K</v>
      </c>
      <c r="BW91" s="40" t="str">
        <f>IFERROR(__xludf.DUMMYFUNCTION(" CONCATENATE( 
if (regexmatch(V91, ""^[A-Za-z\.\_]+""), ""L"", 
if(regexmatch(AO91, ""^[A-Za-z\.\_]+""),""S"","""")),
if(BF91=""X"",""K"",""""))"),"")</f>
        <v/>
      </c>
      <c r="BX91" s="40" t="str">
        <f>IFERROR(__xludf.DUMMYFUNCTION("CONCATENATE( 
if (regexmatch(W91, ""^[A-Za-z\.\_]+""), ""L"", 
if(regexmatch(AP91, ""^[A-Za-z\.\_]+""),""S"","""")),
if(BG91=""X"",""K"",""""))"),"")</f>
        <v/>
      </c>
      <c r="BY91" s="40" t="str">
        <f>IFERROR(__xludf.DUMMYFUNCTION("CONCATENATE( 
if (regexmatch(X91, ""^[A-Za-z\.\_]+""), ""L"", 
if(regexmatch(AQ91, ""^[A-Za-z\.\_]+""),""S"","""")),
if(BH91=""X"",""K"",""""))"),"")</f>
        <v/>
      </c>
      <c r="BZ91" s="40" t="str">
        <f>IFERROR(__xludf.DUMMYFUNCTION("CONCATENATE( 
if (regexmatch(Y91, ""^[A-Za-z\.\_]+""), ""L"", 
if(regexmatch(AR91, ""^[A-Za-z\.\_]+""),""S"","""")),
if(BI91=""X"",""K"",""""))"),"LK")</f>
        <v>LK</v>
      </c>
      <c r="CA91" s="40" t="str">
        <f>IFERROR(__xludf.DUMMYFUNCTION("CONCATENATE( 
if (regexmatch(Z91, ""^[A-Za-z\.\_]+""), ""L"", 
if(regexmatch(AS91, ""^[A-Za-z\.\_]+""),""S"","""")),
if(BJ91=""X"",""K"",""""))"),"")</f>
        <v/>
      </c>
      <c r="CB91" s="39"/>
      <c r="CC91" s="39"/>
      <c r="CD91" s="39"/>
      <c r="CE91" s="39"/>
      <c r="CF91" s="39"/>
      <c r="CG91" s="39"/>
      <c r="CH91" s="39"/>
      <c r="CI91" s="39"/>
      <c r="CJ91" s="39"/>
      <c r="CK91" s="39"/>
      <c r="CL91" s="39"/>
      <c r="CM91" s="39"/>
      <c r="CN91" s="39"/>
      <c r="CO91" s="39"/>
      <c r="CP91" s="39"/>
      <c r="CQ91" s="39"/>
      <c r="CR91" s="39"/>
    </row>
    <row r="92" ht="15.75" customHeight="1">
      <c r="A92" s="25">
        <v>82.0</v>
      </c>
      <c r="B92" s="26" t="s">
        <v>347</v>
      </c>
      <c r="C92" s="41" t="s">
        <v>348</v>
      </c>
      <c r="D92" s="27" t="str">
        <f>IFERROR(__xludf.DUMMYFUNCTION("CONCATENATE(regexextract($C92,""[\w]* [\w]*""), ""*"")"),"Sesamum indicum*")</f>
        <v>Sesamum indicum*</v>
      </c>
      <c r="E92" s="26" t="s">
        <v>349</v>
      </c>
      <c r="F92" s="58">
        <v>4182.0</v>
      </c>
      <c r="G92" s="53"/>
      <c r="H92" s="31"/>
      <c r="I92" s="32" t="str">
        <f>CONCATENATE(
if(countif(dd.agi,$D92),"D",""),
if(countif(knap.agi,$D92),"K",""),
if(countif(mic.agi,$D92),"M",""),
if(countif(nap.agi,$D92),"N",""),
if(countif(np.agi,$D92),"P",""),
if(countif(imp.agi,$D92),"T",""),
if(countif(us.agi,$D92),"U",""),
if(countif(var.agi,$D92),"V","")
)</f>
        <v/>
      </c>
      <c r="J92" s="32" t="str">
        <f>
CONCATENATE(
if(countif(nap.bun,$D92),"N",""),
if(countif(np.bun,$D92),"P","")
)
</f>
        <v/>
      </c>
      <c r="K92" s="32" t="str">
        <f>CONCATENATE(
if(countif(dd.kxn,$D92),"D",""),
if(countif(knap.kxn,$D92),"K",""),
if(countif(mic.kxn,$D92),"M",""),
if(countif(nap.kxn,$D92),"N",""),
if(countif(np.kxn,$D92),"P",""),
if(countif(us.kxn,$D92),"U",""),
if(countif(var.kxn,$D92),"V","")
)</f>
        <v>V</v>
      </c>
      <c r="L92" s="32" t="str">
        <f>
CONCATENATE(
if(countif(dd.hwb,$D92),"D",""),
if(countif(knap.hwb,$D92),"K",""),
if(countif(mic.hwb,$D92),"M",""),
if(countif(nap.hwb,$D92),"N",""),
if(countif(np.hwb,$D92),"P",""),
if(countif(us.hwb,$D92),"U",""),
if(countif(imp.hwb,$D92),"T",""),
if(countif(var.hwb,$D92),"V","")
)</f>
        <v/>
      </c>
      <c r="M92" s="32" t="str">
        <f>CONCATENATE(
if(countif(dd.epc,$D92),"D",""),
if(countif(knap.ekxn,$D92),"K",""),
if(countif(mic.ekxn,$D92),"M",""),
if(countif(nap.ekxn,$D92),"N",""),
if(countif(np.ekxn,$D92),"P",""),
if(countif(imp.epc,$D92),"T",""),
if(countif(us.ekxn,$D92),"U",""),
if(countif(var.ekxn,$D92),"V","")
)</f>
        <v>V</v>
      </c>
      <c r="N92" s="32" t="str">
        <f>
CONCATENATE(
if(countif(dd.ecg,$D92),"D",""),
if(countif(mic.ecg,$D92),"M",""),
if(countif(np.ecg,$D92),"P",""),
if(countif(imp.ecg,$D92),"T",""),
if(countif(us.ecg,$D92),"U","")
)</f>
        <v/>
      </c>
      <c r="O92" s="32" t="str">
        <f>
CONCATENATE(
if(countif(dd.egt,$D92),"D",""),
if(countif(mic.egt,$D92),"M",""),
if(countif(nap.egt,$D92),"N",""),
if(countif(us.egt,$D92),"U",""),
if(countif(var.egt,$D92),"V",""))
</f>
        <v/>
      </c>
      <c r="P92" s="32" t="str">
        <f>CONCATENATE(
if(countif(knap.egcg,$D92),"K",""),
if(countif(mic.egcg,$D92),"M",""),
if(countif(np.egcg,$D92),"P",""),
if(countif(us.egcg,$D92),"U","")
)</f>
        <v/>
      </c>
      <c r="Q92" s="32" t="str">
        <f>CONCATENATE(if(countif(np.ecit,$D92),"P",""),
if(countif(nap.ecit,$D92),"A",""))</f>
        <v/>
      </c>
      <c r="R92" s="32" t="str">
        <f>
CONCATENATE(
if(countif(nap.erd,$D92),"N",""),
if(countif(np.erd,$D92),"P",""),
if(countif(var.erd,$D92),"V",""))</f>
        <v/>
      </c>
      <c r="S92" s="32" t="str">
        <f>
CONCATENATE(
if(countif(dd.gkxn,$D92),"D",""),
if(countif(knap.gkxn,$D92),"K",""),
if(countif(nap.gkxn,$D92),"N",""),
if(countif(np.gkxn,$D92),"P",""),
if(countif(imp.gkxn,$D92),"T",""),
if(countif(var.gkxn,$D92),"V",""))</f>
        <v/>
      </c>
      <c r="T92" s="32" t="str">
        <f>
CONCATENATE(
if(countif(dd.gen,$C92),"D",""),
if(countif(knap.gen,$C92),"K",""),
if(countif(nap.gen,$C92),"N",""),
if(countif(np.gen,$C92),"P",""),
if(countif(imp.gen,$C92),"T",""),
if(countif(var.gen,$C92),"V",""))</f>
        <v/>
      </c>
      <c r="U92" s="32" t="str">
        <f>
CONCATENATE(
if(countif(dd.hcc,$D92),"D",""),
if(countif(knap.hcc,$D92),"K",""),
if(countif(np.hcc,$D92),"P","")
)
</f>
        <v/>
      </c>
      <c r="V92" s="32" t="str">
        <f>
CONCATENATE(
if(countif(dd.kmp,$D92),"D",""),
if(countif(knap.kmp,$D92),"K",""),
if(countif(mic.kmp,$D92),"M",""),
if(countif(nap.kmp,$D92),"N",""),
if(countif(np.kmp,$D92),"P",""),
if(countif(imp.kmp,$D92),"T",""),
if(countif(us.kmp,$D92),"U",""),
if(countif(var.kmp,$D92),"V",""))</f>
        <v/>
      </c>
      <c r="W92" s="32" t="str">
        <f>
CONCATENATE(
if(countif(dd.lu2,$D92),"D",""),
if(countif(knap.lu2,$D92),"K",""),
if(countif(mic.lu2,$D92),"M",""),
if(countif(nap.lu2,$D92),"N",""),
if(countif(np.lu2,$D92),"P",""),
if(countif(imp.lu2,$D92),"T",""),
if(countif(us.lu2,$D92),"U",""),
if(countif(var.lu2,$D92),"V",""))</f>
        <v/>
      </c>
      <c r="X92" s="32" t="str">
        <f>
CONCATENATE(
if(countif(dd.myc,$D92),"D",""),
if(countif(knap.myc,$D92),"K",""), 
if(countif(mic.myc,$D92),"M",""),
if(countif(nap.myc,$D92),"N",""),
if(countif(np.myc,$D92),"P",""),
if(countif(imp.myc,$D92),"T",""),
if(countif(us.myc,$D92),"U",""),
if(countif(var.myc,$D92),"V",""))</f>
        <v/>
      </c>
      <c r="Y92" s="32" t="str">
        <f>CONCATENATE(
if(countif(dd.nar,$D92),"D",""),
if(countif(knap.nar,$D92),"K",""),
if(countif(nap.nar,$D92),"N",""),
if(countif(np.nar,$D92),"P",""),
if(countif(imp.nar,$D92),"T",""),
if(countif(us.nar,$D92),"U",""),
if(countif(var.nar,$D92),"V",""))</f>
        <v/>
      </c>
      <c r="Z92" s="33" t="str">
        <f>
CONCATENATE(
if(countif(dd.que,$D92),"D",""),
if(countif(knap.que,$D92),"K",""),
if(countif(mic.que,$D92),"M",""),
if(countif(nap.que,$D92),"N",""),
if(countif(np.que,$D92),"P",""),
if(countif(imp.que,$D92),"T",""),
if(countif(us.que,$D92),"U",""),
if(countif(var.que,$D92),"V",""))</f>
        <v/>
      </c>
      <c r="AA92" s="32"/>
      <c r="AB92" s="34" t="str">
        <f>
CONCATENATE(if(countif(knap.agi.sim,$D92),"K",""),
if(countif(dd.agi.sim,$D92),"D",""),
if(countif(nap.agi.sim,$D92),"A",""),
if(countif(var.agi.sim,$D92),"V",""))</f>
        <v/>
      </c>
      <c r="AC92" s="34" t="str">
        <f>
if(countif(nap.bun.sim,$D92),"A","")</f>
        <v/>
      </c>
      <c r="AD92" s="34" t="str">
        <f>
CONCATENATE(if(countif(knap.kxn.sim,$D92),"K",""),
if(countif(np.kxn.sim,$D92),"P",""),
if(countif(dd.kxn.sim,$D92),"D",""),
if(countif(nap.kxn.sim,$D92),"A",""),
if(countif(var.kxn.sim,$D92),"V",""))</f>
        <v/>
      </c>
      <c r="AE92" s="34" t="str">
        <f>
CONCATENATE(if(countif(knap.hwb.sim,$D92),"K",""),
if(countif(np.hwb.sim,$D92),"P",""),
if(countif(mic.hwb.sim,$D92),"M",""),
if(countif(imp.hwb.sim,$D92),"T",""),
if(countif(dd.cyan.sim,$D92),"D",""),
if(countif(nap.hwb.sim,$D92),"A",""),
if(countif(var.hwb.sim,$D92),"V",""))</f>
        <v/>
      </c>
      <c r="AF92" s="34" t="str">
        <f>
CONCATENATE(if(countif(us.ekxn.sim,$D92),"U",""),
if(countif(knap.ekxn.sim,$D92),"K",""),
if(countif(np.ekxn.sim,$D92),"P",""),
if(countif(mic.ekxn.sim,$D92),"M",""),
if(countif(imp.epc.sim,$D92),"T",""),
if(countif(nap.ekxn.sim,$D92),"A",""))</f>
        <v/>
      </c>
      <c r="AG92" s="34"/>
      <c r="AH92" s="34" t="str">
        <f>
CONCATENATE(if(countif(us.egt.sim,$D92),"U",""),
if(countif(knap.egt.sim,$D92),"K",""),
if(countif(np.egt.sim,$D92),"P",""),
if(countif(mic.egt.sim,$D92),"M",""))</f>
        <v/>
      </c>
      <c r="AI92" s="34"/>
      <c r="AJ92" s="34" t="str">
        <f>if(countif(nap.ecit.sim,$D92),"A","")</f>
        <v/>
      </c>
      <c r="AK92" s="34" t="str">
        <f>
CONCATENATE(if(countif(nap.erd,$D92),"M",""),
if(countif(nap.erd.sim,$D92),"A",""),
if(countif(var.erd.sim,$D92),"V",""))</f>
        <v/>
      </c>
      <c r="AL92" s="34" t="str">
        <f>
CONCATENATE(if(countif(knap.gkxn.sim,$D92),"K",""),
if(countif(nap.gkxn.sim,$D92),"A",""))</f>
        <v/>
      </c>
      <c r="AM92" s="34" t="str">
        <f>
CONCATENATE(if(countif(knap.gen.sim,$C92),"K",""),
if(countif(imp.gen.sim,$C92),"T",""),
if(countif(dd.gen.sim,$C92),"D",""),
if(countif(nap.gen.sim,$C92),"A",""),
if(countif(var.gen.sim,$C92),"V",""))
</f>
        <v/>
      </c>
      <c r="AN92" s="34" t="str">
        <f>IFERROR(__xludf.DUMMYFUNCTION("
if(countif(#REF!,CONCATENATE(regexextract($C92,""[\w]* [\w]*""), ""*"")),""V"","""")"),"")</f>
        <v/>
      </c>
      <c r="AO92" s="34" t="str">
        <f>
CONCATENATE(if(countif(knap.kmp.sim,$D92),"K",""),
if(countif(np.kmp.sim,$D92),"P",""),
if(countif(imp.kmp.sim,$D92),"T",""),
if(countif(dd.kmp,$D92),"D",""),
if(countif(nap.kmp.sim,$D92),"A",""),
if(countif(var.kmp.sim,$D92),"V",""))</f>
        <v/>
      </c>
      <c r="AP92" s="34" t="str">
        <f>
CONCATENATE(if(countif(knap.lu2.sim,$D92),"K",""),
if(countif(np.lu2.sim,$D92),"P",""),
if(countif(imp.lu2.sim,$D92),"T",""),
if(countif(dd.lu2.sim,$D92),"D",""),
if(countif(nap.lu2.sim,$D92),"A",""),
if(countif(var.lu2.sim,$D92),"V",""))</f>
        <v/>
      </c>
      <c r="AQ92" s="34" t="str">
        <f>
CONCATENATE(if(countif(np.myc.sim,$D92),"P",""),
if(countif(imp.myc.sim,$D92),"T",""),
if(countif(nap.myc.sim,$D92),"A",""))
</f>
        <v/>
      </c>
      <c r="AR92" s="36" t="str">
        <f>
CONCATENATE(if(countif(knap.nar.sim,$D92),"K",""),
if(countif(np.nar.sim,$D92),"P",""),
if(countif(imp.nar.sim,$D92),"T",""),
if(countif(dd.nar.sim,$D92),"D",""),
if(countif(nap.nar.sim,$D92),"A",""),
if(countif(var.nar.sim,$D92),"V",""))</f>
        <v/>
      </c>
      <c r="AS92" s="34" t="str">
        <f>
CONCATENATE(if(countif(knap.que.sim,$D92),"K",""),
if(countif(np.que.sim,$D92),"P",""),
if(countif(imp.que.sim,$D92),"T",""),
if(countif(dd.que.sim,$D92),"D",""),
if(countif(nap.que.sim,$D92),"A",""),
if(countif(var.que.sim,$D92),"V",""))</f>
        <v>P</v>
      </c>
      <c r="AT92" s="37"/>
      <c r="AU92" s="32" t="str">
        <f>IFERROR(__xludf.DUMMYFUNCTION("if(countif(kr.agi, CONCATENATE(regexextract($C92,""[\w]* [\w]*""), ""*"")),""X"","""")"),"X")</f>
        <v>X</v>
      </c>
      <c r="AV92" s="38" t="str">
        <f>IFERROR(__xludf.DUMMYFUNCTION("if(countif(kr.bun,CONCATENATE(regexextract($C92,""[\w]* [\w]*""), ""*"")),""X"","""")"),"X")</f>
        <v>X</v>
      </c>
      <c r="AW92" s="38" t="str">
        <f>IFERROR(__xludf.DUMMYFUNCTION("if(countif(kr.kxn,CONCATENATE(regexextract($C92,""[\w]* [\w]*""), ""*"")),""X"","""")"),"")</f>
        <v/>
      </c>
      <c r="AX92" s="38" t="str">
        <f>IFERROR(__xludf.DUMMYFUNCTION("if(countif(kr.hwb,CONCATENATE(regexextract($C92,""[\w]* [\w]*""), ""*"")),""X"","""")"),"X")</f>
        <v>X</v>
      </c>
      <c r="AY92" s="38" t="str">
        <f>IFERROR(__xludf.DUMMYFUNCTION("if(countif(kr.ec,CONCATENATE(regexextract($C92,""[\w]* [\w]*""), ""*"")),""X"","""")"),"")</f>
        <v/>
      </c>
      <c r="AZ92" s="38" t="str">
        <f>IFERROR(__xludf.DUMMYFUNCTION("if(countif(kr.egt,CONCATENATE(regexextract($C92,""[\w]* [\w]*""), ""*"")),""X"","""")"),"")</f>
        <v/>
      </c>
      <c r="BA92" s="38"/>
      <c r="BB92" s="38" t="str">
        <f>IFERROR(__xludf.DUMMYFUNCTION("if(countif(kr.erd,CONCATENATE(regexextract($C92,""[\w]* [\w]*""), ""*"")),""X"","""")"),"X")</f>
        <v>X</v>
      </c>
      <c r="BC92" s="38" t="str">
        <f>IFERROR(__xludf.DUMMYFUNCTION("if(countif(kr.gkxn,CONCATENATE(regexextract($C92,""[\w]* [\w]*""), ""*"")),""X"","""")"),"")</f>
        <v/>
      </c>
      <c r="BD92" s="38" t="str">
        <f>IFERROR(__xludf.DUMMYFUNCTION("if(countif(kr.gen,CONCATENATE(regexextract(C92,""[\w]* [\w]*""), ""*"")),""X"","""")"),"")</f>
        <v/>
      </c>
      <c r="BE92" s="38" t="str">
        <f>IFERROR(__xludf.DUMMYFUNCTION("if(countif(kr.hcc,CONCATENATE(regexextract($C92,""[\w]* [\w]*""), ""*"")),""X"","""")"),"X")</f>
        <v>X</v>
      </c>
      <c r="BF92" s="38" t="str">
        <f>IFERROR(__xludf.DUMMYFUNCTION("if(countif(kr.kmp,CONCATENATE(regexextract($C92,""[\w]* [\w]*""), ""*"")),""X"","""")"),"X")</f>
        <v>X</v>
      </c>
      <c r="BG92" s="38" t="str">
        <f>IFERROR(__xludf.DUMMYFUNCTION("if(countif(kr.lu2,CONCATENATE(regexextract($C92,""[\w]* [\w]*""), ""*"")),""X"","""")"),"X")</f>
        <v>X</v>
      </c>
      <c r="BH92" s="38" t="str">
        <f>IFERROR(__xludf.DUMMYFUNCTION("if(countif(kr.myc,CONCATENATE(regexextract($C92,""[\w]* [\w]*""), ""*"")),""X"","""")"),"")</f>
        <v/>
      </c>
      <c r="BI92" s="38" t="str">
        <f>IFERROR(__xludf.DUMMYFUNCTION("if(countif(kr.nar,CONCATENATE(regexextract($C92,""[\w]* [\w]*""), ""*"")),""X"","""")"),"X")</f>
        <v>X</v>
      </c>
      <c r="BJ92" s="38" t="str">
        <f>IFERROR(__xludf.DUMMYFUNCTION("if(countif(kr.que,CONCATENATE(regexextract($C92,""[\w]* [\w]*""), ""*"")),""X"","""")"),"X")</f>
        <v>X</v>
      </c>
      <c r="BK92" s="39"/>
      <c r="BL92" s="40" t="str">
        <f>IFERROR(__xludf.DUMMYFUNCTION(" CONCATENATE( 
if (regexmatch(I92, ""^[A-Za-z\.\_]+""), ""L"", 
if(regexmatch(AB92, ""^[A-Za-z\.\_]+""),""S"","""")),
if(AU92=""X"",""K"",""""))"),"K")</f>
        <v>K</v>
      </c>
      <c r="BM92" s="40" t="str">
        <f>IFERROR(__xludf.DUMMYFUNCTION(" CONCATENATE( 
if (regexmatch(J92, ""^[A-Za-z\.\_]+""), ""L"", 
if(regexmatch(AC92, ""^[A-Za-z\.\_]+""),""S"","""")),
if(AV92=""X"",""K"",""""))"),"K")</f>
        <v>K</v>
      </c>
      <c r="BN92" s="40" t="str">
        <f>IFERROR(__xludf.DUMMYFUNCTION(" CONCATENATE( 
if (regexmatch(K92, ""^[A-Za-z\.\_]+""), ""L"", 
if(regexmatch(AD92, ""^[A-Za-z\.\_]+""),""S"","""")),
if(AW92=""X"",""K"",""""))"),"L")</f>
        <v>L</v>
      </c>
      <c r="BO92" s="40" t="str">
        <f>IFERROR(__xludf.DUMMYFUNCTION(" CONCATENATE( 
if (regexmatch(L92, ""^[A-Za-z\.\_]+""), ""L"", 
if(regexmatch(AE92, ""^[A-Za-z\.\_]+""),""S"","""")),
if(AX92=""X"",""K"",""""))"),"K")</f>
        <v>K</v>
      </c>
      <c r="BP92" s="40" t="str">
        <f>IFERROR(__xludf.DUMMYFUNCTION(" CONCATENATE( 
if (regexmatch(M92, ""^[A-Za-z\.\_]+""), ""L"", 
if(regexmatch(AF92, ""^[A-Za-z\.\_]+""),""S"","""")),
if(AY92=""X"",""K"",""""))"),"L")</f>
        <v>L</v>
      </c>
      <c r="BQ92" s="40" t="str">
        <f>IFERROR(__xludf.DUMMYFUNCTION("CONCATENATE( 
if (regexmatch(O92, ""^[A-Za-z\.\_]+""), ""L"", 
if(regexmatch(AH92, ""^[A-Za-z\.\_]+""),""S"","""")),
if(AZ92=""X"",""K"",""""))"),"")</f>
        <v/>
      </c>
      <c r="BR92" s="40" t="str">
        <f>IFERROR(__xludf.DUMMYFUNCTION("CONCATENATE( 
if (regexmatch(Q92, ""^[A-Za-z\.\_]+""), ""L"", 
if(regexmatch(AJ92, ""^[A-Za-z\.\_]+""),""S"","""")),
if(BA92=""X"",""K"",""""))"),"")</f>
        <v/>
      </c>
      <c r="BS92" s="40" t="str">
        <f>IFERROR(__xludf.DUMMYFUNCTION(" CONCATENATE( 
if (regexmatch(R92, ""^[A-Za-z\.\_]+""), ""L"", 
if(regexmatch(AK92, ""^[A-Za-z\.\_]+""),""S"","""")),
if(BB92=""X"",""K"",""""))"),"K")</f>
        <v>K</v>
      </c>
      <c r="BT92" s="40" t="str">
        <f>IFERROR(__xludf.DUMMYFUNCTION("CONCATENATE( 
if (regexmatch(S92, ""^[A-Za-z\.\_]+""), ""L"", 
if(regexmatch(AL92, ""^[A-Za-z\.\_]+""),""S"","""")),
if(BC92=""X"",""K"",""""))"),"")</f>
        <v/>
      </c>
      <c r="BU92" s="40" t="str">
        <f>IFERROR(__xludf.DUMMYFUNCTION("CONCATENATE( 
if (regexmatch(T92, ""^[A-Za-z\.\_]+""), ""L"", 
if(regexmatch(AM92, ""^[A-Za-z\.\_]+""),""S"","""")),
if(BD92=""X"",""K"",""""))"),"")</f>
        <v/>
      </c>
      <c r="BV92" s="40" t="str">
        <f>IFERROR(__xludf.DUMMYFUNCTION("CONCATENATE( 
if (regexmatch(U92, ""^[A-Za-z\.\_]+""), ""L"", 
if(regexmatch(AN92, ""^[A-Za-z\.\_]+""),""S"","""")),
if(BE92=""X"",""K"",""""))"),"K")</f>
        <v>K</v>
      </c>
      <c r="BW92" s="40" t="str">
        <f>IFERROR(__xludf.DUMMYFUNCTION(" CONCATENATE( 
if (regexmatch(V92, ""^[A-Za-z\.\_]+""), ""L"", 
if(regexmatch(AO92, ""^[A-Za-z\.\_]+""),""S"","""")),
if(BF92=""X"",""K"",""""))"),"K")</f>
        <v>K</v>
      </c>
      <c r="BX92" s="40" t="str">
        <f>IFERROR(__xludf.DUMMYFUNCTION("CONCATENATE( 
if (regexmatch(W92, ""^[A-Za-z\.\_]+""), ""L"", 
if(regexmatch(AP92, ""^[A-Za-z\.\_]+""),""S"","""")),
if(BG92=""X"",""K"",""""))"),"K")</f>
        <v>K</v>
      </c>
      <c r="BY92" s="40" t="str">
        <f>IFERROR(__xludf.DUMMYFUNCTION("CONCATENATE( 
if (regexmatch(X92, ""^[A-Za-z\.\_]+""), ""L"", 
if(regexmatch(AQ92, ""^[A-Za-z\.\_]+""),""S"","""")),
if(BH92=""X"",""K"",""""))"),"")</f>
        <v/>
      </c>
      <c r="BZ92" s="40" t="str">
        <f>IFERROR(__xludf.DUMMYFUNCTION("CONCATENATE( 
if (regexmatch(Y92, ""^[A-Za-z\.\_]+""), ""L"", 
if(regexmatch(AR92, ""^[A-Za-z\.\_]+""),""S"","""")),
if(BI92=""X"",""K"",""""))"),"K")</f>
        <v>K</v>
      </c>
      <c r="CA92" s="40" t="str">
        <f>IFERROR(__xludf.DUMMYFUNCTION("CONCATENATE( 
if (regexmatch(Z92, ""^[A-Za-z\.\_]+""), ""L"", 
if(regexmatch(AS92, ""^[A-Za-z\.\_]+""),""S"","""")),
if(BJ92=""X"",""K"",""""))"),"SK")</f>
        <v>SK</v>
      </c>
      <c r="CB92" s="39"/>
      <c r="CC92" s="39"/>
      <c r="CD92" s="39"/>
      <c r="CE92" s="39"/>
      <c r="CF92" s="39"/>
      <c r="CG92" s="39"/>
      <c r="CH92" s="39"/>
      <c r="CI92" s="39"/>
      <c r="CJ92" s="39"/>
      <c r="CK92" s="39"/>
      <c r="CL92" s="39"/>
      <c r="CM92" s="39"/>
      <c r="CN92" s="39"/>
      <c r="CO92" s="39"/>
      <c r="CP92" s="39"/>
      <c r="CQ92" s="39"/>
      <c r="CR92" s="39"/>
    </row>
    <row r="93" ht="15.75" customHeight="1">
      <c r="A93" s="25">
        <v>105.0</v>
      </c>
      <c r="B93" s="26" t="s">
        <v>350</v>
      </c>
      <c r="C93" s="27" t="s">
        <v>351</v>
      </c>
      <c r="D93" s="27" t="str">
        <f>IFERROR(__xludf.DUMMYFUNCTION("CONCATENATE(regexextract($C93,""[\w]* [\w]*""), ""*"")"),"Setaria italica*")</f>
        <v>Setaria italica*</v>
      </c>
      <c r="E93" s="26" t="s">
        <v>352</v>
      </c>
      <c r="F93" s="57">
        <v>4555.0</v>
      </c>
      <c r="G93" s="53"/>
      <c r="H93" s="31"/>
      <c r="I93" s="32" t="str">
        <f>CONCATENATE(
if(countif(dd.agi,$D93),"D",""),
if(countif(knap.agi,$D93),"K",""),
if(countif(mic.agi,$D93),"M",""),
if(countif(nap.agi,$D93),"N",""),
if(countif(np.agi,$D93),"P",""),
if(countif(imp.agi,$D93),"T",""),
if(countif(us.agi,$D93),"U",""),
if(countif(var.agi,$D93),"V","")
)</f>
        <v/>
      </c>
      <c r="J93" s="32" t="str">
        <f>
CONCATENATE(
if(countif(nap.bun,$D93),"N",""),
if(countif(np.bun,$D93),"P","")
)
</f>
        <v/>
      </c>
      <c r="K93" s="32" t="str">
        <f>CONCATENATE(
if(countif(dd.kxn,$D93),"D",""),
if(countif(knap.kxn,$D93),"K",""),
if(countif(mic.kxn,$D93),"M",""),
if(countif(nap.kxn,$D93),"N",""),
if(countif(np.kxn,$D93),"P",""),
if(countif(us.kxn,$D93),"U",""),
if(countif(var.kxn,$D93),"V","")
)</f>
        <v/>
      </c>
      <c r="L93" s="32" t="str">
        <f>
CONCATENATE(
if(countif(dd.hwb,$D93),"D",""),
if(countif(knap.hwb,$D93),"K",""),
if(countif(mic.hwb,$D93),"M",""),
if(countif(nap.hwb,$D93),"N",""),
if(countif(np.hwb,$D93),"P",""),
if(countif(us.hwb,$D93),"U",""),
if(countif(imp.hwb,$D93),"T",""),
if(countif(var.hwb,$D93),"V","")
)</f>
        <v/>
      </c>
      <c r="M93" s="32" t="str">
        <f>CONCATENATE(
if(countif(dd.epc,$D93),"D",""),
if(countif(knap.ekxn,$D93),"K",""),
if(countif(mic.ekxn,$D93),"M",""),
if(countif(nap.ekxn,$D93),"N",""),
if(countif(np.ekxn,$D93),"P",""),
if(countif(imp.epc,$D93),"T",""),
if(countif(us.ekxn,$D93),"U",""),
if(countif(var.ekxn,$D93),"V","")
)</f>
        <v/>
      </c>
      <c r="N93" s="32" t="str">
        <f>
CONCATENATE(
if(countif(dd.ecg,$D93),"D",""),
if(countif(mic.ecg,$D93),"M",""),
if(countif(np.ecg,$D93),"P",""),
if(countif(imp.ecg,$D93),"T",""),
if(countif(us.ecg,$D93),"U","")
)</f>
        <v/>
      </c>
      <c r="O93" s="32" t="str">
        <f>
CONCATENATE(
if(countif(dd.egt,$D93),"D",""),
if(countif(mic.egt,$D93),"M",""),
if(countif(nap.egt,$D93),"N",""),
if(countif(us.egt,$D93),"U",""),
if(countif(var.egt,$D93),"V",""))
</f>
        <v/>
      </c>
      <c r="P93" s="32" t="str">
        <f>CONCATENATE(
if(countif(knap.egcg,$D93),"K",""),
if(countif(mic.egcg,$D93),"M",""),
if(countif(np.egcg,$D93),"P",""),
if(countif(us.egcg,$D93),"U","")
)</f>
        <v/>
      </c>
      <c r="Q93" s="32" t="str">
        <f>CONCATENATE(if(countif(np.ecit,$D93),"P",""),
if(countif(nap.ecit,$D93),"A",""))</f>
        <v/>
      </c>
      <c r="R93" s="32" t="str">
        <f>
CONCATENATE(
if(countif(nap.erd,$D93),"N",""),
if(countif(np.erd,$D93),"P",""),
if(countif(var.erd,$D93),"V",""))</f>
        <v/>
      </c>
      <c r="S93" s="32" t="str">
        <f>
CONCATENATE(
if(countif(dd.gkxn,$D93),"D",""),
if(countif(knap.gkxn,$D93),"K",""),
if(countif(nap.gkxn,$D93),"N",""),
if(countif(np.gkxn,$D93),"P",""),
if(countif(imp.gkxn,$D93),"T",""),
if(countif(var.gkxn,$D93),"V",""))</f>
        <v/>
      </c>
      <c r="T93" s="32" t="str">
        <f>
CONCATENATE(
if(countif(dd.gen,$C93),"D",""),
if(countif(knap.gen,$C93),"K",""),
if(countif(nap.gen,$C93),"N",""),
if(countif(np.gen,$C93),"P",""),
if(countif(imp.gen,$C93),"T",""),
if(countif(var.gen,$C93),"V",""))</f>
        <v/>
      </c>
      <c r="U93" s="32" t="str">
        <f>
CONCATENATE(
if(countif(dd.hcc,$D93),"D",""),
if(countif(knap.hcc,$D93),"K",""),
if(countif(np.hcc,$D93),"P","")
)
</f>
        <v/>
      </c>
      <c r="V93" s="32" t="str">
        <f>
CONCATENATE(
if(countif(dd.kmp,$D93),"D",""),
if(countif(knap.kmp,$D93),"K",""),
if(countif(mic.kmp,$D93),"M",""),
if(countif(nap.kmp,$D93),"N",""),
if(countif(np.kmp,$D93),"P",""),
if(countif(imp.kmp,$D93),"T",""),
if(countif(us.kmp,$D93),"U",""),
if(countif(var.kmp,$D93),"V",""))</f>
        <v/>
      </c>
      <c r="W93" s="32" t="str">
        <f>
CONCATENATE(
if(countif(dd.lu2,$D93),"D",""),
if(countif(knap.lu2,$D93),"K",""),
if(countif(mic.lu2,$D93),"M",""),
if(countif(nap.lu2,$D93),"N",""),
if(countif(np.lu2,$D93),"P",""),
if(countif(imp.lu2,$D93),"T",""),
if(countif(us.lu2,$D93),"U",""),
if(countif(var.lu2,$D93),"V",""))</f>
        <v>N</v>
      </c>
      <c r="X93" s="32" t="str">
        <f>
CONCATENATE(
if(countif(dd.myc,$D93),"D",""),
if(countif(knap.myc,$D93),"K",""), 
if(countif(mic.myc,$D93),"M",""),
if(countif(nap.myc,$D93),"N",""),
if(countif(np.myc,$D93),"P",""),
if(countif(imp.myc,$D93),"T",""),
if(countif(us.myc,$D93),"U",""),
if(countif(var.myc,$D93),"V",""))</f>
        <v/>
      </c>
      <c r="Y93" s="32" t="str">
        <f>CONCATENATE(
if(countif(dd.nar,$D93),"D",""),
if(countif(knap.nar,$D93),"K",""),
if(countif(nap.nar,$D93),"N",""),
if(countif(np.nar,$D93),"P",""),
if(countif(imp.nar,$D93),"T",""),
if(countif(us.nar,$D93),"U",""),
if(countif(var.nar,$D93),"V",""))</f>
        <v/>
      </c>
      <c r="Z93" s="33" t="str">
        <f>
CONCATENATE(
if(countif(dd.que,$D93),"D",""),
if(countif(knap.que,$D93),"K",""),
if(countif(mic.que,$D93),"M",""),
if(countif(nap.que,$D93),"N",""),
if(countif(np.que,$D93),"P",""),
if(countif(imp.que,$D93),"T",""),
if(countif(us.que,$D93),"U",""),
if(countif(var.que,$D93),"V",""))</f>
        <v/>
      </c>
      <c r="AA93" s="32"/>
      <c r="AB93" s="34" t="str">
        <f>
CONCATENATE(if(countif(knap.agi.sim,$D93),"K",""),
if(countif(dd.agi.sim,$D93),"D",""),
if(countif(nap.agi.sim,$D93),"A",""),
if(countif(var.agi.sim,$D93),"V",""))</f>
        <v/>
      </c>
      <c r="AC93" s="34" t="str">
        <f>
if(countif(nap.bun.sim,$D93),"A","")</f>
        <v/>
      </c>
      <c r="AD93" s="34" t="str">
        <f>
CONCATENATE(if(countif(knap.kxn.sim,$D93),"K",""),
if(countif(np.kxn.sim,$D93),"P",""),
if(countif(dd.kxn.sim,$D93),"D",""),
if(countif(nap.kxn.sim,$D93),"A",""),
if(countif(var.kxn.sim,$D93),"V",""))</f>
        <v/>
      </c>
      <c r="AE93" s="34" t="str">
        <f>
CONCATENATE(if(countif(knap.hwb.sim,$D93),"K",""),
if(countif(np.hwb.sim,$D93),"P",""),
if(countif(mic.hwb.sim,$D93),"M",""),
if(countif(imp.hwb.sim,$D93),"T",""),
if(countif(dd.cyan.sim,$D93),"D",""),
if(countif(nap.hwb.sim,$D93),"A",""),
if(countif(var.hwb.sim,$D93),"V",""))</f>
        <v/>
      </c>
      <c r="AF93" s="34" t="str">
        <f>
CONCATENATE(if(countif(us.ekxn.sim,$D93),"U",""),
if(countif(knap.ekxn.sim,$D93),"K",""),
if(countif(np.ekxn.sim,$D93),"P",""),
if(countif(mic.ekxn.sim,$D93),"M",""),
if(countif(imp.epc.sim,$D93),"T",""),
if(countif(nap.ekxn.sim,$D93),"A",""))</f>
        <v/>
      </c>
      <c r="AG93" s="34"/>
      <c r="AH93" s="34" t="str">
        <f>
CONCATENATE(if(countif(us.egt.sim,$D93),"U",""),
if(countif(knap.egt.sim,$D93),"K",""),
if(countif(np.egt.sim,$D93),"P",""),
if(countif(mic.egt.sim,$D93),"M",""))</f>
        <v/>
      </c>
      <c r="AI93" s="34"/>
      <c r="AJ93" s="34" t="str">
        <f>if(countif(nap.ecit.sim,$D93),"A","")</f>
        <v/>
      </c>
      <c r="AK93" s="34" t="str">
        <f>
CONCATENATE(if(countif(nap.erd,$D93),"M",""),
if(countif(nap.erd.sim,$D93),"A",""),
if(countif(var.erd.sim,$D93),"V",""))</f>
        <v/>
      </c>
      <c r="AL93" s="34" t="str">
        <f>
CONCATENATE(if(countif(knap.gkxn.sim,$D93),"K",""),
if(countif(nap.gkxn.sim,$D93),"A",""))</f>
        <v/>
      </c>
      <c r="AM93" s="34" t="str">
        <f>
CONCATENATE(if(countif(knap.gen.sim,$C93),"K",""),
if(countif(imp.gen.sim,$C93),"T",""),
if(countif(dd.gen.sim,$C93),"D",""),
if(countif(nap.gen.sim,$C93),"A",""),
if(countif(var.gen.sim,$C93),"V",""))
</f>
        <v/>
      </c>
      <c r="AN93" s="34" t="str">
        <f>IFERROR(__xludf.DUMMYFUNCTION("
if(countif(#REF!,CONCATENATE(regexextract($C93,""[\w]* [\w]*""), ""*"")),""V"","""")"),"")</f>
        <v/>
      </c>
      <c r="AO93" s="34" t="str">
        <f>
CONCATENATE(if(countif(knap.kmp.sim,$D93),"K",""),
if(countif(np.kmp.sim,$D93),"P",""),
if(countif(imp.kmp.sim,$D93),"T",""),
if(countif(dd.kmp,$D93),"D",""),
if(countif(nap.kmp.sim,$D93),"A",""),
if(countif(var.kmp.sim,$D93),"V",""))</f>
        <v/>
      </c>
      <c r="AP93" s="34" t="str">
        <f>
CONCATENATE(if(countif(knap.lu2.sim,$D93),"K",""),
if(countif(np.lu2.sim,$D93),"P",""),
if(countif(imp.lu2.sim,$D93),"T",""),
if(countif(dd.lu2.sim,$D93),"D",""),
if(countif(nap.lu2.sim,$D93),"A",""),
if(countif(var.lu2.sim,$D93),"V",""))</f>
        <v/>
      </c>
      <c r="AQ93" s="34" t="str">
        <f>
CONCATENATE(if(countif(np.myc.sim,$D93),"P",""),
if(countif(imp.myc.sim,$D93),"T",""),
if(countif(nap.myc.sim,$D93),"A",""))
</f>
        <v/>
      </c>
      <c r="AR93" s="36" t="str">
        <f>
CONCATENATE(if(countif(knap.nar.sim,$D93),"K",""),
if(countif(np.nar.sim,$D93),"P",""),
if(countif(imp.nar.sim,$D93),"T",""),
if(countif(dd.nar.sim,$D93),"D",""),
if(countif(nap.nar.sim,$D93),"A",""),
if(countif(var.nar.sim,$D93),"V",""))</f>
        <v/>
      </c>
      <c r="AS93" s="34" t="str">
        <f>
CONCATENATE(if(countif(knap.que.sim,$D93),"K",""),
if(countif(np.que.sim,$D93),"P",""),
if(countif(imp.que.sim,$D93),"T",""),
if(countif(dd.que.sim,$D93),"D",""),
if(countif(nap.que.sim,$D93),"A",""),
if(countif(var.que.sim,$D93),"V",""))</f>
        <v/>
      </c>
      <c r="AT93" s="37"/>
      <c r="AU93" s="32" t="str">
        <f>IFERROR(__xludf.DUMMYFUNCTION("if(countif(kr.agi, CONCATENATE(regexextract($C93,""[\w]* [\w]*""), ""*"")),""X"","""")"),"X")</f>
        <v>X</v>
      </c>
      <c r="AV93" s="38" t="str">
        <f>IFERROR(__xludf.DUMMYFUNCTION("if(countif(kr.bun,CONCATENATE(regexextract($C93,""[\w]* [\w]*""), ""*"")),""X"","""")"),"X")</f>
        <v>X</v>
      </c>
      <c r="AW93" s="38" t="str">
        <f>IFERROR(__xludf.DUMMYFUNCTION("if(countif(kr.kxn,CONCATENATE(regexextract($C93,""[\w]* [\w]*""), ""*"")),""X"","""")"),"")</f>
        <v/>
      </c>
      <c r="AX93" s="38" t="str">
        <f>IFERROR(__xludf.DUMMYFUNCTION("if(countif(kr.hwb,CONCATENATE(regexextract($C93,""[\w]* [\w]*""), ""*"")),""X"","""")"),"X")</f>
        <v>X</v>
      </c>
      <c r="AY93" s="38" t="str">
        <f>IFERROR(__xludf.DUMMYFUNCTION("if(countif(kr.ec,CONCATENATE(regexextract($C93,""[\w]* [\w]*""), ""*"")),""X"","""")"),"X")</f>
        <v>X</v>
      </c>
      <c r="AZ93" s="38" t="str">
        <f>IFERROR(__xludf.DUMMYFUNCTION("if(countif(kr.egt,CONCATENATE(regexextract($C93,""[\w]* [\w]*""), ""*"")),""X"","""")"),"X")</f>
        <v>X</v>
      </c>
      <c r="BA93" s="38"/>
      <c r="BB93" s="38" t="str">
        <f>IFERROR(__xludf.DUMMYFUNCTION("if(countif(kr.erd,CONCATENATE(regexextract($C93,""[\w]* [\w]*""), ""*"")),""X"","""")"),"X")</f>
        <v>X</v>
      </c>
      <c r="BC93" s="38" t="str">
        <f>IFERROR(__xludf.DUMMYFUNCTION("if(countif(kr.gkxn,CONCATENATE(regexextract($C93,""[\w]* [\w]*""), ""*"")),""X"","""")"),"")</f>
        <v/>
      </c>
      <c r="BD93" s="38" t="str">
        <f>IFERROR(__xludf.DUMMYFUNCTION("if(countif(kr.gen,CONCATENATE(regexextract(C93,""[\w]* [\w]*""), ""*"")),""X"","""")"),"")</f>
        <v/>
      </c>
      <c r="BE93" s="38" t="str">
        <f>IFERROR(__xludf.DUMMYFUNCTION("if(countif(kr.hcc,CONCATENATE(regexextract($C93,""[\w]* [\w]*""), ""*"")),""X"","""")"),"X")</f>
        <v>X</v>
      </c>
      <c r="BF93" s="38" t="str">
        <f>IFERROR(__xludf.DUMMYFUNCTION("if(countif(kr.kmp,CONCATENATE(regexextract($C93,""[\w]* [\w]*""), ""*"")),""X"","""")"),"X")</f>
        <v>X</v>
      </c>
      <c r="BG93" s="38" t="str">
        <f>IFERROR(__xludf.DUMMYFUNCTION("if(countif(kr.lu2,CONCATENATE(regexextract($C93,""[\w]* [\w]*""), ""*"")),""X"","""")"),"X")</f>
        <v>X</v>
      </c>
      <c r="BH93" s="38" t="str">
        <f>IFERROR(__xludf.DUMMYFUNCTION("if(countif(kr.myc,CONCATENATE(regexextract($C93,""[\w]* [\w]*""), ""*"")),""X"","""")"),"X")</f>
        <v>X</v>
      </c>
      <c r="BI93" s="38" t="str">
        <f>IFERROR(__xludf.DUMMYFUNCTION("if(countif(kr.nar,CONCATENATE(regexextract($C93,""[\w]* [\w]*""), ""*"")),""X"","""")"),"X")</f>
        <v>X</v>
      </c>
      <c r="BJ93" s="38" t="str">
        <f>IFERROR(__xludf.DUMMYFUNCTION("if(countif(kr.que,CONCATENATE(regexextract($C93,""[\w]* [\w]*""), ""*"")),""X"","""")"),"X")</f>
        <v>X</v>
      </c>
      <c r="BK93" s="39"/>
      <c r="BL93" s="40" t="str">
        <f>IFERROR(__xludf.DUMMYFUNCTION(" CONCATENATE( 
if (regexmatch(I93, ""^[A-Za-z\.\_]+""), ""L"", 
if(regexmatch(AB93, ""^[A-Za-z\.\_]+""),""S"","""")),
if(AU93=""X"",""K"",""""))"),"K")</f>
        <v>K</v>
      </c>
      <c r="BM93" s="40" t="str">
        <f>IFERROR(__xludf.DUMMYFUNCTION(" CONCATENATE( 
if (regexmatch(J93, ""^[A-Za-z\.\_]+""), ""L"", 
if(regexmatch(AC93, ""^[A-Za-z\.\_]+""),""S"","""")),
if(AV93=""X"",""K"",""""))"),"K")</f>
        <v>K</v>
      </c>
      <c r="BN93" s="40" t="str">
        <f>IFERROR(__xludf.DUMMYFUNCTION(" CONCATENATE( 
if (regexmatch(K93, ""^[A-Za-z\.\_]+""), ""L"", 
if(regexmatch(AD93, ""^[A-Za-z\.\_]+""),""S"","""")),
if(AW93=""X"",""K"",""""))"),"")</f>
        <v/>
      </c>
      <c r="BO93" s="40" t="str">
        <f>IFERROR(__xludf.DUMMYFUNCTION(" CONCATENATE( 
if (regexmatch(L93, ""^[A-Za-z\.\_]+""), ""L"", 
if(regexmatch(AE93, ""^[A-Za-z\.\_]+""),""S"","""")),
if(AX93=""X"",""K"",""""))"),"K")</f>
        <v>K</v>
      </c>
      <c r="BP93" s="40" t="str">
        <f>IFERROR(__xludf.DUMMYFUNCTION(" CONCATENATE( 
if (regexmatch(M93, ""^[A-Za-z\.\_]+""), ""L"", 
if(regexmatch(AF93, ""^[A-Za-z\.\_]+""),""S"","""")),
if(AY93=""X"",""K"",""""))"),"K")</f>
        <v>K</v>
      </c>
      <c r="BQ93" s="40" t="str">
        <f>IFERROR(__xludf.DUMMYFUNCTION("CONCATENATE( 
if (regexmatch(O93, ""^[A-Za-z\.\_]+""), ""L"", 
if(regexmatch(AH93, ""^[A-Za-z\.\_]+""),""S"","""")),
if(AZ93=""X"",""K"",""""))"),"K")</f>
        <v>K</v>
      </c>
      <c r="BR93" s="40" t="str">
        <f>IFERROR(__xludf.DUMMYFUNCTION("CONCATENATE( 
if (regexmatch(Q93, ""^[A-Za-z\.\_]+""), ""L"", 
if(regexmatch(AJ93, ""^[A-Za-z\.\_]+""),""S"","""")),
if(BA93=""X"",""K"",""""))"),"")</f>
        <v/>
      </c>
      <c r="BS93" s="40" t="str">
        <f>IFERROR(__xludf.DUMMYFUNCTION(" CONCATENATE( 
if (regexmatch(R93, ""^[A-Za-z\.\_]+""), ""L"", 
if(regexmatch(AK93, ""^[A-Za-z\.\_]+""),""S"","""")),
if(BB93=""X"",""K"",""""))"),"K")</f>
        <v>K</v>
      </c>
      <c r="BT93" s="40" t="str">
        <f>IFERROR(__xludf.DUMMYFUNCTION("CONCATENATE( 
if (regexmatch(S93, ""^[A-Za-z\.\_]+""), ""L"", 
if(regexmatch(AL93, ""^[A-Za-z\.\_]+""),""S"","""")),
if(BC93=""X"",""K"",""""))"),"")</f>
        <v/>
      </c>
      <c r="BU93" s="40" t="str">
        <f>IFERROR(__xludf.DUMMYFUNCTION("CONCATENATE( 
if (regexmatch(T93, ""^[A-Za-z\.\_]+""), ""L"", 
if(regexmatch(AM93, ""^[A-Za-z\.\_]+""),""S"","""")),
if(BD93=""X"",""K"",""""))"),"")</f>
        <v/>
      </c>
      <c r="BV93" s="40" t="str">
        <f>IFERROR(__xludf.DUMMYFUNCTION("CONCATENATE( 
if (regexmatch(U93, ""^[A-Za-z\.\_]+""), ""L"", 
if(regexmatch(AN93, ""^[A-Za-z\.\_]+""),""S"","""")),
if(BE93=""X"",""K"",""""))"),"K")</f>
        <v>K</v>
      </c>
      <c r="BW93" s="40" t="str">
        <f>IFERROR(__xludf.DUMMYFUNCTION(" CONCATENATE( 
if (regexmatch(V93, ""^[A-Za-z\.\_]+""), ""L"", 
if(regexmatch(AO93, ""^[A-Za-z\.\_]+""),""S"","""")),
if(BF93=""X"",""K"",""""))"),"K")</f>
        <v>K</v>
      </c>
      <c r="BX93" s="40" t="str">
        <f>IFERROR(__xludf.DUMMYFUNCTION("CONCATENATE( 
if (regexmatch(W93, ""^[A-Za-z\.\_]+""), ""L"", 
if(regexmatch(AP93, ""^[A-Za-z\.\_]+""),""S"","""")),
if(BG93=""X"",""K"",""""))"),"LK")</f>
        <v>LK</v>
      </c>
      <c r="BY93" s="40" t="str">
        <f>IFERROR(__xludf.DUMMYFUNCTION("CONCATENATE( 
if (regexmatch(X93, ""^[A-Za-z\.\_]+""), ""L"", 
if(regexmatch(AQ93, ""^[A-Za-z\.\_]+""),""S"","""")),
if(BH93=""X"",""K"",""""))"),"K")</f>
        <v>K</v>
      </c>
      <c r="BZ93" s="40" t="str">
        <f>IFERROR(__xludf.DUMMYFUNCTION("CONCATENATE( 
if (regexmatch(Y93, ""^[A-Za-z\.\_]+""), ""L"", 
if(regexmatch(AR93, ""^[A-Za-z\.\_]+""),""S"","""")),
if(BI93=""X"",""K"",""""))"),"K")</f>
        <v>K</v>
      </c>
      <c r="CA93" s="40" t="str">
        <f>IFERROR(__xludf.DUMMYFUNCTION("CONCATENATE( 
if (regexmatch(Z93, ""^[A-Za-z\.\_]+""), ""L"", 
if(regexmatch(AS93, ""^[A-Za-z\.\_]+""),""S"","""")),
if(BJ93=""X"",""K"",""""))"),"K")</f>
        <v>K</v>
      </c>
      <c r="CB93" s="39"/>
      <c r="CC93" s="39"/>
      <c r="CD93" s="39"/>
      <c r="CE93" s="39"/>
      <c r="CF93" s="39"/>
      <c r="CG93" s="39"/>
      <c r="CH93" s="39"/>
      <c r="CI93" s="39"/>
      <c r="CJ93" s="39"/>
      <c r="CK93" s="39"/>
      <c r="CL93" s="39"/>
      <c r="CM93" s="39"/>
      <c r="CN93" s="39"/>
      <c r="CO93" s="39"/>
      <c r="CP93" s="39"/>
      <c r="CQ93" s="39"/>
      <c r="CR93" s="39"/>
    </row>
    <row r="94" ht="15.75" customHeight="1">
      <c r="A94" s="25">
        <v>76.0</v>
      </c>
      <c r="B94" s="26" t="s">
        <v>353</v>
      </c>
      <c r="C94" s="27" t="s">
        <v>354</v>
      </c>
      <c r="D94" s="27" t="str">
        <f>IFERROR(__xludf.DUMMYFUNCTION("CONCATENATE(regexextract($C94,""[\w]* [\w]*""), ""*"")"),"Solanum lycopersicum*")</f>
        <v>Solanum lycopersicum*</v>
      </c>
      <c r="E94" s="26" t="s">
        <v>355</v>
      </c>
      <c r="F94" s="57">
        <v>4081.0</v>
      </c>
      <c r="G94" s="53"/>
      <c r="H94" s="31"/>
      <c r="I94" s="32" t="str">
        <f>CONCATENATE(
if(countif(dd.agi,$D94),"D",""),
if(countif(knap.agi,$D94),"K",""),
if(countif(mic.agi,$D94),"M",""),
if(countif(nap.agi,$D94),"N",""),
if(countif(np.agi,$D94),"P",""),
if(countif(imp.agi,$D94),"T",""),
if(countif(us.agi,$D94),"U",""),
if(countif(var.agi,$D94),"V","")
)</f>
        <v/>
      </c>
      <c r="J94" s="32" t="str">
        <f>
CONCATENATE(
if(countif(nap.bun,$D94),"N",""),
if(countif(np.bun,$D94),"P","")
)
</f>
        <v/>
      </c>
      <c r="K94" s="32" t="str">
        <f>CONCATENATE(
if(countif(dd.kxn,$D94),"D",""),
if(countif(knap.kxn,$D94),"K",""),
if(countif(mic.kxn,$D94),"M",""),
if(countif(nap.kxn,$D94),"N",""),
if(countif(np.kxn,$D94),"P",""),
if(countif(us.kxn,$D94),"U",""),
if(countif(var.kxn,$D94),"V","")
)</f>
        <v/>
      </c>
      <c r="L94" s="32" t="str">
        <f>
CONCATENATE(
if(countif(dd.hwb,$D94),"D",""),
if(countif(knap.hwb,$D94),"K",""),
if(countif(mic.hwb,$D94),"M",""),
if(countif(nap.hwb,$D94),"N",""),
if(countif(np.hwb,$D94),"P",""),
if(countif(us.hwb,$D94),"U",""),
if(countif(imp.hwb,$D94),"T",""),
if(countif(var.hwb,$D94),"V","")
)</f>
        <v/>
      </c>
      <c r="M94" s="32" t="str">
        <f>CONCATENATE(
if(countif(dd.epc,$D94),"D",""),
if(countif(knap.ekxn,$D94),"K",""),
if(countif(mic.ekxn,$D94),"M",""),
if(countif(nap.ekxn,$D94),"N",""),
if(countif(np.ekxn,$D94),"P",""),
if(countif(imp.epc,$D94),"T",""),
if(countif(us.ekxn,$D94),"U",""),
if(countif(var.ekxn,$D94),"V","")
)</f>
        <v/>
      </c>
      <c r="N94" s="32" t="str">
        <f>
CONCATENATE(
if(countif(dd.ecg,$D94),"D",""),
if(countif(mic.ecg,$D94),"M",""),
if(countif(np.ecg,$D94),"P",""),
if(countif(imp.ecg,$D94),"T",""),
if(countif(us.ecg,$D94),"U","")
)</f>
        <v/>
      </c>
      <c r="O94" s="32" t="str">
        <f>
CONCATENATE(
if(countif(dd.egt,$D94),"D",""),
if(countif(mic.egt,$D94),"M",""),
if(countif(nap.egt,$D94),"N",""),
if(countif(us.egt,$D94),"U",""),
if(countif(var.egt,$D94),"V",""))
</f>
        <v/>
      </c>
      <c r="P94" s="32" t="str">
        <f>CONCATENATE(
if(countif(knap.egcg,$D94),"K",""),
if(countif(mic.egcg,$D94),"M",""),
if(countif(np.egcg,$D94),"P",""),
if(countif(us.egcg,$D94),"U","")
)</f>
        <v/>
      </c>
      <c r="Q94" s="32" t="str">
        <f>CONCATENATE(if(countif(np.ecit,$D94),"P",""),
if(countif(nap.ecit,$D94),"A",""))</f>
        <v/>
      </c>
      <c r="R94" s="32" t="str">
        <f>
CONCATENATE(
if(countif(nap.erd,$D94),"N",""),
if(countif(np.erd,$D94),"P",""),
if(countif(var.erd,$D94),"V",""))</f>
        <v/>
      </c>
      <c r="S94" s="32" t="str">
        <f>
CONCATENATE(
if(countif(dd.gkxn,$D94),"D",""),
if(countif(knap.gkxn,$D94),"K",""),
if(countif(nap.gkxn,$D94),"N",""),
if(countif(np.gkxn,$D94),"P",""),
if(countif(imp.gkxn,$D94),"T",""),
if(countif(var.gkxn,$D94),"V",""))</f>
        <v/>
      </c>
      <c r="T94" s="32" t="str">
        <f>
CONCATENATE(
if(countif(dd.gen,$C94),"D",""),
if(countif(knap.gen,$C94),"K",""),
if(countif(nap.gen,$C94),"N",""),
if(countif(np.gen,$C94),"P",""),
if(countif(imp.gen,$C94),"T",""),
if(countif(var.gen,$C94),"V",""))</f>
        <v/>
      </c>
      <c r="U94" s="32" t="str">
        <f>
CONCATENATE(
if(countif(dd.hcc,$D94),"D",""),
if(countif(knap.hcc,$D94),"K",""),
if(countif(np.hcc,$D94),"P","")
)
</f>
        <v/>
      </c>
      <c r="V94" s="32" t="str">
        <f>
CONCATENATE(
if(countif(dd.kmp,$D94),"D",""),
if(countif(knap.kmp,$D94),"K",""),
if(countif(mic.kmp,$D94),"M",""),
if(countif(nap.kmp,$D94),"N",""),
if(countif(np.kmp,$D94),"P",""),
if(countif(imp.kmp,$D94),"T",""),
if(countif(us.kmp,$D94),"U",""),
if(countif(var.kmp,$D94),"V",""))</f>
        <v>DK</v>
      </c>
      <c r="W94" s="32" t="str">
        <f>
CONCATENATE(
if(countif(dd.lu2,$D94),"D",""),
if(countif(knap.lu2,$D94),"K",""),
if(countif(mic.lu2,$D94),"M",""),
if(countif(nap.lu2,$D94),"N",""),
if(countif(np.lu2,$D94),"P",""),
if(countif(imp.lu2,$D94),"T",""),
if(countif(us.lu2,$D94),"U",""),
if(countif(var.lu2,$D94),"V",""))</f>
        <v>V</v>
      </c>
      <c r="X94" s="32" t="str">
        <f>
CONCATENATE(
if(countif(dd.myc,$D94),"D",""),
if(countif(knap.myc,$D94),"K",""), 
if(countif(mic.myc,$D94),"M",""),
if(countif(nap.myc,$D94),"N",""),
if(countif(np.myc,$D94),"P",""),
if(countif(imp.myc,$D94),"T",""),
if(countif(us.myc,$D94),"U",""),
if(countif(var.myc,$D94),"V",""))</f>
        <v/>
      </c>
      <c r="Y94" s="32" t="str">
        <f>CONCATENATE(
if(countif(dd.nar,$D94),"D",""),
if(countif(knap.nar,$D94),"K",""),
if(countif(nap.nar,$D94),"N",""),
if(countif(np.nar,$D94),"P",""),
if(countif(imp.nar,$D94),"T",""),
if(countif(us.nar,$D94),"U",""),
if(countif(var.nar,$D94),"V",""))</f>
        <v>D</v>
      </c>
      <c r="Z94" s="33" t="str">
        <f>
CONCATENATE(
if(countif(dd.que,$D94),"D",""),
if(countif(knap.que,$D94),"K",""),
if(countif(mic.que,$D94),"M",""),
if(countif(nap.que,$D94),"N",""),
if(countif(np.que,$D94),"P",""),
if(countif(imp.que,$D94),"T",""),
if(countif(us.que,$D94),"U",""),
if(countif(var.que,$D94),"V",""))</f>
        <v>V</v>
      </c>
      <c r="AA94" s="32"/>
      <c r="AB94" s="34" t="str">
        <f>
CONCATENATE(if(countif(knap.agi.sim,$D94),"K",""),
if(countif(dd.agi.sim,$D94),"D",""),
if(countif(nap.agi.sim,$D94),"A",""),
if(countif(var.agi.sim,$D94),"V",""))</f>
        <v/>
      </c>
      <c r="AC94" s="34" t="str">
        <f>
if(countif(nap.bun.sim,$D94),"A","")</f>
        <v/>
      </c>
      <c r="AD94" s="34" t="str">
        <f>
CONCATENATE(if(countif(knap.kxn.sim,$D94),"K",""),
if(countif(np.kxn.sim,$D94),"P",""),
if(countif(dd.kxn.sim,$D94),"D",""),
if(countif(nap.kxn.sim,$D94),"A",""),
if(countif(var.kxn.sim,$D94),"V",""))</f>
        <v/>
      </c>
      <c r="AE94" s="34" t="str">
        <f>
CONCATENATE(if(countif(knap.hwb.sim,$D94),"K",""),
if(countif(np.hwb.sim,$D94),"P",""),
if(countif(mic.hwb.sim,$D94),"M",""),
if(countif(imp.hwb.sim,$D94),"T",""),
if(countif(dd.cyan.sim,$D94),"D",""),
if(countif(nap.hwb.sim,$D94),"A",""),
if(countif(var.hwb.sim,$D94),"V",""))</f>
        <v/>
      </c>
      <c r="AF94" s="34" t="str">
        <f>
CONCATENATE(if(countif(us.ekxn.sim,$D94),"U",""),
if(countif(knap.ekxn.sim,$D94),"K",""),
if(countif(np.ekxn.sim,$D94),"P",""),
if(countif(mic.ekxn.sim,$D94),"M",""),
if(countif(imp.epc.sim,$D94),"T",""),
if(countif(nap.ekxn.sim,$D94),"A",""))</f>
        <v/>
      </c>
      <c r="AG94" s="34"/>
      <c r="AH94" s="34" t="str">
        <f>
CONCATENATE(if(countif(us.egt.sim,$D94),"U",""),
if(countif(knap.egt.sim,$D94),"K",""),
if(countif(np.egt.sim,$D94),"P",""),
if(countif(mic.egt.sim,$D94),"M",""))</f>
        <v/>
      </c>
      <c r="AI94" s="34"/>
      <c r="AJ94" s="34" t="str">
        <f>if(countif(nap.ecit.sim,$D94),"A","")</f>
        <v/>
      </c>
      <c r="AK94" s="34" t="str">
        <f>
CONCATENATE(if(countif(nap.erd,$D94),"M",""),
if(countif(nap.erd.sim,$D94),"A",""),
if(countif(var.erd.sim,$D94),"V",""))</f>
        <v/>
      </c>
      <c r="AL94" s="34" t="str">
        <f>
CONCATENATE(if(countif(knap.gkxn.sim,$D94),"K",""),
if(countif(nap.gkxn.sim,$D94),"A",""))</f>
        <v/>
      </c>
      <c r="AM94" s="34" t="str">
        <f>
CONCATENATE(if(countif(knap.gen.sim,$C94),"K",""),
if(countif(imp.gen.sim,$C94),"T",""),
if(countif(dd.gen.sim,$C94),"D",""),
if(countif(nap.gen.sim,$C94),"A",""),
if(countif(var.gen.sim,$C94),"V",""))
</f>
        <v/>
      </c>
      <c r="AN94" s="34" t="str">
        <f>IFERROR(__xludf.DUMMYFUNCTION("
if(countif(#REF!,CONCATENATE(regexextract($C94,""[\w]* [\w]*""), ""*"")),""V"","""")"),"")</f>
        <v/>
      </c>
      <c r="AO94" s="34" t="str">
        <f>
CONCATENATE(if(countif(knap.kmp.sim,$D94),"K",""),
if(countif(np.kmp.sim,$D94),"P",""),
if(countif(imp.kmp.sim,$D94),"T",""),
if(countif(dd.kmp,$D94),"D",""),
if(countif(nap.kmp.sim,$D94),"A",""),
if(countif(var.kmp.sim,$D94),"V",""))</f>
        <v>D</v>
      </c>
      <c r="AP94" s="34" t="str">
        <f>
CONCATENATE(if(countif(knap.lu2.sim,$D94),"K",""),
if(countif(np.lu2.sim,$D94),"P",""),
if(countif(imp.lu2.sim,$D94),"T",""),
if(countif(dd.lu2.sim,$D94),"D",""),
if(countif(nap.lu2.sim,$D94),"A",""),
if(countif(var.lu2.sim,$D94),"V",""))</f>
        <v/>
      </c>
      <c r="AQ94" s="34" t="str">
        <f>
CONCATENATE(if(countif(np.myc.sim,$D94),"P",""),
if(countif(imp.myc.sim,$D94),"T",""),
if(countif(nap.myc.sim,$D94),"A",""))
</f>
        <v/>
      </c>
      <c r="AR94" s="36" t="str">
        <f>
CONCATENATE(if(countif(knap.nar.sim,$D94),"K",""),
if(countif(np.nar.sim,$D94),"P",""),
if(countif(imp.nar.sim,$D94),"T",""),
if(countif(dd.nar.sim,$D94),"D",""),
if(countif(nap.nar.sim,$D94),"A",""),
if(countif(var.nar.sim,$D94),"V",""))</f>
        <v>K</v>
      </c>
      <c r="AS94" s="34" t="str">
        <f>
CONCATENATE(if(countif(knap.que.sim,$D94),"K",""),
if(countif(np.que.sim,$D94),"P",""),
if(countif(imp.que.sim,$D94),"T",""),
if(countif(dd.que.sim,$D94),"D",""),
if(countif(nap.que.sim,$D94),"A",""),
if(countif(var.que.sim,$D94),"V",""))</f>
        <v>KP</v>
      </c>
      <c r="AT94" s="37"/>
      <c r="AU94" s="32" t="str">
        <f>IFERROR(__xludf.DUMMYFUNCTION("if(countif(kr.agi, CONCATENATE(regexextract($C94,""[\w]* [\w]*""), ""*"")),""X"","""")"),"")</f>
        <v/>
      </c>
      <c r="AV94" s="38" t="str">
        <f>IFERROR(__xludf.DUMMYFUNCTION("if(countif(kr.bun,CONCATENATE(regexextract($C94,""[\w]* [\w]*""), ""*"")),""X"","""")"),"X")</f>
        <v>X</v>
      </c>
      <c r="AW94" s="38" t="str">
        <f>IFERROR(__xludf.DUMMYFUNCTION("if(countif(kr.kxn,CONCATENATE(regexextract($C94,""[\w]* [\w]*""), ""*"")),""X"","""")"),"")</f>
        <v/>
      </c>
      <c r="AX94" s="38" t="str">
        <f>IFERROR(__xludf.DUMMYFUNCTION("if(countif(kr.hwb,CONCATENATE(regexextract($C94,""[\w]* [\w]*""), ""*"")),""X"","""")"),"X")</f>
        <v>X</v>
      </c>
      <c r="AY94" s="38" t="str">
        <f>IFERROR(__xludf.DUMMYFUNCTION("if(countif(kr.ec,CONCATENATE(regexextract($C94,""[\w]* [\w]*""), ""*"")),""X"","""")"),"X")</f>
        <v>X</v>
      </c>
      <c r="AZ94" s="38" t="str">
        <f>IFERROR(__xludf.DUMMYFUNCTION("if(countif(kr.egt,CONCATENATE(regexextract($C94,""[\w]* [\w]*""), ""*"")),""X"","""")"),"X")</f>
        <v>X</v>
      </c>
      <c r="BA94" s="38"/>
      <c r="BB94" s="38" t="str">
        <f>IFERROR(__xludf.DUMMYFUNCTION("if(countif(kr.erd,CONCATENATE(regexextract($C94,""[\w]* [\w]*""), ""*"")),""X"","""")"),"X")</f>
        <v>X</v>
      </c>
      <c r="BC94" s="38" t="str">
        <f>IFERROR(__xludf.DUMMYFUNCTION("if(countif(kr.gkxn,CONCATENATE(regexextract($C94,""[\w]* [\w]*""), ""*"")),""X"","""")"),"")</f>
        <v/>
      </c>
      <c r="BD94" s="38" t="str">
        <f>IFERROR(__xludf.DUMMYFUNCTION("if(countif(kr.gen,CONCATENATE(regexextract(C94,""[\w]* [\w]*""), ""*"")),""X"","""")"),"")</f>
        <v/>
      </c>
      <c r="BE94" s="38" t="str">
        <f>IFERROR(__xludf.DUMMYFUNCTION("if(countif(kr.hcc,CONCATENATE(regexextract($C94,""[\w]* [\w]*""), ""*"")),""X"","""")"),"X")</f>
        <v>X</v>
      </c>
      <c r="BF94" s="38" t="str">
        <f>IFERROR(__xludf.DUMMYFUNCTION("if(countif(kr.kmp,CONCATENATE(regexextract($C94,""[\w]* [\w]*""), ""*"")),""X"","""")"),"X")</f>
        <v>X</v>
      </c>
      <c r="BG94" s="38" t="str">
        <f>IFERROR(__xludf.DUMMYFUNCTION("if(countif(kr.lu2,CONCATENATE(regexextract($C94,""[\w]* [\w]*""), ""*"")),""X"","""")"),"")</f>
        <v/>
      </c>
      <c r="BH94" s="38" t="str">
        <f>IFERROR(__xludf.DUMMYFUNCTION("if(countif(kr.myc,CONCATENATE(regexextract($C94,""[\w]* [\w]*""), ""*"")),""X"","""")"),"X")</f>
        <v>X</v>
      </c>
      <c r="BI94" s="38" t="str">
        <f>IFERROR(__xludf.DUMMYFUNCTION("if(countif(kr.nar,CONCATENATE(regexextract($C94,""[\w]* [\w]*""), ""*"")),""X"","""")"),"X")</f>
        <v>X</v>
      </c>
      <c r="BJ94" s="38" t="str">
        <f>IFERROR(__xludf.DUMMYFUNCTION("if(countif(kr.que,CONCATENATE(regexextract($C94,""[\w]* [\w]*""), ""*"")),""X"","""")"),"X")</f>
        <v>X</v>
      </c>
      <c r="BK94" s="39"/>
      <c r="BL94" s="40" t="str">
        <f>IFERROR(__xludf.DUMMYFUNCTION(" CONCATENATE( 
if (regexmatch(I94, ""^[A-Za-z\.\_]+""), ""L"", 
if(regexmatch(AB94, ""^[A-Za-z\.\_]+""),""S"","""")),
if(AU94=""X"",""K"",""""))"),"")</f>
        <v/>
      </c>
      <c r="BM94" s="40" t="str">
        <f>IFERROR(__xludf.DUMMYFUNCTION(" CONCATENATE( 
if (regexmatch(J94, ""^[A-Za-z\.\_]+""), ""L"", 
if(regexmatch(AC94, ""^[A-Za-z\.\_]+""),""S"","""")),
if(AV94=""X"",""K"",""""))"),"K")</f>
        <v>K</v>
      </c>
      <c r="BN94" s="40" t="str">
        <f>IFERROR(__xludf.DUMMYFUNCTION(" CONCATENATE( 
if (regexmatch(K94, ""^[A-Za-z\.\_]+""), ""L"", 
if(regexmatch(AD94, ""^[A-Za-z\.\_]+""),""S"","""")),
if(AW94=""X"",""K"",""""))"),"")</f>
        <v/>
      </c>
      <c r="BO94" s="40" t="str">
        <f>IFERROR(__xludf.DUMMYFUNCTION(" CONCATENATE( 
if (regexmatch(L94, ""^[A-Za-z\.\_]+""), ""L"", 
if(regexmatch(AE94, ""^[A-Za-z\.\_]+""),""S"","""")),
if(AX94=""X"",""K"",""""))"),"K")</f>
        <v>K</v>
      </c>
      <c r="BP94" s="40" t="str">
        <f>IFERROR(__xludf.DUMMYFUNCTION(" CONCATENATE( 
if (regexmatch(M94, ""^[A-Za-z\.\_]+""), ""L"", 
if(regexmatch(AF94, ""^[A-Za-z\.\_]+""),""S"","""")),
if(AY94=""X"",""K"",""""))"),"K")</f>
        <v>K</v>
      </c>
      <c r="BQ94" s="40" t="str">
        <f>IFERROR(__xludf.DUMMYFUNCTION("CONCATENATE( 
if (regexmatch(O94, ""^[A-Za-z\.\_]+""), ""L"", 
if(regexmatch(AH94, ""^[A-Za-z\.\_]+""),""S"","""")),
if(AZ94=""X"",""K"",""""))"),"K")</f>
        <v>K</v>
      </c>
      <c r="BR94" s="40" t="str">
        <f>IFERROR(__xludf.DUMMYFUNCTION("CONCATENATE( 
if (regexmatch(Q94, ""^[A-Za-z\.\_]+""), ""L"", 
if(regexmatch(AJ94, ""^[A-Za-z\.\_]+""),""S"","""")),
if(BA94=""X"",""K"",""""))"),"")</f>
        <v/>
      </c>
      <c r="BS94" s="40" t="str">
        <f>IFERROR(__xludf.DUMMYFUNCTION(" CONCATENATE( 
if (regexmatch(R94, ""^[A-Za-z\.\_]+""), ""L"", 
if(regexmatch(AK94, ""^[A-Za-z\.\_]+""),""S"","""")),
if(BB94=""X"",""K"",""""))"),"K")</f>
        <v>K</v>
      </c>
      <c r="BT94" s="40" t="str">
        <f>IFERROR(__xludf.DUMMYFUNCTION("CONCATENATE( 
if (regexmatch(S94, ""^[A-Za-z\.\_]+""), ""L"", 
if(regexmatch(AL94, ""^[A-Za-z\.\_]+""),""S"","""")),
if(BC94=""X"",""K"",""""))"),"")</f>
        <v/>
      </c>
      <c r="BU94" s="40" t="str">
        <f>IFERROR(__xludf.DUMMYFUNCTION("CONCATENATE( 
if (regexmatch(T94, ""^[A-Za-z\.\_]+""), ""L"", 
if(regexmatch(AM94, ""^[A-Za-z\.\_]+""),""S"","""")),
if(BD94=""X"",""K"",""""))"),"")</f>
        <v/>
      </c>
      <c r="BV94" s="40" t="str">
        <f>IFERROR(__xludf.DUMMYFUNCTION("CONCATENATE( 
if (regexmatch(U94, ""^[A-Za-z\.\_]+""), ""L"", 
if(regexmatch(AN94, ""^[A-Za-z\.\_]+""),""S"","""")),
if(BE94=""X"",""K"",""""))"),"K")</f>
        <v>K</v>
      </c>
      <c r="BW94" s="40" t="str">
        <f>IFERROR(__xludf.DUMMYFUNCTION(" CONCATENATE( 
if (regexmatch(V94, ""^[A-Za-z\.\_]+""), ""L"", 
if(regexmatch(AO94, ""^[A-Za-z\.\_]+""),""S"","""")),
if(BF94=""X"",""K"",""""))"),"LK")</f>
        <v>LK</v>
      </c>
      <c r="BX94" s="40" t="str">
        <f>IFERROR(__xludf.DUMMYFUNCTION("CONCATENATE( 
if (regexmatch(W94, ""^[A-Za-z\.\_]+""), ""L"", 
if(regexmatch(AP94, ""^[A-Za-z\.\_]+""),""S"","""")),
if(BG94=""X"",""K"",""""))"),"L")</f>
        <v>L</v>
      </c>
      <c r="BY94" s="40" t="str">
        <f>IFERROR(__xludf.DUMMYFUNCTION("CONCATENATE( 
if (regexmatch(X94, ""^[A-Za-z\.\_]+""), ""L"", 
if(regexmatch(AQ94, ""^[A-Za-z\.\_]+""),""S"","""")),
if(BH94=""X"",""K"",""""))"),"K")</f>
        <v>K</v>
      </c>
      <c r="BZ94" s="40" t="str">
        <f>IFERROR(__xludf.DUMMYFUNCTION("CONCATENATE( 
if (regexmatch(Y94, ""^[A-Za-z\.\_]+""), ""L"", 
if(regexmatch(AR94, ""^[A-Za-z\.\_]+""),""S"","""")),
if(BI94=""X"",""K"",""""))"),"LK")</f>
        <v>LK</v>
      </c>
      <c r="CA94" s="40" t="str">
        <f>IFERROR(__xludf.DUMMYFUNCTION("CONCATENATE( 
if (regexmatch(Z94, ""^[A-Za-z\.\_]+""), ""L"", 
if(regexmatch(AS94, ""^[A-Za-z\.\_]+""),""S"","""")),
if(BJ94=""X"",""K"",""""))"),"LK")</f>
        <v>LK</v>
      </c>
      <c r="CB94" s="39"/>
      <c r="CC94" s="39"/>
      <c r="CD94" s="39"/>
      <c r="CE94" s="39"/>
      <c r="CF94" s="39"/>
      <c r="CG94" s="39"/>
      <c r="CH94" s="39"/>
      <c r="CI94" s="39"/>
      <c r="CJ94" s="39"/>
      <c r="CK94" s="39"/>
      <c r="CL94" s="39"/>
      <c r="CM94" s="39"/>
      <c r="CN94" s="39"/>
      <c r="CO94" s="39"/>
      <c r="CP94" s="39"/>
      <c r="CQ94" s="39"/>
      <c r="CR94" s="39"/>
    </row>
    <row r="95" ht="15.75" customHeight="1">
      <c r="A95" s="25">
        <v>77.0</v>
      </c>
      <c r="B95" s="26" t="s">
        <v>356</v>
      </c>
      <c r="C95" s="27" t="s">
        <v>357</v>
      </c>
      <c r="D95" s="27" t="str">
        <f>IFERROR(__xludf.DUMMYFUNCTION("CONCATENATE(regexextract($C95,""[\w]* [\w]*""), ""*"")"),"Solanum pennellii*")</f>
        <v>Solanum pennellii*</v>
      </c>
      <c r="E95" s="26" t="s">
        <v>358</v>
      </c>
      <c r="F95" s="57">
        <v>28526.0</v>
      </c>
      <c r="G95" s="53"/>
      <c r="H95" s="31"/>
      <c r="I95" s="32" t="str">
        <f>CONCATENATE(
if(countif(dd.agi,$D95),"D",""),
if(countif(knap.agi,$D95),"K",""),
if(countif(mic.agi,$D95),"M",""),
if(countif(nap.agi,$D95),"N",""),
if(countif(np.agi,$D95),"P",""),
if(countif(imp.agi,$D95),"T",""),
if(countif(us.agi,$D95),"U",""),
if(countif(var.agi,$D95),"V","")
)</f>
        <v/>
      </c>
      <c r="J95" s="32" t="str">
        <f>
CONCATENATE(
if(countif(nap.bun,$D95),"N",""),
if(countif(np.bun,$D95),"P","")
)
</f>
        <v/>
      </c>
      <c r="K95" s="32" t="str">
        <f>CONCATENATE(
if(countif(dd.kxn,$D95),"D",""),
if(countif(knap.kxn,$D95),"K",""),
if(countif(mic.kxn,$D95),"M",""),
if(countif(nap.kxn,$D95),"N",""),
if(countif(np.kxn,$D95),"P",""),
if(countif(us.kxn,$D95),"U",""),
if(countif(var.kxn,$D95),"V","")
)</f>
        <v/>
      </c>
      <c r="L95" s="32" t="str">
        <f>
CONCATENATE(
if(countif(dd.hwb,$D95),"D",""),
if(countif(knap.hwb,$D95),"K",""),
if(countif(mic.hwb,$D95),"M",""),
if(countif(nap.hwb,$D95),"N",""),
if(countif(np.hwb,$D95),"P",""),
if(countif(us.hwb,$D95),"U",""),
if(countif(imp.hwb,$D95),"T",""),
if(countif(var.hwb,$D95),"V","")
)</f>
        <v/>
      </c>
      <c r="M95" s="32" t="str">
        <f>CONCATENATE(
if(countif(dd.epc,$D95),"D",""),
if(countif(knap.ekxn,$D95),"K",""),
if(countif(mic.ekxn,$D95),"M",""),
if(countif(nap.ekxn,$D95),"N",""),
if(countif(np.ekxn,$D95),"P",""),
if(countif(imp.epc,$D95),"T",""),
if(countif(us.ekxn,$D95),"U",""),
if(countif(var.ekxn,$D95),"V","")
)</f>
        <v/>
      </c>
      <c r="N95" s="32" t="str">
        <f>
CONCATENATE(
if(countif(dd.ecg,$D95),"D",""),
if(countif(mic.ecg,$D95),"M",""),
if(countif(np.ecg,$D95),"P",""),
if(countif(imp.ecg,$D95),"T",""),
if(countif(us.ecg,$D95),"U","")
)</f>
        <v/>
      </c>
      <c r="O95" s="32" t="str">
        <f>
CONCATENATE(
if(countif(dd.egt,$D95),"D",""),
if(countif(mic.egt,$D95),"M",""),
if(countif(nap.egt,$D95),"N",""),
if(countif(us.egt,$D95),"U",""),
if(countif(var.egt,$D95),"V",""))
</f>
        <v/>
      </c>
      <c r="P95" s="32" t="str">
        <f>CONCATENATE(
if(countif(knap.egcg,$D95),"K",""),
if(countif(mic.egcg,$D95),"M",""),
if(countif(np.egcg,$D95),"P",""),
if(countif(us.egcg,$D95),"U","")
)</f>
        <v/>
      </c>
      <c r="Q95" s="32" t="str">
        <f>CONCATENATE(if(countif(np.ecit,$D95),"P",""),
if(countif(nap.ecit,$D95),"A",""))</f>
        <v/>
      </c>
      <c r="R95" s="32" t="str">
        <f>
CONCATENATE(
if(countif(nap.erd,$D95),"N",""),
if(countif(np.erd,$D95),"P",""),
if(countif(var.erd,$D95),"V",""))</f>
        <v/>
      </c>
      <c r="S95" s="32" t="str">
        <f>
CONCATENATE(
if(countif(dd.gkxn,$D95),"D",""),
if(countif(knap.gkxn,$D95),"K",""),
if(countif(nap.gkxn,$D95),"N",""),
if(countif(np.gkxn,$D95),"P",""),
if(countif(imp.gkxn,$D95),"T",""),
if(countif(var.gkxn,$D95),"V",""))</f>
        <v/>
      </c>
      <c r="T95" s="32" t="str">
        <f>
CONCATENATE(
if(countif(dd.gen,$C95),"D",""),
if(countif(knap.gen,$C95),"K",""),
if(countif(nap.gen,$C95),"N",""),
if(countif(np.gen,$C95),"P",""),
if(countif(imp.gen,$C95),"T",""),
if(countif(var.gen,$C95),"V",""))</f>
        <v/>
      </c>
      <c r="U95" s="32" t="str">
        <f>
CONCATENATE(
if(countif(dd.hcc,$D95),"D",""),
if(countif(knap.hcc,$D95),"K",""),
if(countif(np.hcc,$D95),"P","")
)
</f>
        <v/>
      </c>
      <c r="V95" s="32" t="str">
        <f>
CONCATENATE(
if(countif(dd.kmp,$D95),"D",""),
if(countif(knap.kmp,$D95),"K",""),
if(countif(mic.kmp,$D95),"M",""),
if(countif(nap.kmp,$D95),"N",""),
if(countif(np.kmp,$D95),"P",""),
if(countif(imp.kmp,$D95),"T",""),
if(countif(us.kmp,$D95),"U",""),
if(countif(var.kmp,$D95),"V",""))</f>
        <v/>
      </c>
      <c r="W95" s="32" t="str">
        <f>
CONCATENATE(
if(countif(dd.lu2,$D95),"D",""),
if(countif(knap.lu2,$D95),"K",""),
if(countif(mic.lu2,$D95),"M",""),
if(countif(nap.lu2,$D95),"N",""),
if(countif(np.lu2,$D95),"P",""),
if(countif(imp.lu2,$D95),"T",""),
if(countif(us.lu2,$D95),"U",""),
if(countif(var.lu2,$D95),"V",""))</f>
        <v/>
      </c>
      <c r="X95" s="32" t="str">
        <f>
CONCATENATE(
if(countif(dd.myc,$D95),"D",""),
if(countif(knap.myc,$D95),"K",""), 
if(countif(mic.myc,$D95),"M",""),
if(countif(nap.myc,$D95),"N",""),
if(countif(np.myc,$D95),"P",""),
if(countif(imp.myc,$D95),"T",""),
if(countif(us.myc,$D95),"U",""),
if(countif(var.myc,$D95),"V",""))</f>
        <v/>
      </c>
      <c r="Y95" s="32" t="str">
        <f>CONCATENATE(
if(countif(dd.nar,$D95),"D",""),
if(countif(knap.nar,$D95),"K",""),
if(countif(nap.nar,$D95),"N",""),
if(countif(np.nar,$D95),"P",""),
if(countif(imp.nar,$D95),"T",""),
if(countif(us.nar,$D95),"U",""),
if(countif(var.nar,$D95),"V",""))</f>
        <v/>
      </c>
      <c r="Z95" s="33" t="str">
        <f>
CONCATENATE(
if(countif(dd.que,$D95),"D",""),
if(countif(knap.que,$D95),"K",""),
if(countif(mic.que,$D95),"M",""),
if(countif(nap.que,$D95),"N",""),
if(countif(np.que,$D95),"P",""),
if(countif(imp.que,$D95),"T",""),
if(countif(us.que,$D95),"U",""),
if(countif(var.que,$D95),"V",""))</f>
        <v/>
      </c>
      <c r="AA95" s="32"/>
      <c r="AB95" s="34" t="str">
        <f>
CONCATENATE(if(countif(knap.agi.sim,$D95),"K",""),
if(countif(dd.agi.sim,$D95),"D",""),
if(countif(nap.agi.sim,$D95),"A",""),
if(countif(var.agi.sim,$D95),"V",""))</f>
        <v/>
      </c>
      <c r="AC95" s="34" t="str">
        <f>
if(countif(nap.bun.sim,$D95),"A","")</f>
        <v/>
      </c>
      <c r="AD95" s="34" t="str">
        <f>
CONCATENATE(if(countif(knap.kxn.sim,$D95),"K",""),
if(countif(np.kxn.sim,$D95),"P",""),
if(countif(dd.kxn.sim,$D95),"D",""),
if(countif(nap.kxn.sim,$D95),"A",""),
if(countif(var.kxn.sim,$D95),"V",""))</f>
        <v/>
      </c>
      <c r="AE95" s="34" t="str">
        <f>
CONCATENATE(if(countif(knap.hwb.sim,$D95),"K",""),
if(countif(np.hwb.sim,$D95),"P",""),
if(countif(mic.hwb.sim,$D95),"M",""),
if(countif(imp.hwb.sim,$D95),"T",""),
if(countif(dd.cyan.sim,$D95),"D",""),
if(countif(nap.hwb.sim,$D95),"A",""),
if(countif(var.hwb.sim,$D95),"V",""))</f>
        <v/>
      </c>
      <c r="AF95" s="34" t="str">
        <f>
CONCATENATE(if(countif(us.ekxn.sim,$D95),"U",""),
if(countif(knap.ekxn.sim,$D95),"K",""),
if(countif(np.ekxn.sim,$D95),"P",""),
if(countif(mic.ekxn.sim,$D95),"M",""),
if(countif(imp.epc.sim,$D95),"T",""),
if(countif(nap.ekxn.sim,$D95),"A",""))</f>
        <v/>
      </c>
      <c r="AG95" s="34"/>
      <c r="AH95" s="34" t="str">
        <f>
CONCATENATE(if(countif(us.egt.sim,$D95),"U",""),
if(countif(knap.egt.sim,$D95),"K",""),
if(countif(np.egt.sim,$D95),"P",""),
if(countif(mic.egt.sim,$D95),"M",""))</f>
        <v/>
      </c>
      <c r="AI95" s="34"/>
      <c r="AJ95" s="34" t="str">
        <f>if(countif(nap.ecit.sim,$D95),"A","")</f>
        <v/>
      </c>
      <c r="AK95" s="34" t="str">
        <f>
CONCATENATE(if(countif(nap.erd,$D95),"M",""),
if(countif(nap.erd.sim,$D95),"A",""),
if(countif(var.erd.sim,$D95),"V",""))</f>
        <v/>
      </c>
      <c r="AL95" s="34" t="str">
        <f>
CONCATENATE(if(countif(knap.gkxn.sim,$D95),"K",""),
if(countif(nap.gkxn.sim,$D95),"A",""))</f>
        <v/>
      </c>
      <c r="AM95" s="34" t="str">
        <f>
CONCATENATE(if(countif(knap.gen.sim,$C95),"K",""),
if(countif(imp.gen.sim,$C95),"T",""),
if(countif(dd.gen.sim,$C95),"D",""),
if(countif(nap.gen.sim,$C95),"A",""),
if(countif(var.gen.sim,$C95),"V",""))
</f>
        <v/>
      </c>
      <c r="AN95" s="34" t="str">
        <f>IFERROR(__xludf.DUMMYFUNCTION("
if(countif(#REF!,CONCATENATE(regexextract($C95,""[\w]* [\w]*""), ""*"")),""V"","""")"),"")</f>
        <v/>
      </c>
      <c r="AO95" s="34" t="str">
        <f>
CONCATENATE(if(countif(knap.kmp.sim,$D95),"K",""),
if(countif(np.kmp.sim,$D95),"P",""),
if(countif(imp.kmp.sim,$D95),"T",""),
if(countif(dd.kmp,$D95),"D",""),
if(countif(nap.kmp.sim,$D95),"A",""),
if(countif(var.kmp.sim,$D95),"V",""))</f>
        <v/>
      </c>
      <c r="AP95" s="34" t="str">
        <f>
CONCATENATE(if(countif(knap.lu2.sim,$D95),"K",""),
if(countif(np.lu2.sim,$D95),"P",""),
if(countif(imp.lu2.sim,$D95),"T",""),
if(countif(dd.lu2.sim,$D95),"D",""),
if(countif(nap.lu2.sim,$D95),"A",""),
if(countif(var.lu2.sim,$D95),"V",""))</f>
        <v/>
      </c>
      <c r="AQ95" s="34" t="str">
        <f>
CONCATENATE(if(countif(np.myc.sim,$D95),"P",""),
if(countif(imp.myc.sim,$D95),"T",""),
if(countif(nap.myc.sim,$D95),"A",""))
</f>
        <v/>
      </c>
      <c r="AR95" s="36" t="str">
        <f>
CONCATENATE(if(countif(knap.nar.sim,$D95),"K",""),
if(countif(np.nar.sim,$D95),"P",""),
if(countif(imp.nar.sim,$D95),"T",""),
if(countif(dd.nar.sim,$D95),"D",""),
if(countif(nap.nar.sim,$D95),"A",""),
if(countif(var.nar.sim,$D95),"V",""))</f>
        <v/>
      </c>
      <c r="AS95" s="34" t="str">
        <f>
CONCATENATE(if(countif(knap.que.sim,$D95),"K",""),
if(countif(np.que.sim,$D95),"P",""),
if(countif(imp.que.sim,$D95),"T",""),
if(countif(dd.que.sim,$D95),"D",""),
if(countif(nap.que.sim,$D95),"A",""),
if(countif(var.que.sim,$D95),"V",""))</f>
        <v/>
      </c>
      <c r="AT95" s="37"/>
      <c r="AU95" s="32" t="str">
        <f>IFERROR(__xludf.DUMMYFUNCTION("if(countif(kr.agi, CONCATENATE(regexextract($C95,""[\w]* [\w]*""), ""*"")),""X"","""")"),"")</f>
        <v/>
      </c>
      <c r="AV95" s="38" t="str">
        <f>IFERROR(__xludf.DUMMYFUNCTION("if(countif(kr.bun,CONCATENATE(regexextract($C95,""[\w]* [\w]*""), ""*"")),""X"","""")"),"X")</f>
        <v>X</v>
      </c>
      <c r="AW95" s="38" t="str">
        <f>IFERROR(__xludf.DUMMYFUNCTION("if(countif(kr.kxn,CONCATENATE(regexextract($C95,""[\w]* [\w]*""), ""*"")),""X"","""")"),"X")</f>
        <v>X</v>
      </c>
      <c r="AX95" s="38" t="str">
        <f>IFERROR(__xludf.DUMMYFUNCTION("if(countif(kr.hwb,CONCATENATE(regexextract($C95,""[\w]* [\w]*""), ""*"")),""X"","""")"),"X")</f>
        <v>X</v>
      </c>
      <c r="AY95" s="38" t="str">
        <f>IFERROR(__xludf.DUMMYFUNCTION("if(countif(kr.ec,CONCATENATE(regexextract($C95,""[\w]* [\w]*""), ""*"")),""X"","""")"),"X")</f>
        <v>X</v>
      </c>
      <c r="AZ95" s="38" t="str">
        <f>IFERROR(__xludf.DUMMYFUNCTION("if(countif(kr.egt,CONCATENATE(regexextract($C95,""[\w]* [\w]*""), ""*"")),""X"","""")"),"X")</f>
        <v>X</v>
      </c>
      <c r="BA95" s="38"/>
      <c r="BB95" s="38" t="str">
        <f>IFERROR(__xludf.DUMMYFUNCTION("if(countif(kr.erd,CONCATENATE(regexextract($C95,""[\w]* [\w]*""), ""*"")),""X"","""")"),"X")</f>
        <v>X</v>
      </c>
      <c r="BC95" s="38" t="str">
        <f>IFERROR(__xludf.DUMMYFUNCTION("if(countif(kr.gkxn,CONCATENATE(regexextract($C95,""[\w]* [\w]*""), ""*"")),""X"","""")"),"X")</f>
        <v>X</v>
      </c>
      <c r="BD95" s="38" t="str">
        <f>IFERROR(__xludf.DUMMYFUNCTION("if(countif(kr.gen,CONCATENATE(regexextract(C95,""[\w]* [\w]*""), ""*"")),""X"","""")"),"")</f>
        <v/>
      </c>
      <c r="BE95" s="38" t="str">
        <f>IFERROR(__xludf.DUMMYFUNCTION("if(countif(kr.hcc,CONCATENATE(regexextract($C95,""[\w]* [\w]*""), ""*"")),""X"","""")"),"X")</f>
        <v>X</v>
      </c>
      <c r="BF95" s="38" t="str">
        <f>IFERROR(__xludf.DUMMYFUNCTION("if(countif(kr.kmp,CONCATENATE(regexextract($C95,""[\w]* [\w]*""), ""*"")),""X"","""")"),"X")</f>
        <v>X</v>
      </c>
      <c r="BG95" s="38" t="str">
        <f>IFERROR(__xludf.DUMMYFUNCTION("if(countif(kr.lu2,CONCATENATE(regexextract($C95,""[\w]* [\w]*""), ""*"")),""X"","""")"),"")</f>
        <v/>
      </c>
      <c r="BH95" s="38" t="str">
        <f>IFERROR(__xludf.DUMMYFUNCTION("if(countif(kr.myc,CONCATENATE(regexextract($C95,""[\w]* [\w]*""), ""*"")),""X"","""")"),"X")</f>
        <v>X</v>
      </c>
      <c r="BI95" s="38" t="str">
        <f>IFERROR(__xludf.DUMMYFUNCTION("if(countif(kr.nar,CONCATENATE(regexextract($C95,""[\w]* [\w]*""), ""*"")),""X"","""")"),"X")</f>
        <v>X</v>
      </c>
      <c r="BJ95" s="38" t="str">
        <f>IFERROR(__xludf.DUMMYFUNCTION("if(countif(kr.que,CONCATENATE(regexextract($C95,""[\w]* [\w]*""), ""*"")),""X"","""")"),"X")</f>
        <v>X</v>
      </c>
      <c r="BK95" s="39"/>
      <c r="BL95" s="40" t="str">
        <f>IFERROR(__xludf.DUMMYFUNCTION(" CONCATENATE( 
if (regexmatch(I95, ""^[A-Za-z\.\_]+""), ""L"", 
if(regexmatch(AB95, ""^[A-Za-z\.\_]+""),""S"","""")),
if(AU95=""X"",""K"",""""))"),"")</f>
        <v/>
      </c>
      <c r="BM95" s="40" t="str">
        <f>IFERROR(__xludf.DUMMYFUNCTION(" CONCATENATE( 
if (regexmatch(J95, ""^[A-Za-z\.\_]+""), ""L"", 
if(regexmatch(AC95, ""^[A-Za-z\.\_]+""),""S"","""")),
if(AV95=""X"",""K"",""""))"),"K")</f>
        <v>K</v>
      </c>
      <c r="BN95" s="40" t="str">
        <f>IFERROR(__xludf.DUMMYFUNCTION(" CONCATENATE( 
if (regexmatch(K95, ""^[A-Za-z\.\_]+""), ""L"", 
if(regexmatch(AD95, ""^[A-Za-z\.\_]+""),""S"","""")),
if(AW95=""X"",""K"",""""))"),"K")</f>
        <v>K</v>
      </c>
      <c r="BO95" s="40" t="str">
        <f>IFERROR(__xludf.DUMMYFUNCTION(" CONCATENATE( 
if (regexmatch(L95, ""^[A-Za-z\.\_]+""), ""L"", 
if(regexmatch(AE95, ""^[A-Za-z\.\_]+""),""S"","""")),
if(AX95=""X"",""K"",""""))"),"K")</f>
        <v>K</v>
      </c>
      <c r="BP95" s="40" t="str">
        <f>IFERROR(__xludf.DUMMYFUNCTION(" CONCATENATE( 
if (regexmatch(M95, ""^[A-Za-z\.\_]+""), ""L"", 
if(regexmatch(AF95, ""^[A-Za-z\.\_]+""),""S"","""")),
if(AY95=""X"",""K"",""""))"),"K")</f>
        <v>K</v>
      </c>
      <c r="BQ95" s="40" t="str">
        <f>IFERROR(__xludf.DUMMYFUNCTION("CONCATENATE( 
if (regexmatch(O95, ""^[A-Za-z\.\_]+""), ""L"", 
if(regexmatch(AH95, ""^[A-Za-z\.\_]+""),""S"","""")),
if(AZ95=""X"",""K"",""""))"),"K")</f>
        <v>K</v>
      </c>
      <c r="BR95" s="40" t="str">
        <f>IFERROR(__xludf.DUMMYFUNCTION("CONCATENATE( 
if (regexmatch(Q95, ""^[A-Za-z\.\_]+""), ""L"", 
if(regexmatch(AJ95, ""^[A-Za-z\.\_]+""),""S"","""")),
if(BA95=""X"",""K"",""""))"),"")</f>
        <v/>
      </c>
      <c r="BS95" s="40" t="str">
        <f>IFERROR(__xludf.DUMMYFUNCTION(" CONCATENATE( 
if (regexmatch(R95, ""^[A-Za-z\.\_]+""), ""L"", 
if(regexmatch(AK95, ""^[A-Za-z\.\_]+""),""S"","""")),
if(BB95=""X"",""K"",""""))"),"K")</f>
        <v>K</v>
      </c>
      <c r="BT95" s="40" t="str">
        <f>IFERROR(__xludf.DUMMYFUNCTION("CONCATENATE( 
if (regexmatch(S95, ""^[A-Za-z\.\_]+""), ""L"", 
if(regexmatch(AL95, ""^[A-Za-z\.\_]+""),""S"","""")),
if(BC95=""X"",""K"",""""))"),"K")</f>
        <v>K</v>
      </c>
      <c r="BU95" s="40" t="str">
        <f>IFERROR(__xludf.DUMMYFUNCTION("CONCATENATE( 
if (regexmatch(T95, ""^[A-Za-z\.\_]+""), ""L"", 
if(regexmatch(AM95, ""^[A-Za-z\.\_]+""),""S"","""")),
if(BD95=""X"",""K"",""""))"),"")</f>
        <v/>
      </c>
      <c r="BV95" s="40" t="str">
        <f>IFERROR(__xludf.DUMMYFUNCTION("CONCATENATE( 
if (regexmatch(U95, ""^[A-Za-z\.\_]+""), ""L"", 
if(regexmatch(AN95, ""^[A-Za-z\.\_]+""),""S"","""")),
if(BE95=""X"",""K"",""""))"),"K")</f>
        <v>K</v>
      </c>
      <c r="BW95" s="40" t="str">
        <f>IFERROR(__xludf.DUMMYFUNCTION(" CONCATENATE( 
if (regexmatch(V95, ""^[A-Za-z\.\_]+""), ""L"", 
if(regexmatch(AO95, ""^[A-Za-z\.\_]+""),""S"","""")),
if(BF95=""X"",""K"",""""))"),"K")</f>
        <v>K</v>
      </c>
      <c r="BX95" s="40" t="str">
        <f>IFERROR(__xludf.DUMMYFUNCTION("CONCATENATE( 
if (regexmatch(W95, ""^[A-Za-z\.\_]+""), ""L"", 
if(regexmatch(AP95, ""^[A-Za-z\.\_]+""),""S"","""")),
if(BG95=""X"",""K"",""""))"),"")</f>
        <v/>
      </c>
      <c r="BY95" s="40" t="str">
        <f>IFERROR(__xludf.DUMMYFUNCTION("CONCATENATE( 
if (regexmatch(X95, ""^[A-Za-z\.\_]+""), ""L"", 
if(regexmatch(AQ95, ""^[A-Za-z\.\_]+""),""S"","""")),
if(BH95=""X"",""K"",""""))"),"K")</f>
        <v>K</v>
      </c>
      <c r="BZ95" s="40" t="str">
        <f>IFERROR(__xludf.DUMMYFUNCTION("CONCATENATE( 
if (regexmatch(Y95, ""^[A-Za-z\.\_]+""), ""L"", 
if(regexmatch(AR95, ""^[A-Za-z\.\_]+""),""S"","""")),
if(BI95=""X"",""K"",""""))"),"K")</f>
        <v>K</v>
      </c>
      <c r="CA95" s="40" t="str">
        <f>IFERROR(__xludf.DUMMYFUNCTION("CONCATENATE( 
if (regexmatch(Z95, ""^[A-Za-z\.\_]+""), ""L"", 
if(regexmatch(AS95, ""^[A-Za-z\.\_]+""),""S"","""")),
if(BJ95=""X"",""K"",""""))"),"K")</f>
        <v>K</v>
      </c>
      <c r="CB95" s="39"/>
      <c r="CC95" s="39"/>
      <c r="CD95" s="39"/>
      <c r="CE95" s="39"/>
      <c r="CF95" s="39"/>
      <c r="CG95" s="39"/>
      <c r="CH95" s="39"/>
      <c r="CI95" s="39"/>
      <c r="CJ95" s="39"/>
      <c r="CK95" s="39"/>
      <c r="CL95" s="39"/>
      <c r="CM95" s="39"/>
      <c r="CN95" s="39"/>
      <c r="CO95" s="39"/>
      <c r="CP95" s="39"/>
      <c r="CQ95" s="39"/>
      <c r="CR95" s="39"/>
    </row>
    <row r="96" ht="15.75" customHeight="1">
      <c r="A96" s="25">
        <v>78.0</v>
      </c>
      <c r="B96" s="26" t="s">
        <v>359</v>
      </c>
      <c r="C96" s="41" t="s">
        <v>360</v>
      </c>
      <c r="D96" s="27" t="str">
        <f>IFERROR(__xludf.DUMMYFUNCTION("CONCATENATE(regexextract($C96,""[\w]* [\w]*""), ""*"")"),"Solanum tuberosum*")</f>
        <v>Solanum tuberosum*</v>
      </c>
      <c r="E96" s="56" t="s">
        <v>361</v>
      </c>
      <c r="F96" s="55">
        <v>4113.0</v>
      </c>
      <c r="G96" s="53"/>
      <c r="H96" s="31"/>
      <c r="I96" s="32" t="str">
        <f>CONCATENATE(
if(countif(dd.agi,$D96),"D",""),
if(countif(knap.agi,$D96),"K",""),
if(countif(mic.agi,$D96),"M",""),
if(countif(nap.agi,$D96),"N",""),
if(countif(np.agi,$D96),"P",""),
if(countif(imp.agi,$D96),"T",""),
if(countif(us.agi,$D96),"U",""),
if(countif(var.agi,$D96),"V","")
)</f>
        <v/>
      </c>
      <c r="J96" s="32" t="str">
        <f>
CONCATENATE(
if(countif(nap.bun,$D96),"N",""),
if(countif(np.bun,$D96),"P","")
)
</f>
        <v/>
      </c>
      <c r="K96" s="32" t="str">
        <f>CONCATENATE(
if(countif(dd.kxn,$D96),"D",""),
if(countif(knap.kxn,$D96),"K",""),
if(countif(mic.kxn,$D96),"M",""),
if(countif(nap.kxn,$D96),"N",""),
if(countif(np.kxn,$D96),"P",""),
if(countif(us.kxn,$D96),"U",""),
if(countif(var.kxn,$D96),"V","")
)</f>
        <v>V</v>
      </c>
      <c r="L96" s="32" t="str">
        <f>
CONCATENATE(
if(countif(dd.hwb,$D96),"D",""),
if(countif(knap.hwb,$D96),"K",""),
if(countif(mic.hwb,$D96),"M",""),
if(countif(nap.hwb,$D96),"N",""),
if(countif(np.hwb,$D96),"P",""),
if(countif(us.hwb,$D96),"U",""),
if(countif(imp.hwb,$D96),"T",""),
if(countif(var.hwb,$D96),"V","")
)</f>
        <v>K</v>
      </c>
      <c r="M96" s="32" t="str">
        <f>CONCATENATE(
if(countif(dd.epc,$D96),"D",""),
if(countif(knap.ekxn,$D96),"K",""),
if(countif(mic.ekxn,$D96),"M",""),
if(countif(nap.ekxn,$D96),"N",""),
if(countif(np.ekxn,$D96),"P",""),
if(countif(imp.epc,$D96),"T",""),
if(countif(us.ekxn,$D96),"U",""),
if(countif(var.ekxn,$D96),"V","")
)</f>
        <v>KT</v>
      </c>
      <c r="N96" s="32" t="str">
        <f>
CONCATENATE(
if(countif(dd.ecg,$D96),"D",""),
if(countif(mic.ecg,$D96),"M",""),
if(countif(np.ecg,$D96),"P",""),
if(countif(imp.ecg,$D96),"T",""),
if(countif(us.ecg,$D96),"U","")
)</f>
        <v/>
      </c>
      <c r="O96" s="32" t="str">
        <f>
CONCATENATE(
if(countif(dd.egt,$D96),"D",""),
if(countif(mic.egt,$D96),"M",""),
if(countif(nap.egt,$D96),"N",""),
if(countif(us.egt,$D96),"U",""),
if(countif(var.egt,$D96),"V",""))
</f>
        <v/>
      </c>
      <c r="P96" s="32" t="str">
        <f>CONCATENATE(
if(countif(knap.egcg,$D96),"K",""),
if(countif(mic.egcg,$D96),"M",""),
if(countif(np.egcg,$D96),"P",""),
if(countif(us.egcg,$D96),"U","")
)</f>
        <v/>
      </c>
      <c r="Q96" s="32" t="str">
        <f>CONCATENATE(if(countif(np.ecit,$D96),"P",""),
if(countif(nap.ecit,$D96),"A",""))</f>
        <v/>
      </c>
      <c r="R96" s="32" t="str">
        <f>
CONCATENATE(
if(countif(nap.erd,$D96),"N",""),
if(countif(np.erd,$D96),"P",""),
if(countif(var.erd,$D96),"V",""))</f>
        <v/>
      </c>
      <c r="S96" s="32" t="str">
        <f>
CONCATENATE(
if(countif(dd.gkxn,$D96),"D",""),
if(countif(knap.gkxn,$D96),"K",""),
if(countif(nap.gkxn,$D96),"N",""),
if(countif(np.gkxn,$D96),"P",""),
if(countif(imp.gkxn,$D96),"T",""),
if(countif(var.gkxn,$D96),"V",""))</f>
        <v/>
      </c>
      <c r="T96" s="32" t="str">
        <f>
CONCATENATE(
if(countif(dd.gen,$C96),"D",""),
if(countif(knap.gen,$C96),"K",""),
if(countif(nap.gen,$C96),"N",""),
if(countif(np.gen,$C96),"P",""),
if(countif(imp.gen,$C96),"T",""),
if(countif(var.gen,$C96),"V",""))</f>
        <v/>
      </c>
      <c r="U96" s="32" t="str">
        <f>
CONCATENATE(
if(countif(dd.hcc,$D96),"D",""),
if(countif(knap.hcc,$D96),"K",""),
if(countif(np.hcc,$D96),"P","")
)
</f>
        <v/>
      </c>
      <c r="V96" s="32" t="str">
        <f>
CONCATENATE(
if(countif(dd.kmp,$D96),"D",""),
if(countif(knap.kmp,$D96),"K",""),
if(countif(mic.kmp,$D96),"M",""),
if(countif(nap.kmp,$D96),"N",""),
if(countif(np.kmp,$D96),"P",""),
if(countif(imp.kmp,$D96),"T",""),
if(countif(us.kmp,$D96),"U",""),
if(countif(var.kmp,$D96),"V",""))</f>
        <v>DMNU</v>
      </c>
      <c r="W96" s="32" t="str">
        <f>
CONCATENATE(
if(countif(dd.lu2,$D96),"D",""),
if(countif(knap.lu2,$D96),"K",""),
if(countif(mic.lu2,$D96),"M",""),
if(countif(nap.lu2,$D96),"N",""),
if(countif(np.lu2,$D96),"P",""),
if(countif(imp.lu2,$D96),"T",""),
if(countif(us.lu2,$D96),"U",""),
if(countif(var.lu2,$D96),"V",""))</f>
        <v>N</v>
      </c>
      <c r="X96" s="32" t="str">
        <f>
CONCATENATE(
if(countif(dd.myc,$D96),"D",""),
if(countif(knap.myc,$D96),"K",""), 
if(countif(mic.myc,$D96),"M",""),
if(countif(nap.myc,$D96),"N",""),
if(countif(np.myc,$D96),"P",""),
if(countif(imp.myc,$D96),"T",""),
if(countif(us.myc,$D96),"U",""),
if(countif(var.myc,$D96),"V",""))</f>
        <v>DN</v>
      </c>
      <c r="Y96" s="32" t="str">
        <f>CONCATENATE(
if(countif(dd.nar,$D96),"D",""),
if(countif(knap.nar,$D96),"K",""),
if(countif(nap.nar,$D96),"N",""),
if(countif(np.nar,$D96),"P",""),
if(countif(imp.nar,$D96),"T",""),
if(countif(us.nar,$D96),"U",""),
if(countif(var.nar,$D96),"V",""))</f>
        <v>V</v>
      </c>
      <c r="Z96" s="33" t="str">
        <f>
CONCATENATE(
if(countif(dd.que,$D96),"D",""),
if(countif(knap.que,$D96),"K",""),
if(countif(mic.que,$D96),"M",""),
if(countif(nap.que,$D96),"N",""),
if(countif(np.que,$D96),"P",""),
if(countif(imp.que,$D96),"T",""),
if(countif(us.que,$D96),"U",""),
if(countif(var.que,$D96),"V",""))</f>
        <v>DMNU</v>
      </c>
      <c r="AA96" s="32"/>
      <c r="AB96" s="34" t="str">
        <f>
CONCATENATE(if(countif(knap.agi.sim,$D96),"K",""),
if(countif(dd.agi.sim,$D96),"D",""),
if(countif(nap.agi.sim,$D96),"A",""),
if(countif(var.agi.sim,$D96),"V",""))</f>
        <v/>
      </c>
      <c r="AC96" s="34" t="str">
        <f>
if(countif(nap.bun.sim,$D96),"A","")</f>
        <v/>
      </c>
      <c r="AD96" s="34" t="str">
        <f>
CONCATENATE(if(countif(knap.kxn.sim,$D96),"K",""),
if(countif(np.kxn.sim,$D96),"P",""),
if(countif(dd.kxn.sim,$D96),"D",""),
if(countif(nap.kxn.sim,$D96),"A",""),
if(countif(var.kxn.sim,$D96),"V",""))</f>
        <v/>
      </c>
      <c r="AE96" s="34" t="str">
        <f>
CONCATENATE(if(countif(knap.hwb.sim,$D96),"K",""),
if(countif(np.hwb.sim,$D96),"P",""),
if(countif(mic.hwb.sim,$D96),"M",""),
if(countif(imp.hwb.sim,$D96),"T",""),
if(countif(dd.cyan.sim,$D96),"D",""),
if(countif(nap.hwb.sim,$D96),"A",""),
if(countif(var.hwb.sim,$D96),"V",""))</f>
        <v/>
      </c>
      <c r="AF96" s="34" t="str">
        <f>
CONCATENATE(if(countif(us.ekxn.sim,$D96),"U",""),
if(countif(knap.ekxn.sim,$D96),"K",""),
if(countif(np.ekxn.sim,$D96),"P",""),
if(countif(mic.ekxn.sim,$D96),"M",""),
if(countif(imp.epc.sim,$D96),"T",""),
if(countif(nap.ekxn.sim,$D96),"A",""))</f>
        <v/>
      </c>
      <c r="AG96" s="34"/>
      <c r="AH96" s="34" t="str">
        <f>
CONCATENATE(if(countif(us.egt.sim,$D96),"U",""),
if(countif(knap.egt.sim,$D96),"K",""),
if(countif(np.egt.sim,$D96),"P",""),
if(countif(mic.egt.sim,$D96),"M",""))</f>
        <v/>
      </c>
      <c r="AI96" s="34"/>
      <c r="AJ96" s="34" t="str">
        <f>if(countif(nap.ecit.sim,$D96),"A","")</f>
        <v/>
      </c>
      <c r="AK96" s="34" t="str">
        <f>
CONCATENATE(if(countif(nap.erd,$D96),"M",""),
if(countif(nap.erd.sim,$D96),"A",""),
if(countif(var.erd.sim,$D96),"V",""))</f>
        <v/>
      </c>
      <c r="AL96" s="34" t="str">
        <f>
CONCATENATE(if(countif(knap.gkxn.sim,$D96),"K",""),
if(countif(nap.gkxn.sim,$D96),"A",""))</f>
        <v/>
      </c>
      <c r="AM96" s="34" t="str">
        <f>
CONCATENATE(if(countif(knap.gen.sim,$C96),"K",""),
if(countif(imp.gen.sim,$C96),"T",""),
if(countif(dd.gen.sim,$C96),"D",""),
if(countif(nap.gen.sim,$C96),"A",""),
if(countif(var.gen.sim,$C96),"V",""))
</f>
        <v/>
      </c>
      <c r="AN96" s="34" t="str">
        <f>IFERROR(__xludf.DUMMYFUNCTION("
if(countif(#REF!,CONCATENATE(regexextract($C96,""[\w]* [\w]*""), ""*"")),""V"","""")"),"")</f>
        <v/>
      </c>
      <c r="AO96" s="34" t="str">
        <f>
CONCATENATE(if(countif(knap.kmp.sim,$D96),"K",""),
if(countif(np.kmp.sim,$D96),"P",""),
if(countif(imp.kmp.sim,$D96),"T",""),
if(countif(dd.kmp,$D96),"D",""),
if(countif(nap.kmp.sim,$D96),"A",""),
if(countif(var.kmp.sim,$D96),"V",""))</f>
        <v>KD</v>
      </c>
      <c r="AP96" s="34" t="str">
        <f>
CONCATENATE(if(countif(knap.lu2.sim,$D96),"K",""),
if(countif(np.lu2.sim,$D96),"P",""),
if(countif(imp.lu2.sim,$D96),"T",""),
if(countif(dd.lu2.sim,$D96),"D",""),
if(countif(nap.lu2.sim,$D96),"A",""),
if(countif(var.lu2.sim,$D96),"V",""))</f>
        <v/>
      </c>
      <c r="AQ96" s="34" t="str">
        <f>
CONCATENATE(if(countif(np.myc.sim,$D96),"P",""),
if(countif(imp.myc.sim,$D96),"T",""),
if(countif(nap.myc.sim,$D96),"A",""))
</f>
        <v/>
      </c>
      <c r="AR96" s="36" t="str">
        <f>
CONCATENATE(if(countif(knap.nar.sim,$D96),"K",""),
if(countif(np.nar.sim,$D96),"P",""),
if(countif(imp.nar.sim,$D96),"T",""),
if(countif(dd.nar.sim,$D96),"D",""),
if(countif(nap.nar.sim,$D96),"A",""),
if(countif(var.nar.sim,$D96),"V",""))</f>
        <v>K</v>
      </c>
      <c r="AS96" s="34" t="str">
        <f>
CONCATENATE(if(countif(knap.que.sim,$D96),"K",""),
if(countif(np.que.sim,$D96),"P",""),
if(countif(imp.que.sim,$D96),"T",""),
if(countif(dd.que.sim,$D96),"D",""),
if(countif(nap.que.sim,$D96),"A",""),
if(countif(var.que.sim,$D96),"V",""))</f>
        <v>KD</v>
      </c>
      <c r="AT96" s="37"/>
      <c r="AU96" s="32" t="str">
        <f>IFERROR(__xludf.DUMMYFUNCTION("if(countif(kr.agi, CONCATENATE(regexextract($C96,""[\w]* [\w]*""), ""*"")),""X"","""")"),"")</f>
        <v/>
      </c>
      <c r="AV96" s="38" t="str">
        <f>IFERROR(__xludf.DUMMYFUNCTION("if(countif(kr.bun,CONCATENATE(regexextract($C96,""[\w]* [\w]*""), ""*"")),""X"","""")"),"X")</f>
        <v>X</v>
      </c>
      <c r="AW96" s="38" t="str">
        <f>IFERROR(__xludf.DUMMYFUNCTION("if(countif(kr.kxn,CONCATENATE(regexextract($C96,""[\w]* [\w]*""), ""*"")),""X"","""")"),"X")</f>
        <v>X</v>
      </c>
      <c r="AX96" s="38" t="str">
        <f>IFERROR(__xludf.DUMMYFUNCTION("if(countif(kr.hwb,CONCATENATE(regexextract($C96,""[\w]* [\w]*""), ""*"")),""X"","""")"),"X")</f>
        <v>X</v>
      </c>
      <c r="AY96" s="38" t="str">
        <f>IFERROR(__xludf.DUMMYFUNCTION("if(countif(kr.ec,CONCATENATE(regexextract($C96,""[\w]* [\w]*""), ""*"")),""X"","""")"),"X")</f>
        <v>X</v>
      </c>
      <c r="AZ96" s="38" t="str">
        <f>IFERROR(__xludf.DUMMYFUNCTION("if(countif(kr.egt,CONCATENATE(regexextract($C96,""[\w]* [\w]*""), ""*"")),""X"","""")"),"X")</f>
        <v>X</v>
      </c>
      <c r="BA96" s="38"/>
      <c r="BB96" s="38" t="str">
        <f>IFERROR(__xludf.DUMMYFUNCTION("if(countif(kr.erd,CONCATENATE(regexextract($C96,""[\w]* [\w]*""), ""*"")),""X"","""")"),"X")</f>
        <v>X</v>
      </c>
      <c r="BC96" s="38" t="str">
        <f>IFERROR(__xludf.DUMMYFUNCTION("if(countif(kr.gkxn,CONCATENATE(regexextract($C96,""[\w]* [\w]*""), ""*"")),""X"","""")"),"X")</f>
        <v>X</v>
      </c>
      <c r="BD96" s="38" t="str">
        <f>IFERROR(__xludf.DUMMYFUNCTION("if(countif(kr.gen,CONCATENATE(regexextract(C96,""[\w]* [\w]*""), ""*"")),""X"","""")"),"")</f>
        <v/>
      </c>
      <c r="BE96" s="38" t="str">
        <f>IFERROR(__xludf.DUMMYFUNCTION("if(countif(kr.hcc,CONCATENATE(regexextract($C96,""[\w]* [\w]*""), ""*"")),""X"","""")"),"X")</f>
        <v>X</v>
      </c>
      <c r="BF96" s="38" t="str">
        <f>IFERROR(__xludf.DUMMYFUNCTION("if(countif(kr.kmp,CONCATENATE(regexextract($C96,""[\w]* [\w]*""), ""*"")),""X"","""")"),"X")</f>
        <v>X</v>
      </c>
      <c r="BG96" s="38" t="str">
        <f>IFERROR(__xludf.DUMMYFUNCTION("if(countif(kr.lu2,CONCATENATE(regexextract($C96,""[\w]* [\w]*""), ""*"")),""X"","""")"),"")</f>
        <v/>
      </c>
      <c r="BH96" s="38" t="str">
        <f>IFERROR(__xludf.DUMMYFUNCTION("if(countif(kr.myc,CONCATENATE(regexextract($C96,""[\w]* [\w]*""), ""*"")),""X"","""")"),"X")</f>
        <v>X</v>
      </c>
      <c r="BI96" s="38" t="str">
        <f>IFERROR(__xludf.DUMMYFUNCTION("if(countif(kr.nar,CONCATENATE(regexextract($C96,""[\w]* [\w]*""), ""*"")),""X"","""")"),"X")</f>
        <v>X</v>
      </c>
      <c r="BJ96" s="38" t="str">
        <f>IFERROR(__xludf.DUMMYFUNCTION("if(countif(kr.que,CONCATENATE(regexextract($C96,""[\w]* [\w]*""), ""*"")),""X"","""")"),"X")</f>
        <v>X</v>
      </c>
      <c r="BK96" s="39"/>
      <c r="BL96" s="40" t="str">
        <f>IFERROR(__xludf.DUMMYFUNCTION(" CONCATENATE( 
if (regexmatch(I96, ""^[A-Za-z\.\_]+""), ""L"", 
if(regexmatch(AB96, ""^[A-Za-z\.\_]+""),""S"","""")),
if(AU96=""X"",""K"",""""))"),"")</f>
        <v/>
      </c>
      <c r="BM96" s="40" t="str">
        <f>IFERROR(__xludf.DUMMYFUNCTION(" CONCATENATE( 
if (regexmatch(J96, ""^[A-Za-z\.\_]+""), ""L"", 
if(regexmatch(AC96, ""^[A-Za-z\.\_]+""),""S"","""")),
if(AV96=""X"",""K"",""""))"),"K")</f>
        <v>K</v>
      </c>
      <c r="BN96" s="40" t="str">
        <f>IFERROR(__xludf.DUMMYFUNCTION(" CONCATENATE( 
if (regexmatch(K96, ""^[A-Za-z\.\_]+""), ""L"", 
if(regexmatch(AD96, ""^[A-Za-z\.\_]+""),""S"","""")),
if(AW96=""X"",""K"",""""))"),"LK")</f>
        <v>LK</v>
      </c>
      <c r="BO96" s="40" t="str">
        <f>IFERROR(__xludf.DUMMYFUNCTION(" CONCATENATE( 
if (regexmatch(L96, ""^[A-Za-z\.\_]+""), ""L"", 
if(regexmatch(AE96, ""^[A-Za-z\.\_]+""),""S"","""")),
if(AX96=""X"",""K"",""""))"),"LK")</f>
        <v>LK</v>
      </c>
      <c r="BP96" s="40" t="str">
        <f>IFERROR(__xludf.DUMMYFUNCTION(" CONCATENATE( 
if (regexmatch(M96, ""^[A-Za-z\.\_]+""), ""L"", 
if(regexmatch(AF96, ""^[A-Za-z\.\_]+""),""S"","""")),
if(AY96=""X"",""K"",""""))"),"LK")</f>
        <v>LK</v>
      </c>
      <c r="BQ96" s="40" t="str">
        <f>IFERROR(__xludf.DUMMYFUNCTION("CONCATENATE( 
if (regexmatch(O96, ""^[A-Za-z\.\_]+""), ""L"", 
if(regexmatch(AH96, ""^[A-Za-z\.\_]+""),""S"","""")),
if(AZ96=""X"",""K"",""""))"),"K")</f>
        <v>K</v>
      </c>
      <c r="BR96" s="40" t="str">
        <f>IFERROR(__xludf.DUMMYFUNCTION("CONCATENATE( 
if (regexmatch(Q96, ""^[A-Za-z\.\_]+""), ""L"", 
if(regexmatch(AJ96, ""^[A-Za-z\.\_]+""),""S"","""")),
if(BA96=""X"",""K"",""""))"),"")</f>
        <v/>
      </c>
      <c r="BS96" s="40" t="str">
        <f>IFERROR(__xludf.DUMMYFUNCTION(" CONCATENATE( 
if (regexmatch(R96, ""^[A-Za-z\.\_]+""), ""L"", 
if(regexmatch(AK96, ""^[A-Za-z\.\_]+""),""S"","""")),
if(BB96=""X"",""K"",""""))"),"K")</f>
        <v>K</v>
      </c>
      <c r="BT96" s="40" t="str">
        <f>IFERROR(__xludf.DUMMYFUNCTION("CONCATENATE( 
if (regexmatch(S96, ""^[A-Za-z\.\_]+""), ""L"", 
if(regexmatch(AL96, ""^[A-Za-z\.\_]+""),""S"","""")),
if(BC96=""X"",""K"",""""))"),"K")</f>
        <v>K</v>
      </c>
      <c r="BU96" s="40" t="str">
        <f>IFERROR(__xludf.DUMMYFUNCTION("CONCATENATE( 
if (regexmatch(T96, ""^[A-Za-z\.\_]+""), ""L"", 
if(regexmatch(AM96, ""^[A-Za-z\.\_]+""),""S"","""")),
if(BD96=""X"",""K"",""""))"),"")</f>
        <v/>
      </c>
      <c r="BV96" s="40" t="str">
        <f>IFERROR(__xludf.DUMMYFUNCTION("CONCATENATE( 
if (regexmatch(U96, ""^[A-Za-z\.\_]+""), ""L"", 
if(regexmatch(AN96, ""^[A-Za-z\.\_]+""),""S"","""")),
if(BE96=""X"",""K"",""""))"),"K")</f>
        <v>K</v>
      </c>
      <c r="BW96" s="40" t="str">
        <f>IFERROR(__xludf.DUMMYFUNCTION(" CONCATENATE( 
if (regexmatch(V96, ""^[A-Za-z\.\_]+""), ""L"", 
if(regexmatch(AO96, ""^[A-Za-z\.\_]+""),""S"","""")),
if(BF96=""X"",""K"",""""))"),"LK")</f>
        <v>LK</v>
      </c>
      <c r="BX96" s="40" t="str">
        <f>IFERROR(__xludf.DUMMYFUNCTION("CONCATENATE( 
if (regexmatch(W96, ""^[A-Za-z\.\_]+""), ""L"", 
if(regexmatch(AP96, ""^[A-Za-z\.\_]+""),""S"","""")),
if(BG96=""X"",""K"",""""))"),"L")</f>
        <v>L</v>
      </c>
      <c r="BY96" s="40" t="str">
        <f>IFERROR(__xludf.DUMMYFUNCTION("CONCATENATE( 
if (regexmatch(X96, ""^[A-Za-z\.\_]+""), ""L"", 
if(regexmatch(AQ96, ""^[A-Za-z\.\_]+""),""S"","""")),
if(BH96=""X"",""K"",""""))"),"LK")</f>
        <v>LK</v>
      </c>
      <c r="BZ96" s="40" t="str">
        <f>IFERROR(__xludf.DUMMYFUNCTION("CONCATENATE( 
if (regexmatch(Y96, ""^[A-Za-z\.\_]+""), ""L"", 
if(regexmatch(AR96, ""^[A-Za-z\.\_]+""),""S"","""")),
if(BI96=""X"",""K"",""""))"),"LK")</f>
        <v>LK</v>
      </c>
      <c r="CA96" s="40" t="str">
        <f>IFERROR(__xludf.DUMMYFUNCTION("CONCATENATE( 
if (regexmatch(Z96, ""^[A-Za-z\.\_]+""), ""L"", 
if(regexmatch(AS96, ""^[A-Za-z\.\_]+""),""S"","""")),
if(BJ96=""X"",""K"",""""))"),"LK")</f>
        <v>LK</v>
      </c>
      <c r="CB96" s="39"/>
      <c r="CC96" s="39"/>
      <c r="CD96" s="39"/>
      <c r="CE96" s="39"/>
      <c r="CF96" s="39"/>
      <c r="CG96" s="39"/>
      <c r="CH96" s="39"/>
      <c r="CI96" s="39"/>
      <c r="CJ96" s="39"/>
      <c r="CK96" s="39"/>
      <c r="CL96" s="39"/>
      <c r="CM96" s="39"/>
      <c r="CN96" s="39"/>
      <c r="CO96" s="39"/>
      <c r="CP96" s="39"/>
      <c r="CQ96" s="39"/>
      <c r="CR96" s="39"/>
    </row>
    <row r="97" ht="15.75" customHeight="1">
      <c r="A97" s="25">
        <v>106.0</v>
      </c>
      <c r="B97" s="26" t="s">
        <v>362</v>
      </c>
      <c r="C97" s="41" t="s">
        <v>363</v>
      </c>
      <c r="D97" s="27" t="str">
        <f>IFERROR(__xludf.DUMMYFUNCTION("CONCATENATE(regexextract($C97,""[\w]* [\w]*""), ""*"")"),"Sorghum bicolor*")</f>
        <v>Sorghum bicolor*</v>
      </c>
      <c r="E97" s="26" t="s">
        <v>364</v>
      </c>
      <c r="F97" s="58">
        <v>4558.0</v>
      </c>
      <c r="G97" s="53"/>
      <c r="H97" s="31"/>
      <c r="I97" s="32" t="str">
        <f>CONCATENATE(
if(countif(dd.agi,$D97),"D",""),
if(countif(knap.agi,$D97),"K",""),
if(countif(mic.agi,$D97),"M",""),
if(countif(nap.agi,$D97),"N",""),
if(countif(np.agi,$D97),"P",""),
if(countif(imp.agi,$D97),"T",""),
if(countif(us.agi,$D97),"U",""),
if(countif(var.agi,$D97),"V","")
)</f>
        <v>N</v>
      </c>
      <c r="J97" s="32" t="str">
        <f>
CONCATENATE(
if(countif(nap.bun,$D97),"N",""),
if(countif(np.bun,$D97),"P","")
)
</f>
        <v/>
      </c>
      <c r="K97" s="32" t="str">
        <f>CONCATENATE(
if(countif(dd.kxn,$D97),"D",""),
if(countif(knap.kxn,$D97),"K",""),
if(countif(mic.kxn,$D97),"M",""),
if(countif(nap.kxn,$D97),"N",""),
if(countif(np.kxn,$D97),"P",""),
if(countif(us.kxn,$D97),"U",""),
if(countif(var.kxn,$D97),"V","")
)</f>
        <v>N</v>
      </c>
      <c r="L97" s="32" t="str">
        <f>
CONCATENATE(
if(countif(dd.hwb,$D97),"D",""),
if(countif(knap.hwb,$D97),"K",""),
if(countif(mic.hwb,$D97),"M",""),
if(countif(nap.hwb,$D97),"N",""),
if(countif(np.hwb,$D97),"P",""),
if(countif(us.hwb,$D97),"U",""),
if(countif(imp.hwb,$D97),"T",""),
if(countif(var.hwb,$D97),"V","")
)</f>
        <v/>
      </c>
      <c r="M97" s="32" t="str">
        <f>CONCATENATE(
if(countif(dd.epc,$D97),"D",""),
if(countif(knap.ekxn,$D97),"K",""),
if(countif(mic.ekxn,$D97),"M",""),
if(countif(nap.ekxn,$D97),"N",""),
if(countif(np.ekxn,$D97),"P",""),
if(countif(imp.epc,$D97),"T",""),
if(countif(us.ekxn,$D97),"U",""),
if(countif(var.ekxn,$D97),"V","")
)</f>
        <v>V</v>
      </c>
      <c r="N97" s="32" t="str">
        <f>
CONCATENATE(
if(countif(dd.ecg,$D97),"D",""),
if(countif(mic.ecg,$D97),"M",""),
if(countif(np.ecg,$D97),"P",""),
if(countif(imp.ecg,$D97),"T",""),
if(countif(us.ecg,$D97),"U","")
)</f>
        <v/>
      </c>
      <c r="O97" s="32" t="str">
        <f>
CONCATENATE(
if(countif(dd.egt,$D97),"D",""),
if(countif(mic.egt,$D97),"M",""),
if(countif(nap.egt,$D97),"N",""),
if(countif(us.egt,$D97),"U",""),
if(countif(var.egt,$D97),"V",""))
</f>
        <v/>
      </c>
      <c r="P97" s="32" t="str">
        <f>CONCATENATE(
if(countif(knap.egcg,$D97),"K",""),
if(countif(mic.egcg,$D97),"M",""),
if(countif(np.egcg,$D97),"P",""),
if(countif(us.egcg,$D97),"U","")
)</f>
        <v/>
      </c>
      <c r="Q97" s="32" t="str">
        <f>CONCATENATE(if(countif(np.ecit,$D97),"P",""),
if(countif(nap.ecit,$D97),"A",""))</f>
        <v/>
      </c>
      <c r="R97" s="32" t="str">
        <f>
CONCATENATE(
if(countif(nap.erd,$D97),"N",""),
if(countif(np.erd,$D97),"P",""),
if(countif(var.erd,$D97),"V",""))</f>
        <v>N</v>
      </c>
      <c r="S97" s="32" t="str">
        <f>
CONCATENATE(
if(countif(dd.gkxn,$D97),"D",""),
if(countif(knap.gkxn,$D97),"K",""),
if(countif(nap.gkxn,$D97),"N",""),
if(countif(np.gkxn,$D97),"P",""),
if(countif(imp.gkxn,$D97),"T",""),
if(countif(var.gkxn,$D97),"V",""))</f>
        <v/>
      </c>
      <c r="T97" s="32" t="str">
        <f>
CONCATENATE(
if(countif(dd.gen,$C97),"D",""),
if(countif(knap.gen,$C97),"K",""),
if(countif(nap.gen,$C97),"N",""),
if(countif(np.gen,$C97),"P",""),
if(countif(imp.gen,$C97),"T",""),
if(countif(var.gen,$C97),"V",""))</f>
        <v/>
      </c>
      <c r="U97" s="32" t="str">
        <f>
CONCATENATE(
if(countif(dd.hcc,$D97),"D",""),
if(countif(knap.hcc,$D97),"K",""),
if(countif(np.hcc,$D97),"P","")
)
</f>
        <v/>
      </c>
      <c r="V97" s="32" t="str">
        <f>
CONCATENATE(
if(countif(dd.kmp,$D97),"D",""),
if(countif(knap.kmp,$D97),"K",""),
if(countif(mic.kmp,$D97),"M",""),
if(countif(nap.kmp,$D97),"N",""),
if(countif(np.kmp,$D97),"P",""),
if(countif(imp.kmp,$D97),"T",""),
if(countif(us.kmp,$D97),"U",""),
if(countif(var.kmp,$D97),"V",""))</f>
        <v/>
      </c>
      <c r="W97" s="32" t="str">
        <f>
CONCATENATE(
if(countif(dd.lu2,$D97),"D",""),
if(countif(knap.lu2,$D97),"K",""),
if(countif(mic.lu2,$D97),"M",""),
if(countif(nap.lu2,$D97),"N",""),
if(countif(np.lu2,$D97),"P",""),
if(countif(imp.lu2,$D97),"T",""),
if(countif(us.lu2,$D97),"U",""),
if(countif(var.lu2,$D97),"V",""))</f>
        <v>V</v>
      </c>
      <c r="X97" s="32" t="str">
        <f>
CONCATENATE(
if(countif(dd.myc,$D97),"D",""),
if(countif(knap.myc,$D97),"K",""), 
if(countif(mic.myc,$D97),"M",""),
if(countif(nap.myc,$D97),"N",""),
if(countif(np.myc,$D97),"P",""),
if(countif(imp.myc,$D97),"T",""),
if(countif(us.myc,$D97),"U",""),
if(countif(var.myc,$D97),"V",""))</f>
        <v/>
      </c>
      <c r="Y97" s="32" t="str">
        <f>CONCATENATE(
if(countif(dd.nar,$D97),"D",""),
if(countif(knap.nar,$D97),"K",""),
if(countif(nap.nar,$D97),"N",""),
if(countif(np.nar,$D97),"P",""),
if(countif(imp.nar,$D97),"T",""),
if(countif(us.nar,$D97),"U",""),
if(countif(var.nar,$D97),"V",""))</f>
        <v>N</v>
      </c>
      <c r="Z97" s="33" t="str">
        <f>
CONCATENATE(
if(countif(dd.que,$D97),"D",""),
if(countif(knap.que,$D97),"K",""),
if(countif(mic.que,$D97),"M",""),
if(countif(nap.que,$D97),"N",""),
if(countif(np.que,$D97),"P",""),
if(countif(imp.que,$D97),"T",""),
if(countif(us.que,$D97),"U",""),
if(countif(var.que,$D97),"V",""))</f>
        <v/>
      </c>
      <c r="AA97" s="32"/>
      <c r="AB97" s="34" t="str">
        <f>
CONCATENATE(if(countif(knap.agi.sim,$D97),"K",""),
if(countif(dd.agi.sim,$D97),"D",""),
if(countif(nap.agi.sim,$D97),"A",""),
if(countif(var.agi.sim,$D97),"V",""))</f>
        <v>K</v>
      </c>
      <c r="AC97" s="34" t="str">
        <f>
if(countif(nap.bun.sim,$D97),"A","")</f>
        <v/>
      </c>
      <c r="AD97" s="34" t="str">
        <f>
CONCATENATE(if(countif(knap.kxn.sim,$D97),"K",""),
if(countif(np.kxn.sim,$D97),"P",""),
if(countif(dd.kxn.sim,$D97),"D",""),
if(countif(nap.kxn.sim,$D97),"A",""),
if(countif(var.kxn.sim,$D97),"V",""))</f>
        <v/>
      </c>
      <c r="AE97" s="34" t="str">
        <f>
CONCATENATE(if(countif(knap.hwb.sim,$D97),"K",""),
if(countif(np.hwb.sim,$D97),"P",""),
if(countif(mic.hwb.sim,$D97),"M",""),
if(countif(imp.hwb.sim,$D97),"T",""),
if(countif(dd.cyan.sim,$D97),"D",""),
if(countif(nap.hwb.sim,$D97),"A",""),
if(countif(var.hwb.sim,$D97),"V",""))</f>
        <v/>
      </c>
      <c r="AF97" s="34" t="str">
        <f>
CONCATENATE(if(countif(us.ekxn.sim,$D97),"U",""),
if(countif(knap.ekxn.sim,$D97),"K",""),
if(countif(np.ekxn.sim,$D97),"P",""),
if(countif(mic.ekxn.sim,$D97),"M",""),
if(countif(imp.epc.sim,$D97),"T",""),
if(countif(nap.ekxn.sim,$D97),"A",""))</f>
        <v/>
      </c>
      <c r="AG97" s="34"/>
      <c r="AH97" s="34" t="str">
        <f>
CONCATENATE(if(countif(us.egt.sim,$D97),"U",""),
if(countif(knap.egt.sim,$D97),"K",""),
if(countif(np.egt.sim,$D97),"P",""),
if(countif(mic.egt.sim,$D97),"M",""))</f>
        <v/>
      </c>
      <c r="AI97" s="34"/>
      <c r="AJ97" s="34" t="str">
        <f>if(countif(nap.ecit.sim,$D97),"A","")</f>
        <v/>
      </c>
      <c r="AK97" s="34" t="str">
        <f>
CONCATENATE(if(countif(nap.erd,$D97),"M",""),
if(countif(nap.erd.sim,$D97),"A",""),
if(countif(var.erd.sim,$D97),"V",""))</f>
        <v>MA</v>
      </c>
      <c r="AL97" s="34" t="str">
        <f>
CONCATENATE(if(countif(knap.gkxn.sim,$D97),"K",""),
if(countif(nap.gkxn.sim,$D97),"A",""))</f>
        <v/>
      </c>
      <c r="AM97" s="34" t="str">
        <f>
CONCATENATE(if(countif(knap.gen.sim,$C97),"K",""),
if(countif(imp.gen.sim,$C97),"T",""),
if(countif(dd.gen.sim,$C97),"D",""),
if(countif(nap.gen.sim,$C97),"A",""),
if(countif(var.gen.sim,$C97),"V",""))
</f>
        <v/>
      </c>
      <c r="AN97" s="34" t="str">
        <f>IFERROR(__xludf.DUMMYFUNCTION("
if(countif(#REF!,CONCATENATE(regexextract($C97,""[\w]* [\w]*""), ""*"")),""V"","""")"),"")</f>
        <v/>
      </c>
      <c r="AO97" s="34" t="str">
        <f>
CONCATENATE(if(countif(knap.kmp.sim,$D97),"K",""),
if(countif(np.kmp.sim,$D97),"P",""),
if(countif(imp.kmp.sim,$D97),"T",""),
if(countif(dd.kmp,$D97),"D",""),
if(countif(nap.kmp.sim,$D97),"A",""),
if(countif(var.kmp.sim,$D97),"V",""))</f>
        <v/>
      </c>
      <c r="AP97" s="34" t="str">
        <f>
CONCATENATE(if(countif(knap.lu2.sim,$D97),"K",""),
if(countif(np.lu2.sim,$D97),"P",""),
if(countif(imp.lu2.sim,$D97),"T",""),
if(countif(dd.lu2.sim,$D97),"D",""),
if(countif(nap.lu2.sim,$D97),"A",""),
if(countif(var.lu2.sim,$D97),"V",""))</f>
        <v/>
      </c>
      <c r="AQ97" s="34" t="str">
        <f>
CONCATENATE(if(countif(np.myc.sim,$D97),"P",""),
if(countif(imp.myc.sim,$D97),"T",""),
if(countif(nap.myc.sim,$D97),"A",""))
</f>
        <v/>
      </c>
      <c r="AR97" s="36" t="str">
        <f>
CONCATENATE(if(countif(knap.nar.sim,$D97),"K",""),
if(countif(np.nar.sim,$D97),"P",""),
if(countif(imp.nar.sim,$D97),"T",""),
if(countif(dd.nar.sim,$D97),"D",""),
if(countif(nap.nar.sim,$D97),"A",""),
if(countif(var.nar.sim,$D97),"V",""))</f>
        <v>V</v>
      </c>
      <c r="AS97" s="34" t="str">
        <f>
CONCATENATE(if(countif(knap.que.sim,$D97),"K",""),
if(countif(np.que.sim,$D97),"P",""),
if(countif(imp.que.sim,$D97),"T",""),
if(countif(dd.que.sim,$D97),"D",""),
if(countif(nap.que.sim,$D97),"A",""),
if(countif(var.que.sim,$D97),"V",""))</f>
        <v/>
      </c>
      <c r="AT97" s="37"/>
      <c r="AU97" s="32" t="str">
        <f>IFERROR(__xludf.DUMMYFUNCTION("if(countif(kr.agi, CONCATENATE(regexextract($C97,""[\w]* [\w]*""), ""*"")),""X"","""")"),"X")</f>
        <v>X</v>
      </c>
      <c r="AV97" s="38" t="str">
        <f>IFERROR(__xludf.DUMMYFUNCTION("if(countif(kr.bun,CONCATENATE(regexextract($C97,""[\w]* [\w]*""), ""*"")),""X"","""")"),"X")</f>
        <v>X</v>
      </c>
      <c r="AW97" s="38" t="str">
        <f>IFERROR(__xludf.DUMMYFUNCTION("if(countif(kr.kxn,CONCATENATE(regexextract($C97,""[\w]* [\w]*""), ""*"")),""X"","""")"),"")</f>
        <v/>
      </c>
      <c r="AX97" s="38" t="str">
        <f>IFERROR(__xludf.DUMMYFUNCTION("if(countif(kr.hwb,CONCATENATE(regexextract($C97,""[\w]* [\w]*""), ""*"")),""X"","""")"),"")</f>
        <v/>
      </c>
      <c r="AY97" s="38" t="str">
        <f>IFERROR(__xludf.DUMMYFUNCTION("if(countif(kr.ec,CONCATENATE(regexextract($C97,""[\w]* [\w]*""), ""*"")),""X"","""")"),"")</f>
        <v/>
      </c>
      <c r="AZ97" s="38" t="str">
        <f>IFERROR(__xludf.DUMMYFUNCTION("if(countif(kr.egt,CONCATENATE(regexextract($C97,""[\w]* [\w]*""), ""*"")),""X"","""")"),"")</f>
        <v/>
      </c>
      <c r="BA97" s="38"/>
      <c r="BB97" s="38" t="str">
        <f>IFERROR(__xludf.DUMMYFUNCTION("if(countif(kr.erd,CONCATENATE(regexextract($C97,""[\w]* [\w]*""), ""*"")),""X"","""")"),"X")</f>
        <v>X</v>
      </c>
      <c r="BC97" s="38" t="str">
        <f>IFERROR(__xludf.DUMMYFUNCTION("if(countif(kr.gkxn,CONCATENATE(regexextract($C97,""[\w]* [\w]*""), ""*"")),""X"","""")"),"")</f>
        <v/>
      </c>
      <c r="BD97" s="38" t="str">
        <f>IFERROR(__xludf.DUMMYFUNCTION("if(countif(kr.gen,CONCATENATE(regexextract(C97,""[\w]* [\w]*""), ""*"")),""X"","""")"),"")</f>
        <v/>
      </c>
      <c r="BE97" s="38" t="str">
        <f>IFERROR(__xludf.DUMMYFUNCTION("if(countif(kr.hcc,CONCATENATE(regexextract($C97,""[\w]* [\w]*""), ""*"")),""X"","""")"),"X")</f>
        <v>X</v>
      </c>
      <c r="BF97" s="38" t="str">
        <f>IFERROR(__xludf.DUMMYFUNCTION("if(countif(kr.kmp,CONCATENATE(regexextract($C97,""[\w]* [\w]*""), ""*"")),""X"","""")"),"")</f>
        <v/>
      </c>
      <c r="BG97" s="38" t="str">
        <f>IFERROR(__xludf.DUMMYFUNCTION("if(countif(kr.lu2,CONCATENATE(regexextract($C97,""[\w]* [\w]*""), ""*"")),""X"","""")"),"X")</f>
        <v>X</v>
      </c>
      <c r="BH97" s="38" t="str">
        <f>IFERROR(__xludf.DUMMYFUNCTION("if(countif(kr.myc,CONCATENATE(regexextract($C97,""[\w]* [\w]*""), ""*"")),""X"","""")"),"")</f>
        <v/>
      </c>
      <c r="BI97" s="38" t="str">
        <f>IFERROR(__xludf.DUMMYFUNCTION("if(countif(kr.nar,CONCATENATE(regexextract($C97,""[\w]* [\w]*""), ""*"")),""X"","""")"),"X")</f>
        <v>X</v>
      </c>
      <c r="BJ97" s="38" t="str">
        <f>IFERROR(__xludf.DUMMYFUNCTION("if(countif(kr.que,CONCATENATE(regexextract($C97,""[\w]* [\w]*""), ""*"")),""X"","""")"),"")</f>
        <v/>
      </c>
      <c r="BK97" s="39"/>
      <c r="BL97" s="40" t="str">
        <f>IFERROR(__xludf.DUMMYFUNCTION(" CONCATENATE( 
if (regexmatch(I97, ""^[A-Za-z\.\_]+""), ""L"", 
if(regexmatch(AB97, ""^[A-Za-z\.\_]+""),""S"","""")),
if(AU97=""X"",""K"",""""))"),"LK")</f>
        <v>LK</v>
      </c>
      <c r="BM97" s="40" t="str">
        <f>IFERROR(__xludf.DUMMYFUNCTION(" CONCATENATE( 
if (regexmatch(J97, ""^[A-Za-z\.\_]+""), ""L"", 
if(regexmatch(AC97, ""^[A-Za-z\.\_]+""),""S"","""")),
if(AV97=""X"",""K"",""""))"),"K")</f>
        <v>K</v>
      </c>
      <c r="BN97" s="40" t="str">
        <f>IFERROR(__xludf.DUMMYFUNCTION(" CONCATENATE( 
if (regexmatch(K97, ""^[A-Za-z\.\_]+""), ""L"", 
if(regexmatch(AD97, ""^[A-Za-z\.\_]+""),""S"","""")),
if(AW97=""X"",""K"",""""))"),"L")</f>
        <v>L</v>
      </c>
      <c r="BO97" s="40" t="str">
        <f>IFERROR(__xludf.DUMMYFUNCTION(" CONCATENATE( 
if (regexmatch(L97, ""^[A-Za-z\.\_]+""), ""L"", 
if(regexmatch(AE97, ""^[A-Za-z\.\_]+""),""S"","""")),
if(AX97=""X"",""K"",""""))"),"")</f>
        <v/>
      </c>
      <c r="BP97" s="40" t="str">
        <f>IFERROR(__xludf.DUMMYFUNCTION(" CONCATENATE( 
if (regexmatch(M97, ""^[A-Za-z\.\_]+""), ""L"", 
if(regexmatch(AF97, ""^[A-Za-z\.\_]+""),""S"","""")),
if(AY97=""X"",""K"",""""))"),"L")</f>
        <v>L</v>
      </c>
      <c r="BQ97" s="40" t="str">
        <f>IFERROR(__xludf.DUMMYFUNCTION("CONCATENATE( 
if (regexmatch(O97, ""^[A-Za-z\.\_]+""), ""L"", 
if(regexmatch(AH97, ""^[A-Za-z\.\_]+""),""S"","""")),
if(AZ97=""X"",""K"",""""))"),"")</f>
        <v/>
      </c>
      <c r="BR97" s="40" t="str">
        <f>IFERROR(__xludf.DUMMYFUNCTION("CONCATENATE( 
if (regexmatch(Q97, ""^[A-Za-z\.\_]+""), ""L"", 
if(regexmatch(AJ97, ""^[A-Za-z\.\_]+""),""S"","""")),
if(BA97=""X"",""K"",""""))"),"")</f>
        <v/>
      </c>
      <c r="BS97" s="40" t="str">
        <f>IFERROR(__xludf.DUMMYFUNCTION(" CONCATENATE( 
if (regexmatch(R97, ""^[A-Za-z\.\_]+""), ""L"", 
if(regexmatch(AK97, ""^[A-Za-z\.\_]+""),""S"","""")),
if(BB97=""X"",""K"",""""))"),"LK")</f>
        <v>LK</v>
      </c>
      <c r="BT97" s="40" t="str">
        <f>IFERROR(__xludf.DUMMYFUNCTION("CONCATENATE( 
if (regexmatch(S97, ""^[A-Za-z\.\_]+""), ""L"", 
if(regexmatch(AL97, ""^[A-Za-z\.\_]+""),""S"","""")),
if(BC97=""X"",""K"",""""))"),"")</f>
        <v/>
      </c>
      <c r="BU97" s="40" t="str">
        <f>IFERROR(__xludf.DUMMYFUNCTION("CONCATENATE( 
if (regexmatch(T97, ""^[A-Za-z\.\_]+""), ""L"", 
if(regexmatch(AM97, ""^[A-Za-z\.\_]+""),""S"","""")),
if(BD97=""X"",""K"",""""))"),"")</f>
        <v/>
      </c>
      <c r="BV97" s="40" t="str">
        <f>IFERROR(__xludf.DUMMYFUNCTION("CONCATENATE( 
if (regexmatch(U97, ""^[A-Za-z\.\_]+""), ""L"", 
if(regexmatch(AN97, ""^[A-Za-z\.\_]+""),""S"","""")),
if(BE97=""X"",""K"",""""))"),"K")</f>
        <v>K</v>
      </c>
      <c r="BW97" s="40" t="str">
        <f>IFERROR(__xludf.DUMMYFUNCTION(" CONCATENATE( 
if (regexmatch(V97, ""^[A-Za-z\.\_]+""), ""L"", 
if(regexmatch(AO97, ""^[A-Za-z\.\_]+""),""S"","""")),
if(BF97=""X"",""K"",""""))"),"")</f>
        <v/>
      </c>
      <c r="BX97" s="40" t="str">
        <f>IFERROR(__xludf.DUMMYFUNCTION("CONCATENATE( 
if (regexmatch(W97, ""^[A-Za-z\.\_]+""), ""L"", 
if(regexmatch(AP97, ""^[A-Za-z\.\_]+""),""S"","""")),
if(BG97=""X"",""K"",""""))"),"LK")</f>
        <v>LK</v>
      </c>
      <c r="BY97" s="40" t="str">
        <f>IFERROR(__xludf.DUMMYFUNCTION("CONCATENATE( 
if (regexmatch(X97, ""^[A-Za-z\.\_]+""), ""L"", 
if(regexmatch(AQ97, ""^[A-Za-z\.\_]+""),""S"","""")),
if(BH97=""X"",""K"",""""))"),"")</f>
        <v/>
      </c>
      <c r="BZ97" s="40" t="str">
        <f>IFERROR(__xludf.DUMMYFUNCTION("CONCATENATE( 
if (regexmatch(Y97, ""^[A-Za-z\.\_]+""), ""L"", 
if(regexmatch(AR97, ""^[A-Za-z\.\_]+""),""S"","""")),
if(BI97=""X"",""K"",""""))"),"LK")</f>
        <v>LK</v>
      </c>
      <c r="CA97" s="40" t="str">
        <f>IFERROR(__xludf.DUMMYFUNCTION("CONCATENATE( 
if (regexmatch(Z97, ""^[A-Za-z\.\_]+""), ""L"", 
if(regexmatch(AS97, ""^[A-Za-z\.\_]+""),""S"","""")),
if(BJ97=""X"",""K"",""""))"),"")</f>
        <v/>
      </c>
      <c r="CB97" s="39"/>
      <c r="CC97" s="39"/>
      <c r="CD97" s="39"/>
      <c r="CE97" s="39"/>
      <c r="CF97" s="39"/>
      <c r="CG97" s="39"/>
      <c r="CH97" s="39"/>
      <c r="CI97" s="39"/>
      <c r="CJ97" s="39"/>
      <c r="CK97" s="39"/>
      <c r="CL97" s="39"/>
      <c r="CM97" s="39"/>
      <c r="CN97" s="39"/>
      <c r="CO97" s="39"/>
      <c r="CP97" s="39"/>
      <c r="CQ97" s="39"/>
      <c r="CR97" s="39"/>
    </row>
    <row r="98" ht="15.75" customHeight="1">
      <c r="A98" s="25">
        <v>94.0</v>
      </c>
      <c r="B98" s="26" t="s">
        <v>365</v>
      </c>
      <c r="C98" s="41" t="s">
        <v>366</v>
      </c>
      <c r="D98" s="27" t="str">
        <f>IFERROR(__xludf.DUMMYFUNCTION("CONCATENATE(regexextract($C98,""[\w]* [\w]*""), ""*"")"),"Spinacia oleracea*")</f>
        <v>Spinacia oleracea*</v>
      </c>
      <c r="E98" s="26" t="s">
        <v>367</v>
      </c>
      <c r="F98" s="58">
        <v>3562.0</v>
      </c>
      <c r="G98" s="65"/>
      <c r="H98" s="31"/>
      <c r="I98" s="32" t="str">
        <f>CONCATENATE(
if(countif(dd.agi,$D98),"D",""),
if(countif(knap.agi,$D98),"K",""),
if(countif(mic.agi,$D98),"M",""),
if(countif(nap.agi,$D98),"N",""),
if(countif(np.agi,$D98),"P",""),
if(countif(imp.agi,$D98),"T",""),
if(countif(us.agi,$D98),"U",""),
if(countif(var.agi,$D98),"V","")
)</f>
        <v/>
      </c>
      <c r="J98" s="32" t="str">
        <f>
CONCATENATE(
if(countif(nap.bun,$D98),"N",""),
if(countif(np.bun,$D98),"P","")
)
</f>
        <v/>
      </c>
      <c r="K98" s="32" t="str">
        <f>CONCATENATE(
if(countif(dd.kxn,$D98),"D",""),
if(countif(knap.kxn,$D98),"K",""),
if(countif(mic.kxn,$D98),"M",""),
if(countif(nap.kxn,$D98),"N",""),
if(countif(np.kxn,$D98),"P",""),
if(countif(us.kxn,$D98),"U",""),
if(countif(var.kxn,$D98),"V","")
)</f>
        <v>V</v>
      </c>
      <c r="L98" s="32" t="str">
        <f>
CONCATENATE(
if(countif(dd.hwb,$D98),"D",""),
if(countif(knap.hwb,$D98),"K",""),
if(countif(mic.hwb,$D98),"M",""),
if(countif(nap.hwb,$D98),"N",""),
if(countif(np.hwb,$D98),"P",""),
if(countif(us.hwb,$D98),"U",""),
if(countif(imp.hwb,$D98),"T",""),
if(countif(var.hwb,$D98),"V","")
)</f>
        <v/>
      </c>
      <c r="M98" s="32" t="str">
        <f>CONCATENATE(
if(countif(dd.epc,$D98),"D",""),
if(countif(knap.ekxn,$D98),"K",""),
if(countif(mic.ekxn,$D98),"M",""),
if(countif(nap.ekxn,$D98),"N",""),
if(countif(np.ekxn,$D98),"P",""),
if(countif(imp.epc,$D98),"T",""),
if(countif(us.ekxn,$D98),"U",""),
if(countif(var.ekxn,$D98),"V","")
)</f>
        <v>V</v>
      </c>
      <c r="N98" s="32" t="str">
        <f>
CONCATENATE(
if(countif(dd.ecg,$D98),"D",""),
if(countif(mic.ecg,$D98),"M",""),
if(countif(np.ecg,$D98),"P",""),
if(countif(imp.ecg,$D98),"T",""),
if(countif(us.ecg,$D98),"U","")
)</f>
        <v/>
      </c>
      <c r="O98" s="32" t="str">
        <f>
CONCATENATE(
if(countif(dd.egt,$D98),"D",""),
if(countif(mic.egt,$D98),"M",""),
if(countif(nap.egt,$D98),"N",""),
if(countif(us.egt,$D98),"U",""),
if(countif(var.egt,$D98),"V",""))
</f>
        <v/>
      </c>
      <c r="P98" s="32" t="str">
        <f>CONCATENATE(
if(countif(knap.egcg,$D98),"K",""),
if(countif(mic.egcg,$D98),"M",""),
if(countif(np.egcg,$D98),"P",""),
if(countif(us.egcg,$D98),"U","")
)</f>
        <v/>
      </c>
      <c r="Q98" s="32" t="str">
        <f>CONCATENATE(if(countif(np.ecit,$D98),"P",""),
if(countif(nap.ecit,$D98),"A",""))</f>
        <v/>
      </c>
      <c r="R98" s="32" t="str">
        <f>
CONCATENATE(
if(countif(nap.erd,$D98),"N",""),
if(countif(np.erd,$D98),"P",""),
if(countif(var.erd,$D98),"V",""))</f>
        <v/>
      </c>
      <c r="S98" s="32" t="str">
        <f>
CONCATENATE(
if(countif(dd.gkxn,$D98),"D",""),
if(countif(knap.gkxn,$D98),"K",""),
if(countif(nap.gkxn,$D98),"N",""),
if(countif(np.gkxn,$D98),"P",""),
if(countif(imp.gkxn,$D98),"T",""),
if(countif(var.gkxn,$D98),"V",""))</f>
        <v/>
      </c>
      <c r="T98" s="32" t="str">
        <f>
CONCATENATE(
if(countif(dd.gen,$C98),"D",""),
if(countif(knap.gen,$C98),"K",""),
if(countif(nap.gen,$C98),"N",""),
if(countif(np.gen,$C98),"P",""),
if(countif(imp.gen,$C98),"T",""),
if(countif(var.gen,$C98),"V",""))</f>
        <v>V</v>
      </c>
      <c r="U98" s="32" t="str">
        <f>
CONCATENATE(
if(countif(dd.hcc,$D98),"D",""),
if(countif(knap.hcc,$D98),"K",""),
if(countif(np.hcc,$D98),"P","")
)
</f>
        <v/>
      </c>
      <c r="V98" s="32" t="str">
        <f>
CONCATENATE(
if(countif(dd.kmp,$D98),"D",""),
if(countif(knap.kmp,$D98),"K",""),
if(countif(mic.kmp,$D98),"M",""),
if(countif(nap.kmp,$D98),"N",""),
if(countif(np.kmp,$D98),"P",""),
if(countif(imp.kmp,$D98),"T",""),
if(countif(us.kmp,$D98),"U",""),
if(countif(var.kmp,$D98),"V",""))</f>
        <v>DMNU</v>
      </c>
      <c r="W98" s="32" t="str">
        <f>
CONCATENATE(
if(countif(dd.lu2,$D98),"D",""),
if(countif(knap.lu2,$D98),"K",""),
if(countif(mic.lu2,$D98),"M",""),
if(countif(nap.lu2,$D98),"N",""),
if(countif(np.lu2,$D98),"P",""),
if(countif(imp.lu2,$D98),"T",""),
if(countif(us.lu2,$D98),"U",""),
if(countif(var.lu2,$D98),"V",""))</f>
        <v>MU</v>
      </c>
      <c r="X98" s="32" t="str">
        <f>
CONCATENATE(
if(countif(dd.myc,$D98),"D",""),
if(countif(knap.myc,$D98),"K",""), 
if(countif(mic.myc,$D98),"M",""),
if(countif(nap.myc,$D98),"N",""),
if(countif(np.myc,$D98),"P",""),
if(countif(imp.myc,$D98),"T",""),
if(countif(us.myc,$D98),"U",""),
if(countif(var.myc,$D98),"V",""))</f>
        <v>MU</v>
      </c>
      <c r="Y98" s="32" t="str">
        <f>CONCATENATE(
if(countif(dd.nar,$D98),"D",""),
if(countif(knap.nar,$D98),"K",""),
if(countif(nap.nar,$D98),"N",""),
if(countif(np.nar,$D98),"P",""),
if(countif(imp.nar,$D98),"T",""),
if(countif(us.nar,$D98),"U",""),
if(countif(var.nar,$D98),"V",""))</f>
        <v>V</v>
      </c>
      <c r="Z98" s="33" t="str">
        <f>
CONCATENATE(
if(countif(dd.que,$D98),"D",""),
if(countif(knap.que,$D98),"K",""),
if(countif(mic.que,$D98),"M",""),
if(countif(nap.que,$D98),"N",""),
if(countif(np.que,$D98),"P",""),
if(countif(imp.que,$D98),"T",""),
if(countif(us.que,$D98),"U",""),
if(countif(var.que,$D98),"V",""))</f>
        <v>DMNU</v>
      </c>
      <c r="AA98" s="32"/>
      <c r="AB98" s="34" t="str">
        <f>
CONCATENATE(if(countif(knap.agi.sim,$D98),"K",""),
if(countif(dd.agi.sim,$D98),"D",""),
if(countif(nap.agi.sim,$D98),"A",""),
if(countif(var.agi.sim,$D98),"V",""))</f>
        <v/>
      </c>
      <c r="AC98" s="34" t="str">
        <f>
if(countif(nap.bun.sim,$D98),"A","")</f>
        <v/>
      </c>
      <c r="AD98" s="34" t="str">
        <f>
CONCATENATE(if(countif(knap.kxn.sim,$D98),"K",""),
if(countif(np.kxn.sim,$D98),"P",""),
if(countif(dd.kxn.sim,$D98),"D",""),
if(countif(nap.kxn.sim,$D98),"A",""),
if(countif(var.kxn.sim,$D98),"V",""))</f>
        <v/>
      </c>
      <c r="AE98" s="34" t="str">
        <f>
CONCATENATE(if(countif(knap.hwb.sim,$D98),"K",""),
if(countif(np.hwb.sim,$D98),"P",""),
if(countif(mic.hwb.sim,$D98),"M",""),
if(countif(imp.hwb.sim,$D98),"T",""),
if(countif(dd.cyan.sim,$D98),"D",""),
if(countif(nap.hwb.sim,$D98),"A",""),
if(countif(var.hwb.sim,$D98),"V",""))</f>
        <v/>
      </c>
      <c r="AF98" s="34" t="str">
        <f>
CONCATENATE(if(countif(us.ekxn.sim,$D98),"U",""),
if(countif(knap.ekxn.sim,$D98),"K",""),
if(countif(np.ekxn.sim,$D98),"P",""),
if(countif(mic.ekxn.sim,$D98),"M",""),
if(countif(imp.epc.sim,$D98),"T",""),
if(countif(nap.ekxn.sim,$D98),"A",""))</f>
        <v/>
      </c>
      <c r="AG98" s="34"/>
      <c r="AH98" s="34" t="str">
        <f>
CONCATENATE(if(countif(us.egt.sim,$D98),"U",""),
if(countif(knap.egt.sim,$D98),"K",""),
if(countif(np.egt.sim,$D98),"P",""),
if(countif(mic.egt.sim,$D98),"M",""))</f>
        <v/>
      </c>
      <c r="AI98" s="34"/>
      <c r="AJ98" s="34" t="str">
        <f>if(countif(nap.ecit.sim,$D98),"A","")</f>
        <v/>
      </c>
      <c r="AK98" s="34" t="str">
        <f>
CONCATENATE(if(countif(nap.erd,$D98),"M",""),
if(countif(nap.erd.sim,$D98),"A",""),
if(countif(var.erd.sim,$D98),"V",""))</f>
        <v/>
      </c>
      <c r="AL98" s="34" t="str">
        <f>
CONCATENATE(if(countif(knap.gkxn.sim,$D98),"K",""),
if(countif(nap.gkxn.sim,$D98),"A",""))</f>
        <v/>
      </c>
      <c r="AM98" s="34" t="str">
        <f>
CONCATENATE(if(countif(knap.gen.sim,$C98),"K",""),
if(countif(imp.gen.sim,$C98),"T",""),
if(countif(dd.gen.sim,$C98),"D",""),
if(countif(nap.gen.sim,$C98),"A",""),
if(countif(var.gen.sim,$C98),"V",""))
</f>
        <v/>
      </c>
      <c r="AN98" s="34" t="str">
        <f>IFERROR(__xludf.DUMMYFUNCTION("
if(countif(#REF!,CONCATENATE(regexextract($C98,""[\w]* [\w]*""), ""*"")),""V"","""")"),"")</f>
        <v/>
      </c>
      <c r="AO98" s="34" t="str">
        <f>
CONCATENATE(if(countif(knap.kmp.sim,$D98),"K",""),
if(countif(np.kmp.sim,$D98),"P",""),
if(countif(imp.kmp.sim,$D98),"T",""),
if(countif(dd.kmp,$D98),"D",""),
if(countif(nap.kmp.sim,$D98),"A",""),
if(countif(var.kmp.sim,$D98),"V",""))</f>
        <v>D</v>
      </c>
      <c r="AP98" s="34" t="str">
        <f>
CONCATENATE(if(countif(knap.lu2.sim,$D98),"K",""),
if(countif(np.lu2.sim,$D98),"P",""),
if(countif(imp.lu2.sim,$D98),"T",""),
if(countif(dd.lu2.sim,$D98),"D",""),
if(countif(nap.lu2.sim,$D98),"A",""),
if(countif(var.lu2.sim,$D98),"V",""))</f>
        <v/>
      </c>
      <c r="AQ98" s="34" t="str">
        <f>
CONCATENATE(if(countif(np.myc.sim,$D98),"P",""),
if(countif(imp.myc.sim,$D98),"T",""),
if(countif(nap.myc.sim,$D98),"A",""))
</f>
        <v/>
      </c>
      <c r="AR98" s="36" t="str">
        <f>
CONCATENATE(if(countif(knap.nar.sim,$D98),"K",""),
if(countif(np.nar.sim,$D98),"P",""),
if(countif(imp.nar.sim,$D98),"T",""),
if(countif(dd.nar.sim,$D98),"D",""),
if(countif(nap.nar.sim,$D98),"A",""),
if(countif(var.nar.sim,$D98),"V",""))</f>
        <v/>
      </c>
      <c r="AS98" s="34" t="str">
        <f>
CONCATENATE(if(countif(knap.que.sim,$D98),"K",""),
if(countif(np.que.sim,$D98),"P",""),
if(countif(imp.que.sim,$D98),"T",""),
if(countif(dd.que.sim,$D98),"D",""),
if(countif(nap.que.sim,$D98),"A",""),
if(countif(var.que.sim,$D98),"V",""))</f>
        <v>D</v>
      </c>
      <c r="AT98" s="37"/>
      <c r="AU98" s="32" t="str">
        <f>IFERROR(__xludf.DUMMYFUNCTION("if(countif(kr.agi, CONCATENATE(regexextract($C98,""[\w]* [\w]*""), ""*"")),""X"","""")"),"")</f>
        <v/>
      </c>
      <c r="AV98" s="38" t="str">
        <f>IFERROR(__xludf.DUMMYFUNCTION("if(countif(kr.bun,CONCATENATE(regexextract($C98,""[\w]* [\w]*""), ""*"")),""X"","""")"),"X")</f>
        <v>X</v>
      </c>
      <c r="AW98" s="38" t="str">
        <f>IFERROR(__xludf.DUMMYFUNCTION("if(countif(kr.kxn,CONCATENATE(regexextract($C98,""[\w]* [\w]*""), ""*"")),""X"","""")"),"X")</f>
        <v>X</v>
      </c>
      <c r="AX98" s="38" t="str">
        <f>IFERROR(__xludf.DUMMYFUNCTION("if(countif(kr.hwb,CONCATENATE(regexextract($C98,""[\w]* [\w]*""), ""*"")),""X"","""")"),"X")</f>
        <v>X</v>
      </c>
      <c r="AY98" s="38" t="str">
        <f>IFERROR(__xludf.DUMMYFUNCTION("if(countif(kr.ec,CONCATENATE(regexextract($C98,""[\w]* [\w]*""), ""*"")),""X"","""")"),"")</f>
        <v/>
      </c>
      <c r="AZ98" s="38" t="str">
        <f>IFERROR(__xludf.DUMMYFUNCTION("if(countif(kr.egt,CONCATENATE(regexextract($C98,""[\w]* [\w]*""), ""*"")),""X"","""")"),"")</f>
        <v/>
      </c>
      <c r="BA98" s="38"/>
      <c r="BB98" s="38" t="str">
        <f>IFERROR(__xludf.DUMMYFUNCTION("if(countif(kr.erd,CONCATENATE(regexextract($C98,""[\w]* [\w]*""), ""*"")),""X"","""")"),"X")</f>
        <v>X</v>
      </c>
      <c r="BC98" s="38" t="str">
        <f>IFERROR(__xludf.DUMMYFUNCTION("if(countif(kr.gkxn,CONCATENATE(regexextract($C98,""[\w]* [\w]*""), ""*"")),""X"","""")"),"")</f>
        <v/>
      </c>
      <c r="BD98" s="38" t="str">
        <f>IFERROR(__xludf.DUMMYFUNCTION("if(countif(kr.gen,CONCATENATE(regexextract(C98,""[\w]* [\w]*""), ""*"")),""X"","""")"),"")</f>
        <v/>
      </c>
      <c r="BE98" s="38" t="str">
        <f>IFERROR(__xludf.DUMMYFUNCTION("if(countif(kr.hcc,CONCATENATE(regexextract($C98,""[\w]* [\w]*""), ""*"")),""X"","""")"),"X")</f>
        <v>X</v>
      </c>
      <c r="BF98" s="38" t="str">
        <f>IFERROR(__xludf.DUMMYFUNCTION("if(countif(kr.kmp,CONCATENATE(regexextract($C98,""[\w]* [\w]*""), ""*"")),""X"","""")"),"X")</f>
        <v>X</v>
      </c>
      <c r="BG98" s="38" t="str">
        <f>IFERROR(__xludf.DUMMYFUNCTION("if(countif(kr.lu2,CONCATENATE(regexextract($C98,""[\w]* [\w]*""), ""*"")),""X"","""")"),"")</f>
        <v/>
      </c>
      <c r="BH98" s="38" t="str">
        <f>IFERROR(__xludf.DUMMYFUNCTION("if(countif(kr.myc,CONCATENATE(regexextract($C98,""[\w]* [\w]*""), ""*"")),""X"","""")"),"")</f>
        <v/>
      </c>
      <c r="BI98" s="38" t="str">
        <f>IFERROR(__xludf.DUMMYFUNCTION("if(countif(kr.nar,CONCATENATE(regexextract($C98,""[\w]* [\w]*""), ""*"")),""X"","""")"),"X")</f>
        <v>X</v>
      </c>
      <c r="BJ98" s="38" t="str">
        <f>IFERROR(__xludf.DUMMYFUNCTION("if(countif(kr.que,CONCATENATE(regexextract($C98,""[\w]* [\w]*""), ""*"")),""X"","""")"),"X")</f>
        <v>X</v>
      </c>
      <c r="BK98" s="39"/>
      <c r="BL98" s="40" t="str">
        <f>IFERROR(__xludf.DUMMYFUNCTION(" CONCATENATE( 
if (regexmatch(I98, ""^[A-Za-z\.\_]+""), ""L"", 
if(regexmatch(AB98, ""^[A-Za-z\.\_]+""),""S"","""")),
if(AU98=""X"",""K"",""""))"),"")</f>
        <v/>
      </c>
      <c r="BM98" s="40" t="str">
        <f>IFERROR(__xludf.DUMMYFUNCTION(" CONCATENATE( 
if (regexmatch(J98, ""^[A-Za-z\.\_]+""), ""L"", 
if(regexmatch(AC98, ""^[A-Za-z\.\_]+""),""S"","""")),
if(AV98=""X"",""K"",""""))"),"K")</f>
        <v>K</v>
      </c>
      <c r="BN98" s="40" t="str">
        <f>IFERROR(__xludf.DUMMYFUNCTION(" CONCATENATE( 
if (regexmatch(K98, ""^[A-Za-z\.\_]+""), ""L"", 
if(regexmatch(AD98, ""^[A-Za-z\.\_]+""),""S"","""")),
if(AW98=""X"",""K"",""""))"),"LK")</f>
        <v>LK</v>
      </c>
      <c r="BO98" s="40" t="str">
        <f>IFERROR(__xludf.DUMMYFUNCTION(" CONCATENATE( 
if (regexmatch(L98, ""^[A-Za-z\.\_]+""), ""L"", 
if(regexmatch(AE98, ""^[A-Za-z\.\_]+""),""S"","""")),
if(AX98=""X"",""K"",""""))"),"K")</f>
        <v>K</v>
      </c>
      <c r="BP98" s="40" t="str">
        <f>IFERROR(__xludf.DUMMYFUNCTION(" CONCATENATE( 
if (regexmatch(M98, ""^[A-Za-z\.\_]+""), ""L"", 
if(regexmatch(AF98, ""^[A-Za-z\.\_]+""),""S"","""")),
if(AY98=""X"",""K"",""""))"),"L")</f>
        <v>L</v>
      </c>
      <c r="BQ98" s="40" t="str">
        <f>IFERROR(__xludf.DUMMYFUNCTION("CONCATENATE( 
if (regexmatch(O98, ""^[A-Za-z\.\_]+""), ""L"", 
if(regexmatch(AH98, ""^[A-Za-z\.\_]+""),""S"","""")),
if(AZ98=""X"",""K"",""""))"),"")</f>
        <v/>
      </c>
      <c r="BR98" s="40" t="str">
        <f>IFERROR(__xludf.DUMMYFUNCTION("CONCATENATE( 
if (regexmatch(Q98, ""^[A-Za-z\.\_]+""), ""L"", 
if(regexmatch(AJ98, ""^[A-Za-z\.\_]+""),""S"","""")),
if(BA98=""X"",""K"",""""))"),"")</f>
        <v/>
      </c>
      <c r="BS98" s="40" t="str">
        <f>IFERROR(__xludf.DUMMYFUNCTION(" CONCATENATE( 
if (regexmatch(R98, ""^[A-Za-z\.\_]+""), ""L"", 
if(regexmatch(AK98, ""^[A-Za-z\.\_]+""),""S"","""")),
if(BB98=""X"",""K"",""""))"),"K")</f>
        <v>K</v>
      </c>
      <c r="BT98" s="40" t="str">
        <f>IFERROR(__xludf.DUMMYFUNCTION("CONCATENATE( 
if (regexmatch(S98, ""^[A-Za-z\.\_]+""), ""L"", 
if(regexmatch(AL98, ""^[A-Za-z\.\_]+""),""S"","""")),
if(BC98=""X"",""K"",""""))"),"")</f>
        <v/>
      </c>
      <c r="BU98" s="40" t="str">
        <f>IFERROR(__xludf.DUMMYFUNCTION("CONCATENATE( 
if (regexmatch(T98, ""^[A-Za-z\.\_]+""), ""L"", 
if(regexmatch(AM98, ""^[A-Za-z\.\_]+""),""S"","""")),
if(BD98=""X"",""K"",""""))"),"L")</f>
        <v>L</v>
      </c>
      <c r="BV98" s="40" t="str">
        <f>IFERROR(__xludf.DUMMYFUNCTION("CONCATENATE( 
if (regexmatch(U98, ""^[A-Za-z\.\_]+""), ""L"", 
if(regexmatch(AN98, ""^[A-Za-z\.\_]+""),""S"","""")),
if(BE98=""X"",""K"",""""))"),"K")</f>
        <v>K</v>
      </c>
      <c r="BW98" s="40" t="str">
        <f>IFERROR(__xludf.DUMMYFUNCTION(" CONCATENATE( 
if (regexmatch(V98, ""^[A-Za-z\.\_]+""), ""L"", 
if(regexmatch(AO98, ""^[A-Za-z\.\_]+""),""S"","""")),
if(BF98=""X"",""K"",""""))"),"LK")</f>
        <v>LK</v>
      </c>
      <c r="BX98" s="40" t="str">
        <f>IFERROR(__xludf.DUMMYFUNCTION("CONCATENATE( 
if (regexmatch(W98, ""^[A-Za-z\.\_]+""), ""L"", 
if(regexmatch(AP98, ""^[A-Za-z\.\_]+""),""S"","""")),
if(BG98=""X"",""K"",""""))"),"L")</f>
        <v>L</v>
      </c>
      <c r="BY98" s="40" t="str">
        <f>IFERROR(__xludf.DUMMYFUNCTION("CONCATENATE( 
if (regexmatch(X98, ""^[A-Za-z\.\_]+""), ""L"", 
if(regexmatch(AQ98, ""^[A-Za-z\.\_]+""),""S"","""")),
if(BH98=""X"",""K"",""""))"),"L")</f>
        <v>L</v>
      </c>
      <c r="BZ98" s="40" t="str">
        <f>IFERROR(__xludf.DUMMYFUNCTION("CONCATENATE( 
if (regexmatch(Y98, ""^[A-Za-z\.\_]+""), ""L"", 
if(regexmatch(AR98, ""^[A-Za-z\.\_]+""),""S"","""")),
if(BI98=""X"",""K"",""""))"),"LK")</f>
        <v>LK</v>
      </c>
      <c r="CA98" s="40" t="str">
        <f>IFERROR(__xludf.DUMMYFUNCTION("CONCATENATE( 
if (regexmatch(Z98, ""^[A-Za-z\.\_]+""), ""L"", 
if(regexmatch(AS98, ""^[A-Za-z\.\_]+""),""S"","""")),
if(BJ98=""X"",""K"",""""))"),"LK")</f>
        <v>LK</v>
      </c>
      <c r="CB98" s="39"/>
      <c r="CC98" s="39"/>
      <c r="CD98" s="39"/>
      <c r="CE98" s="39"/>
      <c r="CF98" s="39"/>
      <c r="CG98" s="39"/>
      <c r="CH98" s="39"/>
      <c r="CI98" s="39"/>
      <c r="CJ98" s="39"/>
      <c r="CK98" s="39"/>
      <c r="CL98" s="39"/>
      <c r="CM98" s="39"/>
      <c r="CN98" s="39"/>
      <c r="CO98" s="39"/>
      <c r="CP98" s="39"/>
      <c r="CQ98" s="39"/>
      <c r="CR98" s="39"/>
    </row>
    <row r="99" ht="15.75" customHeight="1">
      <c r="A99" s="25">
        <v>11.0</v>
      </c>
      <c r="B99" s="26" t="s">
        <v>368</v>
      </c>
      <c r="C99" s="27" t="s">
        <v>369</v>
      </c>
      <c r="D99" s="27" t="str">
        <f>IFERROR(__xludf.DUMMYFUNCTION("CONCATENATE(regexextract($C99,""[\w]* [\w]*""), ""*"")"),"Tarenaya hassleriana*")</f>
        <v>Tarenaya hassleriana*</v>
      </c>
      <c r="E99" s="26" t="s">
        <v>370</v>
      </c>
      <c r="F99" s="57">
        <v>28532.0</v>
      </c>
      <c r="G99" s="65"/>
      <c r="H99" s="31"/>
      <c r="I99" s="32" t="str">
        <f>CONCATENATE(
if(countif(dd.agi,$D99),"D",""),
if(countif(knap.agi,$D99),"K",""),
if(countif(mic.agi,$D99),"M",""),
if(countif(nap.agi,$D99),"N",""),
if(countif(np.agi,$D99),"P",""),
if(countif(imp.agi,$D99),"T",""),
if(countif(us.agi,$D99),"U",""),
if(countif(var.agi,$D99),"V","")
)</f>
        <v/>
      </c>
      <c r="J99" s="32" t="str">
        <f>
CONCATENATE(
if(countif(nap.bun,$D99),"N",""),
if(countif(np.bun,$D99),"P","")
)
</f>
        <v/>
      </c>
      <c r="K99" s="32" t="str">
        <f>CONCATENATE(
if(countif(dd.kxn,$D99),"D",""),
if(countif(knap.kxn,$D99),"K",""),
if(countif(mic.kxn,$D99),"M",""),
if(countif(nap.kxn,$D99),"N",""),
if(countif(np.kxn,$D99),"P",""),
if(countif(us.kxn,$D99),"U",""),
if(countif(var.kxn,$D99),"V","")
)</f>
        <v/>
      </c>
      <c r="L99" s="32" t="str">
        <f>
CONCATENATE(
if(countif(dd.hwb,$D99),"D",""),
if(countif(knap.hwb,$D99),"K",""),
if(countif(mic.hwb,$D99),"M",""),
if(countif(nap.hwb,$D99),"N",""),
if(countif(np.hwb,$D99),"P",""),
if(countif(us.hwb,$D99),"U",""),
if(countif(imp.hwb,$D99),"T",""),
if(countif(var.hwb,$D99),"V","")
)</f>
        <v/>
      </c>
      <c r="M99" s="32" t="str">
        <f>CONCATENATE(
if(countif(dd.epc,$D99),"D",""),
if(countif(knap.ekxn,$D99),"K",""),
if(countif(mic.ekxn,$D99),"M",""),
if(countif(nap.ekxn,$D99),"N",""),
if(countif(np.ekxn,$D99),"P",""),
if(countif(imp.epc,$D99),"T",""),
if(countif(us.ekxn,$D99),"U",""),
if(countif(var.ekxn,$D99),"V","")
)</f>
        <v/>
      </c>
      <c r="N99" s="32" t="str">
        <f>
CONCATENATE(
if(countif(dd.ecg,$D99),"D",""),
if(countif(mic.ecg,$D99),"M",""),
if(countif(np.ecg,$D99),"P",""),
if(countif(imp.ecg,$D99),"T",""),
if(countif(us.ecg,$D99),"U","")
)</f>
        <v/>
      </c>
      <c r="O99" s="32" t="str">
        <f>
CONCATENATE(
if(countif(dd.egt,$D99),"D",""),
if(countif(mic.egt,$D99),"M",""),
if(countif(nap.egt,$D99),"N",""),
if(countif(us.egt,$D99),"U",""),
if(countif(var.egt,$D99),"V",""))
</f>
        <v/>
      </c>
      <c r="P99" s="32" t="str">
        <f>CONCATENATE(
if(countif(knap.egcg,$D99),"K",""),
if(countif(mic.egcg,$D99),"M",""),
if(countif(np.egcg,$D99),"P",""),
if(countif(us.egcg,$D99),"U","")
)</f>
        <v/>
      </c>
      <c r="Q99" s="32" t="str">
        <f>CONCATENATE(if(countif(np.ecit,$D99),"P",""),
if(countif(nap.ecit,$D99),"A",""))</f>
        <v/>
      </c>
      <c r="R99" s="32" t="str">
        <f>
CONCATENATE(
if(countif(nap.erd,$D99),"N",""),
if(countif(np.erd,$D99),"P",""),
if(countif(var.erd,$D99),"V",""))</f>
        <v/>
      </c>
      <c r="S99" s="32" t="str">
        <f>
CONCATENATE(
if(countif(dd.gkxn,$D99),"D",""),
if(countif(knap.gkxn,$D99),"K",""),
if(countif(nap.gkxn,$D99),"N",""),
if(countif(np.gkxn,$D99),"P",""),
if(countif(imp.gkxn,$D99),"T",""),
if(countif(var.gkxn,$D99),"V",""))</f>
        <v/>
      </c>
      <c r="T99" s="32" t="str">
        <f>
CONCATENATE(
if(countif(dd.gen,$C99),"D",""),
if(countif(knap.gen,$C99),"K",""),
if(countif(nap.gen,$C99),"N",""),
if(countif(np.gen,$C99),"P",""),
if(countif(imp.gen,$C99),"T",""),
if(countif(var.gen,$C99),"V",""))</f>
        <v/>
      </c>
      <c r="U99" s="32" t="str">
        <f>
CONCATENATE(
if(countif(dd.hcc,$D99),"D",""),
if(countif(knap.hcc,$D99),"K",""),
if(countif(np.hcc,$D99),"P","")
)
</f>
        <v/>
      </c>
      <c r="V99" s="32" t="str">
        <f>
CONCATENATE(
if(countif(dd.kmp,$D99),"D",""),
if(countif(knap.kmp,$D99),"K",""),
if(countif(mic.kmp,$D99),"M",""),
if(countif(nap.kmp,$D99),"N",""),
if(countif(np.kmp,$D99),"P",""),
if(countif(imp.kmp,$D99),"T",""),
if(countif(us.kmp,$D99),"U",""),
if(countif(var.kmp,$D99),"V",""))</f>
        <v/>
      </c>
      <c r="W99" s="32" t="str">
        <f>
CONCATENATE(
if(countif(dd.lu2,$D99),"D",""),
if(countif(knap.lu2,$D99),"K",""),
if(countif(mic.lu2,$D99),"M",""),
if(countif(nap.lu2,$D99),"N",""),
if(countif(np.lu2,$D99),"P",""),
if(countif(imp.lu2,$D99),"T",""),
if(countif(us.lu2,$D99),"U",""),
if(countif(var.lu2,$D99),"V",""))</f>
        <v/>
      </c>
      <c r="X99" s="32" t="str">
        <f>
CONCATENATE(
if(countif(dd.myc,$D99),"D",""),
if(countif(knap.myc,$D99),"K",""), 
if(countif(mic.myc,$D99),"M",""),
if(countif(nap.myc,$D99),"N",""),
if(countif(np.myc,$D99),"P",""),
if(countif(imp.myc,$D99),"T",""),
if(countif(us.myc,$D99),"U",""),
if(countif(var.myc,$D99),"V",""))</f>
        <v/>
      </c>
      <c r="Y99" s="32" t="str">
        <f>CONCATENATE(
if(countif(dd.nar,$D99),"D",""),
if(countif(knap.nar,$D99),"K",""),
if(countif(nap.nar,$D99),"N",""),
if(countif(np.nar,$D99),"P",""),
if(countif(imp.nar,$D99),"T",""),
if(countif(us.nar,$D99),"U",""),
if(countif(var.nar,$D99),"V",""))</f>
        <v/>
      </c>
      <c r="Z99" s="33" t="str">
        <f>
CONCATENATE(
if(countif(dd.que,$D99),"D",""),
if(countif(knap.que,$D99),"K",""),
if(countif(mic.que,$D99),"M",""),
if(countif(nap.que,$D99),"N",""),
if(countif(np.que,$D99),"P",""),
if(countif(imp.que,$D99),"T",""),
if(countif(us.que,$D99),"U",""),
if(countif(var.que,$D99),"V",""))</f>
        <v/>
      </c>
      <c r="AA99" s="32"/>
      <c r="AB99" s="34" t="str">
        <f>
CONCATENATE(if(countif(knap.agi.sim,$D99),"K",""),
if(countif(dd.agi.sim,$D99),"D",""),
if(countif(nap.agi.sim,$D99),"A",""),
if(countif(var.agi.sim,$D99),"V",""))</f>
        <v/>
      </c>
      <c r="AC99" s="34" t="str">
        <f>
if(countif(nap.bun.sim,$D99),"A","")</f>
        <v/>
      </c>
      <c r="AD99" s="34" t="str">
        <f>
CONCATENATE(if(countif(knap.kxn.sim,$D99),"K",""),
if(countif(np.kxn.sim,$D99),"P",""),
if(countif(dd.kxn.sim,$D99),"D",""),
if(countif(nap.kxn.sim,$D99),"A",""),
if(countif(var.kxn.sim,$D99),"V",""))</f>
        <v/>
      </c>
      <c r="AE99" s="34" t="str">
        <f>
CONCATENATE(if(countif(knap.hwb.sim,$D99),"K",""),
if(countif(np.hwb.sim,$D99),"P",""),
if(countif(mic.hwb.sim,$D99),"M",""),
if(countif(imp.hwb.sim,$D99),"T",""),
if(countif(dd.cyan.sim,$D99),"D",""),
if(countif(nap.hwb.sim,$D99),"A",""),
if(countif(var.hwb.sim,$D99),"V",""))</f>
        <v/>
      </c>
      <c r="AF99" s="34" t="str">
        <f>
CONCATENATE(if(countif(us.ekxn.sim,$D99),"U",""),
if(countif(knap.ekxn.sim,$D99),"K",""),
if(countif(np.ekxn.sim,$D99),"P",""),
if(countif(mic.ekxn.sim,$D99),"M",""),
if(countif(imp.epc.sim,$D99),"T",""),
if(countif(nap.ekxn.sim,$D99),"A",""))</f>
        <v/>
      </c>
      <c r="AG99" s="34"/>
      <c r="AH99" s="34" t="str">
        <f>
CONCATENATE(if(countif(us.egt.sim,$D99),"U",""),
if(countif(knap.egt.sim,$D99),"K",""),
if(countif(np.egt.sim,$D99),"P",""),
if(countif(mic.egt.sim,$D99),"M",""))</f>
        <v/>
      </c>
      <c r="AI99" s="34"/>
      <c r="AJ99" s="34" t="str">
        <f>if(countif(nap.ecit.sim,$D99),"A","")</f>
        <v/>
      </c>
      <c r="AK99" s="34" t="str">
        <f>
CONCATENATE(if(countif(nap.erd,$D99),"M",""),
if(countif(nap.erd.sim,$D99),"A",""),
if(countif(var.erd.sim,$D99),"V",""))</f>
        <v/>
      </c>
      <c r="AL99" s="34" t="str">
        <f>
CONCATENATE(if(countif(knap.gkxn.sim,$D99),"K",""),
if(countif(nap.gkxn.sim,$D99),"A",""))</f>
        <v/>
      </c>
      <c r="AM99" s="34" t="str">
        <f>
CONCATENATE(if(countif(knap.gen.sim,$C99),"K",""),
if(countif(imp.gen.sim,$C99),"T",""),
if(countif(dd.gen.sim,$C99),"D",""),
if(countif(nap.gen.sim,$C99),"A",""),
if(countif(var.gen.sim,$C99),"V",""))
</f>
        <v/>
      </c>
      <c r="AN99" s="34" t="str">
        <f>IFERROR(__xludf.DUMMYFUNCTION("
if(countif(#REF!,CONCATENATE(regexextract($C99,""[\w]* [\w]*""), ""*"")),""V"","""")"),"")</f>
        <v/>
      </c>
      <c r="AO99" s="34" t="str">
        <f>
CONCATENATE(if(countif(knap.kmp.sim,$D99),"K",""),
if(countif(np.kmp.sim,$D99),"P",""),
if(countif(imp.kmp.sim,$D99),"T",""),
if(countif(dd.kmp,$D99),"D",""),
if(countif(nap.kmp.sim,$D99),"A",""),
if(countif(var.kmp.sim,$D99),"V",""))</f>
        <v/>
      </c>
      <c r="AP99" s="34" t="str">
        <f>
CONCATENATE(if(countif(knap.lu2.sim,$D99),"K",""),
if(countif(np.lu2.sim,$D99),"P",""),
if(countif(imp.lu2.sim,$D99),"T",""),
if(countif(dd.lu2.sim,$D99),"D",""),
if(countif(nap.lu2.sim,$D99),"A",""),
if(countif(var.lu2.sim,$D99),"V",""))</f>
        <v/>
      </c>
      <c r="AQ99" s="34" t="str">
        <f>
CONCATENATE(if(countif(np.myc.sim,$D99),"P",""),
if(countif(imp.myc.sim,$D99),"T",""),
if(countif(nap.myc.sim,$D99),"A",""))
</f>
        <v/>
      </c>
      <c r="AR99" s="36" t="str">
        <f>
CONCATENATE(if(countif(knap.nar.sim,$D99),"K",""),
if(countif(np.nar.sim,$D99),"P",""),
if(countif(imp.nar.sim,$D99),"T",""),
if(countif(dd.nar.sim,$D99),"D",""),
if(countif(nap.nar.sim,$D99),"A",""),
if(countif(var.nar.sim,$D99),"V",""))</f>
        <v/>
      </c>
      <c r="AS99" s="34" t="str">
        <f>
CONCATENATE(if(countif(knap.que.sim,$D99),"K",""),
if(countif(np.que.sim,$D99),"P",""),
if(countif(imp.que.sim,$D99),"T",""),
if(countif(dd.que.sim,$D99),"D",""),
if(countif(nap.que.sim,$D99),"A",""),
if(countif(var.que.sim,$D99),"V",""))</f>
        <v/>
      </c>
      <c r="AT99" s="37"/>
      <c r="AU99" s="32" t="str">
        <f>IFERROR(__xludf.DUMMYFUNCTION("if(countif(kr.agi, CONCATENATE(regexextract($C99,""[\w]* [\w]*""), ""*"")),""X"","""")"),"")</f>
        <v/>
      </c>
      <c r="AV99" s="38" t="str">
        <f>IFERROR(__xludf.DUMMYFUNCTION("if(countif(kr.bun,CONCATENATE(regexextract($C99,""[\w]* [\w]*""), ""*"")),""X"","""")"),"X")</f>
        <v>X</v>
      </c>
      <c r="AW99" s="38" t="str">
        <f>IFERROR(__xludf.DUMMYFUNCTION("if(countif(kr.kxn,CONCATENATE(regexextract($C99,""[\w]* [\w]*""), ""*"")),""X"","""")"),"")</f>
        <v/>
      </c>
      <c r="AX99" s="38" t="str">
        <f>IFERROR(__xludf.DUMMYFUNCTION("if(countif(kr.hwb,CONCATENATE(regexextract($C99,""[\w]* [\w]*""), ""*"")),""X"","""")"),"X")</f>
        <v>X</v>
      </c>
      <c r="AY99" s="38" t="str">
        <f>IFERROR(__xludf.DUMMYFUNCTION("if(countif(kr.ec,CONCATENATE(regexextract($C99,""[\w]* [\w]*""), ""*"")),""X"","""")"),"X")</f>
        <v>X</v>
      </c>
      <c r="AZ99" s="38" t="str">
        <f>IFERROR(__xludf.DUMMYFUNCTION("if(countif(kr.egt,CONCATENATE(regexextract($C99,""[\w]* [\w]*""), ""*"")),""X"","""")"),"")</f>
        <v/>
      </c>
      <c r="BA99" s="38"/>
      <c r="BB99" s="38" t="str">
        <f>IFERROR(__xludf.DUMMYFUNCTION("if(countif(kr.erd,CONCATENATE(regexextract($C99,""[\w]* [\w]*""), ""*"")),""X"","""")"),"X")</f>
        <v>X</v>
      </c>
      <c r="BC99" s="38" t="str">
        <f>IFERROR(__xludf.DUMMYFUNCTION("if(countif(kr.gkxn,CONCATENATE(regexextract($C99,""[\w]* [\w]*""), ""*"")),""X"","""")"),"")</f>
        <v/>
      </c>
      <c r="BD99" s="38" t="str">
        <f>IFERROR(__xludf.DUMMYFUNCTION("if(countif(kr.gen,CONCATENATE(regexextract(C99,""[\w]* [\w]*""), ""*"")),""X"","""")"),"")</f>
        <v/>
      </c>
      <c r="BE99" s="38" t="str">
        <f>IFERROR(__xludf.DUMMYFUNCTION("if(countif(kr.hcc,CONCATENATE(regexextract($C99,""[\w]* [\w]*""), ""*"")),""X"","""")"),"X")</f>
        <v>X</v>
      </c>
      <c r="BF99" s="38" t="str">
        <f>IFERROR(__xludf.DUMMYFUNCTION("if(countif(kr.kmp,CONCATENATE(regexextract($C99,""[\w]* [\w]*""), ""*"")),""X"","""")"),"X")</f>
        <v>X</v>
      </c>
      <c r="BG99" s="38" t="str">
        <f>IFERROR(__xludf.DUMMYFUNCTION("if(countif(kr.lu2,CONCATENATE(regexextract($C99,""[\w]* [\w]*""), ""*"")),""X"","""")"),"")</f>
        <v/>
      </c>
      <c r="BH99" s="38" t="str">
        <f>IFERROR(__xludf.DUMMYFUNCTION("if(countif(kr.myc,CONCATENATE(regexextract($C99,""[\w]* [\w]*""), ""*"")),""X"","""")"),"")</f>
        <v/>
      </c>
      <c r="BI99" s="38" t="str">
        <f>IFERROR(__xludf.DUMMYFUNCTION("if(countif(kr.nar,CONCATENATE(regexextract($C99,""[\w]* [\w]*""), ""*"")),""X"","""")"),"X")</f>
        <v>X</v>
      </c>
      <c r="BJ99" s="38" t="str">
        <f>IFERROR(__xludf.DUMMYFUNCTION("if(countif(kr.que,CONCATENATE(regexextract($C99,""[\w]* [\w]*""), ""*"")),""X"","""")"),"X")</f>
        <v>X</v>
      </c>
      <c r="BK99" s="39"/>
      <c r="BL99" s="40" t="str">
        <f>IFERROR(__xludf.DUMMYFUNCTION(" CONCATENATE( 
if (regexmatch(I99, ""^[A-Za-z\.\_]+""), ""L"", 
if(regexmatch(AB99, ""^[A-Za-z\.\_]+""),""S"","""")),
if(AU99=""X"",""K"",""""))"),"")</f>
        <v/>
      </c>
      <c r="BM99" s="40" t="str">
        <f>IFERROR(__xludf.DUMMYFUNCTION(" CONCATENATE( 
if (regexmatch(J99, ""^[A-Za-z\.\_]+""), ""L"", 
if(regexmatch(AC99, ""^[A-Za-z\.\_]+""),""S"","""")),
if(AV99=""X"",""K"",""""))"),"K")</f>
        <v>K</v>
      </c>
      <c r="BN99" s="40" t="str">
        <f>IFERROR(__xludf.DUMMYFUNCTION(" CONCATENATE( 
if (regexmatch(K99, ""^[A-Za-z\.\_]+""), ""L"", 
if(regexmatch(AD99, ""^[A-Za-z\.\_]+""),""S"","""")),
if(AW99=""X"",""K"",""""))"),"")</f>
        <v/>
      </c>
      <c r="BO99" s="40" t="str">
        <f>IFERROR(__xludf.DUMMYFUNCTION(" CONCATENATE( 
if (regexmatch(L99, ""^[A-Za-z\.\_]+""), ""L"", 
if(regexmatch(AE99, ""^[A-Za-z\.\_]+""),""S"","""")),
if(AX99=""X"",""K"",""""))"),"K")</f>
        <v>K</v>
      </c>
      <c r="BP99" s="40" t="str">
        <f>IFERROR(__xludf.DUMMYFUNCTION(" CONCATENATE( 
if (regexmatch(M99, ""^[A-Za-z\.\_]+""), ""L"", 
if(regexmatch(AF99, ""^[A-Za-z\.\_]+""),""S"","""")),
if(AY99=""X"",""K"",""""))"),"K")</f>
        <v>K</v>
      </c>
      <c r="BQ99" s="40" t="str">
        <f>IFERROR(__xludf.DUMMYFUNCTION("CONCATENATE( 
if (regexmatch(O99, ""^[A-Za-z\.\_]+""), ""L"", 
if(regexmatch(AH99, ""^[A-Za-z\.\_]+""),""S"","""")),
if(AZ99=""X"",""K"",""""))"),"")</f>
        <v/>
      </c>
      <c r="BR99" s="40" t="str">
        <f>IFERROR(__xludf.DUMMYFUNCTION("CONCATENATE( 
if (regexmatch(Q99, ""^[A-Za-z\.\_]+""), ""L"", 
if(regexmatch(AJ99, ""^[A-Za-z\.\_]+""),""S"","""")),
if(BA99=""X"",""K"",""""))"),"")</f>
        <v/>
      </c>
      <c r="BS99" s="40" t="str">
        <f>IFERROR(__xludf.DUMMYFUNCTION(" CONCATENATE( 
if (regexmatch(R99, ""^[A-Za-z\.\_]+""), ""L"", 
if(regexmatch(AK99, ""^[A-Za-z\.\_]+""),""S"","""")),
if(BB99=""X"",""K"",""""))"),"K")</f>
        <v>K</v>
      </c>
      <c r="BT99" s="40" t="str">
        <f>IFERROR(__xludf.DUMMYFUNCTION("CONCATENATE( 
if (regexmatch(S99, ""^[A-Za-z\.\_]+""), ""L"", 
if(regexmatch(AL99, ""^[A-Za-z\.\_]+""),""S"","""")),
if(BC99=""X"",""K"",""""))"),"")</f>
        <v/>
      </c>
      <c r="BU99" s="40" t="str">
        <f>IFERROR(__xludf.DUMMYFUNCTION("CONCATENATE( 
if (regexmatch(T99, ""^[A-Za-z\.\_]+""), ""L"", 
if(regexmatch(AM99, ""^[A-Za-z\.\_]+""),""S"","""")),
if(BD99=""X"",""K"",""""))"),"")</f>
        <v/>
      </c>
      <c r="BV99" s="40" t="str">
        <f>IFERROR(__xludf.DUMMYFUNCTION("CONCATENATE( 
if (regexmatch(U99, ""^[A-Za-z\.\_]+""), ""L"", 
if(regexmatch(AN99, ""^[A-Za-z\.\_]+""),""S"","""")),
if(BE99=""X"",""K"",""""))"),"K")</f>
        <v>K</v>
      </c>
      <c r="BW99" s="40" t="str">
        <f>IFERROR(__xludf.DUMMYFUNCTION(" CONCATENATE( 
if (regexmatch(V99, ""^[A-Za-z\.\_]+""), ""L"", 
if(regexmatch(AO99, ""^[A-Za-z\.\_]+""),""S"","""")),
if(BF99=""X"",""K"",""""))"),"K")</f>
        <v>K</v>
      </c>
      <c r="BX99" s="40" t="str">
        <f>IFERROR(__xludf.DUMMYFUNCTION("CONCATENATE( 
if (regexmatch(W99, ""^[A-Za-z\.\_]+""), ""L"", 
if(regexmatch(AP99, ""^[A-Za-z\.\_]+""),""S"","""")),
if(BG99=""X"",""K"",""""))"),"")</f>
        <v/>
      </c>
      <c r="BY99" s="40" t="str">
        <f>IFERROR(__xludf.DUMMYFUNCTION("CONCATENATE( 
if (regexmatch(X99, ""^[A-Za-z\.\_]+""), ""L"", 
if(regexmatch(AQ99, ""^[A-Za-z\.\_]+""),""S"","""")),
if(BH99=""X"",""K"",""""))"),"")</f>
        <v/>
      </c>
      <c r="BZ99" s="40" t="str">
        <f>IFERROR(__xludf.DUMMYFUNCTION("CONCATENATE( 
if (regexmatch(Y99, ""^[A-Za-z\.\_]+""), ""L"", 
if(regexmatch(AR99, ""^[A-Za-z\.\_]+""),""S"","""")),
if(BI99=""X"",""K"",""""))"),"K")</f>
        <v>K</v>
      </c>
      <c r="CA99" s="40" t="str">
        <f>IFERROR(__xludf.DUMMYFUNCTION("CONCATENATE( 
if (regexmatch(Z99, ""^[A-Za-z\.\_]+""), ""L"", 
if(regexmatch(AS99, ""^[A-Za-z\.\_]+""),""S"","""")),
if(BJ99=""X"",""K"",""""))"),"K")</f>
        <v>K</v>
      </c>
      <c r="CB99" s="39"/>
      <c r="CC99" s="39"/>
      <c r="CD99" s="39"/>
      <c r="CE99" s="39"/>
      <c r="CF99" s="39"/>
      <c r="CG99" s="39"/>
      <c r="CH99" s="39"/>
      <c r="CI99" s="39"/>
      <c r="CJ99" s="39"/>
      <c r="CK99" s="39"/>
      <c r="CL99" s="39"/>
      <c r="CM99" s="39"/>
      <c r="CN99" s="39"/>
      <c r="CO99" s="39"/>
      <c r="CP99" s="39"/>
      <c r="CQ99" s="39"/>
      <c r="CR99" s="39"/>
    </row>
    <row r="100" ht="15.75" customHeight="1">
      <c r="A100" s="25">
        <v>22.0</v>
      </c>
      <c r="B100" s="26" t="s">
        <v>371</v>
      </c>
      <c r="C100" s="27" t="s">
        <v>372</v>
      </c>
      <c r="D100" s="27" t="str">
        <f>IFERROR(__xludf.DUMMYFUNCTION("CONCATENATE(regexextract($C100,""[\w]* [\w]*""), ""*"")"),"Theobroma cacao*")</f>
        <v>Theobroma cacao*</v>
      </c>
      <c r="E100" s="26" t="s">
        <v>373</v>
      </c>
      <c r="F100" s="57">
        <v>3641.0</v>
      </c>
      <c r="G100" s="65"/>
      <c r="H100" s="31"/>
      <c r="I100" s="32" t="str">
        <f>CONCATENATE(
if(countif(dd.agi,$D100),"D",""),
if(countif(knap.agi,$D100),"K",""),
if(countif(mic.agi,$D100),"M",""),
if(countif(nap.agi,$D100),"N",""),
if(countif(np.agi,$D100),"P",""),
if(countif(imp.agi,$D100),"T",""),
if(countif(us.agi,$D100),"U",""),
if(countif(var.agi,$D100),"V","")
)</f>
        <v>K</v>
      </c>
      <c r="J100" s="32" t="str">
        <f>
CONCATENATE(
if(countif(nap.bun,$D100),"N",""),
if(countif(np.bun,$D100),"P","")
)
</f>
        <v/>
      </c>
      <c r="K100" s="32" t="str">
        <f>CONCATENATE(
if(countif(dd.kxn,$D100),"D",""),
if(countif(knap.kxn,$D100),"K",""),
if(countif(mic.kxn,$D100),"M",""),
if(countif(nap.kxn,$D100),"N",""),
if(countif(np.kxn,$D100),"P",""),
if(countif(us.kxn,$D100),"U",""),
if(countif(var.kxn,$D100),"V","")
)</f>
        <v>KNU</v>
      </c>
      <c r="L100" s="32" t="str">
        <f>
CONCATENATE(
if(countif(dd.hwb,$D100),"D",""),
if(countif(knap.hwb,$D100),"K",""),
if(countif(mic.hwb,$D100),"M",""),
if(countif(nap.hwb,$D100),"N",""),
if(countif(np.hwb,$D100),"P",""),
if(countif(us.hwb,$D100),"U",""),
if(countif(imp.hwb,$D100),"T",""),
if(countif(var.hwb,$D100),"V","")
)</f>
        <v>D</v>
      </c>
      <c r="M100" s="32" t="str">
        <f>CONCATENATE(
if(countif(dd.epc,$D100),"D",""),
if(countif(knap.ekxn,$D100),"K",""),
if(countif(mic.ekxn,$D100),"M",""),
if(countif(nap.ekxn,$D100),"N",""),
if(countif(np.ekxn,$D100),"P",""),
if(countif(imp.epc,$D100),"T",""),
if(countif(us.ekxn,$D100),"U",""),
if(countif(var.ekxn,$D100),"V","")
)</f>
        <v>DKNPTU</v>
      </c>
      <c r="N100" s="32" t="str">
        <f>
CONCATENATE(
if(countif(dd.ecg,$D100),"D",""),
if(countif(mic.ecg,$D100),"M",""),
if(countif(np.ecg,$D100),"P",""),
if(countif(imp.ecg,$D100),"T",""),
if(countif(us.ecg,$D100),"U","")
)</f>
        <v/>
      </c>
      <c r="O100" s="32" t="str">
        <f>
CONCATENATE(
if(countif(dd.egt,$D100),"D",""),
if(countif(mic.egt,$D100),"M",""),
if(countif(nap.egt,$D100),"N",""),
if(countif(us.egt,$D100),"U",""),
if(countif(var.egt,$D100),"V",""))
</f>
        <v>DN</v>
      </c>
      <c r="P100" s="32" t="str">
        <f>CONCATENATE(
if(countif(knap.egcg,$D100),"K",""),
if(countif(mic.egcg,$D100),"M",""),
if(countif(np.egcg,$D100),"P",""),
if(countif(us.egcg,$D100),"U","")
)</f>
        <v/>
      </c>
      <c r="Q100" s="32" t="str">
        <f>CONCATENATE(if(countif(np.ecit,$D100),"P",""),
if(countif(nap.ecit,$D100),"A",""))</f>
        <v/>
      </c>
      <c r="R100" s="32" t="str">
        <f>
CONCATENATE(
if(countif(nap.erd,$D100),"N",""),
if(countif(np.erd,$D100),"P",""),
if(countif(var.erd,$D100),"V",""))</f>
        <v>V</v>
      </c>
      <c r="S100" s="32" t="str">
        <f>
CONCATENATE(
if(countif(dd.gkxn,$D100),"D",""),
if(countif(knap.gkxn,$D100),"K",""),
if(countif(nap.gkxn,$D100),"N",""),
if(countif(np.gkxn,$D100),"P",""),
if(countif(imp.gkxn,$D100),"T",""),
if(countif(var.gkxn,$D100),"V",""))</f>
        <v>N</v>
      </c>
      <c r="T100" s="32" t="str">
        <f>
CONCATENATE(
if(countif(dd.gen,$C100),"D",""),
if(countif(knap.gen,$C100),"K",""),
if(countif(nap.gen,$C100),"N",""),
if(countif(np.gen,$C100),"P",""),
if(countif(imp.gen,$C100),"T",""),
if(countif(var.gen,$C100),"V",""))</f>
        <v/>
      </c>
      <c r="U100" s="32" t="str">
        <f>
CONCATENATE(
if(countif(dd.hcc,$D100),"D",""),
if(countif(knap.hcc,$D100),"K",""),
if(countif(np.hcc,$D100),"P","")
)
</f>
        <v/>
      </c>
      <c r="V100" s="32" t="str">
        <f>
CONCATENATE(
if(countif(dd.kmp,$D100),"D",""),
if(countif(knap.kmp,$D100),"K",""),
if(countif(mic.kmp,$D100),"M",""),
if(countif(nap.kmp,$D100),"N",""),
if(countif(np.kmp,$D100),"P",""),
if(countif(imp.kmp,$D100),"T",""),
if(countif(us.kmp,$D100),"U",""),
if(countif(var.kmp,$D100),"V",""))</f>
        <v>DN</v>
      </c>
      <c r="W100" s="32" t="str">
        <f>
CONCATENATE(
if(countif(dd.lu2,$D100),"D",""),
if(countif(knap.lu2,$D100),"K",""),
if(countif(mic.lu2,$D100),"M",""),
if(countif(nap.lu2,$D100),"N",""),
if(countif(np.lu2,$D100),"P",""),
if(countif(imp.lu2,$D100),"T",""),
if(countif(us.lu2,$D100),"U",""),
if(countif(var.lu2,$D100),"V",""))</f>
        <v>DK</v>
      </c>
      <c r="X100" s="32" t="str">
        <f>
CONCATENATE(
if(countif(dd.myc,$D100),"D",""),
if(countif(knap.myc,$D100),"K",""), 
if(countif(mic.myc,$D100),"M",""),
if(countif(nap.myc,$D100),"N",""),
if(countif(np.myc,$D100),"P",""),
if(countif(imp.myc,$D100),"T",""),
if(countif(us.myc,$D100),"U",""),
if(countif(var.myc,$D100),"V",""))</f>
        <v/>
      </c>
      <c r="Y100" s="32" t="str">
        <f>CONCATENATE(
if(countif(dd.nar,$D100),"D",""),
if(countif(knap.nar,$D100),"K",""),
if(countif(nap.nar,$D100),"N",""),
if(countif(np.nar,$D100),"P",""),
if(countif(imp.nar,$D100),"T",""),
if(countif(us.nar,$D100),"U",""),
if(countif(var.nar,$D100),"V",""))</f>
        <v>K</v>
      </c>
      <c r="Z100" s="33" t="str">
        <f>
CONCATENATE(
if(countif(dd.que,$D100),"D",""),
if(countif(knap.que,$D100),"K",""),
if(countif(mic.que,$D100),"M",""),
if(countif(nap.que,$D100),"N",""),
if(countif(np.que,$D100),"P",""),
if(countif(imp.que,$D100),"T",""),
if(countif(us.que,$D100),"U",""),
if(countif(var.que,$D100),"V",""))</f>
        <v>DNU</v>
      </c>
      <c r="AA100" s="32"/>
      <c r="AB100" s="34" t="str">
        <f>
CONCATENATE(if(countif(knap.agi.sim,$D100),"K",""),
if(countif(dd.agi.sim,$D100),"D",""),
if(countif(nap.agi.sim,$D100),"A",""),
if(countif(var.agi.sim,$D100),"V",""))</f>
        <v>KDV</v>
      </c>
      <c r="AC100" s="34" t="str">
        <f>
if(countif(nap.bun.sim,$D100),"A","")</f>
        <v/>
      </c>
      <c r="AD100" s="34" t="str">
        <f>
CONCATENATE(if(countif(knap.kxn.sim,$D100),"K",""),
if(countif(np.kxn.sim,$D100),"P",""),
if(countif(dd.kxn.sim,$D100),"D",""),
if(countif(nap.kxn.sim,$D100),"A",""),
if(countif(var.kxn.sim,$D100),"V",""))</f>
        <v>PA</v>
      </c>
      <c r="AE100" s="34" t="str">
        <f>
CONCATENATE(if(countif(knap.hwb.sim,$D100),"K",""),
if(countif(np.hwb.sim,$D100),"P",""),
if(countif(mic.hwb.sim,$D100),"M",""),
if(countif(imp.hwb.sim,$D100),"T",""),
if(countif(dd.cyan.sim,$D100),"D",""),
if(countif(nap.hwb.sim,$D100),"A",""),
if(countif(var.hwb.sim,$D100),"V",""))</f>
        <v>KD</v>
      </c>
      <c r="AF100" s="34" t="str">
        <f>
CONCATENATE(if(countif(us.ekxn.sim,$D100),"U",""),
if(countif(knap.ekxn.sim,$D100),"K",""),
if(countif(np.ekxn.sim,$D100),"P",""),
if(countif(mic.ekxn.sim,$D100),"M",""),
if(countif(imp.epc.sim,$D100),"T",""),
if(countif(nap.ekxn.sim,$D100),"A",""))</f>
        <v>KPA</v>
      </c>
      <c r="AG100" s="34"/>
      <c r="AH100" s="34" t="str">
        <f>
CONCATENATE(if(countif(us.egt.sim,$D100),"U",""),
if(countif(knap.egt.sim,$D100),"K",""),
if(countif(np.egt.sim,$D100),"P",""),
if(countif(mic.egt.sim,$D100),"M",""))</f>
        <v/>
      </c>
      <c r="AI100" s="34"/>
      <c r="AJ100" s="34" t="str">
        <f>if(countif(nap.ecit.sim,$D100),"A","")</f>
        <v/>
      </c>
      <c r="AK100" s="34" t="str">
        <f>
CONCATENATE(if(countif(nap.erd,$D100),"M",""),
if(countif(nap.erd.sim,$D100),"A",""),
if(countif(var.erd.sim,$D100),"V",""))</f>
        <v/>
      </c>
      <c r="AL100" s="34" t="str">
        <f>
CONCATENATE(if(countif(knap.gkxn.sim,$D100),"K",""),
if(countif(nap.gkxn.sim,$D100),"A",""))</f>
        <v/>
      </c>
      <c r="AM100" s="34" t="str">
        <f>
CONCATENATE(if(countif(knap.gen.sim,$C100),"K",""),
if(countif(imp.gen.sim,$C100),"T",""),
if(countif(dd.gen.sim,$C100),"D",""),
if(countif(nap.gen.sim,$C100),"A",""),
if(countif(var.gen.sim,$C100),"V",""))
</f>
        <v/>
      </c>
      <c r="AN100" s="34" t="str">
        <f>IFERROR(__xludf.DUMMYFUNCTION("
if(countif(#REF!,CONCATENATE(regexextract($C100,""[\w]* [\w]*""), ""*"")),""V"","""")"),"")</f>
        <v/>
      </c>
      <c r="AO100" s="34" t="str">
        <f>
CONCATENATE(if(countif(knap.kmp.sim,$D100),"K",""),
if(countif(np.kmp.sim,$D100),"P",""),
if(countif(imp.kmp.sim,$D100),"T",""),
if(countif(dd.kmp,$D100),"D",""),
if(countif(nap.kmp.sim,$D100),"A",""),
if(countif(var.kmp.sim,$D100),"V",""))</f>
        <v>D</v>
      </c>
      <c r="AP100" s="34" t="str">
        <f>
CONCATENATE(if(countif(knap.lu2.sim,$D100),"K",""),
if(countif(np.lu2.sim,$D100),"P",""),
if(countif(imp.lu2.sim,$D100),"T",""),
if(countif(dd.lu2.sim,$D100),"D",""),
if(countif(nap.lu2.sim,$D100),"A",""),
if(countif(var.lu2.sim,$D100),"V",""))</f>
        <v>KDV</v>
      </c>
      <c r="AQ100" s="34" t="str">
        <f>
CONCATENATE(if(countif(np.myc.sim,$D100),"P",""),
if(countif(imp.myc.sim,$D100),"T",""),
if(countif(nap.myc.sim,$D100),"A",""))
</f>
        <v/>
      </c>
      <c r="AR100" s="36" t="str">
        <f>
CONCATENATE(if(countif(knap.nar.sim,$D100),"K",""),
if(countif(np.nar.sim,$D100),"P",""),
if(countif(imp.nar.sim,$D100),"T",""),
if(countif(dd.nar.sim,$D100),"D",""),
if(countif(nap.nar.sim,$D100),"A",""),
if(countif(var.nar.sim,$D100),"V",""))</f>
        <v>KV</v>
      </c>
      <c r="AS100" s="34" t="str">
        <f>
CONCATENATE(if(countif(knap.que.sim,$D100),"K",""),
if(countif(np.que.sim,$D100),"P",""),
if(countif(imp.que.sim,$D100),"T",""),
if(countif(dd.que.sim,$D100),"D",""),
if(countif(nap.que.sim,$D100),"A",""),
if(countif(var.que.sim,$D100),"V",""))</f>
        <v>KDAV</v>
      </c>
      <c r="AT100" s="37"/>
      <c r="AU100" s="32" t="str">
        <f>IFERROR(__xludf.DUMMYFUNCTION("if(countif(kr.agi, CONCATENATE(regexextract($C100,""[\w]* [\w]*""), ""*"")),""X"","""")"),"X")</f>
        <v>X</v>
      </c>
      <c r="AV100" s="38" t="str">
        <f>IFERROR(__xludf.DUMMYFUNCTION("if(countif(kr.bun,CONCATENATE(regexextract($C100,""[\w]* [\w]*""), ""*"")),""X"","""")"),"X")</f>
        <v>X</v>
      </c>
      <c r="AW100" s="38" t="str">
        <f>IFERROR(__xludf.DUMMYFUNCTION("if(countif(kr.kxn,CONCATENATE(regexextract($C100,""[\w]* [\w]*""), ""*"")),""X"","""")"),"X")</f>
        <v>X</v>
      </c>
      <c r="AX100" s="38" t="str">
        <f>IFERROR(__xludf.DUMMYFUNCTION("if(countif(kr.hwb,CONCATENATE(regexextract($C100,""[\w]* [\w]*""), ""*"")),""X"","""")"),"X")</f>
        <v>X</v>
      </c>
      <c r="AY100" s="38" t="str">
        <f>IFERROR(__xludf.DUMMYFUNCTION("if(countif(kr.ec,CONCATENATE(regexextract($C100,""[\w]* [\w]*""), ""*"")),""X"","""")"),"X")</f>
        <v>X</v>
      </c>
      <c r="AZ100" s="38" t="str">
        <f>IFERROR(__xludf.DUMMYFUNCTION("if(countif(kr.egt,CONCATENATE(regexextract($C100,""[\w]* [\w]*""), ""*"")),""X"","""")"),"X")</f>
        <v>X</v>
      </c>
      <c r="BA100" s="38"/>
      <c r="BB100" s="38" t="str">
        <f>IFERROR(__xludf.DUMMYFUNCTION("if(countif(kr.erd,CONCATENATE(regexextract($C100,""[\w]* [\w]*""), ""*"")),""X"","""")"),"X")</f>
        <v>X</v>
      </c>
      <c r="BC100" s="38" t="str">
        <f>IFERROR(__xludf.DUMMYFUNCTION("if(countif(kr.gkxn,CONCATENATE(regexextract($C100,""[\w]* [\w]*""), ""*"")),""X"","""")"),"X")</f>
        <v>X</v>
      </c>
      <c r="BD100" s="38" t="str">
        <f>IFERROR(__xludf.DUMMYFUNCTION("if(countif(kr.gen,CONCATENATE(regexextract(C100,""[\w]* [\w]*""), ""*"")),""X"","""")"),"")</f>
        <v/>
      </c>
      <c r="BE100" s="38" t="str">
        <f>IFERROR(__xludf.DUMMYFUNCTION("if(countif(kr.hcc,CONCATENATE(regexextract($C100,""[\w]* [\w]*""), ""*"")),""X"","""")"),"X")</f>
        <v>X</v>
      </c>
      <c r="BF100" s="38" t="str">
        <f>IFERROR(__xludf.DUMMYFUNCTION("if(countif(kr.kmp,CONCATENATE(regexextract($C100,""[\w]* [\w]*""), ""*"")),""X"","""")"),"X")</f>
        <v>X</v>
      </c>
      <c r="BG100" s="38" t="str">
        <f>IFERROR(__xludf.DUMMYFUNCTION("if(countif(kr.lu2,CONCATENATE(regexextract($C100,""[\w]* [\w]*""), ""*"")),""X"","""")"),"X")</f>
        <v>X</v>
      </c>
      <c r="BH100" s="38" t="str">
        <f>IFERROR(__xludf.DUMMYFUNCTION("if(countif(kr.myc,CONCATENATE(regexextract($C100,""[\w]* [\w]*""), ""*"")),""X"","""")"),"X")</f>
        <v>X</v>
      </c>
      <c r="BI100" s="38" t="str">
        <f>IFERROR(__xludf.DUMMYFUNCTION("if(countif(kr.nar,CONCATENATE(regexextract($C100,""[\w]* [\w]*""), ""*"")),""X"","""")"),"X")</f>
        <v>X</v>
      </c>
      <c r="BJ100" s="38" t="str">
        <f>IFERROR(__xludf.DUMMYFUNCTION("if(countif(kr.que,CONCATENATE(regexextract($C100,""[\w]* [\w]*""), ""*"")),""X"","""")"),"X")</f>
        <v>X</v>
      </c>
      <c r="BK100" s="39"/>
      <c r="BL100" s="40" t="str">
        <f>IFERROR(__xludf.DUMMYFUNCTION(" CONCATENATE( 
if (regexmatch(I100, ""^[A-Za-z\.\_]+""), ""L"", 
if(regexmatch(AB100, ""^[A-Za-z\.\_]+""),""S"","""")),
if(AU100=""X"",""K"",""""))"),"LK")</f>
        <v>LK</v>
      </c>
      <c r="BM100" s="40" t="str">
        <f>IFERROR(__xludf.DUMMYFUNCTION(" CONCATENATE( 
if (regexmatch(J100, ""^[A-Za-z\.\_]+""), ""L"", 
if(regexmatch(AC100, ""^[A-Za-z\.\_]+""),""S"","""")),
if(AV100=""X"",""K"",""""))"),"K")</f>
        <v>K</v>
      </c>
      <c r="BN100" s="40" t="str">
        <f>IFERROR(__xludf.DUMMYFUNCTION(" CONCATENATE( 
if (regexmatch(K100, ""^[A-Za-z\.\_]+""), ""L"", 
if(regexmatch(AD100, ""^[A-Za-z\.\_]+""),""S"","""")),
if(AW100=""X"",""K"",""""))"),"LK")</f>
        <v>LK</v>
      </c>
      <c r="BO100" s="40" t="str">
        <f>IFERROR(__xludf.DUMMYFUNCTION(" CONCATENATE( 
if (regexmatch(L100, ""^[A-Za-z\.\_]+""), ""L"", 
if(regexmatch(AE100, ""^[A-Za-z\.\_]+""),""S"","""")),
if(AX100=""X"",""K"",""""))"),"LK")</f>
        <v>LK</v>
      </c>
      <c r="BP100" s="40" t="str">
        <f>IFERROR(__xludf.DUMMYFUNCTION(" CONCATENATE( 
if (regexmatch(M100, ""^[A-Za-z\.\_]+""), ""L"", 
if(regexmatch(AF100, ""^[A-Za-z\.\_]+""),""S"","""")),
if(AY100=""X"",""K"",""""))"),"LK")</f>
        <v>LK</v>
      </c>
      <c r="BQ100" s="40" t="str">
        <f>IFERROR(__xludf.DUMMYFUNCTION("CONCATENATE( 
if (regexmatch(O100, ""^[A-Za-z\.\_]+""), ""L"", 
if(regexmatch(AH100, ""^[A-Za-z\.\_]+""),""S"","""")),
if(AZ100=""X"",""K"",""""))"),"LK")</f>
        <v>LK</v>
      </c>
      <c r="BR100" s="40" t="str">
        <f>IFERROR(__xludf.DUMMYFUNCTION("CONCATENATE( 
if (regexmatch(Q100, ""^[A-Za-z\.\_]+""), ""L"", 
if(regexmatch(AJ100, ""^[A-Za-z\.\_]+""),""S"","""")),
if(BA100=""X"",""K"",""""))"),"")</f>
        <v/>
      </c>
      <c r="BS100" s="40" t="str">
        <f>IFERROR(__xludf.DUMMYFUNCTION(" CONCATENATE( 
if (regexmatch(R100, ""^[A-Za-z\.\_]+""), ""L"", 
if(regexmatch(AK100, ""^[A-Za-z\.\_]+""),""S"","""")),
if(BB100=""X"",""K"",""""))"),"LK")</f>
        <v>LK</v>
      </c>
      <c r="BT100" s="40" t="str">
        <f>IFERROR(__xludf.DUMMYFUNCTION("CONCATENATE( 
if (regexmatch(S100, ""^[A-Za-z\.\_]+""), ""L"", 
if(regexmatch(AL100, ""^[A-Za-z\.\_]+""),""S"","""")),
if(BC100=""X"",""K"",""""))"),"LK")</f>
        <v>LK</v>
      </c>
      <c r="BU100" s="40" t="str">
        <f>IFERROR(__xludf.DUMMYFUNCTION("CONCATENATE( 
if (regexmatch(T100, ""^[A-Za-z\.\_]+""), ""L"", 
if(regexmatch(AM100, ""^[A-Za-z\.\_]+""),""S"","""")),
if(BD100=""X"",""K"",""""))"),"")</f>
        <v/>
      </c>
      <c r="BV100" s="40" t="str">
        <f>IFERROR(__xludf.DUMMYFUNCTION("CONCATENATE( 
if (regexmatch(U100, ""^[A-Za-z\.\_]+""), ""L"", 
if(regexmatch(AN100, ""^[A-Za-z\.\_]+""),""S"","""")),
if(BE100=""X"",""K"",""""))"),"K")</f>
        <v>K</v>
      </c>
      <c r="BW100" s="40" t="str">
        <f>IFERROR(__xludf.DUMMYFUNCTION(" CONCATENATE( 
if (regexmatch(V100, ""^[A-Za-z\.\_]+""), ""L"", 
if(regexmatch(AO100, ""^[A-Za-z\.\_]+""),""S"","""")),
if(BF100=""X"",""K"",""""))"),"LK")</f>
        <v>LK</v>
      </c>
      <c r="BX100" s="40" t="str">
        <f>IFERROR(__xludf.DUMMYFUNCTION("CONCATENATE( 
if (regexmatch(W100, ""^[A-Za-z\.\_]+""), ""L"", 
if(regexmatch(AP100, ""^[A-Za-z\.\_]+""),""S"","""")),
if(BG100=""X"",""K"",""""))"),"LK")</f>
        <v>LK</v>
      </c>
      <c r="BY100" s="40" t="str">
        <f>IFERROR(__xludf.DUMMYFUNCTION("CONCATENATE( 
if (regexmatch(X100, ""^[A-Za-z\.\_]+""), ""L"", 
if(regexmatch(AQ100, ""^[A-Za-z\.\_]+""),""S"","""")),
if(BH100=""X"",""K"",""""))"),"K")</f>
        <v>K</v>
      </c>
      <c r="BZ100" s="40" t="str">
        <f>IFERROR(__xludf.DUMMYFUNCTION("CONCATENATE( 
if (regexmatch(Y100, ""^[A-Za-z\.\_]+""), ""L"", 
if(regexmatch(AR100, ""^[A-Za-z\.\_]+""),""S"","""")),
if(BI100=""X"",""K"",""""))"),"LK")</f>
        <v>LK</v>
      </c>
      <c r="CA100" s="40" t="str">
        <f>IFERROR(__xludf.DUMMYFUNCTION("CONCATENATE( 
if (regexmatch(Z100, ""^[A-Za-z\.\_]+""), ""L"", 
if(regexmatch(AS100, ""^[A-Za-z\.\_]+""),""S"","""")),
if(BJ100=""X"",""K"",""""))"),"LK")</f>
        <v>LK</v>
      </c>
      <c r="CB100" s="39"/>
      <c r="CC100" s="39"/>
      <c r="CD100" s="39"/>
      <c r="CE100" s="39"/>
      <c r="CF100" s="39"/>
      <c r="CG100" s="39"/>
      <c r="CH100" s="39"/>
      <c r="CI100" s="39"/>
      <c r="CJ100" s="39"/>
      <c r="CK100" s="39"/>
      <c r="CL100" s="39"/>
      <c r="CM100" s="39"/>
      <c r="CN100" s="39"/>
      <c r="CO100" s="39"/>
      <c r="CP100" s="39"/>
      <c r="CQ100" s="39"/>
      <c r="CR100" s="39"/>
    </row>
    <row r="101" ht="15.75" customHeight="1">
      <c r="A101" s="25">
        <v>36.0</v>
      </c>
      <c r="B101" s="26" t="s">
        <v>374</v>
      </c>
      <c r="C101" s="27" t="s">
        <v>375</v>
      </c>
      <c r="D101" s="27" t="str">
        <f>IFERROR(__xludf.DUMMYFUNCTION("CONCATENATE(regexextract($C101,""[\w]* [\w]*""), ""*"")"),"Vigna angularis*")</f>
        <v>Vigna angularis*</v>
      </c>
      <c r="E101" s="59" t="s">
        <v>376</v>
      </c>
      <c r="F101" s="57">
        <v>3914.0</v>
      </c>
      <c r="G101" s="65"/>
      <c r="H101" s="31"/>
      <c r="I101" s="32" t="str">
        <f>CONCATENATE(
if(countif(dd.agi,$D101),"D",""),
if(countif(knap.agi,$D101),"K",""),
if(countif(mic.agi,$D101),"M",""),
if(countif(nap.agi,$D101),"N",""),
if(countif(np.agi,$D101),"P",""),
if(countif(imp.agi,$D101),"T",""),
if(countif(us.agi,$D101),"U",""),
if(countif(var.agi,$D101),"V","")
)</f>
        <v/>
      </c>
      <c r="J101" s="32" t="str">
        <f>
CONCATENATE(
if(countif(nap.bun,$D101),"N",""),
if(countif(np.bun,$D101),"P","")
)
</f>
        <v/>
      </c>
      <c r="K101" s="32" t="str">
        <f>CONCATENATE(
if(countif(dd.kxn,$D101),"D",""),
if(countif(knap.kxn,$D101),"K",""),
if(countif(mic.kxn,$D101),"M",""),
if(countif(nap.kxn,$D101),"N",""),
if(countif(np.kxn,$D101),"P",""),
if(countif(us.kxn,$D101),"U",""),
if(countif(var.kxn,$D101),"V","")
)</f>
        <v>KP</v>
      </c>
      <c r="L101" s="32" t="str">
        <f>
CONCATENATE(
if(countif(dd.hwb,$D101),"D",""),
if(countif(knap.hwb,$D101),"K",""),
if(countif(mic.hwb,$D101),"M",""),
if(countif(nap.hwb,$D101),"N",""),
if(countif(np.hwb,$D101),"P",""),
if(countif(us.hwb,$D101),"U",""),
if(countif(imp.hwb,$D101),"T",""),
if(countif(var.hwb,$D101),"V","")
)</f>
        <v>K</v>
      </c>
      <c r="M101" s="32" t="str">
        <f>CONCATENATE(
if(countif(dd.epc,$D101),"D",""),
if(countif(knap.ekxn,$D101),"K",""),
if(countif(mic.ekxn,$D101),"M",""),
if(countif(nap.ekxn,$D101),"N",""),
if(countif(np.ekxn,$D101),"P",""),
if(countif(imp.epc,$D101),"T",""),
if(countif(us.ekxn,$D101),"U",""),
if(countif(var.ekxn,$D101),"V","")
)</f>
        <v>P</v>
      </c>
      <c r="N101" s="32" t="str">
        <f>
CONCATENATE(
if(countif(dd.ecg,$D101),"D",""),
if(countif(mic.ecg,$D101),"M",""),
if(countif(np.ecg,$D101),"P",""),
if(countif(imp.ecg,$D101),"T",""),
if(countif(us.ecg,$D101),"U","")
)</f>
        <v/>
      </c>
      <c r="O101" s="32" t="str">
        <f>
CONCATENATE(
if(countif(dd.egt,$D101),"D",""),
if(countif(mic.egt,$D101),"M",""),
if(countif(nap.egt,$D101),"N",""),
if(countif(us.egt,$D101),"U",""),
if(countif(var.egt,$D101),"V",""))
</f>
        <v/>
      </c>
      <c r="P101" s="32" t="str">
        <f>CONCATENATE(
if(countif(knap.egcg,$D101),"K",""),
if(countif(mic.egcg,$D101),"M",""),
if(countif(np.egcg,$D101),"P",""),
if(countif(us.egcg,$D101),"U","")
)</f>
        <v/>
      </c>
      <c r="Q101" s="32" t="str">
        <f>CONCATENATE(if(countif(np.ecit,$D101),"P",""),
if(countif(nap.ecit,$D101),"A",""))</f>
        <v/>
      </c>
      <c r="R101" s="32" t="str">
        <f>
CONCATENATE(
if(countif(nap.erd,$D101),"N",""),
if(countif(np.erd,$D101),"P",""),
if(countif(var.erd,$D101),"V",""))</f>
        <v/>
      </c>
      <c r="S101" s="32" t="str">
        <f>
CONCATENATE(
if(countif(dd.gkxn,$D101),"D",""),
if(countif(knap.gkxn,$D101),"K",""),
if(countif(nap.gkxn,$D101),"N",""),
if(countif(np.gkxn,$D101),"P",""),
if(countif(imp.gkxn,$D101),"T",""),
if(countif(var.gkxn,$D101),"V",""))</f>
        <v>K</v>
      </c>
      <c r="T101" s="32" t="str">
        <f>
CONCATENATE(
if(countif(dd.gen,$C101),"D",""),
if(countif(knap.gen,$C101),"K",""),
if(countif(nap.gen,$C101),"N",""),
if(countif(np.gen,$C101),"P",""),
if(countif(imp.gen,$C101),"T",""),
if(countif(var.gen,$C101),"V",""))</f>
        <v>DK</v>
      </c>
      <c r="U101" s="32" t="str">
        <f>
CONCATENATE(
if(countif(dd.hcc,$D101),"D",""),
if(countif(knap.hcc,$D101),"K",""),
if(countif(np.hcc,$D101),"P","")
)
</f>
        <v/>
      </c>
      <c r="V101" s="32" t="str">
        <f>
CONCATENATE(
if(countif(dd.kmp,$D101),"D",""),
if(countif(knap.kmp,$D101),"K",""),
if(countif(mic.kmp,$D101),"M",""),
if(countif(nap.kmp,$D101),"N",""),
if(countif(np.kmp,$D101),"P",""),
if(countif(imp.kmp,$D101),"T",""),
if(countif(us.kmp,$D101),"U",""),
if(countif(var.kmp,$D101),"V",""))</f>
        <v/>
      </c>
      <c r="W101" s="32" t="str">
        <f>
CONCATENATE(
if(countif(dd.lu2,$D101),"D",""),
if(countif(knap.lu2,$D101),"K",""),
if(countif(mic.lu2,$D101),"M",""),
if(countif(nap.lu2,$D101),"N",""),
if(countif(np.lu2,$D101),"P",""),
if(countif(imp.lu2,$D101),"T",""),
if(countif(us.lu2,$D101),"U",""),
if(countif(var.lu2,$D101),"V",""))</f>
        <v/>
      </c>
      <c r="X101" s="32" t="str">
        <f>
CONCATENATE(
if(countif(dd.myc,$D101),"D",""),
if(countif(knap.myc,$D101),"K",""), 
if(countif(mic.myc,$D101),"M",""),
if(countif(nap.myc,$D101),"N",""),
if(countif(np.myc,$D101),"P",""),
if(countif(imp.myc,$D101),"T",""),
if(countif(us.myc,$D101),"U",""),
if(countif(var.myc,$D101),"V",""))</f>
        <v/>
      </c>
      <c r="Y101" s="32" t="str">
        <f>CONCATENATE(
if(countif(dd.nar,$D101),"D",""),
if(countif(knap.nar,$D101),"K",""),
if(countif(nap.nar,$D101),"N",""),
if(countif(np.nar,$D101),"P",""),
if(countif(imp.nar,$D101),"T",""),
if(countif(us.nar,$D101),"U",""),
if(countif(var.nar,$D101),"V",""))</f>
        <v>N</v>
      </c>
      <c r="Z101" s="33" t="str">
        <f>
CONCATENATE(
if(countif(dd.que,$D101),"D",""),
if(countif(knap.que,$D101),"K",""),
if(countif(mic.que,$D101),"M",""),
if(countif(nap.que,$D101),"N",""),
if(countif(np.que,$D101),"P",""),
if(countif(imp.que,$D101),"T",""),
if(countif(us.que,$D101),"U",""),
if(countif(var.que,$D101),"V",""))</f>
        <v>P</v>
      </c>
      <c r="AA101" s="32"/>
      <c r="AB101" s="34" t="str">
        <f>
CONCATENATE(if(countif(knap.agi.sim,$D101),"K",""),
if(countif(dd.agi.sim,$D101),"D",""),
if(countif(nap.agi.sim,$D101),"A",""),
if(countif(var.agi.sim,$D101),"V",""))</f>
        <v/>
      </c>
      <c r="AC101" s="34" t="str">
        <f>
if(countif(nap.bun.sim,$D101),"A","")</f>
        <v/>
      </c>
      <c r="AD101" s="34" t="str">
        <f>
CONCATENATE(if(countif(knap.kxn.sim,$D101),"K",""),
if(countif(np.kxn.sim,$D101),"P",""),
if(countif(dd.kxn.sim,$D101),"D",""),
if(countif(nap.kxn.sim,$D101),"A",""),
if(countif(var.kxn.sim,$D101),"V",""))</f>
        <v>KPA</v>
      </c>
      <c r="AE101" s="34" t="str">
        <f>
CONCATENATE(if(countif(knap.hwb.sim,$D101),"K",""),
if(countif(np.hwb.sim,$D101),"P",""),
if(countif(mic.hwb.sim,$D101),"M",""),
if(countif(imp.hwb.sim,$D101),"T",""),
if(countif(dd.cyan.sim,$D101),"D",""),
if(countif(nap.hwb.sim,$D101),"A",""),
if(countif(var.hwb.sim,$D101),"V",""))</f>
        <v/>
      </c>
      <c r="AF101" s="34" t="str">
        <f>
CONCATENATE(if(countif(us.ekxn.sim,$D101),"U",""),
if(countif(knap.ekxn.sim,$D101),"K",""),
if(countif(np.ekxn.sim,$D101),"P",""),
if(countif(mic.ekxn.sim,$D101),"M",""),
if(countif(imp.epc.sim,$D101),"T",""),
if(countif(nap.ekxn.sim,$D101),"A",""))</f>
        <v>P</v>
      </c>
      <c r="AG101" s="34"/>
      <c r="AH101" s="34" t="str">
        <f>
CONCATENATE(if(countif(us.egt.sim,$D101),"U",""),
if(countif(knap.egt.sim,$D101),"K",""),
if(countif(np.egt.sim,$D101),"P",""),
if(countif(mic.egt.sim,$D101),"M",""))</f>
        <v/>
      </c>
      <c r="AI101" s="34"/>
      <c r="AJ101" s="34" t="str">
        <f>if(countif(nap.ecit.sim,$D101),"A","")</f>
        <v/>
      </c>
      <c r="AK101" s="34" t="str">
        <f>
CONCATENATE(if(countif(nap.erd,$D101),"M",""),
if(countif(nap.erd.sim,$D101),"A",""),
if(countif(var.erd.sim,$D101),"V",""))</f>
        <v/>
      </c>
      <c r="AL101" s="34" t="str">
        <f>
CONCATENATE(if(countif(knap.gkxn.sim,$D101),"K",""),
if(countif(nap.gkxn.sim,$D101),"A",""))</f>
        <v/>
      </c>
      <c r="AM101" s="34" t="str">
        <f>
CONCATENATE(if(countif(knap.gen.sim,$C101),"K",""),
if(countif(imp.gen.sim,$C101),"T",""),
if(countif(dd.gen.sim,$C101),"D",""),
if(countif(nap.gen.sim,$C101),"A",""),
if(countif(var.gen.sim,$C101),"V",""))
</f>
        <v>KDA</v>
      </c>
      <c r="AN101" s="34" t="str">
        <f>IFERROR(__xludf.DUMMYFUNCTION("
if(countif(#REF!,CONCATENATE(regexextract($C101,""[\w]* [\w]*""), ""*"")),""V"","""")"),"")</f>
        <v/>
      </c>
      <c r="AO101" s="34" t="str">
        <f>
CONCATENATE(if(countif(knap.kmp.sim,$D101),"K",""),
if(countif(np.kmp.sim,$D101),"P",""),
if(countif(imp.kmp.sim,$D101),"T",""),
if(countif(dd.kmp,$D101),"D",""),
if(countif(nap.kmp.sim,$D101),"A",""),
if(countif(var.kmp.sim,$D101),"V",""))</f>
        <v>A</v>
      </c>
      <c r="AP101" s="34" t="str">
        <f>
CONCATENATE(if(countif(knap.lu2.sim,$D101),"K",""),
if(countif(np.lu2.sim,$D101),"P",""),
if(countif(imp.lu2.sim,$D101),"T",""),
if(countif(dd.lu2.sim,$D101),"D",""),
if(countif(nap.lu2.sim,$D101),"A",""),
if(countif(var.lu2.sim,$D101),"V",""))</f>
        <v/>
      </c>
      <c r="AQ101" s="34" t="str">
        <f>
CONCATENATE(if(countif(np.myc.sim,$D101),"P",""),
if(countif(imp.myc.sim,$D101),"T",""),
if(countif(nap.myc.sim,$D101),"A",""))
</f>
        <v/>
      </c>
      <c r="AR101" s="36" t="str">
        <f>
CONCATENATE(if(countif(knap.nar.sim,$D101),"K",""),
if(countif(np.nar.sim,$D101),"P",""),
if(countif(imp.nar.sim,$D101),"T",""),
if(countif(dd.nar.sim,$D101),"D",""),
if(countif(nap.nar.sim,$D101),"A",""),
if(countif(var.nar.sim,$D101),"V",""))</f>
        <v/>
      </c>
      <c r="AS101" s="34" t="str">
        <f>
CONCATENATE(if(countif(knap.que.sim,$D101),"K",""),
if(countif(np.que.sim,$D101),"P",""),
if(countif(imp.que.sim,$D101),"T",""),
if(countif(dd.que.sim,$D101),"D",""),
if(countif(nap.que.sim,$D101),"A",""),
if(countif(var.que.sim,$D101),"V",""))</f>
        <v>P</v>
      </c>
      <c r="AT101" s="37"/>
      <c r="AU101" s="32" t="str">
        <f>IFERROR(__xludf.DUMMYFUNCTION("if(countif(kr.agi, CONCATENATE(regexextract($C101,""[\w]* [\w]*""), ""*"")),""X"","""")"),"X")</f>
        <v>X</v>
      </c>
      <c r="AV101" s="38" t="str">
        <f>IFERROR(__xludf.DUMMYFUNCTION("if(countif(kr.bun,CONCATENATE(regexextract($C101,""[\w]* [\w]*""), ""*"")),""X"","""")"),"X")</f>
        <v>X</v>
      </c>
      <c r="AW101" s="38" t="str">
        <f>IFERROR(__xludf.DUMMYFUNCTION("if(countif(kr.kxn,CONCATENATE(regexextract($C101,""[\w]* [\w]*""), ""*"")),""X"","""")"),"X")</f>
        <v>X</v>
      </c>
      <c r="AX101" s="38" t="str">
        <f>IFERROR(__xludf.DUMMYFUNCTION("if(countif(kr.hwb,CONCATENATE(regexextract($C101,""[\w]* [\w]*""), ""*"")),""X"","""")"),"X")</f>
        <v>X</v>
      </c>
      <c r="AY101" s="38" t="str">
        <f>IFERROR(__xludf.DUMMYFUNCTION("if(countif(kr.ec,CONCATENATE(regexextract($C101,""[\w]* [\w]*""), ""*"")),""X"","""")"),"X")</f>
        <v>X</v>
      </c>
      <c r="AZ101" s="38" t="str">
        <f>IFERROR(__xludf.DUMMYFUNCTION("if(countif(kr.egt,CONCATENATE(regexextract($C101,""[\w]* [\w]*""), ""*"")),""X"","""")"),"X")</f>
        <v>X</v>
      </c>
      <c r="BA101" s="38"/>
      <c r="BB101" s="38" t="str">
        <f>IFERROR(__xludf.DUMMYFUNCTION("if(countif(kr.erd,CONCATENATE(regexextract($C101,""[\w]* [\w]*""), ""*"")),""X"","""")"),"X")</f>
        <v>X</v>
      </c>
      <c r="BC101" s="38" t="str">
        <f>IFERROR(__xludf.DUMMYFUNCTION("if(countif(kr.gkxn,CONCATENATE(regexextract($C101,""[\w]* [\w]*""), ""*"")),""X"","""")"),"X")</f>
        <v>X</v>
      </c>
      <c r="BD101" s="38" t="str">
        <f>IFERROR(__xludf.DUMMYFUNCTION("if(countif(kr.gen,CONCATENATE(regexextract(C101,""[\w]* [\w]*""), ""*"")),""X"","""")"),"X")</f>
        <v>X</v>
      </c>
      <c r="BE101" s="38" t="str">
        <f>IFERROR(__xludf.DUMMYFUNCTION("if(countif(kr.hcc,CONCATENATE(regexextract($C101,""[\w]* [\w]*""), ""*"")),""X"","""")"),"X")</f>
        <v>X</v>
      </c>
      <c r="BF101" s="38" t="str">
        <f>IFERROR(__xludf.DUMMYFUNCTION("if(countif(kr.kmp,CONCATENATE(regexextract($C101,""[\w]* [\w]*""), ""*"")),""X"","""")"),"X")</f>
        <v>X</v>
      </c>
      <c r="BG101" s="38" t="str">
        <f>IFERROR(__xludf.DUMMYFUNCTION("if(countif(kr.lu2,CONCATENATE(regexextract($C101,""[\w]* [\w]*""), ""*"")),""X"","""")"),"X")</f>
        <v>X</v>
      </c>
      <c r="BH101" s="38" t="str">
        <f>IFERROR(__xludf.DUMMYFUNCTION("if(countif(kr.myc,CONCATENATE(regexextract($C101,""[\w]* [\w]*""), ""*"")),""X"","""")"),"X")</f>
        <v>X</v>
      </c>
      <c r="BI101" s="38" t="str">
        <f>IFERROR(__xludf.DUMMYFUNCTION("if(countif(kr.nar,CONCATENATE(regexextract($C101,""[\w]* [\w]*""), ""*"")),""X"","""")"),"X")</f>
        <v>X</v>
      </c>
      <c r="BJ101" s="38" t="str">
        <f>IFERROR(__xludf.DUMMYFUNCTION("if(countif(kr.que,CONCATENATE(regexextract($C101,""[\w]* [\w]*""), ""*"")),""X"","""")"),"X")</f>
        <v>X</v>
      </c>
      <c r="BK101" s="39"/>
      <c r="BL101" s="40" t="str">
        <f>IFERROR(__xludf.DUMMYFUNCTION(" CONCATENATE( 
if (regexmatch(I101, ""^[A-Za-z\.\_]+""), ""L"", 
if(regexmatch(AB101, ""^[A-Za-z\.\_]+""),""S"","""")),
if(AU101=""X"",""K"",""""))"),"K")</f>
        <v>K</v>
      </c>
      <c r="BM101" s="40" t="str">
        <f>IFERROR(__xludf.DUMMYFUNCTION(" CONCATENATE( 
if (regexmatch(J101, ""^[A-Za-z\.\_]+""), ""L"", 
if(regexmatch(AC101, ""^[A-Za-z\.\_]+""),""S"","""")),
if(AV101=""X"",""K"",""""))"),"K")</f>
        <v>K</v>
      </c>
      <c r="BN101" s="40" t="str">
        <f>IFERROR(__xludf.DUMMYFUNCTION(" CONCATENATE( 
if (regexmatch(K101, ""^[A-Za-z\.\_]+""), ""L"", 
if(regexmatch(AD101, ""^[A-Za-z\.\_]+""),""S"","""")),
if(AW101=""X"",""K"",""""))"),"LK")</f>
        <v>LK</v>
      </c>
      <c r="BO101" s="40" t="str">
        <f>IFERROR(__xludf.DUMMYFUNCTION(" CONCATENATE( 
if (regexmatch(L101, ""^[A-Za-z\.\_]+""), ""L"", 
if(regexmatch(AE101, ""^[A-Za-z\.\_]+""),""S"","""")),
if(AX101=""X"",""K"",""""))"),"LK")</f>
        <v>LK</v>
      </c>
      <c r="BP101" s="40" t="str">
        <f>IFERROR(__xludf.DUMMYFUNCTION(" CONCATENATE( 
if (regexmatch(M101, ""^[A-Za-z\.\_]+""), ""L"", 
if(regexmatch(AF101, ""^[A-Za-z\.\_]+""),""S"","""")),
if(AY101=""X"",""K"",""""))"),"LK")</f>
        <v>LK</v>
      </c>
      <c r="BQ101" s="40" t="str">
        <f>IFERROR(__xludf.DUMMYFUNCTION("CONCATENATE( 
if (regexmatch(O101, ""^[A-Za-z\.\_]+""), ""L"", 
if(regexmatch(AH101, ""^[A-Za-z\.\_]+""),""S"","""")),
if(AZ101=""X"",""K"",""""))"),"K")</f>
        <v>K</v>
      </c>
      <c r="BR101" s="40" t="str">
        <f>IFERROR(__xludf.DUMMYFUNCTION("CONCATENATE( 
if (regexmatch(Q101, ""^[A-Za-z\.\_]+""), ""L"", 
if(regexmatch(AJ101, ""^[A-Za-z\.\_]+""),""S"","""")),
if(BA101=""X"",""K"",""""))"),"")</f>
        <v/>
      </c>
      <c r="BS101" s="40" t="str">
        <f>IFERROR(__xludf.DUMMYFUNCTION(" CONCATENATE( 
if (regexmatch(R101, ""^[A-Za-z\.\_]+""), ""L"", 
if(regexmatch(AK101, ""^[A-Za-z\.\_]+""),""S"","""")),
if(BB101=""X"",""K"",""""))"),"K")</f>
        <v>K</v>
      </c>
      <c r="BT101" s="40" t="str">
        <f>IFERROR(__xludf.DUMMYFUNCTION("CONCATENATE( 
if (regexmatch(S101, ""^[A-Za-z\.\_]+""), ""L"", 
if(regexmatch(AL101, ""^[A-Za-z\.\_]+""),""S"","""")),
if(BC101=""X"",""K"",""""))"),"LK")</f>
        <v>LK</v>
      </c>
      <c r="BU101" s="40" t="str">
        <f>IFERROR(__xludf.DUMMYFUNCTION("CONCATENATE( 
if (regexmatch(T101, ""^[A-Za-z\.\_]+""), ""L"", 
if(regexmatch(AM101, ""^[A-Za-z\.\_]+""),""S"","""")),
if(BD101=""X"",""K"",""""))"),"LK")</f>
        <v>LK</v>
      </c>
      <c r="BV101" s="40" t="str">
        <f>IFERROR(__xludf.DUMMYFUNCTION("CONCATENATE( 
if (regexmatch(U101, ""^[A-Za-z\.\_]+""), ""L"", 
if(regexmatch(AN101, ""^[A-Za-z\.\_]+""),""S"","""")),
if(BE101=""X"",""K"",""""))"),"K")</f>
        <v>K</v>
      </c>
      <c r="BW101" s="40" t="str">
        <f>IFERROR(__xludf.DUMMYFUNCTION(" CONCATENATE( 
if (regexmatch(V101, ""^[A-Za-z\.\_]+""), ""L"", 
if(regexmatch(AO101, ""^[A-Za-z\.\_]+""),""S"","""")),
if(BF101=""X"",""K"",""""))"),"SK")</f>
        <v>SK</v>
      </c>
      <c r="BX101" s="40" t="str">
        <f>IFERROR(__xludf.DUMMYFUNCTION("CONCATENATE( 
if (regexmatch(W101, ""^[A-Za-z\.\_]+""), ""L"", 
if(regexmatch(AP101, ""^[A-Za-z\.\_]+""),""S"","""")),
if(BG101=""X"",""K"",""""))"),"K")</f>
        <v>K</v>
      </c>
      <c r="BY101" s="40" t="str">
        <f>IFERROR(__xludf.DUMMYFUNCTION("CONCATENATE( 
if (regexmatch(X101, ""^[A-Za-z\.\_]+""), ""L"", 
if(regexmatch(AQ101, ""^[A-Za-z\.\_]+""),""S"","""")),
if(BH101=""X"",""K"",""""))"),"K")</f>
        <v>K</v>
      </c>
      <c r="BZ101" s="40" t="str">
        <f>IFERROR(__xludf.DUMMYFUNCTION("CONCATENATE( 
if (regexmatch(Y101, ""^[A-Za-z\.\_]+""), ""L"", 
if(regexmatch(AR101, ""^[A-Za-z\.\_]+""),""S"","""")),
if(BI101=""X"",""K"",""""))"),"LK")</f>
        <v>LK</v>
      </c>
      <c r="CA101" s="40" t="str">
        <f>IFERROR(__xludf.DUMMYFUNCTION("CONCATENATE( 
if (regexmatch(Z101, ""^[A-Za-z\.\_]+""), ""L"", 
if(regexmatch(AS101, ""^[A-Za-z\.\_]+""),""S"","""")),
if(BJ101=""X"",""K"",""""))"),"LK")</f>
        <v>LK</v>
      </c>
      <c r="CB101" s="39"/>
      <c r="CC101" s="39"/>
      <c r="CD101" s="39"/>
      <c r="CE101" s="39"/>
      <c r="CF101" s="39"/>
      <c r="CG101" s="39"/>
      <c r="CH101" s="39"/>
      <c r="CI101" s="39"/>
      <c r="CJ101" s="39"/>
      <c r="CK101" s="39"/>
      <c r="CL101" s="39"/>
      <c r="CM101" s="39"/>
      <c r="CN101" s="39"/>
      <c r="CO101" s="39"/>
      <c r="CP101" s="39"/>
      <c r="CQ101" s="39"/>
      <c r="CR101" s="39"/>
    </row>
    <row r="102" ht="15.75" customHeight="1">
      <c r="A102" s="25">
        <v>37.0</v>
      </c>
      <c r="B102" s="26" t="s">
        <v>377</v>
      </c>
      <c r="C102" s="27" t="s">
        <v>378</v>
      </c>
      <c r="D102" s="27" t="str">
        <f>IFERROR(__xludf.DUMMYFUNCTION("CONCATENATE(regexextract($C102,""[\w]* [\w]*""), ""*"")"),"Vigna radiata*")</f>
        <v>Vigna radiata*</v>
      </c>
      <c r="E102" s="26" t="s">
        <v>379</v>
      </c>
      <c r="F102" s="57">
        <v>157791.0</v>
      </c>
      <c r="G102" s="65"/>
      <c r="H102" s="31"/>
      <c r="I102" s="32" t="str">
        <f>CONCATENATE(
if(countif(dd.agi,$D102),"D",""),
if(countif(knap.agi,$D102),"K",""),
if(countif(mic.agi,$D102),"M",""),
if(countif(nap.agi,$D102),"N",""),
if(countif(np.agi,$D102),"P",""),
if(countif(imp.agi,$D102),"T",""),
if(countif(us.agi,$D102),"U",""),
if(countif(var.agi,$D102),"V","")
)</f>
        <v/>
      </c>
      <c r="J102" s="32" t="str">
        <f>
CONCATENATE(
if(countif(nap.bun,$D102),"N",""),
if(countif(np.bun,$D102),"P","")
)
</f>
        <v/>
      </c>
      <c r="K102" s="32" t="str">
        <f>CONCATENATE(
if(countif(dd.kxn,$D102),"D",""),
if(countif(knap.kxn,$D102),"K",""),
if(countif(mic.kxn,$D102),"M",""),
if(countif(nap.kxn,$D102),"N",""),
if(countif(np.kxn,$D102),"P",""),
if(countif(us.kxn,$D102),"U",""),
if(countif(var.kxn,$D102),"V","")
)</f>
        <v>V</v>
      </c>
      <c r="L102" s="32" t="str">
        <f>
CONCATENATE(
if(countif(dd.hwb,$D102),"D",""),
if(countif(knap.hwb,$D102),"K",""),
if(countif(mic.hwb,$D102),"M",""),
if(countif(nap.hwb,$D102),"N",""),
if(countif(np.hwb,$D102),"P",""),
if(countif(us.hwb,$D102),"U",""),
if(countif(imp.hwb,$D102),"T",""),
if(countif(var.hwb,$D102),"V","")
)</f>
        <v/>
      </c>
      <c r="M102" s="32" t="str">
        <f>CONCATENATE(
if(countif(dd.epc,$D102),"D",""),
if(countif(knap.ekxn,$D102),"K",""),
if(countif(mic.ekxn,$D102),"M",""),
if(countif(nap.ekxn,$D102),"N",""),
if(countif(np.ekxn,$D102),"P",""),
if(countif(imp.epc,$D102),"T",""),
if(countif(us.ekxn,$D102),"U",""),
if(countif(var.ekxn,$D102),"V","")
)</f>
        <v>V</v>
      </c>
      <c r="N102" s="32" t="str">
        <f>
CONCATENATE(
if(countif(dd.ecg,$D102),"D",""),
if(countif(mic.ecg,$D102),"M",""),
if(countif(np.ecg,$D102),"P",""),
if(countif(imp.ecg,$D102),"T",""),
if(countif(us.ecg,$D102),"U","")
)</f>
        <v/>
      </c>
      <c r="O102" s="32" t="str">
        <f>
CONCATENATE(
if(countif(dd.egt,$D102),"D",""),
if(countif(mic.egt,$D102),"M",""),
if(countif(nap.egt,$D102),"N",""),
if(countif(us.egt,$D102),"U",""),
if(countif(var.egt,$D102),"V",""))
</f>
        <v/>
      </c>
      <c r="P102" s="32" t="str">
        <f>CONCATENATE(
if(countif(knap.egcg,$D102),"K",""),
if(countif(mic.egcg,$D102),"M",""),
if(countif(np.egcg,$D102),"P",""),
if(countif(us.egcg,$D102),"U","")
)</f>
        <v/>
      </c>
      <c r="Q102" s="32" t="str">
        <f>CONCATENATE(if(countif(np.ecit,$D102),"P",""),
if(countif(nap.ecit,$D102),"A",""))</f>
        <v/>
      </c>
      <c r="R102" s="32" t="str">
        <f>
CONCATENATE(
if(countif(nap.erd,$D102),"N",""),
if(countif(np.erd,$D102),"P",""),
if(countif(var.erd,$D102),"V",""))</f>
        <v>V</v>
      </c>
      <c r="S102" s="32" t="str">
        <f>
CONCATENATE(
if(countif(dd.gkxn,$D102),"D",""),
if(countif(knap.gkxn,$D102),"K",""),
if(countif(nap.gkxn,$D102),"N",""),
if(countif(np.gkxn,$D102),"P",""),
if(countif(imp.gkxn,$D102),"T",""),
if(countif(var.gkxn,$D102),"V",""))</f>
        <v>K</v>
      </c>
      <c r="T102" s="32" t="str">
        <f>
CONCATENATE(
if(countif(dd.gen,$C102),"D",""),
if(countif(knap.gen,$C102),"K",""),
if(countif(nap.gen,$C102),"N",""),
if(countif(np.gen,$C102),"P",""),
if(countif(imp.gen,$C102),"T",""),
if(countif(var.gen,$C102),"V",""))</f>
        <v>DKNT</v>
      </c>
      <c r="U102" s="32" t="str">
        <f>
CONCATENATE(
if(countif(dd.hcc,$D102),"D",""),
if(countif(knap.hcc,$D102),"K",""),
if(countif(np.hcc,$D102),"P","")
)
</f>
        <v/>
      </c>
      <c r="V102" s="32" t="str">
        <f>
CONCATENATE(
if(countif(dd.kmp,$D102),"D",""),
if(countif(knap.kmp,$D102),"K",""),
if(countif(mic.kmp,$D102),"M",""),
if(countif(nap.kmp,$D102),"N",""),
if(countif(np.kmp,$D102),"P",""),
if(countif(imp.kmp,$D102),"T",""),
if(countif(us.kmp,$D102),"U",""),
if(countif(var.kmp,$D102),"V",""))</f>
        <v>DMNU</v>
      </c>
      <c r="W102" s="32" t="str">
        <f>
CONCATENATE(
if(countif(dd.lu2,$D102),"D",""),
if(countif(knap.lu2,$D102),"K",""),
if(countif(mic.lu2,$D102),"M",""),
if(countif(nap.lu2,$D102),"N",""),
if(countif(np.lu2,$D102),"P",""),
if(countif(imp.lu2,$D102),"T",""),
if(countif(us.lu2,$D102),"U",""),
if(countif(var.lu2,$D102),"V",""))</f>
        <v/>
      </c>
      <c r="X102" s="32" t="str">
        <f>
CONCATENATE(
if(countif(dd.myc,$D102),"D",""),
if(countif(knap.myc,$D102),"K",""), 
if(countif(mic.myc,$D102),"M",""),
if(countif(nap.myc,$D102),"N",""),
if(countif(np.myc,$D102),"P",""),
if(countif(imp.myc,$D102),"T",""),
if(countif(us.myc,$D102),"U",""),
if(countif(var.myc,$D102),"V",""))</f>
        <v>V</v>
      </c>
      <c r="Y102" s="32" t="str">
        <f>CONCATENATE(
if(countif(dd.nar,$D102),"D",""),
if(countif(knap.nar,$D102),"K",""),
if(countif(nap.nar,$D102),"N",""),
if(countif(np.nar,$D102),"P",""),
if(countif(imp.nar,$D102),"T",""),
if(countif(us.nar,$D102),"U",""),
if(countif(var.nar,$D102),"V",""))</f>
        <v>D</v>
      </c>
      <c r="Z102" s="33" t="str">
        <f>
CONCATENATE(
if(countif(dd.que,$D102),"D",""),
if(countif(knap.que,$D102),"K",""),
if(countif(mic.que,$D102),"M",""),
if(countif(nap.que,$D102),"N",""),
if(countif(np.que,$D102),"P",""),
if(countif(imp.que,$D102),"T",""),
if(countif(us.que,$D102),"U",""),
if(countif(var.que,$D102),"V",""))</f>
        <v>DMNU</v>
      </c>
      <c r="AA102" s="32"/>
      <c r="AB102" s="34" t="str">
        <f>
CONCATENATE(if(countif(knap.agi.sim,$D102),"K",""),
if(countif(dd.agi.sim,$D102),"D",""),
if(countif(nap.agi.sim,$D102),"A",""),
if(countif(var.agi.sim,$D102),"V",""))</f>
        <v>K</v>
      </c>
      <c r="AC102" s="34" t="str">
        <f>
if(countif(nap.bun.sim,$D102),"A","")</f>
        <v/>
      </c>
      <c r="AD102" s="34" t="str">
        <f>
CONCATENATE(if(countif(knap.kxn.sim,$D102),"K",""),
if(countif(np.kxn.sim,$D102),"P",""),
if(countif(dd.kxn.sim,$D102),"D",""),
if(countif(nap.kxn.sim,$D102),"A",""),
if(countif(var.kxn.sim,$D102),"V",""))</f>
        <v/>
      </c>
      <c r="AE102" s="34" t="str">
        <f>
CONCATENATE(if(countif(knap.hwb.sim,$D102),"K",""),
if(countif(np.hwb.sim,$D102),"P",""),
if(countif(mic.hwb.sim,$D102),"M",""),
if(countif(imp.hwb.sim,$D102),"T",""),
if(countif(dd.cyan.sim,$D102),"D",""),
if(countif(nap.hwb.sim,$D102),"A",""),
if(countif(var.hwb.sim,$D102),"V",""))</f>
        <v>D</v>
      </c>
      <c r="AF102" s="34" t="str">
        <f>
CONCATENATE(if(countif(us.ekxn.sim,$D102),"U",""),
if(countif(knap.ekxn.sim,$D102),"K",""),
if(countif(np.ekxn.sim,$D102),"P",""),
if(countif(mic.ekxn.sim,$D102),"M",""),
if(countif(imp.epc.sim,$D102),"T",""),
if(countif(nap.ekxn.sim,$D102),"A",""))</f>
        <v/>
      </c>
      <c r="AG102" s="34"/>
      <c r="AH102" s="34" t="str">
        <f>
CONCATENATE(if(countif(us.egt.sim,$D102),"U",""),
if(countif(knap.egt.sim,$D102),"K",""),
if(countif(np.egt.sim,$D102),"P",""),
if(countif(mic.egt.sim,$D102),"M",""))</f>
        <v/>
      </c>
      <c r="AI102" s="34"/>
      <c r="AJ102" s="34" t="str">
        <f>if(countif(nap.ecit.sim,$D102),"A","")</f>
        <v/>
      </c>
      <c r="AK102" s="34" t="str">
        <f>
CONCATENATE(if(countif(nap.erd,$D102),"M",""),
if(countif(nap.erd.sim,$D102),"A",""),
if(countif(var.erd.sim,$D102),"V",""))</f>
        <v/>
      </c>
      <c r="AL102" s="34" t="str">
        <f>
CONCATENATE(if(countif(knap.gkxn.sim,$D102),"K",""),
if(countif(nap.gkxn.sim,$D102),"A",""))</f>
        <v/>
      </c>
      <c r="AM102" s="34" t="str">
        <f>
CONCATENATE(if(countif(knap.gen.sim,$C102),"K",""),
if(countif(imp.gen.sim,$C102),"T",""),
if(countif(dd.gen.sim,$C102),"D",""),
if(countif(nap.gen.sim,$C102),"A",""),
if(countif(var.gen.sim,$C102),"V",""))
</f>
        <v>TDA</v>
      </c>
      <c r="AN102" s="34" t="str">
        <f>IFERROR(__xludf.DUMMYFUNCTION("
if(countif(#REF!,CONCATENATE(regexextract($C102,""[\w]* [\w]*""), ""*"")),""V"","""")"),"")</f>
        <v/>
      </c>
      <c r="AO102" s="34" t="str">
        <f>
CONCATENATE(if(countif(knap.kmp.sim,$D102),"K",""),
if(countif(np.kmp.sim,$D102),"P",""),
if(countif(imp.kmp.sim,$D102),"T",""),
if(countif(dd.kmp,$D102),"D",""),
if(countif(nap.kmp.sim,$D102),"A",""),
if(countif(var.kmp.sim,$D102),"V",""))</f>
        <v>KDA</v>
      </c>
      <c r="AP102" s="34" t="str">
        <f>
CONCATENATE(if(countif(knap.lu2.sim,$D102),"K",""),
if(countif(np.lu2.sim,$D102),"P",""),
if(countif(imp.lu2.sim,$D102),"T",""),
if(countif(dd.lu2.sim,$D102),"D",""),
if(countif(nap.lu2.sim,$D102),"A",""),
if(countif(var.lu2.sim,$D102),"V",""))</f>
        <v/>
      </c>
      <c r="AQ102" s="34" t="str">
        <f>
CONCATENATE(if(countif(np.myc.sim,$D102),"P",""),
if(countif(imp.myc.sim,$D102),"T",""),
if(countif(nap.myc.sim,$D102),"A",""))
</f>
        <v/>
      </c>
      <c r="AR102" s="36" t="str">
        <f>
CONCATENATE(if(countif(knap.nar.sim,$D102),"K",""),
if(countif(np.nar.sim,$D102),"P",""),
if(countif(imp.nar.sim,$D102),"T",""),
if(countif(dd.nar.sim,$D102),"D",""),
if(countif(nap.nar.sim,$D102),"A",""),
if(countif(var.nar.sim,$D102),"V",""))</f>
        <v/>
      </c>
      <c r="AS102" s="34" t="str">
        <f>
CONCATENATE(if(countif(knap.que.sim,$D102),"K",""),
if(countif(np.que.sim,$D102),"P",""),
if(countif(imp.que.sim,$D102),"T",""),
if(countif(dd.que.sim,$D102),"D",""),
if(countif(nap.que.sim,$D102),"A",""),
if(countif(var.que.sim,$D102),"V",""))</f>
        <v>KDA</v>
      </c>
      <c r="AT102" s="37"/>
      <c r="AU102" s="32" t="str">
        <f>IFERROR(__xludf.DUMMYFUNCTION("if(countif(kr.agi, CONCATENATE(regexextract($C102,""[\w]* [\w]*""), ""*"")),""X"","""")"),"")</f>
        <v/>
      </c>
      <c r="AV102" s="38" t="str">
        <f>IFERROR(__xludf.DUMMYFUNCTION("if(countif(kr.bun,CONCATENATE(regexextract($C102,""[\w]* [\w]*""), ""*"")),""X"","""")"),"X")</f>
        <v>X</v>
      </c>
      <c r="AW102" s="38" t="str">
        <f>IFERROR(__xludf.DUMMYFUNCTION("if(countif(kr.kxn,CONCATENATE(regexextract($C102,""[\w]* [\w]*""), ""*"")),""X"","""")"),"X")</f>
        <v>X</v>
      </c>
      <c r="AX102" s="38" t="str">
        <f>IFERROR(__xludf.DUMMYFUNCTION("if(countif(kr.hwb,CONCATENATE(regexextract($C102,""[\w]* [\w]*""), ""*"")),""X"","""")"),"X")</f>
        <v>X</v>
      </c>
      <c r="AY102" s="38" t="str">
        <f>IFERROR(__xludf.DUMMYFUNCTION("if(countif(kr.ec,CONCATENATE(regexextract($C102,""[\w]* [\w]*""), ""*"")),""X"","""")"),"X")</f>
        <v>X</v>
      </c>
      <c r="AZ102" s="38" t="str">
        <f>IFERROR(__xludf.DUMMYFUNCTION("if(countif(kr.egt,CONCATENATE(regexextract($C102,""[\w]* [\w]*""), ""*"")),""X"","""")"),"X")</f>
        <v>X</v>
      </c>
      <c r="BA102" s="38"/>
      <c r="BB102" s="38" t="str">
        <f>IFERROR(__xludf.DUMMYFUNCTION("if(countif(kr.erd,CONCATENATE(regexextract($C102,""[\w]* [\w]*""), ""*"")),""X"","""")"),"X")</f>
        <v>X</v>
      </c>
      <c r="BC102" s="38" t="str">
        <f>IFERROR(__xludf.DUMMYFUNCTION("if(countif(kr.gkxn,CONCATENATE(regexextract($C102,""[\w]* [\w]*""), ""*"")),""X"","""")"),"X")</f>
        <v>X</v>
      </c>
      <c r="BD102" s="38" t="str">
        <f>IFERROR(__xludf.DUMMYFUNCTION("if(countif(kr.gen,CONCATENATE(regexextract(C102,""[\w]* [\w]*""), ""*"")),""X"","""")"),"X")</f>
        <v>X</v>
      </c>
      <c r="BE102" s="38" t="str">
        <f>IFERROR(__xludf.DUMMYFUNCTION("if(countif(kr.hcc,CONCATENATE(regexextract($C102,""[\w]* [\w]*""), ""*"")),""X"","""")"),"X")</f>
        <v>X</v>
      </c>
      <c r="BF102" s="38" t="str">
        <f>IFERROR(__xludf.DUMMYFUNCTION("if(countif(kr.kmp,CONCATENATE(regexextract($C102,""[\w]* [\w]*""), ""*"")),""X"","""")"),"X")</f>
        <v>X</v>
      </c>
      <c r="BG102" s="38" t="str">
        <f>IFERROR(__xludf.DUMMYFUNCTION("if(countif(kr.lu2,CONCATENATE(regexextract($C102,""[\w]* [\w]*""), ""*"")),""X"","""")"),"")</f>
        <v/>
      </c>
      <c r="BH102" s="38" t="str">
        <f>IFERROR(__xludf.DUMMYFUNCTION("if(countif(kr.myc,CONCATENATE(regexextract($C102,""[\w]* [\w]*""), ""*"")),""X"","""")"),"X")</f>
        <v>X</v>
      </c>
      <c r="BI102" s="38" t="str">
        <f>IFERROR(__xludf.DUMMYFUNCTION("if(countif(kr.nar,CONCATENATE(regexextract($C102,""[\w]* [\w]*""), ""*"")),""X"","""")"),"X")</f>
        <v>X</v>
      </c>
      <c r="BJ102" s="38" t="str">
        <f>IFERROR(__xludf.DUMMYFUNCTION("if(countif(kr.que,CONCATENATE(regexextract($C102,""[\w]* [\w]*""), ""*"")),""X"","""")"),"X")</f>
        <v>X</v>
      </c>
      <c r="BK102" s="39"/>
      <c r="BL102" s="40" t="str">
        <f>IFERROR(__xludf.DUMMYFUNCTION(" CONCATENATE( 
if (regexmatch(I102, ""^[A-Za-z\.\_]+""), ""L"", 
if(regexmatch(AB102, ""^[A-Za-z\.\_]+""),""S"","""")),
if(AU102=""X"",""K"",""""))"),"S")</f>
        <v>S</v>
      </c>
      <c r="BM102" s="40" t="str">
        <f>IFERROR(__xludf.DUMMYFUNCTION(" CONCATENATE( 
if (regexmatch(J102, ""^[A-Za-z\.\_]+""), ""L"", 
if(regexmatch(AC102, ""^[A-Za-z\.\_]+""),""S"","""")),
if(AV102=""X"",""K"",""""))"),"K")</f>
        <v>K</v>
      </c>
      <c r="BN102" s="40" t="str">
        <f>IFERROR(__xludf.DUMMYFUNCTION(" CONCATENATE( 
if (regexmatch(K102, ""^[A-Za-z\.\_]+""), ""L"", 
if(regexmatch(AD102, ""^[A-Za-z\.\_]+""),""S"","""")),
if(AW102=""X"",""K"",""""))"),"LK")</f>
        <v>LK</v>
      </c>
      <c r="BO102" s="40" t="str">
        <f>IFERROR(__xludf.DUMMYFUNCTION(" CONCATENATE( 
if (regexmatch(L102, ""^[A-Za-z\.\_]+""), ""L"", 
if(regexmatch(AE102, ""^[A-Za-z\.\_]+""),""S"","""")),
if(AX102=""X"",""K"",""""))"),"SK")</f>
        <v>SK</v>
      </c>
      <c r="BP102" s="40" t="str">
        <f>IFERROR(__xludf.DUMMYFUNCTION(" CONCATENATE( 
if (regexmatch(M102, ""^[A-Za-z\.\_]+""), ""L"", 
if(regexmatch(AF102, ""^[A-Za-z\.\_]+""),""S"","""")),
if(AY102=""X"",""K"",""""))"),"LK")</f>
        <v>LK</v>
      </c>
      <c r="BQ102" s="40" t="str">
        <f>IFERROR(__xludf.DUMMYFUNCTION("CONCATENATE( 
if (regexmatch(O102, ""^[A-Za-z\.\_]+""), ""L"", 
if(regexmatch(AH102, ""^[A-Za-z\.\_]+""),""S"","""")),
if(AZ102=""X"",""K"",""""))"),"K")</f>
        <v>K</v>
      </c>
      <c r="BR102" s="40" t="str">
        <f>IFERROR(__xludf.DUMMYFUNCTION("CONCATENATE( 
if (regexmatch(Q102, ""^[A-Za-z\.\_]+""), ""L"", 
if(regexmatch(AJ102, ""^[A-Za-z\.\_]+""),""S"","""")),
if(BA102=""X"",""K"",""""))"),"")</f>
        <v/>
      </c>
      <c r="BS102" s="40" t="str">
        <f>IFERROR(__xludf.DUMMYFUNCTION(" CONCATENATE( 
if (regexmatch(R102, ""^[A-Za-z\.\_]+""), ""L"", 
if(regexmatch(AK102, ""^[A-Za-z\.\_]+""),""S"","""")),
if(BB102=""X"",""K"",""""))"),"LK")</f>
        <v>LK</v>
      </c>
      <c r="BT102" s="40" t="str">
        <f>IFERROR(__xludf.DUMMYFUNCTION("CONCATENATE( 
if (regexmatch(S102, ""^[A-Za-z\.\_]+""), ""L"", 
if(regexmatch(AL102, ""^[A-Za-z\.\_]+""),""S"","""")),
if(BC102=""X"",""K"",""""))"),"LK")</f>
        <v>LK</v>
      </c>
      <c r="BU102" s="40" t="str">
        <f>IFERROR(__xludf.DUMMYFUNCTION("CONCATENATE( 
if (regexmatch(T102, ""^[A-Za-z\.\_]+""), ""L"", 
if(regexmatch(AM102, ""^[A-Za-z\.\_]+""),""S"","""")),
if(BD102=""X"",""K"",""""))"),"LK")</f>
        <v>LK</v>
      </c>
      <c r="BV102" s="40" t="str">
        <f>IFERROR(__xludf.DUMMYFUNCTION("CONCATENATE( 
if (regexmatch(U102, ""^[A-Za-z\.\_]+""), ""L"", 
if(regexmatch(AN102, ""^[A-Za-z\.\_]+""),""S"","""")),
if(BE102=""X"",""K"",""""))"),"K")</f>
        <v>K</v>
      </c>
      <c r="BW102" s="40" t="str">
        <f>IFERROR(__xludf.DUMMYFUNCTION(" CONCATENATE( 
if (regexmatch(V102, ""^[A-Za-z\.\_]+""), ""L"", 
if(regexmatch(AO102, ""^[A-Za-z\.\_]+""),""S"","""")),
if(BF102=""X"",""K"",""""))"),"LK")</f>
        <v>LK</v>
      </c>
      <c r="BX102" s="40" t="str">
        <f>IFERROR(__xludf.DUMMYFUNCTION("CONCATENATE( 
if (regexmatch(W102, ""^[A-Za-z\.\_]+""), ""L"", 
if(regexmatch(AP102, ""^[A-Za-z\.\_]+""),""S"","""")),
if(BG102=""X"",""K"",""""))"),"")</f>
        <v/>
      </c>
      <c r="BY102" s="40" t="str">
        <f>IFERROR(__xludf.DUMMYFUNCTION("CONCATENATE( 
if (regexmatch(X102, ""^[A-Za-z\.\_]+""), ""L"", 
if(regexmatch(AQ102, ""^[A-Za-z\.\_]+""),""S"","""")),
if(BH102=""X"",""K"",""""))"),"LK")</f>
        <v>LK</v>
      </c>
      <c r="BZ102" s="40" t="str">
        <f>IFERROR(__xludf.DUMMYFUNCTION("CONCATENATE( 
if (regexmatch(Y102, ""^[A-Za-z\.\_]+""), ""L"", 
if(regexmatch(AR102, ""^[A-Za-z\.\_]+""),""S"","""")),
if(BI102=""X"",""K"",""""))"),"LK")</f>
        <v>LK</v>
      </c>
      <c r="CA102" s="40" t="str">
        <f>IFERROR(__xludf.DUMMYFUNCTION("CONCATENATE( 
if (regexmatch(Z102, ""^[A-Za-z\.\_]+""), ""L"", 
if(regexmatch(AS102, ""^[A-Za-z\.\_]+""),""S"","""")),
if(BJ102=""X"",""K"",""""))"),"LK")</f>
        <v>LK</v>
      </c>
      <c r="CB102" s="39"/>
      <c r="CC102" s="39"/>
      <c r="CD102" s="39"/>
      <c r="CE102" s="39"/>
      <c r="CF102" s="39"/>
      <c r="CG102" s="39"/>
      <c r="CH102" s="39"/>
      <c r="CI102" s="39"/>
      <c r="CJ102" s="39"/>
      <c r="CK102" s="39"/>
      <c r="CL102" s="39"/>
      <c r="CM102" s="39"/>
      <c r="CN102" s="39"/>
      <c r="CO102" s="39"/>
      <c r="CP102" s="39"/>
      <c r="CQ102" s="39"/>
      <c r="CR102" s="39"/>
    </row>
    <row r="103" ht="15.75" customHeight="1">
      <c r="A103" s="25">
        <v>38.0</v>
      </c>
      <c r="B103" s="26" t="s">
        <v>380</v>
      </c>
      <c r="C103" s="27" t="s">
        <v>381</v>
      </c>
      <c r="D103" s="27" t="str">
        <f>IFERROR(__xludf.DUMMYFUNCTION("CONCATENATE(regexextract($C103,""[\w]* [\w]*""), ""*"")"),"Vigna unguiculata*")</f>
        <v>Vigna unguiculata*</v>
      </c>
      <c r="E103" s="26" t="s">
        <v>382</v>
      </c>
      <c r="F103" s="57">
        <v>3917.0</v>
      </c>
      <c r="G103" s="65"/>
      <c r="H103" s="31"/>
      <c r="I103" s="32" t="str">
        <f>CONCATENATE(
if(countif(dd.agi,$D103),"D",""),
if(countif(knap.agi,$D103),"K",""),
if(countif(mic.agi,$D103),"M",""),
if(countif(nap.agi,$D103),"N",""),
if(countif(np.agi,$D103),"P",""),
if(countif(imp.agi,$D103),"T",""),
if(countif(us.agi,$D103),"U",""),
if(countif(var.agi,$D103),"V","")
)</f>
        <v/>
      </c>
      <c r="J103" s="32" t="str">
        <f>
CONCATENATE(
if(countif(nap.bun,$D103),"N",""),
if(countif(np.bun,$D103),"P","")
)
</f>
        <v/>
      </c>
      <c r="K103" s="32" t="str">
        <f>CONCATENATE(
if(countif(dd.kxn,$D103),"D",""),
if(countif(knap.kxn,$D103),"K",""),
if(countif(mic.kxn,$D103),"M",""),
if(countif(nap.kxn,$D103),"N",""),
if(countif(np.kxn,$D103),"P",""),
if(countif(us.kxn,$D103),"U",""),
if(countif(var.kxn,$D103),"V","")
)</f>
        <v/>
      </c>
      <c r="L103" s="32" t="str">
        <f>
CONCATENATE(
if(countif(dd.hwb,$D103),"D",""),
if(countif(knap.hwb,$D103),"K",""),
if(countif(mic.hwb,$D103),"M",""),
if(countif(nap.hwb,$D103),"N",""),
if(countif(np.hwb,$D103),"P",""),
if(countif(us.hwb,$D103),"U",""),
if(countif(imp.hwb,$D103),"T",""),
if(countif(var.hwb,$D103),"V","")
)</f>
        <v>T</v>
      </c>
      <c r="M103" s="32" t="str">
        <f>CONCATENATE(
if(countif(dd.epc,$D103),"D",""),
if(countif(knap.ekxn,$D103),"K",""),
if(countif(mic.ekxn,$D103),"M",""),
if(countif(nap.ekxn,$D103),"N",""),
if(countif(np.ekxn,$D103),"P",""),
if(countif(imp.epc,$D103),"T",""),
if(countif(us.ekxn,$D103),"U",""),
if(countif(var.ekxn,$D103),"V","")
)</f>
        <v/>
      </c>
      <c r="N103" s="32" t="str">
        <f>
CONCATENATE(
if(countif(dd.ecg,$D103),"D",""),
if(countif(mic.ecg,$D103),"M",""),
if(countif(np.ecg,$D103),"P",""),
if(countif(imp.ecg,$D103),"T",""),
if(countif(us.ecg,$D103),"U","")
)</f>
        <v/>
      </c>
      <c r="O103" s="32" t="str">
        <f>
CONCATENATE(
if(countif(dd.egt,$D103),"D",""),
if(countif(mic.egt,$D103),"M",""),
if(countif(nap.egt,$D103),"N",""),
if(countif(us.egt,$D103),"U",""),
if(countif(var.egt,$D103),"V",""))
</f>
        <v/>
      </c>
      <c r="P103" s="32" t="str">
        <f>CONCATENATE(
if(countif(knap.egcg,$D103),"K",""),
if(countif(mic.egcg,$D103),"M",""),
if(countif(np.egcg,$D103),"P",""),
if(countif(us.egcg,$D103),"U","")
)</f>
        <v/>
      </c>
      <c r="Q103" s="32" t="str">
        <f>CONCATENATE(if(countif(np.ecit,$D103),"P",""),
if(countif(nap.ecit,$D103),"A",""))</f>
        <v/>
      </c>
      <c r="R103" s="32" t="str">
        <f>
CONCATENATE(
if(countif(nap.erd,$D103),"N",""),
if(countif(np.erd,$D103),"P",""),
if(countif(var.erd,$D103),"V",""))</f>
        <v/>
      </c>
      <c r="S103" s="32" t="str">
        <f>
CONCATENATE(
if(countif(dd.gkxn,$D103),"D",""),
if(countif(knap.gkxn,$D103),"K",""),
if(countif(nap.gkxn,$D103),"N",""),
if(countif(np.gkxn,$D103),"P",""),
if(countif(imp.gkxn,$D103),"T",""),
if(countif(var.gkxn,$D103),"V",""))</f>
        <v/>
      </c>
      <c r="T103" s="32" t="str">
        <f>
CONCATENATE(
if(countif(dd.gen,$C103),"D",""),
if(countif(knap.gen,$C103),"K",""),
if(countif(nap.gen,$C103),"N",""),
if(countif(np.gen,$C103),"P",""),
if(countif(imp.gen,$C103),"T",""),
if(countif(var.gen,$C103),"V",""))</f>
        <v>DT</v>
      </c>
      <c r="U103" s="32" t="str">
        <f>
CONCATENATE(
if(countif(dd.hcc,$D103),"D",""),
if(countif(knap.hcc,$D103),"K",""),
if(countif(np.hcc,$D103),"P","")
)
</f>
        <v/>
      </c>
      <c r="V103" s="32" t="str">
        <f>
CONCATENATE(
if(countif(dd.kmp,$D103),"D",""),
if(countif(knap.kmp,$D103),"K",""),
if(countif(mic.kmp,$D103),"M",""),
if(countif(nap.kmp,$D103),"N",""),
if(countif(np.kmp,$D103),"P",""),
if(countif(imp.kmp,$D103),"T",""),
if(countif(us.kmp,$D103),"U",""),
if(countif(var.kmp,$D103),"V",""))</f>
        <v>T</v>
      </c>
      <c r="W103" s="32" t="str">
        <f>
CONCATENATE(
if(countif(dd.lu2,$D103),"D",""),
if(countif(knap.lu2,$D103),"K",""),
if(countif(mic.lu2,$D103),"M",""),
if(countif(nap.lu2,$D103),"N",""),
if(countif(np.lu2,$D103),"P",""),
if(countif(imp.lu2,$D103),"T",""),
if(countif(us.lu2,$D103),"U",""),
if(countif(var.lu2,$D103),"V",""))</f>
        <v/>
      </c>
      <c r="X103" s="32" t="str">
        <f>
CONCATENATE(
if(countif(dd.myc,$D103),"D",""),
if(countif(knap.myc,$D103),"K",""), 
if(countif(mic.myc,$D103),"M",""),
if(countif(nap.myc,$D103),"N",""),
if(countif(np.myc,$D103),"P",""),
if(countif(imp.myc,$D103),"T",""),
if(countif(us.myc,$D103),"U",""),
if(countif(var.myc,$D103),"V",""))</f>
        <v>T</v>
      </c>
      <c r="Y103" s="32" t="str">
        <f>CONCATENATE(
if(countif(dd.nar,$D103),"D",""),
if(countif(knap.nar,$D103),"K",""),
if(countif(nap.nar,$D103),"N",""),
if(countif(np.nar,$D103),"P",""),
if(countif(imp.nar,$D103),"T",""),
if(countif(us.nar,$D103),"U",""),
if(countif(var.nar,$D103),"V",""))</f>
        <v/>
      </c>
      <c r="Z103" s="33" t="str">
        <f>
CONCATENATE(
if(countif(dd.que,$D103),"D",""),
if(countif(knap.que,$D103),"K",""),
if(countif(mic.que,$D103),"M",""),
if(countif(nap.que,$D103),"N",""),
if(countif(np.que,$D103),"P",""),
if(countif(imp.que,$D103),"T",""),
if(countif(us.que,$D103),"U",""),
if(countif(var.que,$D103),"V",""))</f>
        <v>MNU</v>
      </c>
      <c r="AA103" s="32"/>
      <c r="AB103" s="34" t="str">
        <f>
CONCATENATE(if(countif(knap.agi.sim,$D103),"K",""),
if(countif(dd.agi.sim,$D103),"D",""),
if(countif(nap.agi.sim,$D103),"A",""),
if(countif(var.agi.sim,$D103),"V",""))</f>
        <v/>
      </c>
      <c r="AC103" s="34" t="str">
        <f>
if(countif(nap.bun.sim,$D103),"A","")</f>
        <v/>
      </c>
      <c r="AD103" s="34" t="str">
        <f>
CONCATENATE(if(countif(knap.kxn.sim,$D103),"K",""),
if(countif(np.kxn.sim,$D103),"P",""),
if(countif(dd.kxn.sim,$D103),"D",""),
if(countif(nap.kxn.sim,$D103),"A",""),
if(countif(var.kxn.sim,$D103),"V",""))</f>
        <v/>
      </c>
      <c r="AE103" s="34" t="str">
        <f>
CONCATENATE(if(countif(knap.hwb.sim,$D103),"K",""),
if(countif(np.hwb.sim,$D103),"P",""),
if(countif(mic.hwb.sim,$D103),"M",""),
if(countif(imp.hwb.sim,$D103),"T",""),
if(countif(dd.cyan.sim,$D103),"D",""),
if(countif(nap.hwb.sim,$D103),"A",""),
if(countif(var.hwb.sim,$D103),"V",""))</f>
        <v/>
      </c>
      <c r="AF103" s="34" t="str">
        <f>
CONCATENATE(if(countif(us.ekxn.sim,$D103),"U",""),
if(countif(knap.ekxn.sim,$D103),"K",""),
if(countif(np.ekxn.sim,$D103),"P",""),
if(countif(mic.ekxn.sim,$D103),"M",""),
if(countif(imp.epc.sim,$D103),"T",""),
if(countif(nap.ekxn.sim,$D103),"A",""))</f>
        <v/>
      </c>
      <c r="AG103" s="34"/>
      <c r="AH103" s="34" t="str">
        <f>
CONCATENATE(if(countif(us.egt.sim,$D103),"U",""),
if(countif(knap.egt.sim,$D103),"K",""),
if(countif(np.egt.sim,$D103),"P",""),
if(countif(mic.egt.sim,$D103),"M",""))</f>
        <v/>
      </c>
      <c r="AI103" s="34"/>
      <c r="AJ103" s="34" t="str">
        <f>if(countif(nap.ecit.sim,$D103),"A","")</f>
        <v/>
      </c>
      <c r="AK103" s="34" t="str">
        <f>
CONCATENATE(if(countif(nap.erd,$D103),"M",""),
if(countif(nap.erd.sim,$D103),"A",""),
if(countif(var.erd.sim,$D103),"V",""))</f>
        <v/>
      </c>
      <c r="AL103" s="34" t="str">
        <f>
CONCATENATE(if(countif(knap.gkxn.sim,$D103),"K",""),
if(countif(nap.gkxn.sim,$D103),"A",""))</f>
        <v/>
      </c>
      <c r="AM103" s="34" t="str">
        <f>
CONCATENATE(if(countif(knap.gen.sim,$C103),"K",""),
if(countif(imp.gen.sim,$C103),"T",""),
if(countif(dd.gen.sim,$C103),"D",""),
if(countif(nap.gen.sim,$C103),"A",""),
if(countif(var.gen.sim,$C103),"V",""))
</f>
        <v>T</v>
      </c>
      <c r="AN103" s="34" t="str">
        <f>IFERROR(__xludf.DUMMYFUNCTION("
if(countif(#REF!,CONCATENATE(regexextract($C103,""[\w]* [\w]*""), ""*"")),""V"","""")"),"")</f>
        <v/>
      </c>
      <c r="AO103" s="34" t="str">
        <f>
CONCATENATE(if(countif(knap.kmp.sim,$D103),"K",""),
if(countif(np.kmp.sim,$D103),"P",""),
if(countif(imp.kmp.sim,$D103),"T",""),
if(countif(dd.kmp,$D103),"D",""),
if(countif(nap.kmp.sim,$D103),"A",""),
if(countif(var.kmp.sim,$D103),"V",""))</f>
        <v/>
      </c>
      <c r="AP103" s="34" t="str">
        <f>
CONCATENATE(if(countif(knap.lu2.sim,$D103),"K",""),
if(countif(np.lu2.sim,$D103),"P",""),
if(countif(imp.lu2.sim,$D103),"T",""),
if(countif(dd.lu2.sim,$D103),"D",""),
if(countif(nap.lu2.sim,$D103),"A",""),
if(countif(var.lu2.sim,$D103),"V",""))</f>
        <v/>
      </c>
      <c r="AQ103" s="34" t="str">
        <f>
CONCATENATE(if(countif(np.myc.sim,$D103),"P",""),
if(countif(imp.myc.sim,$D103),"T",""),
if(countif(nap.myc.sim,$D103),"A",""))
</f>
        <v/>
      </c>
      <c r="AR103" s="36" t="str">
        <f>
CONCATENATE(if(countif(knap.nar.sim,$D103),"K",""),
if(countif(np.nar.sim,$D103),"P",""),
if(countif(imp.nar.sim,$D103),"T",""),
if(countif(dd.nar.sim,$D103),"D",""),
if(countif(nap.nar.sim,$D103),"A",""),
if(countif(var.nar.sim,$D103),"V",""))</f>
        <v/>
      </c>
      <c r="AS103" s="34" t="str">
        <f>
CONCATENATE(if(countif(knap.que.sim,$D103),"K",""),
if(countif(np.que.sim,$D103),"P",""),
if(countif(imp.que.sim,$D103),"T",""),
if(countif(dd.que.sim,$D103),"D",""),
if(countif(nap.que.sim,$D103),"A",""),
if(countif(var.que.sim,$D103),"V",""))</f>
        <v>A</v>
      </c>
      <c r="AT103" s="37"/>
      <c r="AU103" s="32" t="str">
        <f>IFERROR(__xludf.DUMMYFUNCTION("if(countif(kr.agi, CONCATENATE(regexextract($C103,""[\w]* [\w]*""), ""*"")),""X"","""")"),"X")</f>
        <v>X</v>
      </c>
      <c r="AV103" s="38" t="str">
        <f>IFERROR(__xludf.DUMMYFUNCTION("if(countif(kr.bun,CONCATENATE(regexextract($C103,""[\w]* [\w]*""), ""*"")),""X"","""")"),"X")</f>
        <v>X</v>
      </c>
      <c r="AW103" s="38" t="str">
        <f>IFERROR(__xludf.DUMMYFUNCTION("if(countif(kr.kxn,CONCATENATE(regexextract($C103,""[\w]* [\w]*""), ""*"")),""X"","""")"),"X")</f>
        <v>X</v>
      </c>
      <c r="AX103" s="38" t="str">
        <f>IFERROR(__xludf.DUMMYFUNCTION("if(countif(kr.hwb,CONCATENATE(regexextract($C103,""[\w]* [\w]*""), ""*"")),""X"","""")"),"X")</f>
        <v>X</v>
      </c>
      <c r="AY103" s="38" t="str">
        <f>IFERROR(__xludf.DUMMYFUNCTION("if(countif(kr.ec,CONCATENATE(regexextract($C103,""[\w]* [\w]*""), ""*"")),""X"","""")"),"X")</f>
        <v>X</v>
      </c>
      <c r="AZ103" s="38" t="str">
        <f>IFERROR(__xludf.DUMMYFUNCTION("if(countif(kr.egt,CONCATENATE(regexextract($C103,""[\w]* [\w]*""), ""*"")),""X"","""")"),"X")</f>
        <v>X</v>
      </c>
      <c r="BA103" s="38"/>
      <c r="BB103" s="38" t="str">
        <f>IFERROR(__xludf.DUMMYFUNCTION("if(countif(kr.erd,CONCATENATE(regexextract($C103,""[\w]* [\w]*""), ""*"")),""X"","""")"),"X")</f>
        <v>X</v>
      </c>
      <c r="BC103" s="38" t="str">
        <f>IFERROR(__xludf.DUMMYFUNCTION("if(countif(kr.gkxn,CONCATENATE(regexextract($C103,""[\w]* [\w]*""), ""*"")),""X"","""")"),"X")</f>
        <v>X</v>
      </c>
      <c r="BD103" s="38" t="str">
        <f>IFERROR(__xludf.DUMMYFUNCTION("if(countif(kr.gen,CONCATENATE(regexextract(C103,""[\w]* [\w]*""), ""*"")),""X"","""")"),"X")</f>
        <v>X</v>
      </c>
      <c r="BE103" s="38" t="str">
        <f>IFERROR(__xludf.DUMMYFUNCTION("if(countif(kr.hcc,CONCATENATE(regexextract($C103,""[\w]* [\w]*""), ""*"")),""X"","""")"),"X")</f>
        <v>X</v>
      </c>
      <c r="BF103" s="38" t="str">
        <f>IFERROR(__xludf.DUMMYFUNCTION("if(countif(kr.kmp,CONCATENATE(regexextract($C103,""[\w]* [\w]*""), ""*"")),""X"","""")"),"X")</f>
        <v>X</v>
      </c>
      <c r="BG103" s="38" t="str">
        <f>IFERROR(__xludf.DUMMYFUNCTION("if(countif(kr.lu2,CONCATENATE(regexextract($C103,""[\w]* [\w]*""), ""*"")),""X"","""")"),"X")</f>
        <v>X</v>
      </c>
      <c r="BH103" s="38" t="str">
        <f>IFERROR(__xludf.DUMMYFUNCTION("if(countif(kr.myc,CONCATENATE(regexextract($C103,""[\w]* [\w]*""), ""*"")),""X"","""")"),"X")</f>
        <v>X</v>
      </c>
      <c r="BI103" s="38" t="str">
        <f>IFERROR(__xludf.DUMMYFUNCTION("if(countif(kr.nar,CONCATENATE(regexextract($C103,""[\w]* [\w]*""), ""*"")),""X"","""")"),"X")</f>
        <v>X</v>
      </c>
      <c r="BJ103" s="38" t="str">
        <f>IFERROR(__xludf.DUMMYFUNCTION("if(countif(kr.que,CONCATENATE(regexextract($C103,""[\w]* [\w]*""), ""*"")),""X"","""")"),"X")</f>
        <v>X</v>
      </c>
      <c r="BK103" s="39"/>
      <c r="BL103" s="40" t="str">
        <f>IFERROR(__xludf.DUMMYFUNCTION(" CONCATENATE( 
if (regexmatch(I103, ""^[A-Za-z\.\_]+""), ""L"", 
if(regexmatch(AB103, ""^[A-Za-z\.\_]+""),""S"","""")),
if(AU103=""X"",""K"",""""))"),"K")</f>
        <v>K</v>
      </c>
      <c r="BM103" s="40" t="str">
        <f>IFERROR(__xludf.DUMMYFUNCTION(" CONCATENATE( 
if (regexmatch(J103, ""^[A-Za-z\.\_]+""), ""L"", 
if(regexmatch(AC103, ""^[A-Za-z\.\_]+""),""S"","""")),
if(AV103=""X"",""K"",""""))"),"K")</f>
        <v>K</v>
      </c>
      <c r="BN103" s="40" t="str">
        <f>IFERROR(__xludf.DUMMYFUNCTION(" CONCATENATE( 
if (regexmatch(K103, ""^[A-Za-z\.\_]+""), ""L"", 
if(regexmatch(AD103, ""^[A-Za-z\.\_]+""),""S"","""")),
if(AW103=""X"",""K"",""""))"),"K")</f>
        <v>K</v>
      </c>
      <c r="BO103" s="40" t="str">
        <f>IFERROR(__xludf.DUMMYFUNCTION(" CONCATENATE( 
if (regexmatch(L103, ""^[A-Za-z\.\_]+""), ""L"", 
if(regexmatch(AE103, ""^[A-Za-z\.\_]+""),""S"","""")),
if(AX103=""X"",""K"",""""))"),"LK")</f>
        <v>LK</v>
      </c>
      <c r="BP103" s="40" t="str">
        <f>IFERROR(__xludf.DUMMYFUNCTION(" CONCATENATE( 
if (regexmatch(M103, ""^[A-Za-z\.\_]+""), ""L"", 
if(regexmatch(AF103, ""^[A-Za-z\.\_]+""),""S"","""")),
if(AY103=""X"",""K"",""""))"),"K")</f>
        <v>K</v>
      </c>
      <c r="BQ103" s="40" t="str">
        <f>IFERROR(__xludf.DUMMYFUNCTION("CONCATENATE( 
if (regexmatch(O103, ""^[A-Za-z\.\_]+""), ""L"", 
if(regexmatch(AH103, ""^[A-Za-z\.\_]+""),""S"","""")),
if(AZ103=""X"",""K"",""""))"),"K")</f>
        <v>K</v>
      </c>
      <c r="BR103" s="40" t="str">
        <f>IFERROR(__xludf.DUMMYFUNCTION("CONCATENATE( 
if (regexmatch(Q103, ""^[A-Za-z\.\_]+""), ""L"", 
if(regexmatch(AJ103, ""^[A-Za-z\.\_]+""),""S"","""")),
if(BA103=""X"",""K"",""""))"),"")</f>
        <v/>
      </c>
      <c r="BS103" s="40" t="str">
        <f>IFERROR(__xludf.DUMMYFUNCTION(" CONCATENATE( 
if (regexmatch(R103, ""^[A-Za-z\.\_]+""), ""L"", 
if(regexmatch(AK103, ""^[A-Za-z\.\_]+""),""S"","""")),
if(BB103=""X"",""K"",""""))"),"K")</f>
        <v>K</v>
      </c>
      <c r="BT103" s="40" t="str">
        <f>IFERROR(__xludf.DUMMYFUNCTION("CONCATENATE( 
if (regexmatch(S103, ""^[A-Za-z\.\_]+""), ""L"", 
if(regexmatch(AL103, ""^[A-Za-z\.\_]+""),""S"","""")),
if(BC103=""X"",""K"",""""))"),"K")</f>
        <v>K</v>
      </c>
      <c r="BU103" s="40" t="str">
        <f>IFERROR(__xludf.DUMMYFUNCTION("CONCATENATE( 
if (regexmatch(T103, ""^[A-Za-z\.\_]+""), ""L"", 
if(regexmatch(AM103, ""^[A-Za-z\.\_]+""),""S"","""")),
if(BD103=""X"",""K"",""""))"),"LK")</f>
        <v>LK</v>
      </c>
      <c r="BV103" s="40" t="str">
        <f>IFERROR(__xludf.DUMMYFUNCTION("CONCATENATE( 
if (regexmatch(U103, ""^[A-Za-z\.\_]+""), ""L"", 
if(regexmatch(AN103, ""^[A-Za-z\.\_]+""),""S"","""")),
if(BE103=""X"",""K"",""""))"),"K")</f>
        <v>K</v>
      </c>
      <c r="BW103" s="40" t="str">
        <f>IFERROR(__xludf.DUMMYFUNCTION(" CONCATENATE( 
if (regexmatch(V103, ""^[A-Za-z\.\_]+""), ""L"", 
if(regexmatch(AO103, ""^[A-Za-z\.\_]+""),""S"","""")),
if(BF103=""X"",""K"",""""))"),"LK")</f>
        <v>LK</v>
      </c>
      <c r="BX103" s="40" t="str">
        <f>IFERROR(__xludf.DUMMYFUNCTION("CONCATENATE( 
if (regexmatch(W103, ""^[A-Za-z\.\_]+""), ""L"", 
if(regexmatch(AP103, ""^[A-Za-z\.\_]+""),""S"","""")),
if(BG103=""X"",""K"",""""))"),"K")</f>
        <v>K</v>
      </c>
      <c r="BY103" s="40" t="str">
        <f>IFERROR(__xludf.DUMMYFUNCTION("CONCATENATE( 
if (regexmatch(X103, ""^[A-Za-z\.\_]+""), ""L"", 
if(regexmatch(AQ103, ""^[A-Za-z\.\_]+""),""S"","""")),
if(BH103=""X"",""K"",""""))"),"LK")</f>
        <v>LK</v>
      </c>
      <c r="BZ103" s="40" t="str">
        <f>IFERROR(__xludf.DUMMYFUNCTION("CONCATENATE( 
if (regexmatch(Y103, ""^[A-Za-z\.\_]+""), ""L"", 
if(regexmatch(AR103, ""^[A-Za-z\.\_]+""),""S"","""")),
if(BI103=""X"",""K"",""""))"),"K")</f>
        <v>K</v>
      </c>
      <c r="CA103" s="40" t="str">
        <f>IFERROR(__xludf.DUMMYFUNCTION("CONCATENATE( 
if (regexmatch(Z103, ""^[A-Za-z\.\_]+""), ""L"", 
if(regexmatch(AS103, ""^[A-Za-z\.\_]+""),""S"","""")),
if(BJ103=""X"",""K"",""""))"),"LK")</f>
        <v>LK</v>
      </c>
      <c r="CB103" s="39"/>
      <c r="CC103" s="39"/>
      <c r="CD103" s="39"/>
      <c r="CE103" s="39"/>
      <c r="CF103" s="39"/>
      <c r="CG103" s="39"/>
      <c r="CH103" s="39"/>
      <c r="CI103" s="39"/>
      <c r="CJ103" s="39"/>
      <c r="CK103" s="39"/>
      <c r="CL103" s="39"/>
      <c r="CM103" s="39"/>
      <c r="CN103" s="39"/>
      <c r="CO103" s="39"/>
      <c r="CP103" s="39"/>
      <c r="CQ103" s="39"/>
      <c r="CR103" s="39"/>
    </row>
    <row r="104" ht="15.75" customHeight="1">
      <c r="A104" s="25">
        <v>69.0</v>
      </c>
      <c r="B104" s="26" t="s">
        <v>383</v>
      </c>
      <c r="C104" s="41" t="s">
        <v>384</v>
      </c>
      <c r="D104" s="27" t="str">
        <f>IFERROR(__xludf.DUMMYFUNCTION("CONCATENATE(regexextract($C104,""[\w]* [\w]*""), ""*"")"),"Vitis vinifera*")</f>
        <v>Vitis vinifera*</v>
      </c>
      <c r="E104" s="26" t="s">
        <v>385</v>
      </c>
      <c r="F104" s="58">
        <v>29760.0</v>
      </c>
      <c r="G104" s="65"/>
      <c r="H104" s="31"/>
      <c r="I104" s="32" t="str">
        <f>CONCATENATE(
if(countif(dd.agi,$D104),"D",""),
if(countif(knap.agi,$D104),"K",""),
if(countif(mic.agi,$D104),"M",""),
if(countif(nap.agi,$D104),"N",""),
if(countif(np.agi,$D104),"P",""),
if(countif(imp.agi,$D104),"T",""),
if(countif(us.agi,$D104),"U",""),
if(countif(var.agi,$D104),"V","")
)</f>
        <v/>
      </c>
      <c r="J104" s="32" t="str">
        <f>
CONCATENATE(
if(countif(nap.bun,$D104),"N",""),
if(countif(np.bun,$D104),"P","")
)
</f>
        <v/>
      </c>
      <c r="K104" s="32" t="str">
        <f>CONCATENATE(
if(countif(dd.kxn,$D104),"D",""),
if(countif(knap.kxn,$D104),"K",""),
if(countif(mic.kxn,$D104),"M",""),
if(countif(nap.kxn,$D104),"N",""),
if(countif(np.kxn,$D104),"P",""),
if(countif(us.kxn,$D104),"U",""),
if(countif(var.kxn,$D104),"V","")
)</f>
        <v>DKMNPU</v>
      </c>
      <c r="L104" s="32" t="str">
        <f>
CONCATENATE(
if(countif(dd.hwb,$D104),"D",""),
if(countif(knap.hwb,$D104),"K",""),
if(countif(mic.hwb,$D104),"M",""),
if(countif(nap.hwb,$D104),"N",""),
if(countif(np.hwb,$D104),"P",""),
if(countif(us.hwb,$D104),"U",""),
if(countif(imp.hwb,$D104),"T",""),
if(countif(var.hwb,$D104),"V","")
)</f>
        <v>DKMNT</v>
      </c>
      <c r="M104" s="32" t="str">
        <f>CONCATENATE(
if(countif(dd.epc,$D104),"D",""),
if(countif(knap.ekxn,$D104),"K",""),
if(countif(mic.ekxn,$D104),"M",""),
if(countif(nap.ekxn,$D104),"N",""),
if(countif(np.ekxn,$D104),"P",""),
if(countif(imp.epc,$D104),"T",""),
if(countif(us.ekxn,$D104),"U",""),
if(countif(var.ekxn,$D104),"V","")
)</f>
        <v>DKMNPTU</v>
      </c>
      <c r="N104" s="32" t="str">
        <f>
CONCATENATE(
if(countif(dd.ecg,$D104),"D",""),
if(countif(mic.ecg,$D104),"M",""),
if(countif(np.ecg,$D104),"P",""),
if(countif(imp.ecg,$D104),"T",""),
if(countif(us.ecg,$D104),"U","")
)</f>
        <v>DPTU</v>
      </c>
      <c r="O104" s="32" t="str">
        <f>
CONCATENATE(
if(countif(dd.egt,$D104),"D",""),
if(countif(mic.egt,$D104),"M",""),
if(countif(nap.egt,$D104),"N",""),
if(countif(us.egt,$D104),"U",""),
if(countif(var.egt,$D104),"V",""))
</f>
        <v>DN</v>
      </c>
      <c r="P104" s="32" t="str">
        <f>CONCATENATE(
if(countif(knap.egcg,$D104),"K",""),
if(countif(mic.egcg,$D104),"M",""),
if(countif(np.egcg,$D104),"P",""),
if(countif(us.egcg,$D104),"U","")
)</f>
        <v>K</v>
      </c>
      <c r="Q104" s="32" t="str">
        <f>CONCATENATE(if(countif(np.ecit,$D104),"P",""),
if(countif(nap.ecit,$D104),"A",""))</f>
        <v/>
      </c>
      <c r="R104" s="32" t="str">
        <f>
CONCATENATE(
if(countif(nap.erd,$D104),"N",""),
if(countif(np.erd,$D104),"P",""),
if(countif(var.erd,$D104),"V",""))</f>
        <v/>
      </c>
      <c r="S104" s="32" t="str">
        <f>
CONCATENATE(
if(countif(dd.gkxn,$D104),"D",""),
if(countif(knap.gkxn,$D104),"K",""),
if(countif(nap.gkxn,$D104),"N",""),
if(countif(np.gkxn,$D104),"P",""),
if(countif(imp.gkxn,$D104),"T",""),
if(countif(var.gkxn,$D104),"V",""))</f>
        <v>DKNPT</v>
      </c>
      <c r="T104" s="32" t="str">
        <f>
CONCATENATE(
if(countif(dd.gen,$C104),"D",""),
if(countif(knap.gen,$C104),"K",""),
if(countif(nap.gen,$C104),"N",""),
if(countif(np.gen,$C104),"P",""),
if(countif(imp.gen,$C104),"T",""),
if(countif(var.gen,$C104),"V",""))</f>
        <v/>
      </c>
      <c r="U104" s="32" t="str">
        <f>
CONCATENATE(
if(countif(dd.hcc,$D104),"D",""),
if(countif(knap.hcc,$D104),"K",""),
if(countif(np.hcc,$D104),"P","")
)
</f>
        <v/>
      </c>
      <c r="V104" s="32" t="str">
        <f>
CONCATENATE(
if(countif(dd.kmp,$D104),"D",""),
if(countif(knap.kmp,$D104),"K",""),
if(countif(mic.kmp,$D104),"M",""),
if(countif(nap.kmp,$D104),"N",""),
if(countif(np.kmp,$D104),"P",""),
if(countif(imp.kmp,$D104),"T",""),
if(countif(us.kmp,$D104),"U",""),
if(countif(var.kmp,$D104),"V",""))</f>
        <v>MNU</v>
      </c>
      <c r="W104" s="32" t="str">
        <f>
CONCATENATE(
if(countif(dd.lu2,$D104),"D",""),
if(countif(knap.lu2,$D104),"K",""),
if(countif(mic.lu2,$D104),"M",""),
if(countif(nap.lu2,$D104),"N",""),
if(countif(np.lu2,$D104),"P",""),
if(countif(imp.lu2,$D104),"T",""),
if(countif(us.lu2,$D104),"U",""),
if(countif(var.lu2,$D104),"V",""))</f>
        <v>DMN</v>
      </c>
      <c r="X104" s="32" t="str">
        <f>
CONCATENATE(
if(countif(dd.myc,$D104),"D",""),
if(countif(knap.myc,$D104),"K",""), 
if(countif(mic.myc,$D104),"M",""),
if(countif(nap.myc,$D104),"N",""),
if(countif(np.myc,$D104),"P",""),
if(countif(imp.myc,$D104),"T",""),
if(countif(us.myc,$D104),"U",""),
if(countif(var.myc,$D104),"V",""))</f>
        <v>DMNPU</v>
      </c>
      <c r="Y104" s="32" t="str">
        <f>CONCATENATE(
if(countif(dd.nar,$D104),"D",""),
if(countif(knap.nar,$D104),"K",""),
if(countif(nap.nar,$D104),"N",""),
if(countif(np.nar,$D104),"P",""),
if(countif(imp.nar,$D104),"T",""),
if(countif(us.nar,$D104),"U",""),
if(countif(var.nar,$D104),"V",""))</f>
        <v>V</v>
      </c>
      <c r="Z104" s="33" t="str">
        <f>
CONCATENATE(
if(countif(dd.que,$D104),"D",""),
if(countif(knap.que,$D104),"K",""),
if(countif(mic.que,$D104),"M",""),
if(countif(nap.que,$D104),"N",""),
if(countif(np.que,$D104),"P",""),
if(countif(imp.que,$D104),"T",""),
if(countif(us.que,$D104),"U",""),
if(countif(var.que,$D104),"V",""))</f>
        <v>DMNPU</v>
      </c>
      <c r="AA104" s="32"/>
      <c r="AB104" s="34" t="str">
        <f>
CONCATENATE(if(countif(knap.agi.sim,$D104),"K",""),
if(countif(dd.agi.sim,$D104),"D",""),
if(countif(nap.agi.sim,$D104),"A",""),
if(countif(var.agi.sim,$D104),"V",""))</f>
        <v/>
      </c>
      <c r="AC104" s="34" t="str">
        <f>
if(countif(nap.bun.sim,$D104),"A","")</f>
        <v/>
      </c>
      <c r="AD104" s="34" t="str">
        <f>
CONCATENATE(if(countif(knap.kxn.sim,$D104),"K",""),
if(countif(np.kxn.sim,$D104),"P",""),
if(countif(dd.kxn.sim,$D104),"D",""),
if(countif(nap.kxn.sim,$D104),"A",""),
if(countif(var.kxn.sim,$D104),"V",""))</f>
        <v>KPA</v>
      </c>
      <c r="AE104" s="34" t="str">
        <f>
CONCATENATE(if(countif(knap.hwb.sim,$D104),"K",""),
if(countif(np.hwb.sim,$D104),"P",""),
if(countif(mic.hwb.sim,$D104),"M",""),
if(countif(imp.hwb.sim,$D104),"T",""),
if(countif(dd.cyan.sim,$D104),"D",""),
if(countif(nap.hwb.sim,$D104),"A",""),
if(countif(var.hwb.sim,$D104),"V",""))</f>
        <v>KPDA</v>
      </c>
      <c r="AF104" s="34" t="str">
        <f>
CONCATENATE(if(countif(us.ekxn.sim,$D104),"U",""),
if(countif(knap.ekxn.sim,$D104),"K",""),
if(countif(np.ekxn.sim,$D104),"P",""),
if(countif(mic.ekxn.sim,$D104),"M",""),
if(countif(imp.epc.sim,$D104),"T",""),
if(countif(nap.ekxn.sim,$D104),"A",""))</f>
        <v>UKPMTA</v>
      </c>
      <c r="AG104" s="34"/>
      <c r="AH104" s="34" t="str">
        <f>
CONCATENATE(if(countif(us.egt.sim,$D104),"U",""),
if(countif(knap.egt.sim,$D104),"K",""),
if(countif(np.egt.sim,$D104),"P",""),
if(countif(mic.egt.sim,$D104),"M",""))</f>
        <v>KM</v>
      </c>
      <c r="AI104" s="34"/>
      <c r="AJ104" s="34" t="str">
        <f>if(countif(nap.ecit.sim,$D104),"A","")</f>
        <v/>
      </c>
      <c r="AK104" s="34" t="str">
        <f>
CONCATENATE(if(countif(nap.erd,$D104),"M",""),
if(countif(nap.erd.sim,$D104),"A",""),
if(countif(var.erd.sim,$D104),"V",""))</f>
        <v/>
      </c>
      <c r="AL104" s="34" t="str">
        <f>
CONCATENATE(if(countif(knap.gkxn.sim,$D104),"K",""),
if(countif(nap.gkxn.sim,$D104),"A",""))</f>
        <v>KA</v>
      </c>
      <c r="AM104" s="34" t="str">
        <f>
CONCATENATE(if(countif(knap.gen.sim,$C104),"K",""),
if(countif(imp.gen.sim,$C104),"T",""),
if(countif(dd.gen.sim,$C104),"D",""),
if(countif(nap.gen.sim,$C104),"A",""),
if(countif(var.gen.sim,$C104),"V",""))
</f>
        <v/>
      </c>
      <c r="AN104" s="34" t="str">
        <f>IFERROR(__xludf.DUMMYFUNCTION("
if(countif(#REF!,CONCATENATE(regexextract($C104,""[\w]* [\w]*""), ""*"")),""V"","""")"),"")</f>
        <v/>
      </c>
      <c r="AO104" s="34" t="str">
        <f>
CONCATENATE(if(countif(knap.kmp.sim,$D104),"K",""),
if(countif(np.kmp.sim,$D104),"P",""),
if(countif(imp.kmp.sim,$D104),"T",""),
if(countif(dd.kmp,$D104),"D",""),
if(countif(nap.kmp.sim,$D104),"A",""),
if(countif(var.kmp.sim,$D104),"V",""))</f>
        <v>P</v>
      </c>
      <c r="AP104" s="34" t="str">
        <f>
CONCATENATE(if(countif(knap.lu2.sim,$D104),"K",""),
if(countif(np.lu2.sim,$D104),"P",""),
if(countif(imp.lu2.sim,$D104),"T",""),
if(countif(dd.lu2.sim,$D104),"D",""),
if(countif(nap.lu2.sim,$D104),"A",""),
if(countif(var.lu2.sim,$D104),"V",""))</f>
        <v/>
      </c>
      <c r="AQ104" s="34" t="str">
        <f>
CONCATENATE(if(countif(np.myc.sim,$D104),"P",""),
if(countif(imp.myc.sim,$D104),"T",""),
if(countif(nap.myc.sim,$D104),"A",""))
</f>
        <v>PA</v>
      </c>
      <c r="AR104" s="36" t="str">
        <f>
CONCATENATE(if(countif(knap.nar.sim,$D104),"K",""),
if(countif(np.nar.sim,$D104),"P",""),
if(countif(imp.nar.sim,$D104),"T",""),
if(countif(dd.nar.sim,$D104),"D",""),
if(countif(nap.nar.sim,$D104),"A",""),
if(countif(var.nar.sim,$D104),"V",""))</f>
        <v>KP</v>
      </c>
      <c r="AS104" s="34" t="str">
        <f>
CONCATENATE(if(countif(knap.que.sim,$D104),"K",""),
if(countif(np.que.sim,$D104),"P",""),
if(countif(imp.que.sim,$D104),"T",""),
if(countif(dd.que.sim,$D104),"D",""),
if(countif(nap.que.sim,$D104),"A",""),
if(countif(var.que.sim,$D104),"V",""))</f>
        <v>PDA</v>
      </c>
      <c r="AT104" s="37"/>
      <c r="AU104" s="32" t="str">
        <f>IFERROR(__xludf.DUMMYFUNCTION("if(countif(kr.agi, CONCATENATE(regexextract($C104,""[\w]* [\w]*""), ""*"")),""X"","""")"),"")</f>
        <v/>
      </c>
      <c r="AV104" s="38" t="str">
        <f>IFERROR(__xludf.DUMMYFUNCTION("if(countif(kr.bun,CONCATENATE(regexextract($C104,""[\w]* [\w]*""), ""*"")),""X"","""")"),"X")</f>
        <v>X</v>
      </c>
      <c r="AW104" s="38" t="str">
        <f>IFERROR(__xludf.DUMMYFUNCTION("if(countif(kr.kxn,CONCATENATE(regexextract($C104,""[\w]* [\w]*""), ""*"")),""X"","""")"),"X")</f>
        <v>X</v>
      </c>
      <c r="AX104" s="38" t="str">
        <f>IFERROR(__xludf.DUMMYFUNCTION("if(countif(kr.hwb,CONCATENATE(regexextract($C104,""[\w]* [\w]*""), ""*"")),""X"","""")"),"X")</f>
        <v>X</v>
      </c>
      <c r="AY104" s="38" t="str">
        <f>IFERROR(__xludf.DUMMYFUNCTION("if(countif(kr.ec,CONCATENATE(regexextract($C104,""[\w]* [\w]*""), ""*"")),""X"","""")"),"")</f>
        <v/>
      </c>
      <c r="AZ104" s="38" t="str">
        <f>IFERROR(__xludf.DUMMYFUNCTION("if(countif(kr.egt,CONCATENATE(regexextract($C104,""[\w]* [\w]*""), ""*"")),""X"","""")"),"")</f>
        <v/>
      </c>
      <c r="BA104" s="38"/>
      <c r="BB104" s="38" t="str">
        <f>IFERROR(__xludf.DUMMYFUNCTION("if(countif(kr.erd,CONCATENATE(regexextract($C104,""[\w]* [\w]*""), ""*"")),""X"","""")"),"X")</f>
        <v>X</v>
      </c>
      <c r="BC104" s="38" t="str">
        <f>IFERROR(__xludf.DUMMYFUNCTION("if(countif(kr.gkxn,CONCATENATE(regexextract($C104,""[\w]* [\w]*""), ""*"")),""X"","""")"),"X")</f>
        <v>X</v>
      </c>
      <c r="BD104" s="38" t="str">
        <f>IFERROR(__xludf.DUMMYFUNCTION("if(countif(kr.gen,CONCATENATE(regexextract(C104,""[\w]* [\w]*""), ""*"")),""X"","""")"),"")</f>
        <v/>
      </c>
      <c r="BE104" s="38" t="str">
        <f>IFERROR(__xludf.DUMMYFUNCTION("if(countif(kr.hcc,CONCATENATE(regexextract($C104,""[\w]* [\w]*""), ""*"")),""X"","""")"),"X")</f>
        <v>X</v>
      </c>
      <c r="BF104" s="38" t="str">
        <f>IFERROR(__xludf.DUMMYFUNCTION("if(countif(kr.kmp,CONCATENATE(regexextract($C104,""[\w]* [\w]*""), ""*"")),""X"","""")"),"X")</f>
        <v>X</v>
      </c>
      <c r="BG104" s="38" t="str">
        <f>IFERROR(__xludf.DUMMYFUNCTION("if(countif(kr.lu2,CONCATENATE(regexextract($C104,""[\w]* [\w]*""), ""*"")),""X"","""")"),"")</f>
        <v/>
      </c>
      <c r="BH104" s="38" t="str">
        <f>IFERROR(__xludf.DUMMYFUNCTION("if(countif(kr.myc,CONCATENATE(regexextract($C104,""[\w]* [\w]*""), ""*"")),""X"","""")"),"X")</f>
        <v>X</v>
      </c>
      <c r="BI104" s="38" t="str">
        <f>IFERROR(__xludf.DUMMYFUNCTION("if(countif(kr.nar,CONCATENATE(regexextract($C104,""[\w]* [\w]*""), ""*"")),""X"","""")"),"X")</f>
        <v>X</v>
      </c>
      <c r="BJ104" s="38" t="str">
        <f>IFERROR(__xludf.DUMMYFUNCTION("if(countif(kr.que,CONCATENATE(regexextract($C104,""[\w]* [\w]*""), ""*"")),""X"","""")"),"X")</f>
        <v>X</v>
      </c>
      <c r="BK104" s="39"/>
      <c r="BL104" s="40" t="str">
        <f>IFERROR(__xludf.DUMMYFUNCTION(" CONCATENATE( 
if (regexmatch(I104, ""^[A-Za-z\.\_]+""), ""L"", 
if(regexmatch(AB104, ""^[A-Za-z\.\_]+""),""S"","""")),
if(AU104=""X"",""K"",""""))"),"")</f>
        <v/>
      </c>
      <c r="BM104" s="40" t="str">
        <f>IFERROR(__xludf.DUMMYFUNCTION(" CONCATENATE( 
if (regexmatch(J104, ""^[A-Za-z\.\_]+""), ""L"", 
if(regexmatch(AC104, ""^[A-Za-z\.\_]+""),""S"","""")),
if(AV104=""X"",""K"",""""))"),"K")</f>
        <v>K</v>
      </c>
      <c r="BN104" s="40" t="str">
        <f>IFERROR(__xludf.DUMMYFUNCTION(" CONCATENATE( 
if (regexmatch(K104, ""^[A-Za-z\.\_]+""), ""L"", 
if(regexmatch(AD104, ""^[A-Za-z\.\_]+""),""S"","""")),
if(AW104=""X"",""K"",""""))"),"LK")</f>
        <v>LK</v>
      </c>
      <c r="BO104" s="40" t="str">
        <f>IFERROR(__xludf.DUMMYFUNCTION(" CONCATENATE( 
if (regexmatch(L104, ""^[A-Za-z\.\_]+""), ""L"", 
if(regexmatch(AE104, ""^[A-Za-z\.\_]+""),""S"","""")),
if(AX104=""X"",""K"",""""))"),"LK")</f>
        <v>LK</v>
      </c>
      <c r="BP104" s="40" t="str">
        <f>IFERROR(__xludf.DUMMYFUNCTION(" CONCATENATE( 
if (regexmatch(M104, ""^[A-Za-z\.\_]+""), ""L"", 
if(regexmatch(AF104, ""^[A-Za-z\.\_]+""),""S"","""")),
if(AY104=""X"",""K"",""""))"),"L")</f>
        <v>L</v>
      </c>
      <c r="BQ104" s="40" t="str">
        <f>IFERROR(__xludf.DUMMYFUNCTION("CONCATENATE( 
if (regexmatch(O104, ""^[A-Za-z\.\_]+""), ""L"", 
if(regexmatch(AH104, ""^[A-Za-z\.\_]+""),""S"","""")),
if(AZ104=""X"",""K"",""""))"),"L")</f>
        <v>L</v>
      </c>
      <c r="BR104" s="40" t="str">
        <f>IFERROR(__xludf.DUMMYFUNCTION("CONCATENATE( 
if (regexmatch(Q104, ""^[A-Za-z\.\_]+""), ""L"", 
if(regexmatch(AJ104, ""^[A-Za-z\.\_]+""),""S"","""")),
if(BA104=""X"",""K"",""""))"),"")</f>
        <v/>
      </c>
      <c r="BS104" s="40" t="str">
        <f>IFERROR(__xludf.DUMMYFUNCTION(" CONCATENATE( 
if (regexmatch(R104, ""^[A-Za-z\.\_]+""), ""L"", 
if(regexmatch(AK104, ""^[A-Za-z\.\_]+""),""S"","""")),
if(BB104=""X"",""K"",""""))"),"K")</f>
        <v>K</v>
      </c>
      <c r="BT104" s="40" t="str">
        <f>IFERROR(__xludf.DUMMYFUNCTION("CONCATENATE( 
if (regexmatch(S104, ""^[A-Za-z\.\_]+""), ""L"", 
if(regexmatch(AL104, ""^[A-Za-z\.\_]+""),""S"","""")),
if(BC104=""X"",""K"",""""))"),"LK")</f>
        <v>LK</v>
      </c>
      <c r="BU104" s="40" t="str">
        <f>IFERROR(__xludf.DUMMYFUNCTION("CONCATENATE( 
if (regexmatch(T104, ""^[A-Za-z\.\_]+""), ""L"", 
if(regexmatch(AM104, ""^[A-Za-z\.\_]+""),""S"","""")),
if(BD104=""X"",""K"",""""))"),"")</f>
        <v/>
      </c>
      <c r="BV104" s="40" t="str">
        <f>IFERROR(__xludf.DUMMYFUNCTION("CONCATENATE( 
if (regexmatch(U104, ""^[A-Za-z\.\_]+""), ""L"", 
if(regexmatch(AN104, ""^[A-Za-z\.\_]+""),""S"","""")),
if(BE104=""X"",""K"",""""))"),"K")</f>
        <v>K</v>
      </c>
      <c r="BW104" s="40" t="str">
        <f>IFERROR(__xludf.DUMMYFUNCTION(" CONCATENATE( 
if (regexmatch(V104, ""^[A-Za-z\.\_]+""), ""L"", 
if(regexmatch(AO104, ""^[A-Za-z\.\_]+""),""S"","""")),
if(BF104=""X"",""K"",""""))"),"LK")</f>
        <v>LK</v>
      </c>
      <c r="BX104" s="40" t="str">
        <f>IFERROR(__xludf.DUMMYFUNCTION("CONCATENATE( 
if (regexmatch(W104, ""^[A-Za-z\.\_]+""), ""L"", 
if(regexmatch(AP104, ""^[A-Za-z\.\_]+""),""S"","""")),
if(BG104=""X"",""K"",""""))"),"L")</f>
        <v>L</v>
      </c>
      <c r="BY104" s="40" t="str">
        <f>IFERROR(__xludf.DUMMYFUNCTION("CONCATENATE( 
if (regexmatch(X104, ""^[A-Za-z\.\_]+""), ""L"", 
if(regexmatch(AQ104, ""^[A-Za-z\.\_]+""),""S"","""")),
if(BH104=""X"",""K"",""""))"),"LK")</f>
        <v>LK</v>
      </c>
      <c r="BZ104" s="40" t="str">
        <f>IFERROR(__xludf.DUMMYFUNCTION("CONCATENATE( 
if (regexmatch(Y104, ""^[A-Za-z\.\_]+""), ""L"", 
if(regexmatch(AR104, ""^[A-Za-z\.\_]+""),""S"","""")),
if(BI104=""X"",""K"",""""))"),"LK")</f>
        <v>LK</v>
      </c>
      <c r="CA104" s="40" t="str">
        <f>IFERROR(__xludf.DUMMYFUNCTION("CONCATENATE( 
if (regexmatch(Z104, ""^[A-Za-z\.\_]+""), ""L"", 
if(regexmatch(AS104, ""^[A-Za-z\.\_]+""),""S"","""")),
if(BJ104=""X"",""K"",""""))"),"LK")</f>
        <v>LK</v>
      </c>
      <c r="CB104" s="39"/>
      <c r="CC104" s="39"/>
      <c r="CD104" s="39"/>
      <c r="CE104" s="39"/>
      <c r="CF104" s="39"/>
      <c r="CG104" s="39"/>
      <c r="CH104" s="39"/>
      <c r="CI104" s="39"/>
      <c r="CJ104" s="39"/>
      <c r="CK104" s="39"/>
      <c r="CL104" s="39"/>
      <c r="CM104" s="39"/>
      <c r="CN104" s="39"/>
      <c r="CO104" s="39"/>
      <c r="CP104" s="39"/>
      <c r="CQ104" s="39"/>
      <c r="CR104" s="39"/>
    </row>
    <row r="105" ht="15.75" customHeight="1">
      <c r="A105" s="25">
        <v>135.0</v>
      </c>
      <c r="B105" s="26" t="s">
        <v>386</v>
      </c>
      <c r="C105" s="27" t="s">
        <v>387</v>
      </c>
      <c r="D105" s="27" t="str">
        <f>IFERROR(__xludf.DUMMYFUNCTION("CONCATENATE(regexextract($C105,""[\w]* [\w]*""), ""*"")"),"Volvox carteri*")</f>
        <v>Volvox carteri*</v>
      </c>
      <c r="E105" s="26" t="s">
        <v>388</v>
      </c>
      <c r="F105" s="57">
        <v>3068.0</v>
      </c>
      <c r="G105" s="65"/>
      <c r="H105" s="31"/>
      <c r="I105" s="32" t="str">
        <f>CONCATENATE(
if(countif(dd.agi,$D105),"D",""),
if(countif(knap.agi,$D105),"K",""),
if(countif(mic.agi,$D105),"M",""),
if(countif(nap.agi,$D105),"N",""),
if(countif(np.agi,$D105),"P",""),
if(countif(imp.agi,$D105),"T",""),
if(countif(us.agi,$D105),"U",""),
if(countif(var.agi,$D105),"V","")
)</f>
        <v/>
      </c>
      <c r="J105" s="32" t="str">
        <f>
CONCATENATE(
if(countif(nap.bun,$D105),"N",""),
if(countif(np.bun,$D105),"P","")
)
</f>
        <v/>
      </c>
      <c r="K105" s="32" t="str">
        <f>CONCATENATE(
if(countif(dd.kxn,$D105),"D",""),
if(countif(knap.kxn,$D105),"K",""),
if(countif(mic.kxn,$D105),"M",""),
if(countif(nap.kxn,$D105),"N",""),
if(countif(np.kxn,$D105),"P",""),
if(countif(us.kxn,$D105),"U",""),
if(countif(var.kxn,$D105),"V","")
)</f>
        <v/>
      </c>
      <c r="L105" s="32" t="str">
        <f>
CONCATENATE(
if(countif(dd.hwb,$D105),"D",""),
if(countif(knap.hwb,$D105),"K",""),
if(countif(mic.hwb,$D105),"M",""),
if(countif(nap.hwb,$D105),"N",""),
if(countif(np.hwb,$D105),"P",""),
if(countif(us.hwb,$D105),"U",""),
if(countif(imp.hwb,$D105),"T",""),
if(countif(var.hwb,$D105),"V","")
)</f>
        <v/>
      </c>
      <c r="M105" s="32" t="str">
        <f>CONCATENATE(
if(countif(dd.epc,$D105),"D",""),
if(countif(knap.ekxn,$D105),"K",""),
if(countif(mic.ekxn,$D105),"M",""),
if(countif(nap.ekxn,$D105),"N",""),
if(countif(np.ekxn,$D105),"P",""),
if(countif(imp.epc,$D105),"T",""),
if(countif(us.ekxn,$D105),"U",""),
if(countif(var.ekxn,$D105),"V","")
)</f>
        <v/>
      </c>
      <c r="N105" s="32" t="str">
        <f>
CONCATENATE(
if(countif(dd.ecg,$D105),"D",""),
if(countif(mic.ecg,$D105),"M",""),
if(countif(np.ecg,$D105),"P",""),
if(countif(imp.ecg,$D105),"T",""),
if(countif(us.ecg,$D105),"U","")
)</f>
        <v/>
      </c>
      <c r="O105" s="32" t="str">
        <f>
CONCATENATE(
if(countif(dd.egt,$D105),"D",""),
if(countif(mic.egt,$D105),"M",""),
if(countif(nap.egt,$D105),"N",""),
if(countif(us.egt,$D105),"U",""),
if(countif(var.egt,$D105),"V",""))
</f>
        <v/>
      </c>
      <c r="P105" s="32" t="str">
        <f>CONCATENATE(
if(countif(knap.egcg,$D105),"K",""),
if(countif(mic.egcg,$D105),"M",""),
if(countif(np.egcg,$D105),"P",""),
if(countif(us.egcg,$D105),"U","")
)</f>
        <v/>
      </c>
      <c r="Q105" s="32" t="str">
        <f>CONCATENATE(if(countif(np.ecit,$D105),"P",""),
if(countif(nap.ecit,$D105),"A",""))</f>
        <v/>
      </c>
      <c r="R105" s="32" t="str">
        <f>
CONCATENATE(
if(countif(nap.erd,$D105),"N",""),
if(countif(np.erd,$D105),"P",""),
if(countif(var.erd,$D105),"V",""))</f>
        <v/>
      </c>
      <c r="S105" s="32" t="str">
        <f>
CONCATENATE(
if(countif(dd.gkxn,$D105),"D",""),
if(countif(knap.gkxn,$D105),"K",""),
if(countif(nap.gkxn,$D105),"N",""),
if(countif(np.gkxn,$D105),"P",""),
if(countif(imp.gkxn,$D105),"T",""),
if(countif(var.gkxn,$D105),"V",""))</f>
        <v/>
      </c>
      <c r="T105" s="32" t="str">
        <f>
CONCATENATE(
if(countif(dd.gen,$C105),"D",""),
if(countif(knap.gen,$C105),"K",""),
if(countif(nap.gen,$C105),"N",""),
if(countif(np.gen,$C105),"P",""),
if(countif(imp.gen,$C105),"T",""),
if(countif(var.gen,$C105),"V",""))</f>
        <v/>
      </c>
      <c r="U105" s="32" t="str">
        <f>
CONCATENATE(
if(countif(dd.hcc,$D105),"D",""),
if(countif(knap.hcc,$D105),"K",""),
if(countif(np.hcc,$D105),"P","")
)
</f>
        <v/>
      </c>
      <c r="V105" s="32" t="str">
        <f>
CONCATENATE(
if(countif(dd.kmp,$D105),"D",""),
if(countif(knap.kmp,$D105),"K",""),
if(countif(mic.kmp,$D105),"M",""),
if(countif(nap.kmp,$D105),"N",""),
if(countif(np.kmp,$D105),"P",""),
if(countif(imp.kmp,$D105),"T",""),
if(countif(us.kmp,$D105),"U",""),
if(countif(var.kmp,$D105),"V",""))</f>
        <v/>
      </c>
      <c r="W105" s="32" t="str">
        <f>
CONCATENATE(
if(countif(dd.lu2,$D105),"D",""),
if(countif(knap.lu2,$D105),"K",""),
if(countif(mic.lu2,$D105),"M",""),
if(countif(nap.lu2,$D105),"N",""),
if(countif(np.lu2,$D105),"P",""),
if(countif(imp.lu2,$D105),"T",""),
if(countif(us.lu2,$D105),"U",""),
if(countif(var.lu2,$D105),"V",""))</f>
        <v/>
      </c>
      <c r="X105" s="32" t="str">
        <f>
CONCATENATE(
if(countif(dd.myc,$D105),"D",""),
if(countif(knap.myc,$D105),"K",""), 
if(countif(mic.myc,$D105),"M",""),
if(countif(nap.myc,$D105),"N",""),
if(countif(np.myc,$D105),"P",""),
if(countif(imp.myc,$D105),"T",""),
if(countif(us.myc,$D105),"U",""),
if(countif(var.myc,$D105),"V",""))</f>
        <v/>
      </c>
      <c r="Y105" s="32" t="str">
        <f>CONCATENATE(
if(countif(dd.nar,$D105),"D",""),
if(countif(knap.nar,$D105),"K",""),
if(countif(nap.nar,$D105),"N",""),
if(countif(np.nar,$D105),"P",""),
if(countif(imp.nar,$D105),"T",""),
if(countif(us.nar,$D105),"U",""),
if(countif(var.nar,$D105),"V",""))</f>
        <v/>
      </c>
      <c r="Z105" s="33" t="str">
        <f>
CONCATENATE(
if(countif(dd.que,$D105),"D",""),
if(countif(knap.que,$D105),"K",""),
if(countif(mic.que,$D105),"M",""),
if(countif(nap.que,$D105),"N",""),
if(countif(np.que,$D105),"P",""),
if(countif(imp.que,$D105),"T",""),
if(countif(us.que,$D105),"U",""),
if(countif(var.que,$D105),"V",""))</f>
        <v/>
      </c>
      <c r="AA105" s="32"/>
      <c r="AB105" s="34" t="str">
        <f>
CONCATENATE(if(countif(knap.agi.sim,$D105),"K",""),
if(countif(dd.agi.sim,$D105),"D",""),
if(countif(nap.agi.sim,$D105),"A",""),
if(countif(var.agi.sim,$D105),"V",""))</f>
        <v/>
      </c>
      <c r="AC105" s="34" t="str">
        <f>
if(countif(nap.bun.sim,$D105),"A","")</f>
        <v/>
      </c>
      <c r="AD105" s="34" t="str">
        <f>
CONCATENATE(if(countif(knap.kxn.sim,$D105),"K",""),
if(countif(np.kxn.sim,$D105),"P",""),
if(countif(dd.kxn.sim,$D105),"D",""),
if(countif(nap.kxn.sim,$D105),"A",""),
if(countif(var.kxn.sim,$D105),"V",""))</f>
        <v/>
      </c>
      <c r="AE105" s="34" t="str">
        <f>
CONCATENATE(if(countif(knap.hwb.sim,$D105),"K",""),
if(countif(np.hwb.sim,$D105),"P",""),
if(countif(mic.hwb.sim,$D105),"M",""),
if(countif(imp.hwb.sim,$D105),"T",""),
if(countif(dd.cyan.sim,$D105),"D",""),
if(countif(nap.hwb.sim,$D105),"A",""),
if(countif(var.hwb.sim,$D105),"V",""))</f>
        <v/>
      </c>
      <c r="AF105" s="34" t="str">
        <f>
CONCATENATE(if(countif(us.ekxn.sim,$D105),"U",""),
if(countif(knap.ekxn.sim,$D105),"K",""),
if(countif(np.ekxn.sim,$D105),"P",""),
if(countif(mic.ekxn.sim,$D105),"M",""),
if(countif(imp.epc.sim,$D105),"T",""),
if(countif(nap.ekxn.sim,$D105),"A",""))</f>
        <v/>
      </c>
      <c r="AG105" s="34"/>
      <c r="AH105" s="34" t="str">
        <f>
CONCATENATE(if(countif(us.egt.sim,$D105),"U",""),
if(countif(knap.egt.sim,$D105),"K",""),
if(countif(np.egt.sim,$D105),"P",""),
if(countif(mic.egt.sim,$D105),"M",""))</f>
        <v/>
      </c>
      <c r="AI105" s="34"/>
      <c r="AJ105" s="34" t="str">
        <f>if(countif(nap.ecit.sim,$D105),"A","")</f>
        <v/>
      </c>
      <c r="AK105" s="34" t="str">
        <f>
CONCATENATE(if(countif(nap.erd,$D105),"M",""),
if(countif(nap.erd.sim,$D105),"A",""),
if(countif(var.erd.sim,$D105),"V",""))</f>
        <v/>
      </c>
      <c r="AL105" s="34" t="str">
        <f>
CONCATENATE(if(countif(knap.gkxn.sim,$D105),"K",""),
if(countif(nap.gkxn.sim,$D105),"A",""))</f>
        <v/>
      </c>
      <c r="AM105" s="34" t="str">
        <f>
CONCATENATE(if(countif(knap.gen.sim,$C105),"K",""),
if(countif(imp.gen.sim,$C105),"T",""),
if(countif(dd.gen.sim,$C105),"D",""),
if(countif(nap.gen.sim,$C105),"A",""),
if(countif(var.gen.sim,$C105),"V",""))
</f>
        <v/>
      </c>
      <c r="AN105" s="34" t="str">
        <f>IFERROR(__xludf.DUMMYFUNCTION("
if(countif(#REF!,CONCATENATE(regexextract($C105,""[\w]* [\w]*""), ""*"")),""V"","""")"),"")</f>
        <v/>
      </c>
      <c r="AO105" s="34" t="str">
        <f>
CONCATENATE(if(countif(knap.kmp.sim,$D105),"K",""),
if(countif(np.kmp.sim,$D105),"P",""),
if(countif(imp.kmp.sim,$D105),"T",""),
if(countif(dd.kmp,$D105),"D",""),
if(countif(nap.kmp.sim,$D105),"A",""),
if(countif(var.kmp.sim,$D105),"V",""))</f>
        <v/>
      </c>
      <c r="AP105" s="34" t="str">
        <f>
CONCATENATE(if(countif(knap.lu2.sim,$D105),"K",""),
if(countif(np.lu2.sim,$D105),"P",""),
if(countif(imp.lu2.sim,$D105),"T",""),
if(countif(dd.lu2.sim,$D105),"D",""),
if(countif(nap.lu2.sim,$D105),"A",""),
if(countif(var.lu2.sim,$D105),"V",""))</f>
        <v/>
      </c>
      <c r="AQ105" s="34" t="str">
        <f>
CONCATENATE(if(countif(np.myc.sim,$D105),"P",""),
if(countif(imp.myc.sim,$D105),"T",""),
if(countif(nap.myc.sim,$D105),"A",""))
</f>
        <v/>
      </c>
      <c r="AR105" s="36" t="str">
        <f>
CONCATENATE(if(countif(knap.nar.sim,$D105),"K",""),
if(countif(np.nar.sim,$D105),"P",""),
if(countif(imp.nar.sim,$D105),"T",""),
if(countif(dd.nar.sim,$D105),"D",""),
if(countif(nap.nar.sim,$D105),"A",""),
if(countif(var.nar.sim,$D105),"V",""))</f>
        <v/>
      </c>
      <c r="AS105" s="34" t="str">
        <f>
CONCATENATE(if(countif(knap.que.sim,$D105),"K",""),
if(countif(np.que.sim,$D105),"P",""),
if(countif(imp.que.sim,$D105),"T",""),
if(countif(dd.que.sim,$D105),"D",""),
if(countif(nap.que.sim,$D105),"A",""),
if(countif(var.que.sim,$D105),"V",""))</f>
        <v/>
      </c>
      <c r="AT105" s="37"/>
      <c r="AU105" s="32" t="str">
        <f>IFERROR(__xludf.DUMMYFUNCTION("if(countif(kr.agi, CONCATENATE(regexextract($C105,""[\w]* [\w]*""), ""*"")),""X"","""")"),"")</f>
        <v/>
      </c>
      <c r="AV105" s="38" t="str">
        <f>IFERROR(__xludf.DUMMYFUNCTION("if(countif(kr.bun,CONCATENATE(regexextract($C105,""[\w]* [\w]*""), ""*"")),""X"","""")"),"")</f>
        <v/>
      </c>
      <c r="AW105" s="38" t="str">
        <f>IFERROR(__xludf.DUMMYFUNCTION("if(countif(kr.kxn,CONCATENATE(regexextract($C105,""[\w]* [\w]*""), ""*"")),""X"","""")"),"")</f>
        <v/>
      </c>
      <c r="AX105" s="38" t="str">
        <f>IFERROR(__xludf.DUMMYFUNCTION("if(countif(kr.hwb,CONCATENATE(regexextract($C105,""[\w]* [\w]*""), ""*"")),""X"","""")"),"")</f>
        <v/>
      </c>
      <c r="AY105" s="38" t="str">
        <f>IFERROR(__xludf.DUMMYFUNCTION("if(countif(kr.ec,CONCATENATE(regexextract($C105,""[\w]* [\w]*""), ""*"")),""X"","""")"),"")</f>
        <v/>
      </c>
      <c r="AZ105" s="38" t="str">
        <f>IFERROR(__xludf.DUMMYFUNCTION("if(countif(kr.egt,CONCATENATE(regexextract($C105,""[\w]* [\w]*""), ""*"")),""X"","""")"),"")</f>
        <v/>
      </c>
      <c r="BA105" s="38"/>
      <c r="BB105" s="38" t="str">
        <f>IFERROR(__xludf.DUMMYFUNCTION("if(countif(kr.erd,CONCATENATE(regexextract($C105,""[\w]* [\w]*""), ""*"")),""X"","""")"),"")</f>
        <v/>
      </c>
      <c r="BC105" s="38" t="str">
        <f>IFERROR(__xludf.DUMMYFUNCTION("if(countif(kr.gkxn,CONCATENATE(regexextract($C105,""[\w]* [\w]*""), ""*"")),""X"","""")"),"")</f>
        <v/>
      </c>
      <c r="BD105" s="38" t="str">
        <f>IFERROR(__xludf.DUMMYFUNCTION("if(countif(kr.gen,CONCATENATE(regexextract(C105,""[\w]* [\w]*""), ""*"")),""X"","""")"),"")</f>
        <v/>
      </c>
      <c r="BE105" s="38" t="str">
        <f>IFERROR(__xludf.DUMMYFUNCTION("if(countif(kr.hcc,CONCATENATE(regexextract($C105,""[\w]* [\w]*""), ""*"")),""X"","""")"),"")</f>
        <v/>
      </c>
      <c r="BF105" s="38" t="str">
        <f>IFERROR(__xludf.DUMMYFUNCTION("if(countif(kr.kmp,CONCATENATE(regexextract($C105,""[\w]* [\w]*""), ""*"")),""X"","""")"),"")</f>
        <v/>
      </c>
      <c r="BG105" s="38" t="str">
        <f>IFERROR(__xludf.DUMMYFUNCTION("if(countif(kr.lu2,CONCATENATE(regexextract($C105,""[\w]* [\w]*""), ""*"")),""X"","""")"),"")</f>
        <v/>
      </c>
      <c r="BH105" s="38" t="str">
        <f>IFERROR(__xludf.DUMMYFUNCTION("if(countif(kr.myc,CONCATENATE(regexextract($C105,""[\w]* [\w]*""), ""*"")),""X"","""")"),"")</f>
        <v/>
      </c>
      <c r="BI105" s="38" t="str">
        <f>IFERROR(__xludf.DUMMYFUNCTION("if(countif(kr.nar,CONCATENATE(regexextract($C105,""[\w]* [\w]*""), ""*"")),""X"","""")"),"")</f>
        <v/>
      </c>
      <c r="BJ105" s="38" t="str">
        <f>IFERROR(__xludf.DUMMYFUNCTION("if(countif(kr.que,CONCATENATE(regexextract($C105,""[\w]* [\w]*""), ""*"")),""X"","""")"),"")</f>
        <v/>
      </c>
      <c r="BK105" s="39"/>
      <c r="BL105" s="40" t="str">
        <f>IFERROR(__xludf.DUMMYFUNCTION(" CONCATENATE( 
if (regexmatch(I105, ""^[A-Za-z\.\_]+""), ""L"", 
if(regexmatch(AB105, ""^[A-Za-z\.\_]+""),""S"","""")),
if(AU105=""X"",""K"",""""))"),"")</f>
        <v/>
      </c>
      <c r="BM105" s="40" t="str">
        <f>IFERROR(__xludf.DUMMYFUNCTION(" CONCATENATE( 
if (regexmatch(J105, ""^[A-Za-z\.\_]+""), ""L"", 
if(regexmatch(AC105, ""^[A-Za-z\.\_]+""),""S"","""")),
if(AV105=""X"",""K"",""""))"),"")</f>
        <v/>
      </c>
      <c r="BN105" s="40" t="str">
        <f>IFERROR(__xludf.DUMMYFUNCTION(" CONCATENATE( 
if (regexmatch(K105, ""^[A-Za-z\.\_]+""), ""L"", 
if(regexmatch(AD105, ""^[A-Za-z\.\_]+""),""S"","""")),
if(AW105=""X"",""K"",""""))"),"")</f>
        <v/>
      </c>
      <c r="BO105" s="40" t="str">
        <f>IFERROR(__xludf.DUMMYFUNCTION(" CONCATENATE( 
if (regexmatch(L105, ""^[A-Za-z\.\_]+""), ""L"", 
if(regexmatch(AE105, ""^[A-Za-z\.\_]+""),""S"","""")),
if(AX105=""X"",""K"",""""))"),"")</f>
        <v/>
      </c>
      <c r="BP105" s="40" t="str">
        <f>IFERROR(__xludf.DUMMYFUNCTION(" CONCATENATE( 
if (regexmatch(M105, ""^[A-Za-z\.\_]+""), ""L"", 
if(regexmatch(AF105, ""^[A-Za-z\.\_]+""),""S"","""")),
if(AY105=""X"",""K"",""""))"),"")</f>
        <v/>
      </c>
      <c r="BQ105" s="40" t="str">
        <f>IFERROR(__xludf.DUMMYFUNCTION("CONCATENATE( 
if (regexmatch(O105, ""^[A-Za-z\.\_]+""), ""L"", 
if(regexmatch(AH105, ""^[A-Za-z\.\_]+""),""S"","""")),
if(AZ105=""X"",""K"",""""))"),"")</f>
        <v/>
      </c>
      <c r="BR105" s="40" t="str">
        <f>IFERROR(__xludf.DUMMYFUNCTION("CONCATENATE( 
if (regexmatch(Q105, ""^[A-Za-z\.\_]+""), ""L"", 
if(regexmatch(AJ105, ""^[A-Za-z\.\_]+""),""S"","""")),
if(BA105=""X"",""K"",""""))"),"")</f>
        <v/>
      </c>
      <c r="BS105" s="40" t="str">
        <f>IFERROR(__xludf.DUMMYFUNCTION(" CONCATENATE( 
if (regexmatch(R105, ""^[A-Za-z\.\_]+""), ""L"", 
if(regexmatch(AK105, ""^[A-Za-z\.\_]+""),""S"","""")),
if(BB105=""X"",""K"",""""))"),"")</f>
        <v/>
      </c>
      <c r="BT105" s="40" t="str">
        <f>IFERROR(__xludf.DUMMYFUNCTION("CONCATENATE( 
if (regexmatch(S105, ""^[A-Za-z\.\_]+""), ""L"", 
if(regexmatch(AL105, ""^[A-Za-z\.\_]+""),""S"","""")),
if(BC105=""X"",""K"",""""))"),"")</f>
        <v/>
      </c>
      <c r="BU105" s="40" t="str">
        <f>IFERROR(__xludf.DUMMYFUNCTION("CONCATENATE( 
if (regexmatch(T105, ""^[A-Za-z\.\_]+""), ""L"", 
if(regexmatch(AM105, ""^[A-Za-z\.\_]+""),""S"","""")),
if(BD105=""X"",""K"",""""))"),"")</f>
        <v/>
      </c>
      <c r="BV105" s="40" t="str">
        <f>IFERROR(__xludf.DUMMYFUNCTION("CONCATENATE( 
if (regexmatch(U105, ""^[A-Za-z\.\_]+""), ""L"", 
if(regexmatch(AN105, ""^[A-Za-z\.\_]+""),""S"","""")),
if(BE105=""X"",""K"",""""))"),"")</f>
        <v/>
      </c>
      <c r="BW105" s="40" t="str">
        <f>IFERROR(__xludf.DUMMYFUNCTION(" CONCATENATE( 
if (regexmatch(V105, ""^[A-Za-z\.\_]+""), ""L"", 
if(regexmatch(AO105, ""^[A-Za-z\.\_]+""),""S"","""")),
if(BF105=""X"",""K"",""""))"),"")</f>
        <v/>
      </c>
      <c r="BX105" s="40" t="str">
        <f>IFERROR(__xludf.DUMMYFUNCTION("CONCATENATE( 
if (regexmatch(W105, ""^[A-Za-z\.\_]+""), ""L"", 
if(regexmatch(AP105, ""^[A-Za-z\.\_]+""),""S"","""")),
if(BG105=""X"",""K"",""""))"),"")</f>
        <v/>
      </c>
      <c r="BY105" s="40" t="str">
        <f>IFERROR(__xludf.DUMMYFUNCTION("CONCATENATE( 
if (regexmatch(X105, ""^[A-Za-z\.\_]+""), ""L"", 
if(regexmatch(AQ105, ""^[A-Za-z\.\_]+""),""S"","""")),
if(BH105=""X"",""K"",""""))"),"")</f>
        <v/>
      </c>
      <c r="BZ105" s="40" t="str">
        <f>IFERROR(__xludf.DUMMYFUNCTION("CONCATENATE( 
if (regexmatch(Y105, ""^[A-Za-z\.\_]+""), ""L"", 
if(regexmatch(AR105, ""^[A-Za-z\.\_]+""),""S"","""")),
if(BI105=""X"",""K"",""""))"),"")</f>
        <v/>
      </c>
      <c r="CA105" s="40" t="str">
        <f>IFERROR(__xludf.DUMMYFUNCTION("CONCATENATE( 
if (regexmatch(Z105, ""^[A-Za-z\.\_]+""), ""L"", 
if(regexmatch(AS105, ""^[A-Za-z\.\_]+""),""S"","""")),
if(BJ105=""X"",""K"",""""))"),"")</f>
        <v/>
      </c>
      <c r="CB105" s="39"/>
      <c r="CC105" s="39"/>
      <c r="CD105" s="39"/>
      <c r="CE105" s="39"/>
      <c r="CF105" s="39"/>
      <c r="CG105" s="39"/>
      <c r="CH105" s="39"/>
      <c r="CI105" s="39"/>
      <c r="CJ105" s="39"/>
      <c r="CK105" s="39"/>
      <c r="CL105" s="39"/>
      <c r="CM105" s="39"/>
      <c r="CN105" s="39"/>
      <c r="CO105" s="39"/>
      <c r="CP105" s="39"/>
      <c r="CQ105" s="39"/>
      <c r="CR105" s="39"/>
    </row>
    <row r="106" ht="15.75" customHeight="1">
      <c r="A106" s="25">
        <v>107.0</v>
      </c>
      <c r="B106" s="26" t="s">
        <v>389</v>
      </c>
      <c r="C106" s="27" t="s">
        <v>390</v>
      </c>
      <c r="D106" s="27" t="str">
        <f>IFERROR(__xludf.DUMMYFUNCTION("CONCATENATE(regexextract($C106,""[\w]* [\w]*""), ""*"")"),"Zea mays*")</f>
        <v>Zea mays*</v>
      </c>
      <c r="E106" s="26" t="s">
        <v>391</v>
      </c>
      <c r="F106" s="57">
        <v>4577.0</v>
      </c>
      <c r="G106" s="65"/>
      <c r="H106" s="31"/>
      <c r="I106" s="32" t="str">
        <f>CONCATENATE(
if(countif(dd.agi,$D106),"D",""),
if(countif(knap.agi,$D106),"K",""),
if(countif(mic.agi,$D106),"M",""),
if(countif(nap.agi,$D106),"N",""),
if(countif(np.agi,$D106),"P",""),
if(countif(imp.agi,$D106),"T",""),
if(countif(us.agi,$D106),"U",""),
if(countif(var.agi,$D106),"V","")
)</f>
        <v>DKN</v>
      </c>
      <c r="J106" s="32" t="str">
        <f>
CONCATENATE(
if(countif(nap.bun,$D106),"N",""),
if(countif(np.bun,$D106),"P","")
)
</f>
        <v/>
      </c>
      <c r="K106" s="32" t="str">
        <f>CONCATENATE(
if(countif(dd.kxn,$D106),"D",""),
if(countif(knap.kxn,$D106),"K",""),
if(countif(mic.kxn,$D106),"M",""),
if(countif(nap.kxn,$D106),"N",""),
if(countif(np.kxn,$D106),"P",""),
if(countif(us.kxn,$D106),"U",""),
if(countif(var.kxn,$D106),"V","")
)</f>
        <v/>
      </c>
      <c r="L106" s="32" t="str">
        <f>
CONCATENATE(
if(countif(dd.hwb,$D106),"D",""),
if(countif(knap.hwb,$D106),"K",""),
if(countif(mic.hwb,$D106),"M",""),
if(countif(nap.hwb,$D106),"N",""),
if(countif(np.hwb,$D106),"P",""),
if(countif(us.hwb,$D106),"U",""),
if(countif(imp.hwb,$D106),"T",""),
if(countif(var.hwb,$D106),"V","")
)</f>
        <v>DKNT</v>
      </c>
      <c r="M106" s="32" t="str">
        <f>CONCATENATE(
if(countif(dd.epc,$D106),"D",""),
if(countif(knap.ekxn,$D106),"K",""),
if(countif(mic.ekxn,$D106),"M",""),
if(countif(nap.ekxn,$D106),"N",""),
if(countif(np.ekxn,$D106),"P",""),
if(countif(imp.epc,$D106),"T",""),
if(countif(us.ekxn,$D106),"U",""),
if(countif(var.ekxn,$D106),"V","")
)</f>
        <v/>
      </c>
      <c r="N106" s="32" t="str">
        <f>
CONCATENATE(
if(countif(dd.ecg,$D106),"D",""),
if(countif(mic.ecg,$D106),"M",""),
if(countif(np.ecg,$D106),"P",""),
if(countif(imp.ecg,$D106),"T",""),
if(countif(us.ecg,$D106),"U","")
)</f>
        <v>T</v>
      </c>
      <c r="O106" s="32" t="str">
        <f>
CONCATENATE(
if(countif(dd.egt,$D106),"D",""),
if(countif(mic.egt,$D106),"M",""),
if(countif(nap.egt,$D106),"N",""),
if(countif(us.egt,$D106),"U",""),
if(countif(var.egt,$D106),"V",""))
</f>
        <v/>
      </c>
      <c r="P106" s="32" t="str">
        <f>CONCATENATE(
if(countif(knap.egcg,$D106),"K",""),
if(countif(mic.egcg,$D106),"M",""),
if(countif(np.egcg,$D106),"P",""),
if(countif(us.egcg,$D106),"U","")
)</f>
        <v/>
      </c>
      <c r="Q106" s="32" t="str">
        <f>CONCATENATE(if(countif(np.ecit,$D106),"P",""),
if(countif(nap.ecit,$D106),"A",""))</f>
        <v/>
      </c>
      <c r="R106" s="32" t="str">
        <f>
CONCATENATE(
if(countif(nap.erd,$D106),"N",""),
if(countif(np.erd,$D106),"P",""),
if(countif(var.erd,$D106),"V",""))</f>
        <v/>
      </c>
      <c r="S106" s="32" t="str">
        <f>
CONCATENATE(
if(countif(dd.gkxn,$D106),"D",""),
if(countif(knap.gkxn,$D106),"K",""),
if(countif(nap.gkxn,$D106),"N",""),
if(countif(np.gkxn,$D106),"P",""),
if(countif(imp.gkxn,$D106),"T",""),
if(countif(var.gkxn,$D106),"V",""))</f>
        <v/>
      </c>
      <c r="T106" s="32" t="str">
        <f>
CONCATENATE(
if(countif(dd.gen,$C106),"D",""),
if(countif(knap.gen,$C106),"K",""),
if(countif(nap.gen,$C106),"N",""),
if(countif(np.gen,$C106),"P",""),
if(countif(imp.gen,$C106),"T",""),
if(countif(var.gen,$C106),"V",""))</f>
        <v>K</v>
      </c>
      <c r="U106" s="32" t="str">
        <f>
CONCATENATE(
if(countif(dd.hcc,$D106),"D",""),
if(countif(knap.hcc,$D106),"K",""),
if(countif(np.hcc,$D106),"P","")
)
</f>
        <v/>
      </c>
      <c r="V106" s="32" t="str">
        <f>
CONCATENATE(
if(countif(dd.kmp,$D106),"D",""),
if(countif(knap.kmp,$D106),"K",""),
if(countif(mic.kmp,$D106),"M",""),
if(countif(nap.kmp,$D106),"N",""),
if(countif(np.kmp,$D106),"P",""),
if(countif(imp.kmp,$D106),"T",""),
if(countif(us.kmp,$D106),"U",""),
if(countif(var.kmp,$D106),"V",""))</f>
        <v>KT</v>
      </c>
      <c r="W106" s="32" t="str">
        <f>
CONCATENATE(
if(countif(dd.lu2,$D106),"D",""),
if(countif(knap.lu2,$D106),"K",""),
if(countif(mic.lu2,$D106),"M",""),
if(countif(nap.lu2,$D106),"N",""),
if(countif(np.lu2,$D106),"P",""),
if(countif(imp.lu2,$D106),"T",""),
if(countif(us.lu2,$D106),"U",""),
if(countif(var.lu2,$D106),"V",""))</f>
        <v>KN</v>
      </c>
      <c r="X106" s="32" t="str">
        <f>
CONCATENATE(
if(countif(dd.myc,$D106),"D",""),
if(countif(knap.myc,$D106),"K",""), 
if(countif(mic.myc,$D106),"M",""),
if(countif(nap.myc,$D106),"N",""),
if(countif(np.myc,$D106),"P",""),
if(countif(imp.myc,$D106),"T",""),
if(countif(us.myc,$D106),"U",""),
if(countif(var.myc,$D106),"V",""))</f>
        <v/>
      </c>
      <c r="Y106" s="32" t="str">
        <f>CONCATENATE(
if(countif(dd.nar,$D106),"D",""),
if(countif(knap.nar,$D106),"K",""),
if(countif(nap.nar,$D106),"N",""),
if(countif(np.nar,$D106),"P",""),
if(countif(imp.nar,$D106),"T",""),
if(countif(us.nar,$D106),"U",""),
if(countif(var.nar,$D106),"V",""))</f>
        <v>KT</v>
      </c>
      <c r="Z106" s="33" t="str">
        <f>
CONCATENATE(
if(countif(dd.que,$D106),"D",""),
if(countif(knap.que,$D106),"K",""),
if(countif(mic.que,$D106),"M",""),
if(countif(nap.que,$D106),"N",""),
if(countif(np.que,$D106),"P",""),
if(countif(imp.que,$D106),"T",""),
if(countif(us.que,$D106),"U",""),
if(countif(var.que,$D106),"V",""))</f>
        <v>DK</v>
      </c>
      <c r="AA106" s="32"/>
      <c r="AB106" s="34" t="str">
        <f>
CONCATENATE(if(countif(knap.agi.sim,$D106),"K",""),
if(countif(dd.agi.sim,$D106),"D",""),
if(countif(nap.agi.sim,$D106),"A",""),
if(countif(var.agi.sim,$D106),"V",""))</f>
        <v>KA</v>
      </c>
      <c r="AC106" s="34" t="str">
        <f>
if(countif(nap.bun.sim,$D106),"A","")</f>
        <v/>
      </c>
      <c r="AD106" s="34" t="str">
        <f>
CONCATENATE(if(countif(knap.kxn.sim,$D106),"K",""),
if(countif(np.kxn.sim,$D106),"P",""),
if(countif(dd.kxn.sim,$D106),"D",""),
if(countif(nap.kxn.sim,$D106),"A",""),
if(countif(var.kxn.sim,$D106),"V",""))</f>
        <v/>
      </c>
      <c r="AE106" s="34" t="str">
        <f>
CONCATENATE(if(countif(knap.hwb.sim,$D106),"K",""),
if(countif(np.hwb.sim,$D106),"P",""),
if(countif(mic.hwb.sim,$D106),"M",""),
if(countif(imp.hwb.sim,$D106),"T",""),
if(countif(dd.cyan.sim,$D106),"D",""),
if(countif(nap.hwb.sim,$D106),"A",""),
if(countif(var.hwb.sim,$D106),"V",""))</f>
        <v>KDA</v>
      </c>
      <c r="AF106" s="34" t="str">
        <f>
CONCATENATE(if(countif(us.ekxn.sim,$D106),"U",""),
if(countif(knap.ekxn.sim,$D106),"K",""),
if(countif(np.ekxn.sim,$D106),"P",""),
if(countif(mic.ekxn.sim,$D106),"M",""),
if(countif(imp.epc.sim,$D106),"T",""),
if(countif(nap.ekxn.sim,$D106),"A",""))</f>
        <v>T</v>
      </c>
      <c r="AG106" s="34"/>
      <c r="AH106" s="34" t="str">
        <f>
CONCATENATE(if(countif(us.egt.sim,$D106),"U",""),
if(countif(knap.egt.sim,$D106),"K",""),
if(countif(np.egt.sim,$D106),"P",""),
if(countif(mic.egt.sim,$D106),"M",""))</f>
        <v/>
      </c>
      <c r="AI106" s="34"/>
      <c r="AJ106" s="34" t="str">
        <f>if(countif(nap.ecit.sim,$D106),"A","")</f>
        <v/>
      </c>
      <c r="AK106" s="34" t="str">
        <f>
CONCATENATE(if(countif(nap.erd,$D106),"M",""),
if(countif(nap.erd.sim,$D106),"A",""),
if(countif(var.erd.sim,$D106),"V",""))</f>
        <v/>
      </c>
      <c r="AL106" s="34" t="str">
        <f>
CONCATENATE(if(countif(knap.gkxn.sim,$D106),"K",""),
if(countif(nap.gkxn.sim,$D106),"A",""))</f>
        <v/>
      </c>
      <c r="AM106" s="34" t="str">
        <f>
CONCATENATE(if(countif(knap.gen.sim,$C106),"K",""),
if(countif(imp.gen.sim,$C106),"T",""),
if(countif(dd.gen.sim,$C106),"D",""),
if(countif(nap.gen.sim,$C106),"A",""),
if(countif(var.gen.sim,$C106),"V",""))
</f>
        <v/>
      </c>
      <c r="AN106" s="34" t="str">
        <f>IFERROR(__xludf.DUMMYFUNCTION("
if(countif(#REF!,CONCATENATE(regexextract($C106,""[\w]* [\w]*""), ""*"")),""V"","""")"),"")</f>
        <v/>
      </c>
      <c r="AO106" s="34" t="str">
        <f>
CONCATENATE(if(countif(knap.kmp.sim,$D106),"K",""),
if(countif(np.kmp.sim,$D106),"P",""),
if(countif(imp.kmp.sim,$D106),"T",""),
if(countif(dd.kmp,$D106),"D",""),
if(countif(nap.kmp.sim,$D106),"A",""),
if(countif(var.kmp.sim,$D106),"V",""))</f>
        <v>A</v>
      </c>
      <c r="AP106" s="34" t="str">
        <f>
CONCATENATE(if(countif(knap.lu2.sim,$D106),"K",""),
if(countif(np.lu2.sim,$D106),"P",""),
if(countif(imp.lu2.sim,$D106),"T",""),
if(countif(dd.lu2.sim,$D106),"D",""),
if(countif(nap.lu2.sim,$D106),"A",""),
if(countif(var.lu2.sim,$D106),"V",""))</f>
        <v>KA</v>
      </c>
      <c r="AQ106" s="34" t="str">
        <f>
CONCATENATE(if(countif(np.myc.sim,$D106),"P",""),
if(countif(imp.myc.sim,$D106),"T",""),
if(countif(nap.myc.sim,$D106),"A",""))
</f>
        <v/>
      </c>
      <c r="AR106" s="36" t="str">
        <f>
CONCATENATE(if(countif(knap.nar.sim,$D106),"K",""),
if(countif(np.nar.sim,$D106),"P",""),
if(countif(imp.nar.sim,$D106),"T",""),
if(countif(dd.nar.sim,$D106),"D",""),
if(countif(nap.nar.sim,$D106),"A",""),
if(countif(var.nar.sim,$D106),"V",""))</f>
        <v>K</v>
      </c>
      <c r="AS106" s="34" t="str">
        <f>
CONCATENATE(if(countif(knap.que.sim,$D106),"K",""),
if(countif(np.que.sim,$D106),"P",""),
if(countif(imp.que.sim,$D106),"T",""),
if(countif(dd.que.sim,$D106),"D",""),
if(countif(nap.que.sim,$D106),"A",""),
if(countif(var.que.sim,$D106),"V",""))</f>
        <v>KDA</v>
      </c>
      <c r="AT106" s="37"/>
      <c r="AU106" s="32" t="str">
        <f>IFERROR(__xludf.DUMMYFUNCTION("if(countif(kr.agi, CONCATENATE(regexextract($C106,""[\w]* [\w]*""), ""*"")),""X"","""")"),"X")</f>
        <v>X</v>
      </c>
      <c r="AV106" s="38" t="str">
        <f>IFERROR(__xludf.DUMMYFUNCTION("if(countif(kr.bun,CONCATENATE(regexextract($C106,""[\w]* [\w]*""), ""*"")),""X"","""")"),"X")</f>
        <v>X</v>
      </c>
      <c r="AW106" s="38" t="str">
        <f>IFERROR(__xludf.DUMMYFUNCTION("if(countif(kr.kxn,CONCATENATE(regexextract($C106,""[\w]* [\w]*""), ""*"")),""X"","""")"),"")</f>
        <v/>
      </c>
      <c r="AX106" s="38" t="str">
        <f>IFERROR(__xludf.DUMMYFUNCTION("if(countif(kr.hwb,CONCATENATE(regexextract($C106,""[\w]* [\w]*""), ""*"")),""X"","""")"),"X")</f>
        <v>X</v>
      </c>
      <c r="AY106" s="38" t="str">
        <f>IFERROR(__xludf.DUMMYFUNCTION("if(countif(kr.ec,CONCATENATE(regexextract($C106,""[\w]* [\w]*""), ""*"")),""X"","""")"),"X")</f>
        <v>X</v>
      </c>
      <c r="AZ106" s="38" t="str">
        <f>IFERROR(__xludf.DUMMYFUNCTION("if(countif(kr.egt,CONCATENATE(regexextract($C106,""[\w]* [\w]*""), ""*"")),""X"","""")"),"X")</f>
        <v>X</v>
      </c>
      <c r="BA106" s="38"/>
      <c r="BB106" s="38" t="str">
        <f>IFERROR(__xludf.DUMMYFUNCTION("if(countif(kr.erd,CONCATENATE(regexextract($C106,""[\w]* [\w]*""), ""*"")),""X"","""")"),"X")</f>
        <v>X</v>
      </c>
      <c r="BC106" s="38" t="str">
        <f>IFERROR(__xludf.DUMMYFUNCTION("if(countif(kr.gkxn,CONCATENATE(regexextract($C106,""[\w]* [\w]*""), ""*"")),""X"","""")"),"")</f>
        <v/>
      </c>
      <c r="BD106" s="38" t="str">
        <f>IFERROR(__xludf.DUMMYFUNCTION("if(countif(kr.gen,CONCATENATE(regexextract(C106,""[\w]* [\w]*""), ""*"")),""X"","""")"),"")</f>
        <v/>
      </c>
      <c r="BE106" s="38" t="str">
        <f>IFERROR(__xludf.DUMMYFUNCTION("if(countif(kr.hcc,CONCATENATE(regexextract($C106,""[\w]* [\w]*""), ""*"")),""X"","""")"),"X")</f>
        <v>X</v>
      </c>
      <c r="BF106" s="38" t="str">
        <f>IFERROR(__xludf.DUMMYFUNCTION("if(countif(kr.kmp,CONCATENATE(regexextract($C106,""[\w]* [\w]*""), ""*"")),""X"","""")"),"X")</f>
        <v>X</v>
      </c>
      <c r="BG106" s="38" t="str">
        <f>IFERROR(__xludf.DUMMYFUNCTION("if(countif(kr.lu2,CONCATENATE(regexextract($C106,""[\w]* [\w]*""), ""*"")),""X"","""")"),"X")</f>
        <v>X</v>
      </c>
      <c r="BH106" s="38" t="str">
        <f>IFERROR(__xludf.DUMMYFUNCTION("if(countif(kr.myc,CONCATENATE(regexextract($C106,""[\w]* [\w]*""), ""*"")),""X"","""")"),"X")</f>
        <v>X</v>
      </c>
      <c r="BI106" s="38" t="str">
        <f>IFERROR(__xludf.DUMMYFUNCTION("if(countif(kr.nar,CONCATENATE(regexextract($C106,""[\w]* [\w]*""), ""*"")),""X"","""")"),"X")</f>
        <v>X</v>
      </c>
      <c r="BJ106" s="38" t="str">
        <f>IFERROR(__xludf.DUMMYFUNCTION("if(countif(kr.que,CONCATENATE(regexextract($C106,""[\w]* [\w]*""), ""*"")),""X"","""")"),"X")</f>
        <v>X</v>
      </c>
      <c r="BK106" s="39"/>
      <c r="BL106" s="40" t="str">
        <f>IFERROR(__xludf.DUMMYFUNCTION(" CONCATENATE( 
if (regexmatch(I106, ""^[A-Za-z\.\_]+""), ""L"", 
if(regexmatch(AB106, ""^[A-Za-z\.\_]+""),""S"","""")),
if(AU106=""X"",""K"",""""))"),"LK")</f>
        <v>LK</v>
      </c>
      <c r="BM106" s="40" t="str">
        <f>IFERROR(__xludf.DUMMYFUNCTION(" CONCATENATE( 
if (regexmatch(J106, ""^[A-Za-z\.\_]+""), ""L"", 
if(regexmatch(AC106, ""^[A-Za-z\.\_]+""),""S"","""")),
if(AV106=""X"",""K"",""""))"),"K")</f>
        <v>K</v>
      </c>
      <c r="BN106" s="40" t="str">
        <f>IFERROR(__xludf.DUMMYFUNCTION(" CONCATENATE( 
if (regexmatch(K106, ""^[A-Za-z\.\_]+""), ""L"", 
if(regexmatch(AD106, ""^[A-Za-z\.\_]+""),""S"","""")),
if(AW106=""X"",""K"",""""))"),"")</f>
        <v/>
      </c>
      <c r="BO106" s="40" t="str">
        <f>IFERROR(__xludf.DUMMYFUNCTION(" CONCATENATE( 
if (regexmatch(L106, ""^[A-Za-z\.\_]+""), ""L"", 
if(regexmatch(AE106, ""^[A-Za-z\.\_]+""),""S"","""")),
if(AX106=""X"",""K"",""""))"),"LK")</f>
        <v>LK</v>
      </c>
      <c r="BP106" s="40" t="str">
        <f>IFERROR(__xludf.DUMMYFUNCTION(" CONCATENATE( 
if (regexmatch(M106, ""^[A-Za-z\.\_]+""), ""L"", 
if(regexmatch(AF106, ""^[A-Za-z\.\_]+""),""S"","""")),
if(AY106=""X"",""K"",""""))"),"SK")</f>
        <v>SK</v>
      </c>
      <c r="BQ106" s="40" t="str">
        <f>IFERROR(__xludf.DUMMYFUNCTION("CONCATENATE( 
if (regexmatch(O106, ""^[A-Za-z\.\_]+""), ""L"", 
if(regexmatch(AH106, ""^[A-Za-z\.\_]+""),""S"","""")),
if(AZ106=""X"",""K"",""""))"),"K")</f>
        <v>K</v>
      </c>
      <c r="BR106" s="40" t="str">
        <f>IFERROR(__xludf.DUMMYFUNCTION("CONCATENATE( 
if (regexmatch(Q106, ""^[A-Za-z\.\_]+""), ""L"", 
if(regexmatch(AJ106, ""^[A-Za-z\.\_]+""),""S"","""")),
if(BA106=""X"",""K"",""""))"),"")</f>
        <v/>
      </c>
      <c r="BS106" s="40" t="str">
        <f>IFERROR(__xludf.DUMMYFUNCTION(" CONCATENATE( 
if (regexmatch(R106, ""^[A-Za-z\.\_]+""), ""L"", 
if(regexmatch(AK106, ""^[A-Za-z\.\_]+""),""S"","""")),
if(BB106=""X"",""K"",""""))"),"K")</f>
        <v>K</v>
      </c>
      <c r="BT106" s="40" t="str">
        <f>IFERROR(__xludf.DUMMYFUNCTION("CONCATENATE( 
if (regexmatch(S106, ""^[A-Za-z\.\_]+""), ""L"", 
if(regexmatch(AL106, ""^[A-Za-z\.\_]+""),""S"","""")),
if(BC106=""X"",""K"",""""))"),"")</f>
        <v/>
      </c>
      <c r="BU106" s="40" t="str">
        <f>IFERROR(__xludf.DUMMYFUNCTION("CONCATENATE( 
if (regexmatch(T106, ""^[A-Za-z\.\_]+""), ""L"", 
if(regexmatch(AM106, ""^[A-Za-z\.\_]+""),""S"","""")),
if(BD106=""X"",""K"",""""))"),"L")</f>
        <v>L</v>
      </c>
      <c r="BV106" s="40" t="str">
        <f>IFERROR(__xludf.DUMMYFUNCTION("CONCATENATE( 
if (regexmatch(U106, ""^[A-Za-z\.\_]+""), ""L"", 
if(regexmatch(AN106, ""^[A-Za-z\.\_]+""),""S"","""")),
if(BE106=""X"",""K"",""""))"),"K")</f>
        <v>K</v>
      </c>
      <c r="BW106" s="40" t="str">
        <f>IFERROR(__xludf.DUMMYFUNCTION(" CONCATENATE( 
if (regexmatch(V106, ""^[A-Za-z\.\_]+""), ""L"", 
if(regexmatch(AO106, ""^[A-Za-z\.\_]+""),""S"","""")),
if(BF106=""X"",""K"",""""))"),"LK")</f>
        <v>LK</v>
      </c>
      <c r="BX106" s="40" t="str">
        <f>IFERROR(__xludf.DUMMYFUNCTION("CONCATENATE( 
if (regexmatch(W106, ""^[A-Za-z\.\_]+""), ""L"", 
if(regexmatch(AP106, ""^[A-Za-z\.\_]+""),""S"","""")),
if(BG106=""X"",""K"",""""))"),"LK")</f>
        <v>LK</v>
      </c>
      <c r="BY106" s="40" t="str">
        <f>IFERROR(__xludf.DUMMYFUNCTION("CONCATENATE( 
if (regexmatch(X106, ""^[A-Za-z\.\_]+""), ""L"", 
if(regexmatch(AQ106, ""^[A-Za-z\.\_]+""),""S"","""")),
if(BH106=""X"",""K"",""""))"),"K")</f>
        <v>K</v>
      </c>
      <c r="BZ106" s="40" t="str">
        <f>IFERROR(__xludf.DUMMYFUNCTION("CONCATENATE( 
if (regexmatch(Y106, ""^[A-Za-z\.\_]+""), ""L"", 
if(regexmatch(AR106, ""^[A-Za-z\.\_]+""),""S"","""")),
if(BI106=""X"",""K"",""""))"),"LK")</f>
        <v>LK</v>
      </c>
      <c r="CA106" s="40" t="str">
        <f>IFERROR(__xludf.DUMMYFUNCTION("CONCATENATE( 
if (regexmatch(Z106, ""^[A-Za-z\.\_]+""), ""L"", 
if(regexmatch(AS106, ""^[A-Za-z\.\_]+""),""S"","""")),
if(BJ106=""X"",""K"",""""))"),"LK")</f>
        <v>LK</v>
      </c>
      <c r="CB106" s="39"/>
      <c r="CC106" s="39"/>
      <c r="CD106" s="39"/>
      <c r="CE106" s="39"/>
      <c r="CF106" s="39"/>
      <c r="CG106" s="39"/>
      <c r="CH106" s="39"/>
      <c r="CI106" s="39"/>
      <c r="CJ106" s="39"/>
      <c r="CK106" s="39"/>
      <c r="CL106" s="39"/>
      <c r="CM106" s="39"/>
      <c r="CN106" s="39"/>
      <c r="CO106" s="39"/>
      <c r="CP106" s="39"/>
      <c r="CQ106" s="39"/>
      <c r="CR106" s="39"/>
    </row>
    <row r="107" ht="15.75" customHeight="1">
      <c r="A107" s="25">
        <v>48.0</v>
      </c>
      <c r="B107" s="26" t="s">
        <v>392</v>
      </c>
      <c r="C107" s="27" t="s">
        <v>393</v>
      </c>
      <c r="D107" s="27" t="str">
        <f>IFERROR(__xludf.DUMMYFUNCTION("CONCATENATE(regexextract($C107,""[\w]* [\w]*""), ""*"")"),"Ziziphus jujuba*")</f>
        <v>Ziziphus jujuba*</v>
      </c>
      <c r="E107" s="59" t="s">
        <v>394</v>
      </c>
      <c r="F107" s="57">
        <v>326968.0</v>
      </c>
      <c r="G107" s="65"/>
      <c r="H107" s="31"/>
      <c r="I107" s="32" t="str">
        <f>CONCATENATE(
if(countif(dd.agi,$D107),"D",""),
if(countif(knap.agi,$D107),"K",""),
if(countif(mic.agi,$D107),"M",""),
if(countif(nap.agi,$D107),"N",""),
if(countif(np.agi,$D107),"P",""),
if(countif(imp.agi,$D107),"T",""),
if(countif(us.agi,$D107),"U",""),
if(countif(var.agi,$D107),"V","")
)</f>
        <v/>
      </c>
      <c r="J107" s="32" t="str">
        <f>
CONCATENATE(
if(countif(nap.bun,$D107),"N",""),
if(countif(np.bun,$D107),"P","")
)
</f>
        <v/>
      </c>
      <c r="K107" s="32" t="str">
        <f>CONCATENATE(
if(countif(dd.kxn,$D107),"D",""),
if(countif(knap.kxn,$D107),"K",""),
if(countif(mic.kxn,$D107),"M",""),
if(countif(nap.kxn,$D107),"N",""),
if(countif(np.kxn,$D107),"P",""),
if(countif(us.kxn,$D107),"U",""),
if(countif(var.kxn,$D107),"V","")
)</f>
        <v>KMNPU</v>
      </c>
      <c r="L107" s="32" t="str">
        <f>
CONCATENATE(
if(countif(dd.hwb,$D107),"D",""),
if(countif(knap.hwb,$D107),"K",""),
if(countif(mic.hwb,$D107),"M",""),
if(countif(nap.hwb,$D107),"N",""),
if(countif(np.hwb,$D107),"P",""),
if(countif(us.hwb,$D107),"U",""),
if(countif(imp.hwb,$D107),"T",""),
if(countif(var.hwb,$D107),"V","")
)</f>
        <v/>
      </c>
      <c r="M107" s="32" t="str">
        <f>CONCATENATE(
if(countif(dd.epc,$D107),"D",""),
if(countif(knap.ekxn,$D107),"K",""),
if(countif(mic.ekxn,$D107),"M",""),
if(countif(nap.ekxn,$D107),"N",""),
if(countif(np.ekxn,$D107),"P",""),
if(countif(imp.epc,$D107),"T",""),
if(countif(us.ekxn,$D107),"U",""),
if(countif(var.ekxn,$D107),"V","")
)</f>
        <v>NPU</v>
      </c>
      <c r="N107" s="32" t="str">
        <f>
CONCATENATE(
if(countif(dd.ecg,$D107),"D",""),
if(countif(mic.ecg,$D107),"M",""),
if(countif(np.ecg,$D107),"P",""),
if(countif(imp.ecg,$D107),"T",""),
if(countif(us.ecg,$D107),"U","")
)</f>
        <v/>
      </c>
      <c r="O107" s="32" t="str">
        <f>
CONCATENATE(
if(countif(dd.egt,$D107),"D",""),
if(countif(mic.egt,$D107),"M",""),
if(countif(nap.egt,$D107),"N",""),
if(countif(us.egt,$D107),"U",""),
if(countif(var.egt,$D107),"V",""))
</f>
        <v>N</v>
      </c>
      <c r="P107" s="32" t="str">
        <f>CONCATENATE(
if(countif(knap.egcg,$D107),"K",""),
if(countif(mic.egcg,$D107),"M",""),
if(countif(np.egcg,$D107),"P",""),
if(countif(us.egcg,$D107),"U","")
)</f>
        <v/>
      </c>
      <c r="Q107" s="32" t="str">
        <f>CONCATENATE(if(countif(np.ecit,$D107),"P",""),
if(countif(nap.ecit,$D107),"A",""))</f>
        <v/>
      </c>
      <c r="R107" s="32" t="str">
        <f>
CONCATENATE(
if(countif(nap.erd,$D107),"N",""),
if(countif(np.erd,$D107),"P",""),
if(countif(var.erd,$D107),"V",""))</f>
        <v>N</v>
      </c>
      <c r="S107" s="32" t="str">
        <f>
CONCATENATE(
if(countif(dd.gkxn,$D107),"D",""),
if(countif(knap.gkxn,$D107),"K",""),
if(countif(nap.gkxn,$D107),"N",""),
if(countif(np.gkxn,$D107),"P",""),
if(countif(imp.gkxn,$D107),"T",""),
if(countif(var.gkxn,$D107),"V",""))</f>
        <v>N</v>
      </c>
      <c r="T107" s="32" t="str">
        <f>
CONCATENATE(
if(countif(dd.gen,$C107),"D",""),
if(countif(knap.gen,$C107),"K",""),
if(countif(nap.gen,$C107),"N",""),
if(countif(np.gen,$C107),"P",""),
if(countif(imp.gen,$C107),"T",""),
if(countif(var.gen,$C107),"V",""))</f>
        <v/>
      </c>
      <c r="U107" s="32" t="str">
        <f>
CONCATENATE(
if(countif(dd.hcc,$D107),"D",""),
if(countif(knap.hcc,$D107),"K",""),
if(countif(np.hcc,$D107),"P","")
)
</f>
        <v/>
      </c>
      <c r="V107" s="32" t="str">
        <f>
CONCATENATE(
if(countif(dd.kmp,$D107),"D",""),
if(countif(knap.kmp,$D107),"K",""),
if(countif(mic.kmp,$D107),"M",""),
if(countif(nap.kmp,$D107),"N",""),
if(countif(np.kmp,$D107),"P",""),
if(countif(imp.kmp,$D107),"T",""),
if(countif(us.kmp,$D107),"U",""),
if(countif(var.kmp,$D107),"V",""))</f>
        <v>N</v>
      </c>
      <c r="W107" s="32" t="str">
        <f>
CONCATENATE(
if(countif(dd.lu2,$D107),"D",""),
if(countif(knap.lu2,$D107),"K",""),
if(countif(mic.lu2,$D107),"M",""),
if(countif(nap.lu2,$D107),"N",""),
if(countif(np.lu2,$D107),"P",""),
if(countif(imp.lu2,$D107),"T",""),
if(countif(us.lu2,$D107),"U",""),
if(countif(var.lu2,$D107),"V",""))</f>
        <v/>
      </c>
      <c r="X107" s="32" t="str">
        <f>
CONCATENATE(
if(countif(dd.myc,$D107),"D",""),
if(countif(knap.myc,$D107),"K",""), 
if(countif(mic.myc,$D107),"M",""),
if(countif(nap.myc,$D107),"N",""),
if(countif(np.myc,$D107),"P",""),
if(countif(imp.myc,$D107),"T",""),
if(countif(us.myc,$D107),"U",""),
if(countif(var.myc,$D107),"V",""))</f>
        <v/>
      </c>
      <c r="Y107" s="32" t="str">
        <f>CONCATENATE(
if(countif(dd.nar,$D107),"D",""),
if(countif(knap.nar,$D107),"K",""),
if(countif(nap.nar,$D107),"N",""),
if(countif(np.nar,$D107),"P",""),
if(countif(imp.nar,$D107),"T",""),
if(countif(us.nar,$D107),"U",""),
if(countif(var.nar,$D107),"V",""))</f>
        <v/>
      </c>
      <c r="Z107" s="33" t="str">
        <f>
CONCATENATE(
if(countif(dd.que,$D107),"D",""),
if(countif(knap.que,$D107),"K",""),
if(countif(mic.que,$D107),"M",""),
if(countif(nap.que,$D107),"N",""),
if(countif(np.que,$D107),"P",""),
if(countif(imp.que,$D107),"T",""),
if(countif(us.que,$D107),"U",""),
if(countif(var.que,$D107),"V",""))</f>
        <v>MPU</v>
      </c>
      <c r="AA107" s="32"/>
      <c r="AB107" s="34" t="str">
        <f>
CONCATENATE(if(countif(knap.agi.sim,$D107),"K",""),
if(countif(dd.agi.sim,$D107),"D",""),
if(countif(nap.agi.sim,$D107),"A",""),
if(countif(var.agi.sim,$D107),"V",""))</f>
        <v/>
      </c>
      <c r="AC107" s="34" t="str">
        <f>
if(countif(nap.bun.sim,$D107),"A","")</f>
        <v/>
      </c>
      <c r="AD107" s="34" t="str">
        <f>
CONCATENATE(if(countif(knap.kxn.sim,$D107),"K",""),
if(countif(np.kxn.sim,$D107),"P",""),
if(countif(dd.kxn.sim,$D107),"D",""),
if(countif(nap.kxn.sim,$D107),"A",""),
if(countif(var.kxn.sim,$D107),"V",""))</f>
        <v>A</v>
      </c>
      <c r="AE107" s="34" t="str">
        <f>
CONCATENATE(if(countif(knap.hwb.sim,$D107),"K",""),
if(countif(np.hwb.sim,$D107),"P",""),
if(countif(mic.hwb.sim,$D107),"M",""),
if(countif(imp.hwb.sim,$D107),"T",""),
if(countif(dd.cyan.sim,$D107),"D",""),
if(countif(nap.hwb.sim,$D107),"A",""),
if(countif(var.hwb.sim,$D107),"V",""))</f>
        <v>A</v>
      </c>
      <c r="AF107" s="34" t="str">
        <f>
CONCATENATE(if(countif(us.ekxn.sim,$D107),"U",""),
if(countif(knap.ekxn.sim,$D107),"K",""),
if(countif(np.ekxn.sim,$D107),"P",""),
if(countif(mic.ekxn.sim,$D107),"M",""),
if(countif(imp.epc.sim,$D107),"T",""),
if(countif(nap.ekxn.sim,$D107),"A",""))</f>
        <v>PA</v>
      </c>
      <c r="AG107" s="34"/>
      <c r="AH107" s="34" t="str">
        <f>
CONCATENATE(if(countif(us.egt.sim,$D107),"U",""),
if(countif(knap.egt.sim,$D107),"K",""),
if(countif(np.egt.sim,$D107),"P",""),
if(countif(mic.egt.sim,$D107),"M",""))</f>
        <v/>
      </c>
      <c r="AI107" s="34"/>
      <c r="AJ107" s="34" t="str">
        <f>if(countif(nap.ecit.sim,$D107),"A","")</f>
        <v/>
      </c>
      <c r="AK107" s="34" t="str">
        <f>
CONCATENATE(if(countif(nap.erd,$D107),"M",""),
if(countif(nap.erd.sim,$D107),"A",""),
if(countif(var.erd.sim,$D107),"V",""))</f>
        <v>M</v>
      </c>
      <c r="AL107" s="34" t="str">
        <f>
CONCATENATE(if(countif(knap.gkxn.sim,$D107),"K",""),
if(countif(nap.gkxn.sim,$D107),"A",""))</f>
        <v/>
      </c>
      <c r="AM107" s="34" t="str">
        <f>
CONCATENATE(if(countif(knap.gen.sim,$C107),"K",""),
if(countif(imp.gen.sim,$C107),"T",""),
if(countif(dd.gen.sim,$C107),"D",""),
if(countif(nap.gen.sim,$C107),"A",""),
if(countif(var.gen.sim,$C107),"V",""))
</f>
        <v/>
      </c>
      <c r="AN107" s="34" t="str">
        <f>IFERROR(__xludf.DUMMYFUNCTION("
if(countif(#REF!,CONCATENATE(regexextract($C107,""[\w]* [\w]*""), ""*"")),""V"","""")"),"")</f>
        <v/>
      </c>
      <c r="AO107" s="34" t="str">
        <f>
CONCATENATE(if(countif(knap.kmp.sim,$D107),"K",""),
if(countif(np.kmp.sim,$D107),"P",""),
if(countif(imp.kmp.sim,$D107),"T",""),
if(countif(dd.kmp,$D107),"D",""),
if(countif(nap.kmp.sim,$D107),"A",""),
if(countif(var.kmp.sim,$D107),"V",""))</f>
        <v>P</v>
      </c>
      <c r="AP107" s="34" t="str">
        <f>
CONCATENATE(if(countif(knap.lu2.sim,$D107),"K",""),
if(countif(np.lu2.sim,$D107),"P",""),
if(countif(imp.lu2.sim,$D107),"T",""),
if(countif(dd.lu2.sim,$D107),"D",""),
if(countif(nap.lu2.sim,$D107),"A",""),
if(countif(var.lu2.sim,$D107),"V",""))</f>
        <v>P</v>
      </c>
      <c r="AQ107" s="34" t="str">
        <f>
CONCATENATE(if(countif(np.myc.sim,$D107),"P",""),
if(countif(imp.myc.sim,$D107),"T",""),
if(countif(nap.myc.sim,$D107),"A",""))
</f>
        <v/>
      </c>
      <c r="AR107" s="36" t="str">
        <f>
CONCATENATE(if(countif(knap.nar.sim,$D107),"K",""),
if(countif(np.nar.sim,$D107),"P",""),
if(countif(imp.nar.sim,$D107),"T",""),
if(countif(dd.nar.sim,$D107),"D",""),
if(countif(nap.nar.sim,$D107),"A",""),
if(countif(var.nar.sim,$D107),"V",""))</f>
        <v>K</v>
      </c>
      <c r="AS107" s="34" t="str">
        <f>
CONCATENATE(if(countif(knap.que.sim,$D107),"K",""),
if(countif(np.que.sim,$D107),"P",""),
if(countif(imp.que.sim,$D107),"T",""),
if(countif(dd.que.sim,$D107),"D",""),
if(countif(nap.que.sim,$D107),"A",""),
if(countif(var.que.sim,$D107),"V",""))</f>
        <v>KPDA</v>
      </c>
      <c r="AT107" s="37"/>
      <c r="AU107" s="32" t="str">
        <f>IFERROR(__xludf.DUMMYFUNCTION("if(countif(kr.agi, CONCATENATE(regexextract($C107,""[\w]* [\w]*""), ""*"")),""X"","""")"),"")</f>
        <v/>
      </c>
      <c r="AV107" s="38" t="str">
        <f>IFERROR(__xludf.DUMMYFUNCTION("if(countif(kr.bun,CONCATENATE(regexextract($C107,""[\w]* [\w]*""), ""*"")),""X"","""")"),"X")</f>
        <v>X</v>
      </c>
      <c r="AW107" s="38" t="str">
        <f>IFERROR(__xludf.DUMMYFUNCTION("if(countif(kr.kxn,CONCATENATE(regexextract($C107,""[\w]* [\w]*""), ""*"")),""X"","""")"),"X")</f>
        <v>X</v>
      </c>
      <c r="AX107" s="38" t="str">
        <f>IFERROR(__xludf.DUMMYFUNCTION("if(countif(kr.hwb,CONCATENATE(regexextract($C107,""[\w]* [\w]*""), ""*"")),""X"","""")"),"X")</f>
        <v>X</v>
      </c>
      <c r="AY107" s="38" t="str">
        <f>IFERROR(__xludf.DUMMYFUNCTION("if(countif(kr.ec,CONCATENATE(regexextract($C107,""[\w]* [\w]*""), ""*"")),""X"","""")"),"X")</f>
        <v>X</v>
      </c>
      <c r="AZ107" s="38" t="str">
        <f>IFERROR(__xludf.DUMMYFUNCTION("if(countif(kr.egt,CONCATENATE(regexextract($C107,""[\w]* [\w]*""), ""*"")),""X"","""")"),"X")</f>
        <v>X</v>
      </c>
      <c r="BA107" s="38"/>
      <c r="BB107" s="38" t="str">
        <f>IFERROR(__xludf.DUMMYFUNCTION("if(countif(kr.erd,CONCATENATE(regexextract($C107,""[\w]* [\w]*""), ""*"")),""X"","""")"),"X")</f>
        <v>X</v>
      </c>
      <c r="BC107" s="38" t="str">
        <f>IFERROR(__xludf.DUMMYFUNCTION("if(countif(kr.gkxn,CONCATENATE(regexextract($C107,""[\w]* [\w]*""), ""*"")),""X"","""")"),"X")</f>
        <v>X</v>
      </c>
      <c r="BD107" s="38" t="str">
        <f>IFERROR(__xludf.DUMMYFUNCTION("if(countif(kr.gen,CONCATENATE(regexextract(C107,""[\w]* [\w]*""), ""*"")),""X"","""")"),"")</f>
        <v/>
      </c>
      <c r="BE107" s="38" t="str">
        <f>IFERROR(__xludf.DUMMYFUNCTION("if(countif(kr.hcc,CONCATENATE(regexextract($C107,""[\w]* [\w]*""), ""*"")),""X"","""")"),"X")</f>
        <v>X</v>
      </c>
      <c r="BF107" s="38" t="str">
        <f>IFERROR(__xludf.DUMMYFUNCTION("if(countif(kr.kmp,CONCATENATE(regexextract($C107,""[\w]* [\w]*""), ""*"")),""X"","""")"),"X")</f>
        <v>X</v>
      </c>
      <c r="BG107" s="38" t="str">
        <f>IFERROR(__xludf.DUMMYFUNCTION("if(countif(kr.lu2,CONCATENATE(regexextract($C107,""[\w]* [\w]*""), ""*"")),""X"","""")"),"")</f>
        <v/>
      </c>
      <c r="BH107" s="38" t="str">
        <f>IFERROR(__xludf.DUMMYFUNCTION("if(countif(kr.myc,CONCATENATE(regexextract($C107,""[\w]* [\w]*""), ""*"")),""X"","""")"),"X")</f>
        <v>X</v>
      </c>
      <c r="BI107" s="38" t="str">
        <f>IFERROR(__xludf.DUMMYFUNCTION("if(countif(kr.nar,CONCATENATE(regexextract($C107,""[\w]* [\w]*""), ""*"")),""X"","""")"),"X")</f>
        <v>X</v>
      </c>
      <c r="BJ107" s="38" t="str">
        <f>IFERROR(__xludf.DUMMYFUNCTION("if(countif(kr.que,CONCATENATE(regexextract($C107,""[\w]* [\w]*""), ""*"")),""X"","""")"),"X")</f>
        <v>X</v>
      </c>
      <c r="BK107" s="39"/>
      <c r="BL107" s="40" t="str">
        <f>IFERROR(__xludf.DUMMYFUNCTION(" CONCATENATE( 
if (regexmatch(I107, ""^[A-Za-z\.\_]+""), ""L"", 
if(regexmatch(AB107, ""^[A-Za-z\.\_]+""),""S"","""")),
if(AU107=""X"",""K"",""""))"),"")</f>
        <v/>
      </c>
      <c r="BM107" s="40" t="str">
        <f>IFERROR(__xludf.DUMMYFUNCTION(" CONCATENATE( 
if (regexmatch(J107, ""^[A-Za-z\.\_]+""), ""L"", 
if(regexmatch(AC107, ""^[A-Za-z\.\_]+""),""S"","""")),
if(AV107=""X"",""K"",""""))"),"K")</f>
        <v>K</v>
      </c>
      <c r="BN107" s="40" t="str">
        <f>IFERROR(__xludf.DUMMYFUNCTION(" CONCATENATE( 
if (regexmatch(K107, ""^[A-Za-z\.\_]+""), ""L"", 
if(regexmatch(AD107, ""^[A-Za-z\.\_]+""),""S"","""")),
if(AW107=""X"",""K"",""""))"),"LK")</f>
        <v>LK</v>
      </c>
      <c r="BO107" s="40" t="str">
        <f>IFERROR(__xludf.DUMMYFUNCTION(" CONCATENATE( 
if (regexmatch(L107, ""^[A-Za-z\.\_]+""), ""L"", 
if(regexmatch(AE107, ""^[A-Za-z\.\_]+""),""S"","""")),
if(AX107=""X"",""K"",""""))"),"SK")</f>
        <v>SK</v>
      </c>
      <c r="BP107" s="40" t="str">
        <f>IFERROR(__xludf.DUMMYFUNCTION(" CONCATENATE( 
if (regexmatch(M107, ""^[A-Za-z\.\_]+""), ""L"", 
if(regexmatch(AF107, ""^[A-Za-z\.\_]+""),""S"","""")),
if(AY107=""X"",""K"",""""))"),"LK")</f>
        <v>LK</v>
      </c>
      <c r="BQ107" s="40" t="str">
        <f>IFERROR(__xludf.DUMMYFUNCTION("CONCATENATE( 
if (regexmatch(O107, ""^[A-Za-z\.\_]+""), ""L"", 
if(regexmatch(AH107, ""^[A-Za-z\.\_]+""),""S"","""")),
if(AZ107=""X"",""K"",""""))"),"LK")</f>
        <v>LK</v>
      </c>
      <c r="BR107" s="40" t="str">
        <f>IFERROR(__xludf.DUMMYFUNCTION("CONCATENATE( 
if (regexmatch(Q107, ""^[A-Za-z\.\_]+""), ""L"", 
if(regexmatch(AJ107, ""^[A-Za-z\.\_]+""),""S"","""")),
if(BA107=""X"",""K"",""""))"),"")</f>
        <v/>
      </c>
      <c r="BS107" s="40" t="str">
        <f>IFERROR(__xludf.DUMMYFUNCTION(" CONCATENATE( 
if (regexmatch(R107, ""^[A-Za-z\.\_]+""), ""L"", 
if(regexmatch(AK107, ""^[A-Za-z\.\_]+""),""S"","""")),
if(BB107=""X"",""K"",""""))"),"LK")</f>
        <v>LK</v>
      </c>
      <c r="BT107" s="40" t="str">
        <f>IFERROR(__xludf.DUMMYFUNCTION("CONCATENATE( 
if (regexmatch(S107, ""^[A-Za-z\.\_]+""), ""L"", 
if(regexmatch(AL107, ""^[A-Za-z\.\_]+""),""S"","""")),
if(BC107=""X"",""K"",""""))"),"LK")</f>
        <v>LK</v>
      </c>
      <c r="BU107" s="40" t="str">
        <f>IFERROR(__xludf.DUMMYFUNCTION("CONCATENATE( 
if (regexmatch(T107, ""^[A-Za-z\.\_]+""), ""L"", 
if(regexmatch(AM107, ""^[A-Za-z\.\_]+""),""S"","""")),
if(BD107=""X"",""K"",""""))"),"")</f>
        <v/>
      </c>
      <c r="BV107" s="40" t="str">
        <f>IFERROR(__xludf.DUMMYFUNCTION("CONCATENATE( 
if (regexmatch(U107, ""^[A-Za-z\.\_]+""), ""L"", 
if(regexmatch(AN107, ""^[A-Za-z\.\_]+""),""S"","""")),
if(BE107=""X"",""K"",""""))"),"K")</f>
        <v>K</v>
      </c>
      <c r="BW107" s="40" t="str">
        <f>IFERROR(__xludf.DUMMYFUNCTION(" CONCATENATE( 
if (regexmatch(V107, ""^[A-Za-z\.\_]+""), ""L"", 
if(regexmatch(AO107, ""^[A-Za-z\.\_]+""),""S"","""")),
if(BF107=""X"",""K"",""""))"),"LK")</f>
        <v>LK</v>
      </c>
      <c r="BX107" s="40" t="str">
        <f>IFERROR(__xludf.DUMMYFUNCTION("CONCATENATE( 
if (regexmatch(W107, ""^[A-Za-z\.\_]+""), ""L"", 
if(regexmatch(AP107, ""^[A-Za-z\.\_]+""),""S"","""")),
if(BG107=""X"",""K"",""""))"),"S")</f>
        <v>S</v>
      </c>
      <c r="BY107" s="40" t="str">
        <f>IFERROR(__xludf.DUMMYFUNCTION("CONCATENATE( 
if (regexmatch(X107, ""^[A-Za-z\.\_]+""), ""L"", 
if(regexmatch(AQ107, ""^[A-Za-z\.\_]+""),""S"","""")),
if(BH107=""X"",""K"",""""))"),"K")</f>
        <v>K</v>
      </c>
      <c r="BZ107" s="40" t="str">
        <f>IFERROR(__xludf.DUMMYFUNCTION("CONCATENATE( 
if (regexmatch(Y107, ""^[A-Za-z\.\_]+""), ""L"", 
if(regexmatch(AR107, ""^[A-Za-z\.\_]+""),""S"","""")),
if(BI107=""X"",""K"",""""))"),"SK")</f>
        <v>SK</v>
      </c>
      <c r="CA107" s="40" t="str">
        <f>IFERROR(__xludf.DUMMYFUNCTION("CONCATENATE( 
if (regexmatch(Z107, ""^[A-Za-z\.\_]+""), ""L"", 
if(regexmatch(AS107, ""^[A-Za-z\.\_]+""),""S"","""")),
if(BJ107=""X"",""K"",""""))"),"LK")</f>
        <v>LK</v>
      </c>
      <c r="CB107" s="39"/>
      <c r="CC107" s="39"/>
      <c r="CD107" s="39"/>
      <c r="CE107" s="39"/>
      <c r="CF107" s="39"/>
      <c r="CG107" s="39"/>
      <c r="CH107" s="39"/>
      <c r="CI107" s="39"/>
      <c r="CJ107" s="39"/>
      <c r="CK107" s="39"/>
      <c r="CL107" s="39"/>
      <c r="CM107" s="39"/>
      <c r="CN107" s="39"/>
      <c r="CO107" s="39"/>
      <c r="CP107" s="39"/>
      <c r="CQ107" s="39"/>
      <c r="CR107" s="39"/>
    </row>
  </sheetData>
  <autoFilter ref="$A$1:$CA$107"/>
  <customSheetViews>
    <customSheetView guid="{EDEEA2F4-9C27-4E57-915C-9CF246C87824}" filter="1" showAutoFilter="1">
      <autoFilter ref="$O$1:$O$107"/>
    </customSheetView>
    <customSheetView guid="{04528F92-8E56-4677-A3DB-C7A262F6642E}" filter="1" showAutoFilter="1">
      <autoFilter ref="$M$1:$M$107"/>
    </customSheetView>
    <customSheetView guid="{19AAF006-262A-41D9-940F-DCCE07129C80}" filter="1" showAutoFilter="1">
      <autoFilter ref="$I$1:$CA$107"/>
    </customSheetView>
  </customSheetViews>
  <conditionalFormatting sqref="J1:AR107 AT1:BJ107 I73 AS73 BK73:CR73">
    <cfRule type="cellIs" dxfId="3" priority="1" operator="equal">
      <formula>"X"</formula>
    </cfRule>
  </conditionalFormatting>
  <conditionalFormatting sqref="I2:BJ107 BK73:CR73">
    <cfRule type="beginsWith" dxfId="4" priority="2" operator="beginsWith" text="U">
      <formula>LEFT((I2),LEN("U"))=("U")</formula>
    </cfRule>
  </conditionalFormatting>
  <conditionalFormatting sqref="I2:BJ107 BK73:CR73">
    <cfRule type="beginsWith" dxfId="5" priority="3" operator="beginsWith" text="K">
      <formula>LEFT((I2),LEN("K"))=("K")</formula>
    </cfRule>
  </conditionalFormatting>
  <conditionalFormatting sqref="I2:BJ107 BK73:CR73">
    <cfRule type="beginsWith" dxfId="6" priority="4" operator="beginsWith" text="J">
      <formula>LEFT((I2),LEN("J"))=("J")</formula>
    </cfRule>
  </conditionalFormatting>
  <conditionalFormatting sqref="I2:BJ107 BK73:CR73">
    <cfRule type="beginsWith" dxfId="7" priority="5" operator="beginsWith" text="P">
      <formula>LEFT((I2),LEN("P"))=("P")</formula>
    </cfRule>
  </conditionalFormatting>
  <conditionalFormatting sqref="I2:BJ107 BK73:CR73">
    <cfRule type="beginsWith" dxfId="8" priority="6" operator="beginsWith" text="V">
      <formula>LEFT((I2),LEN("V"))=("V")</formula>
    </cfRule>
  </conditionalFormatting>
  <conditionalFormatting sqref="I2:BJ107 BK73:CR73">
    <cfRule type="beginsWith" dxfId="9" priority="7" operator="beginsWith" text="M">
      <formula>LEFT((I2),LEN("M"))=("M")</formula>
    </cfRule>
  </conditionalFormatting>
  <conditionalFormatting sqref="I2:BJ107 BK73:CR73">
    <cfRule type="beginsWith" dxfId="10" priority="8" operator="beginsWith" text="T">
      <formula>LEFT((I2),LEN("T"))=("T")</formula>
    </cfRule>
  </conditionalFormatting>
  <conditionalFormatting sqref="I2:BJ107 BK73:CR73">
    <cfRule type="beginsWith" dxfId="11" priority="9" operator="beginsWith" text="D">
      <formula>LEFT((I2),LEN("D"))=("D")</formula>
    </cfRule>
  </conditionalFormatting>
  <conditionalFormatting sqref="I2:BJ107 BK73:CR73">
    <cfRule type="beginsWith" dxfId="12" priority="10" operator="beginsWith" text="N">
      <formula>LEFT((I2),LEN("N"))=("N")</formula>
    </cfRule>
  </conditionalFormatting>
  <conditionalFormatting sqref="H1:BJ1">
    <cfRule type="containsText" dxfId="13" priority="11" operator="containsText" text="KEGG">
      <formula>NOT(ISERROR(SEARCH(("KEGG"),(H1))))</formula>
    </cfRule>
  </conditionalFormatting>
  <conditionalFormatting sqref="H1:BJ1">
    <cfRule type="containsText" dxfId="14" priority="12" operator="containsText" text="REL">
      <formula>NOT(ISERROR(SEARCH(("REL"),(H1))))</formula>
    </cfRule>
  </conditionalFormatting>
  <printOptions/>
  <pageMargins bottom="0.75" footer="0.0" header="0.0" left="0.7" right="0.7" top="0.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5"/>
    <col customWidth="1" min="2" max="2" width="18.25"/>
    <col customWidth="1" min="3" max="3" width="6.25"/>
    <col customWidth="1" min="4" max="4" width="16.0"/>
    <col customWidth="1" min="5" max="6" width="4.63"/>
    <col customWidth="1" min="7" max="7" width="10.75"/>
    <col customWidth="1" min="8" max="8" width="7.5"/>
    <col customWidth="1" min="9" max="9" width="11.75"/>
    <col customWidth="1" min="10" max="10" width="9.88"/>
    <col customWidth="1" min="11" max="11" width="8.88"/>
    <col customWidth="1" min="12" max="12" width="4.0"/>
    <col customWidth="1" min="13" max="13" width="8.88"/>
    <col customWidth="1" min="14" max="14" width="8.5"/>
    <col customWidth="1" min="15" max="15" width="8.88"/>
    <col customWidth="1" min="16" max="16" width="4.0"/>
    <col customWidth="1" min="17" max="17" width="8.88"/>
    <col customWidth="1" min="18" max="18" width="7.25"/>
    <col customWidth="1" min="19" max="19" width="8.88"/>
    <col customWidth="1" min="20" max="20" width="6.88"/>
    <col customWidth="1" min="21" max="21" width="8.88"/>
    <col customWidth="1" min="22" max="22" width="4.0"/>
    <col customWidth="1" min="23" max="23" width="8.88"/>
    <col customWidth="1" min="24" max="24" width="8.38"/>
    <col customWidth="1" min="25" max="25" width="8.88"/>
    <col customWidth="1" min="26" max="26" width="4.0"/>
    <col customWidth="1" min="27" max="27" width="8.88"/>
    <col customWidth="1" min="28" max="28" width="3.88"/>
    <col customWidth="1" min="29" max="29" width="10.38"/>
    <col customWidth="1" min="30" max="30" width="6.0"/>
    <col customWidth="1" min="31" max="31" width="8.88"/>
    <col customWidth="1" min="32" max="32" width="6.88"/>
    <col customWidth="1" min="33" max="33" width="6.5"/>
    <col customWidth="1" min="34" max="34" width="7.25"/>
    <col customWidth="1" min="35" max="35" width="8.88"/>
    <col customWidth="1" min="36" max="36" width="4.0"/>
    <col customWidth="1" min="37" max="37" width="8.88"/>
    <col customWidth="1" min="38" max="38" width="4.0"/>
    <col customWidth="1" min="39" max="39" width="8.88"/>
    <col customWidth="1" min="40" max="40" width="6.88"/>
    <col customWidth="1" min="41" max="41" width="8.88"/>
    <col customWidth="1" min="42" max="42" width="4.0"/>
    <col customWidth="1" min="43" max="43" width="8.88"/>
    <col customWidth="1" min="44" max="44" width="4.0"/>
    <col customWidth="1" min="45" max="45" width="8.88"/>
    <col customWidth="1" min="46" max="46" width="4.0"/>
    <col customWidth="1" min="47" max="47" width="8.88"/>
    <col customWidth="1" min="48" max="48" width="3.75"/>
    <col customWidth="1" min="49" max="49" width="7.25"/>
    <col customWidth="1" min="50" max="50" width="3.75"/>
    <col customWidth="1" min="51" max="51" width="6.5"/>
    <col customWidth="1" min="52" max="52" width="3.13"/>
    <col customWidth="1" min="53" max="53" width="6.5"/>
    <col customWidth="1" min="54" max="54" width="8.5"/>
  </cols>
  <sheetData>
    <row r="1">
      <c r="A1" s="66" t="s">
        <v>395</v>
      </c>
      <c r="B1" s="67"/>
      <c r="C1" s="67" t="s">
        <v>396</v>
      </c>
      <c r="D1" s="67" t="s">
        <v>397</v>
      </c>
      <c r="E1" s="68"/>
      <c r="F1" s="68" t="s">
        <v>398</v>
      </c>
      <c r="G1" s="67" t="s">
        <v>49</v>
      </c>
      <c r="H1" s="69"/>
      <c r="I1" s="67" t="s">
        <v>51</v>
      </c>
      <c r="J1" s="69"/>
      <c r="K1" s="67" t="s">
        <v>52</v>
      </c>
      <c r="L1" s="67"/>
      <c r="M1" s="68" t="s">
        <v>53</v>
      </c>
      <c r="N1" s="69"/>
      <c r="O1" s="67" t="s">
        <v>55</v>
      </c>
      <c r="P1" s="69"/>
      <c r="Q1" s="67" t="s">
        <v>58</v>
      </c>
      <c r="R1" s="69"/>
      <c r="S1" s="68" t="s">
        <v>399</v>
      </c>
      <c r="T1" s="67"/>
      <c r="U1" s="67" t="s">
        <v>60</v>
      </c>
      <c r="V1" s="67"/>
      <c r="W1" s="67" t="s">
        <v>62</v>
      </c>
      <c r="X1" s="67"/>
      <c r="Y1" s="67" t="s">
        <v>63</v>
      </c>
      <c r="Z1" s="67"/>
      <c r="AA1" s="67" t="s">
        <v>64</v>
      </c>
      <c r="AB1" s="67"/>
      <c r="AC1" s="67" t="s">
        <v>65</v>
      </c>
      <c r="AD1" s="67"/>
      <c r="AE1" s="67" t="s">
        <v>66</v>
      </c>
      <c r="AF1" s="67"/>
      <c r="AG1" s="67" t="s">
        <v>400</v>
      </c>
      <c r="AH1" s="67"/>
      <c r="AI1" s="67" t="s">
        <v>401</v>
      </c>
      <c r="AJ1" s="67"/>
      <c r="AK1" s="68" t="s">
        <v>402</v>
      </c>
      <c r="AL1" s="67"/>
      <c r="AM1" s="67" t="s">
        <v>403</v>
      </c>
      <c r="AN1" s="67"/>
      <c r="AO1" s="67" t="s">
        <v>404</v>
      </c>
      <c r="AP1" s="67"/>
      <c r="AQ1" s="67" t="s">
        <v>405</v>
      </c>
      <c r="AR1" s="67"/>
      <c r="AS1" s="67" t="s">
        <v>406</v>
      </c>
      <c r="AT1" s="67"/>
      <c r="AU1" s="67" t="s">
        <v>407</v>
      </c>
      <c r="AV1" s="67"/>
      <c r="AW1" s="68" t="s">
        <v>408</v>
      </c>
      <c r="AX1" s="67"/>
      <c r="AY1" s="67" t="s">
        <v>409</v>
      </c>
      <c r="AZ1" s="67"/>
      <c r="BA1" s="67" t="s">
        <v>410</v>
      </c>
      <c r="BB1" s="67"/>
    </row>
    <row r="2">
      <c r="B2" s="69"/>
      <c r="C2" s="69" t="s">
        <v>411</v>
      </c>
      <c r="D2" s="69" t="s">
        <v>412</v>
      </c>
      <c r="E2" s="70" t="str">
        <f>IFERROR(__xludf.DUMMYFUNCTION("regexextract(D2,""[\S]*\s{0,2},"") "),"Duru,")</f>
        <v>Duru,</v>
      </c>
      <c r="F2" s="70" t="s">
        <v>413</v>
      </c>
      <c r="G2" s="71" t="str">
        <f>HYPERLINK("https://sci-hub.se/https://onlinelibrary.wiley.com/doi/abs/10.1002/ptr.6612","Beta vulgaris")</f>
        <v>Beta vulgaris</v>
      </c>
      <c r="H2" s="69" t="str">
        <f>IFERROR(__xludf.DUMMYFUNCTION("cell(""contents"",indirect(address(match(REGEXEXTRACT(FORMULATEXT(G2),""""""(.*)"""",""),src.urls,0),5)))"),"Silva,")</f>
        <v>Silva,</v>
      </c>
      <c r="I2" s="71" t="str">
        <f>HYPERLINK("https://sci-hub.se/10.1007/s12041-015-0559-0","Aegilops tauschii")</f>
        <v>Aegilops tauschii</v>
      </c>
      <c r="J2" s="69" t="str">
        <f>IFERROR(__xludf.DUMMYFUNCTION("cell(""contents"",indirect(address(match(REGEXEXTRACT(FORMULATEXT(I2),""""""(.*)"""",""),src.urls,0),5)))"),"DONG,")</f>
        <v>DONG,</v>
      </c>
      <c r="K2" s="71" t="str">
        <f>HYPERLINK("https://sci-hub.se/10.3390/plants6040043","Gossypium hirsutum")</f>
        <v>Gossypium hirsutum</v>
      </c>
      <c r="L2" s="69" t="str">
        <f>IFERROR(__xludf.DUMMYFUNCTION("cell(""contents"",indirect(address(match(REGEXEXTRACT(FORMULATEXT(K2),""""""(.*)"""",""),src.urls,0),5)))"),"Nix,")</f>
        <v>Nix,</v>
      </c>
      <c r="M2" s="71" t="str">
        <f>HYPERLINK("https://www.mdpi.com/1420-3049/24/21/3814/htm","Amborella trichopoda")</f>
        <v>Amborella trichopoda</v>
      </c>
      <c r="N2" s="69" t="str">
        <f>IFERROR(__xludf.DUMMYFUNCTION("cell(""contents"",indirect(address(match(REGEXEXTRACT(FORMULATEXT(M2),""""""(.*)"""",""),src.urls,0),5)))"),"Wu,")</f>
        <v>Wu,</v>
      </c>
      <c r="O2" s="71" t="str">
        <f>HYPERLINK("https://sci-hub.se/10.7717/peerj.5331","Citrus sinensis")</f>
        <v>Citrus sinensis</v>
      </c>
      <c r="P2" s="69" t="str">
        <f>IFERROR(__xludf.DUMMYFUNCTION("cell(""contents"",indirect(address(match(REGEXEXTRACT(FORMULATEXT(O2),""""""(.*)"""",""),src.urls,0),5)))"),"Liew,")</f>
        <v>Liew,</v>
      </c>
      <c r="Q2" s="71" t="str">
        <f>HYPERLINK("https://www.mdpi.com/1420-3049/24/21/3814/htm","Amborella trichopoda")</f>
        <v>Amborella trichopoda</v>
      </c>
      <c r="R2" s="69" t="str">
        <f>IFERROR(__xludf.DUMMYFUNCTION("cell(""contents"",indirect(address(match(REGEXEXTRACT(FORMULATEXT(Q2),""""""(.*)"""",""),src.urls,0),5)))"),"Wu,")</f>
        <v>Wu,</v>
      </c>
      <c r="S2" s="71" t="str">
        <f>HYPERLINK("https://sci-hub.se/10.3390/plants6040043","Gossypium hirsutum")</f>
        <v>Gossypium hirsutum</v>
      </c>
      <c r="T2" s="69" t="str">
        <f>IFERROR(__xludf.DUMMYFUNCTION("cell(""contents"",indirect(address(match(REGEXEXTRACT(FORMULATEXT(S2),""""""(.*)"""",""),src.urls,0),5)))"),"Nix,")</f>
        <v>Nix,</v>
      </c>
      <c r="U2" s="71" t="str">
        <f>HYPERLINK("https://www.mdpi.com/1420-3049/24/21/3814/htm","Amborella trichopoda")</f>
        <v>Amborella trichopoda</v>
      </c>
      <c r="V2" s="69" t="str">
        <f>IFERROR(__xludf.DUMMYFUNCTION("cell(""contents"",indirect(address(match(REGEXEXTRACT(FORMULATEXT(U2),""""""(.*)"""",""),src.urls,0),5)))"),"Wu,")</f>
        <v>Wu,</v>
      </c>
      <c r="W2" s="71" t="str">
        <f>HYPERLINK("https://sci-hub.se/10.1016/j.foodchem.2019.03.002","Elaeis guineensis")</f>
        <v>Elaeis guineensis</v>
      </c>
      <c r="X2" s="69" t="str">
        <f>IFERROR(__xludf.DUMMYFUNCTION("cell(""contents"",indirect(address(match(REGEXEXTRACT(FORMULATEXT(W2),""""""(.*)"""",""),src.urls,0),5)))"),"Zhou,")</f>
        <v>Zhou,</v>
      </c>
      <c r="Y2" s="71" t="str">
        <f>HYPERLINK("https://www.mdpi.com/1420-3049/24/21/3814/htm","Amborella trichopoda")</f>
        <v>Amborella trichopoda</v>
      </c>
      <c r="Z2" s="69" t="str">
        <f>IFERROR(__xludf.DUMMYFUNCTION("cell(""contents"",indirect(address(match(REGEXEXTRACT(FORMULATEXT(Y2),""""""(.*)"""",""),src.urls,0),5)))"),"Wu,")</f>
        <v>Wu,</v>
      </c>
      <c r="AA2" s="71" t="str">
        <f>HYPERLINK("https://sci-hub.se/10.3390/plants6040043","Gossypium hirsutum")</f>
        <v>Gossypium hirsutum</v>
      </c>
      <c r="AB2" s="69" t="str">
        <f>IFERROR(__xludf.DUMMYFUNCTION("cell(""contents"",indirect(address(match(REGEXEXTRACT(FORMULATEXT(AA2),""""""(.*)"""",""),src.urls,0),5)))"),"Nix,")</f>
        <v>Nix,</v>
      </c>
      <c r="AC2" s="71" t="str">
        <f>HYPERLINK("https://www.mdpi.com/1420-3049/24/21/3814/htm","Amborella trichopoda")</f>
        <v>Amborella trichopoda</v>
      </c>
      <c r="AD2" s="69" t="str">
        <f>IFERROR(__xludf.DUMMYFUNCTION("cell(""contents"",indirect(address(match(REGEXEXTRACT(FORMULATEXT(AC2),""""""(.*)"""",""),src.urls,0),5)))"),"Wu,")</f>
        <v>Wu,</v>
      </c>
      <c r="AE2" s="71" t="str">
        <f>HYPERLINK("https://www.mdpi.com/1420-3049/24/21/3814/htm","Amborella trichopoda")</f>
        <v>Amborella trichopoda</v>
      </c>
      <c r="AF2" s="69" t="str">
        <f>IFERROR(__xludf.DUMMYFUNCTION("cell(""contents"",indirect(address(match(REGEXEXTRACT(FORMULATEXT(AE2),""""""(.*)"""",""),src.urls,0),5)))"),"Wu,")</f>
        <v>Wu,</v>
      </c>
      <c r="AG2" s="72" t="str">
        <f>HYPERLINK("https://sci-hub.se/10.1016/j.foodchem.2016.10.117","Cucumis melo")</f>
        <v>Cucumis melo</v>
      </c>
      <c r="AH2" s="69" t="str">
        <f>IFERROR(__xludf.DUMMYFUNCTION("cell(""contents"",indirect(address(match(REGEXEXTRACT(FORMULATEXT(AG2),""""""(.*)"""",""),src.urls,0),5)))"),"Mallek-Ayadi,")</f>
        <v>Mallek-Ayadi,</v>
      </c>
      <c r="AI2" s="71" t="str">
        <f>HYPERLINK("https://www.mdpi.com/1420-3049/24/21/3814/htm","Amborella trichopoda")</f>
        <v>Amborella trichopoda</v>
      </c>
      <c r="AJ2" s="69" t="str">
        <f>IFERROR(__xludf.DUMMYFUNCTION("cell(""contents"",indirect(address(match(REGEXEXTRACT(FORMULATEXT(AI2),""""""(.*)"""",""),src.urls,0),5)))"),"Wu,")</f>
        <v>Wu,</v>
      </c>
      <c r="AK2" s="71" t="str">
        <f>HYPERLINK("https://www.mdpi.com/1420-3049/24/21/3814/htm","Amborella trichopoda")</f>
        <v>Amborella trichopoda</v>
      </c>
      <c r="AL2" s="69" t="str">
        <f>IFERROR(__xludf.DUMMYFUNCTION("cell(""contents"",indirect(address(match(REGEXEXTRACT(FORMULATEXT(AK2),""""""(.*)"""",""),src.urls,0),5)))"),"Wu,")</f>
        <v>Wu,</v>
      </c>
      <c r="AM2" s="71" t="str">
        <f>HYPERLINK("https://www.mdpi.com/1420-3049/24/21/3814/htm","Amborella trichopoda")</f>
        <v>Amborella trichopoda</v>
      </c>
      <c r="AN2" s="69" t="str">
        <f>IFERROR(__xludf.DUMMYFUNCTION("cell(""contents"",indirect(address(match(REGEXEXTRACT(FORMULATEXT(AM2),""""""(.*)"""",""),src.urls,0),5)))"),"Wu,")</f>
        <v>Wu,</v>
      </c>
      <c r="AO2" s="71" t="str">
        <f>HYPERLINK("https://www.mdpi.com/1420-3049/24/21/3814/htm","Amborella trichopoda")</f>
        <v>Amborella trichopoda</v>
      </c>
      <c r="AP2" s="69" t="str">
        <f>IFERROR(__xludf.DUMMYFUNCTION("cell(""contents"",indirect(address(match(REGEXEXTRACT(FORMULATEXT(AO2),""""""(.*)"""",""),src.urls,0),5)))"),"Wu,")</f>
        <v>Wu,</v>
      </c>
      <c r="AQ2" s="71" t="str">
        <f>HYPERLINK("https://sci-hub.se/10.1016/j.foodchem.2009.04.051","Lupinus angustifolius")</f>
        <v>Lupinus angustifolius</v>
      </c>
      <c r="AR2" s="69" t="str">
        <f>IFERROR(__xludf.DUMMYFUNCTION("cell(""contents"",indirect(address(match(REGEXEXTRACT(FORMULATEXT(AQ2),""""""(.*)"""",""),src.urls,0),5)))"),"Dueñas,")</f>
        <v>Dueñas,</v>
      </c>
      <c r="AS2" s="71" t="str">
        <f>HYPERLINK("https://www.mdpi.com/1420-3049/24/21/3814/htm","Amborella trichopoda")</f>
        <v>Amborella trichopoda</v>
      </c>
      <c r="AT2" s="69" t="str">
        <f>IFERROR(__xludf.DUMMYFUNCTION("cell(""contents"",indirect(address(match(REGEXEXTRACT(FORMULATEXT(AS2),""""""(.*)"""",""),src.urls,0),5)))"),"Wu,")</f>
        <v>Wu,</v>
      </c>
      <c r="AU2" s="71" t="str">
        <f>HYPERLINK("https://www.mdpi.com/1420-3049/24/21/3814/htm","Amborella trichopoda")</f>
        <v>Amborella trichopoda</v>
      </c>
      <c r="AV2" s="69" t="str">
        <f>IFERROR(__xludf.DUMMYFUNCTION("cell(""contents"",indirect(address(match(REGEXEXTRACT(FORMULATEXT(AU2),""""""(.*)"""",""),src.urls,0),5)))"),"Wu,")</f>
        <v>Wu,</v>
      </c>
      <c r="AW2" s="71" t="str">
        <f>HYPERLINK("https://sci-hub.se/10.3390/ijms18112331","Phaseolus vulgaris")</f>
        <v>Phaseolus vulgaris</v>
      </c>
      <c r="AX2" s="69" t="str">
        <f>IFERROR(__xludf.DUMMYFUNCTION("cell(""contents"",indirect(address(match(REGEXEXTRACT(FORMULATEXT(AW2),""""""(.*)"""",""),src.urls,0),5)))"),"Ganesan,")</f>
        <v>Ganesan,</v>
      </c>
      <c r="AY2" s="71" t="str">
        <f>HYPERLINK("https://www.mdpi.com/1420-3049/24/21/3814/htm","Amborella trichopoda")</f>
        <v>Amborella trichopoda</v>
      </c>
      <c r="AZ2" s="69" t="str">
        <f>IFERROR(__xludf.DUMMYFUNCTION("cell(""contents"",indirect(address(match(REGEXEXTRACT(FORMULATEXT(AY2),""""""(.*)"""",""),src.urls,0),5)))"),"Wu,")</f>
        <v>Wu,</v>
      </c>
      <c r="BA2" s="71" t="str">
        <f>HYPERLINK("https://www.mdpi.com/1420-3049/24/21/3814/htm","Amborella trichopoda")</f>
        <v>Amborella trichopoda</v>
      </c>
      <c r="BB2" s="69" t="str">
        <f>IFERROR(__xludf.DUMMYFUNCTION("cell(""contents"",indirect(address(match(REGEXEXTRACT(FORMULATEXT(BA2),""""""(.*)"""",""),src.urls,0),5)))"),"Wu,")</f>
        <v>Wu,</v>
      </c>
    </row>
    <row r="3">
      <c r="B3" s="69"/>
      <c r="C3" s="69" t="s">
        <v>414</v>
      </c>
      <c r="D3" s="69" t="s">
        <v>415</v>
      </c>
      <c r="E3" s="70" t="str">
        <f>IFERROR(__xludf.DUMMYFUNCTION("regexextract(D3,""[\S]*\s{0,2},"") "),"Vissers,")</f>
        <v>Vissers,</v>
      </c>
      <c r="F3" s="70" t="s">
        <v>416</v>
      </c>
      <c r="G3" s="71" t="str">
        <f>HYPERLINK("https://sci-hub.se/10.1016/j.foodchem.2015.12.025","Chenopodium quinoa")</f>
        <v>Chenopodium quinoa</v>
      </c>
      <c r="H3" s="69" t="str">
        <f>IFERROR(__xludf.DUMMYFUNCTION("cell(""contents"",indirect(address(match(REGEXEXTRACT(FORMULATEXT(G3),""""""(.*)"""",""),src.urls,0),5)))"),"Hemalatha,")</f>
        <v>Hemalatha,</v>
      </c>
      <c r="I3" s="71" t="str">
        <f>HYPERLINK("https://www.mdpi.com/1420-3049/24/21/3814/htm","Amborella trichopoda")</f>
        <v>Amborella trichopoda</v>
      </c>
      <c r="J3" s="69" t="str">
        <f>IFERROR(__xludf.DUMMYFUNCTION("cell(""contents"",indirect(address(match(REGEXEXTRACT(FORMULATEXT(I3),""""""(.*)"""",""),src.urls,0),5)))"),"Wu,")</f>
        <v>Wu,</v>
      </c>
      <c r="K3" s="73"/>
      <c r="L3" s="69"/>
      <c r="M3" s="71" t="str">
        <f>HYPERLINK("https://sci-hub.se/https://link.springer.com/article/10.1007%252Fs11130-010-0156-6","Beta vulgaris")</f>
        <v>Beta vulgaris</v>
      </c>
      <c r="N3" s="69" t="str">
        <f>IFERROR(__xludf.DUMMYFUNCTION("cell(""contents"",indirect(address(match(REGEXEXTRACT(FORMULATEXT(M3),""""""(.*)"""",""),src.urls,0),5)))"),"Georgiev,")</f>
        <v>Georgiev,</v>
      </c>
      <c r="O3" s="71" t="str">
        <f>HYPERLINK("https://sci-hub.se/10.3390/ijms18112331","Phaseolus vulgaris")</f>
        <v>Phaseolus vulgaris</v>
      </c>
      <c r="P3" s="69" t="str">
        <f>IFERROR(__xludf.DUMMYFUNCTION("cell(""contents"",indirect(address(match(REGEXEXTRACT(FORMULATEXT(O3),""""""(.*)"""",""),src.urls,0),5)))"),"Ganesan,")</f>
        <v>Ganesan,</v>
      </c>
      <c r="Q3" s="71" t="str">
        <f>HYPERLINK("https://sci-hub.se/10.1016/j.jchromb.2013.08.034","Eucalyptus grandis")</f>
        <v>Eucalyptus grandis</v>
      </c>
      <c r="R3" s="69" t="str">
        <f>IFERROR(__xludf.DUMMYFUNCTION("cell(""contents"",indirect(address(match(REGEXEXTRACT(FORMULATEXT(Q3),""""""(.*)"""",""),src.urls,0),5)))"),"Santos,")</f>
        <v>Santos,</v>
      </c>
      <c r="S3" s="71" t="str">
        <f>HYPERLINK("https://sci-hub.se/10.3390/ijms18112331","Phaseolus vulgaris")</f>
        <v>Phaseolus vulgaris</v>
      </c>
      <c r="T3" s="69" t="str">
        <f>IFERROR(__xludf.DUMMYFUNCTION("cell(""contents"",indirect(address(match(REGEXEXTRACT(FORMULATEXT(S3),""""""(.*)"""",""),src.urls,0),5)))"),"Ganesan,")</f>
        <v>Ganesan,</v>
      </c>
      <c r="U3" s="71" t="str">
        <f>HYPERLINK("https://sci-hub.se/10.3390/plants6040043","Gossypium hirsutum")</f>
        <v>Gossypium hirsutum</v>
      </c>
      <c r="V3" s="69" t="str">
        <f>IFERROR(__xludf.DUMMYFUNCTION("cell(""contents"",indirect(address(match(REGEXEXTRACT(FORMULATEXT(U3),""""""(.*)"""",""),src.urls,0),5)))"),"Nix,")</f>
        <v>Nix,</v>
      </c>
      <c r="W3" s="71" t="str">
        <f>HYPERLINK("https://sci-hub.se/10.1016/j.jff.2014.08.013","Fragaria vesca")</f>
        <v>Fragaria vesca</v>
      </c>
      <c r="X3" s="69" t="str">
        <f>IFERROR(__xludf.DUMMYFUNCTION("cell(""contents"",indirect(address(match(REGEXEXTRACT(FORMULATEXT(W3),""""""(.*)"""",""),src.urls,0),5)))"),"Gasperotti,")</f>
        <v>Gasperotti,</v>
      </c>
      <c r="Y3" s="71" t="str">
        <f>HYPERLINK("https://sci-hub.se/https://link.springer.com/article/10.1007/s10600-012-0232-2","Brassica napus")</f>
        <v>Brassica napus</v>
      </c>
      <c r="Z3" s="69" t="str">
        <f>IFERROR(__xludf.DUMMYFUNCTION("cell(""contents"",indirect(address(match(REGEXEXTRACT(FORMULATEXT(Y3),""""""(.*)"""",""),src.urls,0),5)))"),"Pei,")</f>
        <v>Pei,</v>
      </c>
      <c r="AA3" s="71" t="str">
        <f>HYPERLINK("https://sci-hub.se/10.1016/j.jpba.2018.11.029","Juglans regia")</f>
        <v>Juglans regia</v>
      </c>
      <c r="AB3" s="69" t="str">
        <f>IFERROR(__xludf.DUMMYFUNCTION("cell(""contents"",indirect(address(match(REGEXEXTRACT(FORMULATEXT(AA3),""""""(.*)"""",""),src.urls,0),5)))"),"Yan,")</f>
        <v>Yan,</v>
      </c>
      <c r="AC3" s="71" t="str">
        <f>HYPERLINK("https://sci-hub.se/https://www.sciencedirect.com/science/article/abs/pii/S0168945217301863","Brachypodium distachyon")</f>
        <v>Brachypodium distachyon</v>
      </c>
      <c r="AD3" s="69" t="str">
        <f>IFERROR(__xludf.DUMMYFUNCTION("cell(""contents"",indirect(address(match(REGEXEXTRACT(FORMULATEXT(AC3),""""""(.*)"""",""),src.urls,0),5)))"),"Napoleão,")</f>
        <v>Napoleão,</v>
      </c>
      <c r="AE3" s="71" t="str">
        <f>HYPERLINK("https://sci-hub.se/10.1186/s40064-015-0906-x","Cajanus cajan")</f>
        <v>Cajanus cajan</v>
      </c>
      <c r="AF3" s="69" t="str">
        <f>IFERROR(__xludf.DUMMYFUNCTION("cell(""contents"",indirect(address(match(REGEXEXTRACT(FORMULATEXT(AE3),""""""(.*)"""",""),src.urls,0),5)))"),"Nix,")</f>
        <v>Nix,</v>
      </c>
      <c r="AG3" s="71" t="str">
        <f>HYPERLINK("https://sci-hub.se/10.1016/j.foodchem.2009.04.051","Lupinus angustifolius")</f>
        <v>Lupinus angustifolius</v>
      </c>
      <c r="AH3" s="69" t="str">
        <f>IFERROR(__xludf.DUMMYFUNCTION("cell(""contents"",indirect(address(match(REGEXEXTRACT(FORMULATEXT(AG3),""""""(.*)"""",""),src.urls,0),5)))"),"Dueñas,")</f>
        <v>Dueñas,</v>
      </c>
      <c r="AI3" s="71" t="str">
        <f>HYPERLINK("https://sci-hub.se/10.1016/j.jff.2014.08.013","Fragaria vesca")</f>
        <v>Fragaria vesca</v>
      </c>
      <c r="AJ3" s="69" t="str">
        <f>IFERROR(__xludf.DUMMYFUNCTION("cell(""contents"",indirect(address(match(REGEXEXTRACT(FORMULATEXT(AI3),""""""(.*)"""",""),src.urls,0),5)))"),"Gasperotti,")</f>
        <v>Gasperotti,</v>
      </c>
      <c r="AK3" s="71" t="str">
        <f>HYPERLINK("https://sci-hub.se/10.1016/j.jff.2014.08.013","Fragaria vesca")</f>
        <v>Fragaria vesca</v>
      </c>
      <c r="AL3" s="69" t="str">
        <f>IFERROR(__xludf.DUMMYFUNCTION("cell(""contents"",indirect(address(match(REGEXEXTRACT(FORMULATEXT(AK3),""""""(.*)"""",""),src.urls,0),5)))"),"Gasperotti,")</f>
        <v>Gasperotti,</v>
      </c>
      <c r="AM3" s="71" t="str">
        <f>HYPERLINK("https://sci-hub.se/10.1016/j.jff.2014.08.013","Fragaria vesca")</f>
        <v>Fragaria vesca</v>
      </c>
      <c r="AN3" s="69" t="str">
        <f>IFERROR(__xludf.DUMMYFUNCTION("cell(""contents"",indirect(address(match(REGEXEXTRACT(FORMULATEXT(AM3),""""""(.*)"""",""),src.urls,0),5)))"),"Gasperotti,")</f>
        <v>Gasperotti,</v>
      </c>
      <c r="AO3" s="73"/>
      <c r="AP3" s="67"/>
      <c r="AQ3" s="71" t="str">
        <f>HYPERLINK("https://sci-hub.se/10.3390/ijms18112331","Phaseolus vulgaris")</f>
        <v>Phaseolus vulgaris</v>
      </c>
      <c r="AR3" s="69" t="str">
        <f>IFERROR(__xludf.DUMMYFUNCTION("cell(""contents"",indirect(address(match(REGEXEXTRACT(FORMULATEXT(AQ3),""""""(.*)"""",""),src.urls,0),5)))"),"Ganesan,")</f>
        <v>Ganesan,</v>
      </c>
      <c r="AS3" s="71" t="str">
        <f>HYPERLINK("https://sci-hub.se/10.1021/jf903619v","Brassica napus")</f>
        <v>Brassica napus</v>
      </c>
      <c r="AT3" s="69" t="str">
        <f>IFERROR(__xludf.DUMMYFUNCTION("cell(""contents"",indirect(address(match(REGEXEXTRACT(FORMULATEXT(AS3),""""""(.*)"""",""),src.urls,0),5)))"),"Auger,")</f>
        <v>Auger,</v>
      </c>
      <c r="AU3" s="71" t="str">
        <f>HYPERLINK("https://sci-hub.se/10.1016/j.foodchem.2016.10.117","Cucumis melo")</f>
        <v>Cucumis melo</v>
      </c>
      <c r="AV3" s="69" t="str">
        <f>IFERROR(__xludf.DUMMYFUNCTION("cell(""contents"",indirect(address(match(REGEXEXTRACT(FORMULATEXT(AU3),""""""(.*)"""",""),src.urls,0),5)))"),"Mallek-Ayadi,")</f>
        <v>Mallek-Ayadi,</v>
      </c>
      <c r="AW3" s="69"/>
      <c r="AX3" s="69"/>
      <c r="AY3" s="71" t="str">
        <f>HYPERLINK("https://sci-hub.se/10.3390/ijms18112331","Phaseolus vulgaris")</f>
        <v>Phaseolus vulgaris</v>
      </c>
      <c r="AZ3" s="69" t="str">
        <f>IFERROR(__xludf.DUMMYFUNCTION("cell(""contents"",indirect(address(match(REGEXEXTRACT(FORMULATEXT(AY3),""""""(.*)"""",""),src.urls,0),5)))"),"Ganesan,")</f>
        <v>Ganesan,</v>
      </c>
      <c r="BA3" s="71" t="str">
        <f>HYPERLINK("https://pubs.acs.org/doi/full/10.1021/acs.jafc.7b01897","Beta vulgaris")</f>
        <v>Beta vulgaris</v>
      </c>
      <c r="BB3" s="69" t="str">
        <f>IFERROR(__xludf.DUMMYFUNCTION("cell(""contents"",indirect(address(match(REGEXEXTRACT(FORMULATEXT(BA3),""""""(.*)"""",""),src.urls,0),5)))"),"Vissers,")</f>
        <v>Vissers,</v>
      </c>
    </row>
    <row r="4">
      <c r="B4" s="69"/>
      <c r="C4" s="69" t="s">
        <v>417</v>
      </c>
      <c r="D4" s="69" t="s">
        <v>418</v>
      </c>
      <c r="E4" s="70" t="str">
        <f>IFERROR(__xludf.DUMMYFUNCTION("regexextract(D4,""[\S]*\s{0,2},"") "),"Tamasi,")</f>
        <v>Tamasi,</v>
      </c>
      <c r="F4" s="70" t="s">
        <v>419</v>
      </c>
      <c r="G4" s="71" t="str">
        <f>HYPERLINK("https://sci-hub.se/10.7717/peerj.5331","Citrus sinensis")</f>
        <v>Citrus sinensis</v>
      </c>
      <c r="H4" s="69" t="str">
        <f>IFERROR(__xludf.DUMMYFUNCTION("cell(""contents"",indirect(address(match(REGEXEXTRACT(FORMULATEXT(G4),""""""(.*)"""",""),src.urls,0),5)))"),"Liew,")</f>
        <v>Liew,</v>
      </c>
      <c r="I4" s="71" t="str">
        <f>HYPERLINK("https://sci-hub.se/https://link.springer.com/article/10.1007%252Fs11130-010-0156-6","Beta vulgaris")</f>
        <v>Beta vulgaris</v>
      </c>
      <c r="J4" s="69" t="str">
        <f>IFERROR(__xludf.DUMMYFUNCTION("cell(""contents"",indirect(address(match(REGEXEXTRACT(FORMULATEXT(I4),""""""(.*)"""",""),src.urls,0),5)))"),"Georgiev,")</f>
        <v>Georgiev,</v>
      </c>
      <c r="K4" s="73"/>
      <c r="L4" s="69"/>
      <c r="M4" s="71" t="str">
        <f>HYPERLINK("https://sci-hub.se/10.1021/jf903619v","Brassica napus")</f>
        <v>Brassica napus</v>
      </c>
      <c r="N4" s="69" t="str">
        <f>IFERROR(__xludf.DUMMYFUNCTION("cell(""contents"",indirect(address(match(REGEXEXTRACT(FORMULATEXT(M4),""""""(.*)"""",""),src.urls,0),5)))"),"Auger,")</f>
        <v>Auger,</v>
      </c>
      <c r="O4" s="73"/>
      <c r="P4" s="73"/>
      <c r="Q4" s="71" t="str">
        <f>HYPERLINK("https://sci-hub.se/10.3390/plants6040043","Gossypium hirsutum")</f>
        <v>Gossypium hirsutum</v>
      </c>
      <c r="R4" s="69" t="str">
        <f>IFERROR(__xludf.DUMMYFUNCTION("cell(""contents"",indirect(address(match(REGEXEXTRACT(FORMULATEXT(Q4),""""""(.*)"""",""),src.urls,0),5)))"),"Nix,")</f>
        <v>Nix,</v>
      </c>
      <c r="S4" s="74"/>
      <c r="T4" s="73"/>
      <c r="U4" s="71" t="str">
        <f>HYPERLINK("https://sci-hub.se/10.1016/j.foodchem.2015.11.127","Spinacia oleracea")</f>
        <v>Spinacia oleracea</v>
      </c>
      <c r="V4" s="69" t="str">
        <f>IFERROR(__xludf.DUMMYFUNCTION("cell(""contents"",indirect(address(match(REGEXEXTRACT(FORMULATEXT(U4),""""""(.*)"""",""),src.urls,0),5)))"),"Singh,")</f>
        <v>Singh,</v>
      </c>
      <c r="W4" s="71" t="str">
        <f>HYPERLINK("https://sci-hub.se/10.3390/plants6040043","Gossypium hirsutum")</f>
        <v>Gossypium hirsutum</v>
      </c>
      <c r="X4" s="69" t="str">
        <f>IFERROR(__xludf.DUMMYFUNCTION("cell(""contents"",indirect(address(match(REGEXEXTRACT(FORMULATEXT(W4),""""""(.*)"""",""),src.urls,0),5)))"),"Nix,")</f>
        <v>Nix,</v>
      </c>
      <c r="Y4" s="71" t="str">
        <f>HYPERLINK("https://sci-hub.se/10.1016/j.foodchem.2015.12.025","Chenopodium quinoa")</f>
        <v>Chenopodium quinoa</v>
      </c>
      <c r="Z4" s="69" t="str">
        <f>IFERROR(__xludf.DUMMYFUNCTION("cell(""contents"",indirect(address(match(REGEXEXTRACT(FORMULATEXT(Y4),""""""(.*)"""",""),src.urls,0),5)))"),"Hemalatha,")</f>
        <v>Hemalatha,</v>
      </c>
      <c r="AA4" s="71" t="str">
        <f>HYPERLINK("https://sci-hub.se/10.1016/j.fshw.2017.11.002","Vigna radiata")</f>
        <v>Vigna radiata</v>
      </c>
      <c r="AB4" s="69" t="str">
        <f>IFERROR(__xludf.DUMMYFUNCTION("cell(""contents"",indirect(address(match(REGEXEXTRACT(FORMULATEXT(AA4),""""""(.*)"""",""),src.urls,0),5)))"),"Ganesan,")</f>
        <v>Ganesan,</v>
      </c>
      <c r="AC4" s="71" t="str">
        <f>HYPERLINK("https://sci-hub.se/https://link.springer.com/article/10.1007/s10600-012-0232-2","Brassica napus")</f>
        <v>Brassica napus</v>
      </c>
      <c r="AD4" s="69" t="str">
        <f>IFERROR(__xludf.DUMMYFUNCTION("cell(""contents"",indirect(address(match(REGEXEXTRACT(FORMULATEXT(AC4),""""""(.*)"""",""),src.urls,0),5)))"),"Pei,")</f>
        <v>Pei,</v>
      </c>
      <c r="AE4" s="71" t="str">
        <f>HYPERLINK("https://sci-hub.se/https://www.sciencedirect.com/science/article/abs/pii/S0308814611012908","Camelina sativa")</f>
        <v>Camelina sativa</v>
      </c>
      <c r="AF4" s="69" t="str">
        <f>IFERROR(__xludf.DUMMYFUNCTION("cell(""contents"",indirect(address(match(REGEXEXTRACT(FORMULATEXT(AE4),""""""(.*)"""",""),src.urls,0),5)))"),"Terpinc,")</f>
        <v>Terpinc,</v>
      </c>
      <c r="AG4" s="71" t="str">
        <f>HYPERLINK("https://sci-hub.se/10.1155/2015/541591","Olea europaea var. sylvestris")</f>
        <v>Olea europaea var. sylvestris</v>
      </c>
      <c r="AH4" s="69" t="str">
        <f>IFERROR(__xludf.DUMMYFUNCTION("cell(""contents"",indirect(address(match(REGEXEXTRACT(FORMULATEXT(AG4),""""""(.*)"""",""),src.urls,0),5)))"),"Hashmi,")</f>
        <v>Hashmi,</v>
      </c>
      <c r="AI4" s="73"/>
      <c r="AJ4" s="73"/>
      <c r="AK4" s="73"/>
      <c r="AL4" s="73"/>
      <c r="AM4" s="71" t="str">
        <f>HYPERLINK("https://sci-hub.se/10.3390/ijms18112331","Phaseolus vulgaris")</f>
        <v>Phaseolus vulgaris</v>
      </c>
      <c r="AN4" s="69" t="str">
        <f>IFERROR(__xludf.DUMMYFUNCTION("cell(""contents"",indirect(address(match(REGEXEXTRACT(FORMULATEXT(AM4),""""""(.*)"""",""),src.urls,0),5)))"),"Ganesan,")</f>
        <v>Ganesan,</v>
      </c>
      <c r="AO4" s="73"/>
      <c r="AP4" s="67"/>
      <c r="AQ4" s="73"/>
      <c r="AR4" s="73"/>
      <c r="AS4" s="71" t="str">
        <f>HYPERLINK("https://sci-hub.se/10.1016/j.jff.2014.08.013","Fragaria vesca")</f>
        <v>Fragaria vesca</v>
      </c>
      <c r="AT4" s="69" t="str">
        <f>IFERROR(__xludf.DUMMYFUNCTION("cell(""contents"",indirect(address(match(REGEXEXTRACT(FORMULATEXT(AS4),""""""(.*)"""",""),src.urls,0),5)))"),"Gasperotti,")</f>
        <v>Gasperotti,</v>
      </c>
      <c r="AU4" s="71" t="str">
        <f>HYPERLINK("https://sci-hub.se/10.1016/j.foodchem.2009.04.051","Lupinus angustifolius")</f>
        <v>Lupinus angustifolius</v>
      </c>
      <c r="AV4" s="69" t="str">
        <f>IFERROR(__xludf.DUMMYFUNCTION("cell(""contents"",indirect(address(match(REGEXEXTRACT(FORMULATEXT(AU4),""""""(.*)"""",""),src.urls,0),5)))"),"Dueñas,")</f>
        <v>Dueñas,</v>
      </c>
      <c r="AW4" s="69"/>
      <c r="AX4" s="69"/>
      <c r="AY4" s="71" t="str">
        <f>HYPERLINK("https://sci-hub.se/10.1016/j.foodchem.2018.04.073","Sorghum bicolor")</f>
        <v>Sorghum bicolor</v>
      </c>
      <c r="AZ4" s="69" t="str">
        <f>IFERROR(__xludf.DUMMYFUNCTION("cell(""contents"",indirect(address(match(REGEXEXTRACT(FORMULATEXT(AY4),""""""(.*)"""",""),src.urls,0),5)))"),"Luo,")</f>
        <v>Luo,</v>
      </c>
      <c r="BA4" s="71" t="str">
        <f>HYPERLINK("https://sci-hub.se/10.1021/jf903619v","Brassica napus")</f>
        <v>Brassica napus</v>
      </c>
      <c r="BB4" s="69" t="str">
        <f>IFERROR(__xludf.DUMMYFUNCTION("cell(""contents"",indirect(address(match(REGEXEXTRACT(FORMULATEXT(BA4),""""""(.*)"""",""),src.urls,0),5)))"),"Auger,")</f>
        <v>Auger,</v>
      </c>
    </row>
    <row r="5">
      <c r="B5" s="69"/>
      <c r="C5" s="69" t="s">
        <v>420</v>
      </c>
      <c r="D5" s="75" t="s">
        <v>421</v>
      </c>
      <c r="E5" s="70" t="str">
        <f>IFERROR(__xludf.DUMMYFUNCTION("regexextract(D5,""[\S]*\s{0,2},"") "),"Zahir,")</f>
        <v>Zahir,</v>
      </c>
      <c r="F5" s="70" t="s">
        <v>422</v>
      </c>
      <c r="G5" s="71" t="str">
        <f>HYPERLINK("https://www.japsonline.com/admin/php/uploads/1988_pdf.pdf","Cucurbita pepo subsp. Pepo")</f>
        <v>Cucurbita pepo subsp. Pepo</v>
      </c>
      <c r="H5" s="69" t="str">
        <f>IFERROR(__xludf.DUMMYFUNCTION("cell(""contents"",indirect(address(match(REGEXEXTRACT(FORMULATEXT(G5),""""""(.*)"""",""),src.urls,0),5)))"),"Akomolafe,")</f>
        <v>Akomolafe,</v>
      </c>
      <c r="I5" s="71" t="str">
        <f>HYPERLINK("https://sci-hub.se/10.1021/acs.jafc.5b02086","Brassica rapa")</f>
        <v>Brassica rapa</v>
      </c>
      <c r="J5" s="69" t="str">
        <f>IFERROR(__xludf.DUMMYFUNCTION("cell(""contents"",indirect(address(match(REGEXEXTRACT(FORMULATEXT(I5),""""""(.*)"""",""),src.urls,0),5)))"),"Kim,")</f>
        <v>Kim,</v>
      </c>
      <c r="K5" s="73"/>
      <c r="L5" s="69"/>
      <c r="M5" s="71" t="str">
        <f>HYPERLINK("https://sci-hub.se/10.1016/j.jff.2017.11.041","Capsicum annuum")</f>
        <v>Capsicum annuum</v>
      </c>
      <c r="N5" s="69" t="str">
        <f>IFERROR(__xludf.DUMMYFUNCTION("cell(""contents"",indirect(address(match(REGEXEXTRACT(FORMULATEXT(M5),""""""(.*)"""",""),src.urls,0),5)))"),"Sotto,")</f>
        <v>Sotto,</v>
      </c>
      <c r="O5" s="73"/>
      <c r="P5" s="69"/>
      <c r="Q5" s="71" t="str">
        <f>HYPERLINK("https://sci-hub.se/10.1007/s10341-015-0253-7","Malus domestica")</f>
        <v>Malus domestica</v>
      </c>
      <c r="R5" s="69" t="str">
        <f>IFERROR(__xludf.DUMMYFUNCTION("cell(""contents"",indirect(address(match(REGEXEXTRACT(FORMULATEXT(Q5),""""""(.*)"""",""),src.urls,0),5)))"),"Yıldırım,")</f>
        <v>Yıldırım,</v>
      </c>
      <c r="S5" s="73"/>
      <c r="T5" s="73"/>
      <c r="U5" s="73"/>
      <c r="V5" s="73"/>
      <c r="W5" s="71" t="str">
        <f>HYPERLINK("https://sci-hub.se/10.1016/j.foodchem.2016.08.069","Oryza sativa japonica")</f>
        <v>Oryza sativa japonica</v>
      </c>
      <c r="X5" s="69" t="str">
        <f>IFERROR(__xludf.DUMMYFUNCTION("cell(""contents"",indirect(address(match(REGEXEXTRACT(FORMULATEXT(W5),""""""(.*)"""",""),src.urls,0),5)))"),"Kim,")</f>
        <v>Kim,</v>
      </c>
      <c r="Y5" s="71" t="str">
        <f>HYPERLINK("https://www.japsonline.com/admin/php/uploads/1988_pdf.pdf","Cucurbita pepo subsp. Pepo")</f>
        <v>Cucurbita pepo subsp. Pepo</v>
      </c>
      <c r="Z5" s="69" t="str">
        <f>IFERROR(__xludf.DUMMYFUNCTION("cell(""contents"",indirect(address(match(REGEXEXTRACT(FORMULATEXT(Y5),""""""(.*)"""",""),src.urls,0),5)))"),"Akomolafe,")</f>
        <v>Akomolafe,</v>
      </c>
      <c r="AA5" s="71" t="str">
        <f>HYPERLINK("https://journals.sagepub.com/doi/10.1177/1934578X1701200111","Malus domestica")</f>
        <v>Malus domestica</v>
      </c>
      <c r="AB5" s="69" t="str">
        <f>IFERROR(__xludf.DUMMYFUNCTION("cell(""contents"",indirect(address(match(REGEXEXTRACT(FORMULATEXT(AA5),""""""(.*)"""",""),src.urls,0),5)))"),"Petkovska,")</f>
        <v>Petkovska,</v>
      </c>
      <c r="AC5" s="71" t="str">
        <f>HYPERLINK("https://sci-hub.se/10.1016/j.foodchem.2014.10.012","Brassica rapa")</f>
        <v>Brassica rapa</v>
      </c>
      <c r="AD5" s="69" t="str">
        <f>IFERROR(__xludf.DUMMYFUNCTION("cell(""contents"",indirect(address(match(REGEXEXTRACT(FORMULATEXT(AC5),""""""(.*)"""",""),src.urls,0),5)))"),"Thiruvengadam,")</f>
        <v>Thiruvengadam,</v>
      </c>
      <c r="AE5" s="71" t="str">
        <f>HYPERLINK("https://sci-hub.se/10.1016/j.jff.2014.08.013","Fragaria vesca")</f>
        <v>Fragaria vesca</v>
      </c>
      <c r="AF5" s="69" t="str">
        <f>IFERROR(__xludf.DUMMYFUNCTION("cell(""contents"",indirect(address(match(REGEXEXTRACT(FORMULATEXT(AE5),""""""(.*)"""",""),src.urls,0),5)))"),"Gasperotti,")</f>
        <v>Gasperotti,</v>
      </c>
      <c r="AG5" s="71" t="str">
        <f>HYPERLINK("https://sci-hub.se/10.3390/ijms18112331","Phaseolus vulgaris")</f>
        <v>Phaseolus vulgaris</v>
      </c>
      <c r="AH5" s="69" t="str">
        <f>IFERROR(__xludf.DUMMYFUNCTION("cell(""contents"",indirect(address(match(REGEXEXTRACT(FORMULATEXT(AG5),""""""(.*)"""",""),src.urls,0),5)))"),"Ganesan,")</f>
        <v>Ganesan,</v>
      </c>
      <c r="AI5" s="73"/>
      <c r="AJ5" s="73"/>
      <c r="AK5" s="73"/>
      <c r="AL5" s="73"/>
      <c r="AM5" s="74"/>
      <c r="AN5" s="69"/>
      <c r="AO5" s="73"/>
      <c r="AP5" s="73"/>
      <c r="AQ5" s="73"/>
      <c r="AR5" s="73"/>
      <c r="AS5" s="71" t="str">
        <f>HYPERLINK("https://sci-hub.se/10.1016/j.phytol.2012.12.001","Nicotiana tabacum")</f>
        <v>Nicotiana tabacum</v>
      </c>
      <c r="AT5" s="69" t="str">
        <f>IFERROR(__xludf.DUMMYFUNCTION("cell(""contents"",indirect(address(match(REGEXEXTRACT(FORMULATEXT(AS5),""""""(.*)"""",""),src.urls,0),5)))"),"Chen,")</f>
        <v>Chen,</v>
      </c>
      <c r="AU5" s="71" t="str">
        <f>HYPERLINK("https://sci-hub.se/10.1155/2015/541591","Olea europaea var. sylvestris")</f>
        <v>Olea europaea var. sylvestris</v>
      </c>
      <c r="AV5" s="69" t="str">
        <f>IFERROR(__xludf.DUMMYFUNCTION("cell(""contents"",indirect(address(match(REGEXEXTRACT(FORMULATEXT(AU5),""""""(.*)"""",""),src.urls,0),5)))"),"Hashmi,")</f>
        <v>Hashmi,</v>
      </c>
      <c r="AW5" s="69"/>
      <c r="AX5" s="69"/>
      <c r="AY5" s="71" t="str">
        <f>HYPERLINK("https://sci-hub.se/10.1007/s11240-019-01679-3","Theobroma cacao")</f>
        <v>Theobroma cacao</v>
      </c>
      <c r="AZ5" s="69" t="str">
        <f>IFERROR(__xludf.DUMMYFUNCTION("cell(""contents"",indirect(address(match(REGEXEXTRACT(FORMULATEXT(AY5),""""""(.*)"""",""),src.urls,0),5)))"),"Gallego,")</f>
        <v>Gallego,</v>
      </c>
      <c r="BA5" s="71" t="str">
        <f>HYPERLINK("https://sci-hub.se/10.1016/j.jff.2014.08.013","Fragaria vesca")</f>
        <v>Fragaria vesca</v>
      </c>
      <c r="BB5" s="69" t="str">
        <f>IFERROR(__xludf.DUMMYFUNCTION("cell(""contents"",indirect(address(match(REGEXEXTRACT(FORMULATEXT(BA5),""""""(.*)"""",""),src.urls,0),5)))"),"Gasperotti,")</f>
        <v>Gasperotti,</v>
      </c>
    </row>
    <row r="6">
      <c r="B6" s="69"/>
      <c r="C6" s="69" t="s">
        <v>423</v>
      </c>
      <c r="D6" s="69" t="s">
        <v>424</v>
      </c>
      <c r="E6" s="70" t="str">
        <f>IFERROR(__xludf.DUMMYFUNCTION("regexextract(D6,""[\S]*\s{0,2},"") "),"Yıldırım,")</f>
        <v>Yıldırım,</v>
      </c>
      <c r="F6" s="70" t="s">
        <v>425</v>
      </c>
      <c r="G6" s="71" t="str">
        <f>HYPERLINK("https://sci-hub.se/10.1155/2015/541591","Olea europaea var. sylvestris")</f>
        <v>Olea europaea var. sylvestris</v>
      </c>
      <c r="H6" s="69" t="str">
        <f>IFERROR(__xludf.DUMMYFUNCTION("cell(""contents"",indirect(address(match(REGEXEXTRACT(FORMULATEXT(G6),""""""(.*)"""",""),src.urls,0),5)))"),"Hashmi,")</f>
        <v>Hashmi,</v>
      </c>
      <c r="I6" s="71" t="str">
        <f>HYPERLINK("https://sci-hub.se/https://www.sciencedirect.com/science/article/abs/pii/S0308814611012908","Camelina sativa")</f>
        <v>Camelina sativa</v>
      </c>
      <c r="J6" s="69" t="str">
        <f>IFERROR(__xludf.DUMMYFUNCTION("cell(""contents"",indirect(address(match(REGEXEXTRACT(FORMULATEXT(I6),""""""(.*)"""",""),src.urls,0),5)))"),"Terpinc,")</f>
        <v>Terpinc,</v>
      </c>
      <c r="K6" s="73"/>
      <c r="L6" s="69"/>
      <c r="M6" s="71" t="str">
        <f>HYPERLINK("https://sci-hub.se/10.3109/13880209.2013.782321","Carica papaya")</f>
        <v>Carica papaya</v>
      </c>
      <c r="N6" s="69" t="str">
        <f>IFERROR(__xludf.DUMMYFUNCTION("cell(""contents"",indirect(address(match(REGEXEXTRACT(FORMULATEXT(M6),""""""(.*)"""",""),src.urls,0),5)))"),"Oboh,")</f>
        <v>Oboh,</v>
      </c>
      <c r="O6" s="73"/>
      <c r="P6" s="69"/>
      <c r="Q6" s="71" t="str">
        <f>HYPERLINK("https://sci-hub.se/10.1021/jf100236v","Prunus avium")</f>
        <v>Prunus avium</v>
      </c>
      <c r="R6" s="69" t="str">
        <f>IFERROR(__xludf.DUMMYFUNCTION("cell(""contents"",indirect(address(match(REGEXEXTRACT(FORMULATEXT(Q6),""""""(.*)"""",""),src.urls,0),5)))"),"Sanz,")</f>
        <v>Sanz,</v>
      </c>
      <c r="S6" s="73"/>
      <c r="T6" s="73"/>
      <c r="U6" s="73"/>
      <c r="V6" s="73"/>
      <c r="W6" s="73"/>
      <c r="X6" s="69"/>
      <c r="Y6" s="71" t="str">
        <f>HYPERLINK("https://sci-hub.se/10.1016/j.jfca.2018.03.005","Phoenix dactylifera")</f>
        <v>Phoenix dactylifera</v>
      </c>
      <c r="Z6" s="69" t="str">
        <f>IFERROR(__xludf.DUMMYFUNCTION("cell(""contents"",indirect(address(match(REGEXEXTRACT(FORMULATEXT(Y6),""""""(.*)"""",""),src.urls,0),5)))"),"Khallouki,")</f>
        <v>Khallouki,</v>
      </c>
      <c r="AA6" s="73"/>
      <c r="AB6" s="73"/>
      <c r="AC6" s="71" t="str">
        <f>HYPERLINK("https://sci-hub.se/10.1186/s40064-015-0906-x","Cajanus cajan")</f>
        <v>Cajanus cajan</v>
      </c>
      <c r="AD6" s="69" t="str">
        <f>IFERROR(__xludf.DUMMYFUNCTION("cell(""contents"",indirect(address(match(REGEXEXTRACT(FORMULATEXT(AC6),""""""(.*)"""",""),src.urls,0),5)))"),"Nix,")</f>
        <v>Nix,</v>
      </c>
      <c r="AE6" s="71" t="str">
        <f>HYPERLINK("https://sci-hub.se/10.3390/plants6040043","Gossypium hirsutum")</f>
        <v>Gossypium hirsutum</v>
      </c>
      <c r="AF6" s="69" t="str">
        <f>IFERROR(__xludf.DUMMYFUNCTION("cell(""contents"",indirect(address(match(REGEXEXTRACT(FORMULATEXT(AE6),""""""(.*)"""",""),src.urls,0),5)))"),"Nix,")</f>
        <v>Nix,</v>
      </c>
      <c r="AG6" s="71" t="str">
        <f>HYPERLINK("https://sci-hub.se/10.1016/j.jfca.2018.03.005","Phoenix dactylifera")</f>
        <v>Phoenix dactylifera</v>
      </c>
      <c r="AH6" s="69" t="str">
        <f>IFERROR(__xludf.DUMMYFUNCTION("cell(""contents"",indirect(address(match(REGEXEXTRACT(FORMULATEXT(AG6),""""""(.*)"""",""),src.urls,0),5)))"),"Khallouki,")</f>
        <v>Khallouki,</v>
      </c>
      <c r="AI6" s="73"/>
      <c r="AJ6" s="73"/>
      <c r="AK6" s="73"/>
      <c r="AL6" s="73"/>
      <c r="AM6" s="74"/>
      <c r="AN6" s="69"/>
      <c r="AO6" s="73"/>
      <c r="AP6" s="73"/>
      <c r="AQ6" s="73"/>
      <c r="AR6" s="73"/>
      <c r="AS6" s="71" t="str">
        <f>HYPERLINK("https://sci-hub.se/10.3390/ijms18112331","Phaseolus vulgaris")</f>
        <v>Phaseolus vulgaris</v>
      </c>
      <c r="AT6" s="69" t="str">
        <f>IFERROR(__xludf.DUMMYFUNCTION("cell(""contents"",indirect(address(match(REGEXEXTRACT(FORMULATEXT(AS6),""""""(.*)"""",""),src.urls,0),5)))"),"Ganesan,")</f>
        <v>Ganesan,</v>
      </c>
      <c r="AU6" s="71" t="str">
        <f>HYPERLINK("https://sci-hub.se/10.1016/j.jfca.2018.03.005","Phoenix dactylifera")</f>
        <v>Phoenix dactylifera</v>
      </c>
      <c r="AV6" s="69" t="str">
        <f>IFERROR(__xludf.DUMMYFUNCTION("cell(""contents"",indirect(address(match(REGEXEXTRACT(FORMULATEXT(AU6),""""""(.*)"""",""),src.urls,0),5)))"),"Khallouki,")</f>
        <v>Khallouki,</v>
      </c>
      <c r="AW6" s="69"/>
      <c r="AX6" s="69"/>
      <c r="AY6" s="73"/>
      <c r="AZ6" s="73"/>
      <c r="BA6" s="71" t="str">
        <f>HYPERLINK("https://sci-hub.se/10.1016/j.phytol.2012.12.001","Nicotiana tabacum")</f>
        <v>Nicotiana tabacum</v>
      </c>
      <c r="BB6" s="69" t="str">
        <f>IFERROR(__xludf.DUMMYFUNCTION("cell(""contents"",indirect(address(match(REGEXEXTRACT(FORMULATEXT(BA6),""""""(.*)"""",""),src.urls,0),5)))"),"Chen,")</f>
        <v>Chen,</v>
      </c>
    </row>
    <row r="7">
      <c r="B7" s="69"/>
      <c r="C7" s="69" t="s">
        <v>426</v>
      </c>
      <c r="D7" s="69" t="s">
        <v>427</v>
      </c>
      <c r="E7" s="70" t="str">
        <f>IFERROR(__xludf.DUMMYFUNCTION("regexextract(D7,""[\S]*\s{0,2},"") "),"Quintero-Soto,")</f>
        <v>Quintero-Soto,</v>
      </c>
      <c r="F7" s="70" t="s">
        <v>428</v>
      </c>
      <c r="G7" s="73"/>
      <c r="H7" s="69"/>
      <c r="I7" s="71" t="str">
        <f>HYPERLINK("https://sci-hub.se/10.1016/j.jff.2011.02.002","Capsicum annuum")</f>
        <v>Capsicum annuum</v>
      </c>
      <c r="J7" s="69" t="str">
        <f>IFERROR(__xludf.DUMMYFUNCTION("cell(""contents"",indirect(address(match(REGEXEXTRACT(FORMULATEXT(I7),""""""(.*)"""",""),src.urls,0),5)))"),"Ghasemnezhad,")</f>
        <v>Ghasemnezhad,</v>
      </c>
      <c r="K7" s="73"/>
      <c r="L7" s="69"/>
      <c r="M7" s="71" t="str">
        <f>HYPERLINK("https://www.mdpi.com/1420-3049/18/11/14172/htm","Durio zibethinus")</f>
        <v>Durio zibethinus</v>
      </c>
      <c r="N7" s="69" t="str">
        <f>IFERROR(__xludf.DUMMYFUNCTION("cell(""contents"",indirect(address(match(REGEXEXTRACT(FORMULATEXT(M7),""""""(.*)"""",""),src.urls,0),5)))"),"Liu,")</f>
        <v>Liu,</v>
      </c>
      <c r="O7" s="73"/>
      <c r="P7" s="69"/>
      <c r="Q7" s="71" t="str">
        <f>HYPERLINK("https://sci-hub.se/10.1007/s11240-019-01679-3","Theobroma cacao")</f>
        <v>Theobroma cacao</v>
      </c>
      <c r="R7" s="69" t="str">
        <f>IFERROR(__xludf.DUMMYFUNCTION("cell(""contents"",indirect(address(match(REGEXEXTRACT(FORMULATEXT(Q7),""""""(.*)"""",""),src.urls,0),5)))"),"Gallego,")</f>
        <v>Gallego,</v>
      </c>
      <c r="S7" s="73"/>
      <c r="T7" s="73"/>
      <c r="U7" s="73"/>
      <c r="V7" s="73"/>
      <c r="W7" s="73"/>
      <c r="X7" s="69"/>
      <c r="Y7" s="71" t="str">
        <f>HYPERLINK("https://sci-hub.se/10.1155/2016/5498618","Solanum lycopersicum")</f>
        <v>Solanum lycopersicum</v>
      </c>
      <c r="Z7" s="69" t="str">
        <f>IFERROR(__xludf.DUMMYFUNCTION("cell(""contents"",indirect(address(match(REGEXEXTRACT(FORMULATEXT(Y7),""""""(.*)"""",""),src.urls,0),5)))"),"Bhandari,")</f>
        <v>Bhandari,</v>
      </c>
      <c r="AA7" s="73"/>
      <c r="AB7" s="73"/>
      <c r="AC7" s="71" t="str">
        <f>HYPERLINK("https://sci-hub.se/10.1016/j.foodchem.2015.12.025","Chenopodium quinoa")</f>
        <v>Chenopodium quinoa</v>
      </c>
      <c r="AD7" s="69" t="str">
        <f>IFERROR(__xludf.DUMMYFUNCTION("cell(""contents"",indirect(address(match(REGEXEXTRACT(FORMULATEXT(AC7),""""""(.*)"""",""),src.urls,0),5)))"),"Hemalatha,")</f>
        <v>Hemalatha,</v>
      </c>
      <c r="AE7" s="71" t="str">
        <f>HYPERLINK("https://sci-hub.se/10.3390/ijms12052958","Jatropha curcas")</f>
        <v>Jatropha curcas</v>
      </c>
      <c r="AF7" s="69" t="str">
        <f>IFERROR(__xludf.DUMMYFUNCTION("cell(""contents"",indirect(address(match(REGEXEXTRACT(FORMULATEXT(AE7),""""""(.*)"""",""),src.urls,0),5)))"),"Igbinosa,")</f>
        <v>Igbinosa,</v>
      </c>
      <c r="AG7" s="71" t="str">
        <f>HYPERLINK("https://sci-hub.se/10.1007/s11240-019-01679-3","Theobroma cacao")</f>
        <v>Theobroma cacao</v>
      </c>
      <c r="AH7" s="69" t="str">
        <f>IFERROR(__xludf.DUMMYFUNCTION("cell(""contents"",indirect(address(match(REGEXEXTRACT(FORMULATEXT(AG7),""""""(.*)"""",""),src.urls,0),5)))"),"Gallego,")</f>
        <v>Gallego,</v>
      </c>
      <c r="AI7" s="73"/>
      <c r="AJ7" s="73"/>
      <c r="AK7" s="73"/>
      <c r="AL7" s="73"/>
      <c r="AM7" s="73"/>
      <c r="AN7" s="69"/>
      <c r="AO7" s="73"/>
      <c r="AP7" s="73"/>
      <c r="AQ7" s="73"/>
      <c r="AR7" s="73"/>
      <c r="AS7" s="71" t="str">
        <f>HYPERLINK("https://sci-hub.se/10.1016/j.jfca.2018.03.005","Phoenix dactylifera")</f>
        <v>Phoenix dactylifera</v>
      </c>
      <c r="AT7" s="69" t="str">
        <f>IFERROR(__xludf.DUMMYFUNCTION("cell(""contents"",indirect(address(match(REGEXEXTRACT(FORMULATEXT(AS7),""""""(.*)"""",""),src.urls,0),5)))"),"Khallouki,")</f>
        <v>Khallouki,</v>
      </c>
      <c r="AU7" s="71" t="str">
        <f>HYPERLINK("https://sci-hub.se/10.1007/s11240-019-01679-3","Theobroma cacao")</f>
        <v>Theobroma cacao</v>
      </c>
      <c r="AV7" s="69" t="str">
        <f>IFERROR(__xludf.DUMMYFUNCTION("cell(""contents"",indirect(address(match(REGEXEXTRACT(FORMULATEXT(AU7),""""""(.*)"""",""),src.urls,0),5)))"),"Gallego,")</f>
        <v>Gallego,</v>
      </c>
      <c r="AW7" s="69"/>
      <c r="AX7" s="69"/>
      <c r="AY7" s="73"/>
      <c r="AZ7" s="73"/>
      <c r="BA7" s="71" t="str">
        <f>HYPERLINK("https://sci-hub.se/10.1155/2015/541591","Olea europaea var. sylvestris")</f>
        <v>Olea europaea var. sylvestris</v>
      </c>
      <c r="BB7" s="69" t="str">
        <f>IFERROR(__xludf.DUMMYFUNCTION("cell(""contents"",indirect(address(match(REGEXEXTRACT(FORMULATEXT(BA7),""""""(.*)"""",""),src.urls,0),5)))"),"Hashmi,")</f>
        <v>Hashmi,</v>
      </c>
    </row>
    <row r="8">
      <c r="B8" s="69"/>
      <c r="C8" s="69" t="s">
        <v>429</v>
      </c>
      <c r="D8" s="69" t="s">
        <v>430</v>
      </c>
      <c r="E8" s="70" t="str">
        <f>IFERROR(__xludf.DUMMYFUNCTION("regexextract(D8,""[\S]*\s{0,2},"") "),"Gallego,")</f>
        <v>Gallego,</v>
      </c>
      <c r="F8" s="70" t="s">
        <v>431</v>
      </c>
      <c r="G8" s="73"/>
      <c r="H8" s="73"/>
      <c r="I8" s="71" t="str">
        <f>HYPERLINK("http://journals.chemsociety.org.ng/index.php/jcsn/article/view/406/468","Carica papaya")</f>
        <v>Carica papaya</v>
      </c>
      <c r="J8" s="69" t="str">
        <f>IFERROR(__xludf.DUMMYFUNCTION("cell(""contents"",indirect(address(match(REGEXEXTRACT(FORMULATEXT(I8),""""""(.*)"""",""),src.urls,0),5)))"),"Duru,")</f>
        <v>Duru,</v>
      </c>
      <c r="K8" s="73"/>
      <c r="L8" s="69"/>
      <c r="M8" s="71" t="str">
        <f>HYPERLINK("https://sci-hub.se/https://www.sciencedirect.com/science/article/abs/pii/S0022286017315831","Elaeis guineensis")</f>
        <v>Elaeis guineensis</v>
      </c>
      <c r="N8" s="69" t="str">
        <f>IFERROR(__xludf.DUMMYFUNCTION("cell(""contents"",indirect(address(match(REGEXEXTRACT(FORMULATEXT(M8),""""""(.*)"""",""),src.urls,0),5)))"),"Ahmad,")</f>
        <v>Ahmad,</v>
      </c>
      <c r="O8" s="73"/>
      <c r="P8" s="69"/>
      <c r="Q8" s="71" t="str">
        <f>HYPERLINK("https://sci-hub.se/https://bmcchem.biomedcentral.com/articles/10.1186/1752-153X-8-4","Vigna radiata")</f>
        <v>Vigna radiata</v>
      </c>
      <c r="R8" s="69" t="str">
        <f>IFERROR(__xludf.DUMMYFUNCTION("cell(""contents"",indirect(address(match(REGEXEXTRACT(FORMULATEXT(Q8),""""""(.*)"""",""),src.urls,0),5)))"),"Tang,")</f>
        <v>Tang,</v>
      </c>
      <c r="S8" s="73"/>
      <c r="T8" s="73"/>
      <c r="U8" s="73"/>
      <c r="V8" s="73"/>
      <c r="W8" s="73"/>
      <c r="X8" s="69"/>
      <c r="Y8" s="71" t="str">
        <f>HYPERLINK("https://sci-hub.se/10.1021/jf101504v","Sorghum bicolor")</f>
        <v>Sorghum bicolor</v>
      </c>
      <c r="Z8" s="69" t="str">
        <f>IFERROR(__xludf.DUMMYFUNCTION("cell(""contents"",indirect(address(match(REGEXEXTRACT(FORMULATEXT(Y8),""""""(.*)"""",""),src.urls,0),5)))"),"Svensson,")</f>
        <v>Svensson,</v>
      </c>
      <c r="AA8" s="73"/>
      <c r="AB8" s="73"/>
      <c r="AC8" s="71" t="str">
        <f>HYPERLINK("https://sci-hub.se/10.1016/j.foodchem.2016.10.117","Cucumis melo")</f>
        <v>Cucumis melo</v>
      </c>
      <c r="AD8" s="69" t="str">
        <f>IFERROR(__xludf.DUMMYFUNCTION("cell(""contents"",indirect(address(match(REGEXEXTRACT(FORMULATEXT(AC8),""""""(.*)"""",""),src.urls,0),5)))"),"Mallek-Ayadi,")</f>
        <v>Mallek-Ayadi,</v>
      </c>
      <c r="AE8" s="71" t="str">
        <f>HYPERLINK("https://sci-hub.se/10.1155/2015/541591","Olea europaea var. sylvestris")</f>
        <v>Olea europaea var. sylvestris</v>
      </c>
      <c r="AF8" s="69" t="str">
        <f>IFERROR(__xludf.DUMMYFUNCTION("cell(""contents"",indirect(address(match(REGEXEXTRACT(FORMULATEXT(AE8),""""""(.*)"""",""),src.urls,0),5)))"),"Hashmi,")</f>
        <v>Hashmi,</v>
      </c>
      <c r="AG8" s="73"/>
      <c r="AH8" s="73"/>
      <c r="AI8" s="73"/>
      <c r="AJ8" s="73"/>
      <c r="AK8" s="73"/>
      <c r="AL8" s="73"/>
      <c r="AM8" s="73"/>
      <c r="AN8" s="69"/>
      <c r="AO8" s="73"/>
      <c r="AP8" s="73"/>
      <c r="AQ8" s="73"/>
      <c r="AR8" s="73"/>
      <c r="AS8" s="71" t="str">
        <f>HYPERLINK("https://sci-hub.se/10.1016/j.chroma.2015.08.033","Prunus mume")</f>
        <v>Prunus mume</v>
      </c>
      <c r="AT8" s="69" t="str">
        <f>IFERROR(__xludf.DUMMYFUNCTION("cell(""contents"",indirect(address(match(REGEXEXTRACT(FORMULATEXT(AS8),""""""(.*)"""",""),src.urls,0),5)))"),"Zhang,")</f>
        <v>Zhang,</v>
      </c>
      <c r="AU8" s="73"/>
      <c r="AV8" s="73"/>
      <c r="AW8" s="73"/>
      <c r="AX8" s="73"/>
      <c r="AY8" s="73"/>
      <c r="AZ8" s="73"/>
      <c r="BA8" s="71" t="str">
        <f>HYPERLINK("https://sci-hub.se/10.3390/ijms18112331","Phaseolus vulgaris")</f>
        <v>Phaseolus vulgaris</v>
      </c>
      <c r="BB8" s="69" t="str">
        <f>IFERROR(__xludf.DUMMYFUNCTION("cell(""contents"",indirect(address(match(REGEXEXTRACT(FORMULATEXT(BA8),""""""(.*)"""",""),src.urls,0),5)))"),"Ganesan,")</f>
        <v>Ganesan,</v>
      </c>
    </row>
    <row r="9">
      <c r="B9" s="69"/>
      <c r="C9" s="69" t="s">
        <v>432</v>
      </c>
      <c r="D9" s="69" t="s">
        <v>433</v>
      </c>
      <c r="E9" s="70" t="str">
        <f>IFERROR(__xludf.DUMMYFUNCTION("regexextract(D9,""[\S]*\s{0,2},"") "),"Zeb,")</f>
        <v>Zeb,</v>
      </c>
      <c r="F9" s="70" t="s">
        <v>434</v>
      </c>
      <c r="G9" s="73"/>
      <c r="H9" s="73"/>
      <c r="I9" s="71" t="str">
        <f>HYPERLINK("https://sci-hub.se/10.1016/j.foodchem.2015.12.025","Chenopodium quinoa")</f>
        <v>Chenopodium quinoa</v>
      </c>
      <c r="J9" s="69" t="str">
        <f>IFERROR(__xludf.DUMMYFUNCTION("cell(""contents"",indirect(address(match(REGEXEXTRACT(FORMULATEXT(I9),""""""(.*)"""",""),src.urls,0),5)))"),"Hemalatha,")</f>
        <v>Hemalatha,</v>
      </c>
      <c r="K9" s="73"/>
      <c r="L9" s="69"/>
      <c r="M9" s="71" t="str">
        <f>HYPERLINK("https://sci-hub.se/https://www.sciencedirect.com/science/article/abs/pii/S0926669012000829","Eucalyptus grandis")</f>
        <v>Eucalyptus grandis</v>
      </c>
      <c r="N9" s="69" t="str">
        <f>IFERROR(__xludf.DUMMYFUNCTION("cell(""contents"",indirect(address(match(REGEXEXTRACT(FORMULATEXT(M9),""""""(.*)"""",""),src.urls,0),5)))"),"Santos,")</f>
        <v>Santos,</v>
      </c>
      <c r="O9" s="73"/>
      <c r="P9" s="73"/>
      <c r="Q9" s="73"/>
      <c r="R9" s="69"/>
      <c r="S9" s="73"/>
      <c r="T9" s="73"/>
      <c r="U9" s="73"/>
      <c r="V9" s="73"/>
      <c r="W9" s="73"/>
      <c r="X9" s="69"/>
      <c r="Y9" s="71" t="str">
        <f>HYPERLINK("https://sci-hub.se/10.1155/2015/541591","Olea europaea var. sylvestris")</f>
        <v>Olea europaea var. sylvestris</v>
      </c>
      <c r="Z9" s="69" t="str">
        <f>IFERROR(__xludf.DUMMYFUNCTION("cell(""contents"",indirect(address(match(REGEXEXTRACT(FORMULATEXT(Y9),""""""(.*)"""",""),src.urls,0),5)))"),"Hashmi,")</f>
        <v>Hashmi,</v>
      </c>
      <c r="AA9" s="73"/>
      <c r="AB9" s="73"/>
      <c r="AC9" s="71" t="str">
        <f>HYPERLINK("https://sci-hub.se/https://www.sciencedirect.com/science/article/abs/pii/S0926669016307294","Eucalyptus grandis")</f>
        <v>Eucalyptus grandis</v>
      </c>
      <c r="AD9" s="69" t="str">
        <f>IFERROR(__xludf.DUMMYFUNCTION("cell(""contents"",indirect(address(match(REGEXEXTRACT(FORMULATEXT(AC9),""""""(.*)"""",""),src.urls,0),5)))"),"Santos,")</f>
        <v>Santos,</v>
      </c>
      <c r="AE9" s="71" t="str">
        <f>HYPERLINK("https://sci-hub.se/10.1016/j.jfca.2018.03.005","Phoenix dactylifera")</f>
        <v>Phoenix dactylifera</v>
      </c>
      <c r="AF9" s="69" t="str">
        <f>IFERROR(__xludf.DUMMYFUNCTION("cell(""contents"",indirect(address(match(REGEXEXTRACT(FORMULATEXT(AE9),""""""(.*)"""",""),src.urls,0),5)))"),"Khallouki,")</f>
        <v>Khallouki,</v>
      </c>
      <c r="AG9" s="73"/>
      <c r="AH9" s="73"/>
      <c r="AI9" s="73"/>
      <c r="AJ9" s="73"/>
      <c r="AK9" s="73"/>
      <c r="AL9" s="73"/>
      <c r="AM9" s="73"/>
      <c r="AN9" s="69"/>
      <c r="AO9" s="73"/>
      <c r="AP9" s="73"/>
      <c r="AQ9" s="73"/>
      <c r="AR9" s="73"/>
      <c r="AS9" s="73"/>
      <c r="AT9" s="73"/>
      <c r="AU9" s="73"/>
      <c r="AV9" s="73"/>
      <c r="AW9" s="73"/>
      <c r="AX9" s="73"/>
      <c r="AY9" s="73"/>
      <c r="AZ9" s="73"/>
      <c r="BA9" s="71" t="str">
        <f>HYPERLINK("https://sci-hub.se/10.1016/j.jfca.2018.03.005","Phoenix dactylifera")</f>
        <v>Phoenix dactylifera</v>
      </c>
      <c r="BB9" s="69" t="str">
        <f>IFERROR(__xludf.DUMMYFUNCTION("cell(""contents"",indirect(address(match(REGEXEXTRACT(FORMULATEXT(BA9),""""""(.*)"""",""),src.urls,0),5)))"),"Khallouki,")</f>
        <v>Khallouki,</v>
      </c>
    </row>
    <row r="10">
      <c r="A10" s="76" t="s">
        <v>435</v>
      </c>
      <c r="B10" s="76" t="s">
        <v>436</v>
      </c>
      <c r="C10" s="69" t="s">
        <v>437</v>
      </c>
      <c r="D10" s="69" t="s">
        <v>438</v>
      </c>
      <c r="E10" s="70" t="str">
        <f>IFERROR(__xludf.DUMMYFUNCTION("regexextract(D10,""[\S]*\s{0,2},"") "),"Xu,")</f>
        <v>Xu,</v>
      </c>
      <c r="F10" s="70" t="s">
        <v>439</v>
      </c>
      <c r="G10" s="73"/>
      <c r="H10" s="73"/>
      <c r="I10" s="71" t="str">
        <f>HYPERLINK("https://sci-hub.se/10.1007/s11130-018-0661-6","Cicer arietinum")</f>
        <v>Cicer arietinum</v>
      </c>
      <c r="J10" s="69" t="str">
        <f>IFERROR(__xludf.DUMMYFUNCTION("cell(""contents"",indirect(address(match(REGEXEXTRACT(FORMULATEXT(I10),""""""(.*)"""",""),src.urls,0),5)))"),"Quintero-Soto,")</f>
        <v>Quintero-Soto,</v>
      </c>
      <c r="K10" s="73"/>
      <c r="L10" s="69"/>
      <c r="M10" s="71" t="str">
        <f>HYPERLINK("https://sci-hub.se/10.3390/plants6040043","Gossypium hirsutum")</f>
        <v>Gossypium hirsutum</v>
      </c>
      <c r="N10" s="69" t="str">
        <f>IFERROR(__xludf.DUMMYFUNCTION("cell(""contents"",indirect(address(match(REGEXEXTRACT(FORMULATEXT(M10),""""""(.*)"""",""),src.urls,0),5)))"),"Nix,")</f>
        <v>Nix,</v>
      </c>
      <c r="O10" s="73"/>
      <c r="P10" s="73"/>
      <c r="Q10" s="73"/>
      <c r="R10" s="77"/>
      <c r="S10" s="73"/>
      <c r="T10" s="73"/>
      <c r="U10" s="73"/>
      <c r="V10" s="73"/>
      <c r="W10" s="73"/>
      <c r="X10" s="69"/>
      <c r="Y10" s="73"/>
      <c r="Z10" s="69"/>
      <c r="AA10" s="73"/>
      <c r="AB10" s="73"/>
      <c r="AC10" s="71" t="str">
        <f>HYPERLINK("https://sci-hub.se/10.1016/j.jff.2014.08.013","Fragaria vesca")</f>
        <v>Fragaria vesca</v>
      </c>
      <c r="AD10" s="69" t="str">
        <f>IFERROR(__xludf.DUMMYFUNCTION("cell(""contents"",indirect(address(match(REGEXEXTRACT(FORMULATEXT(AC10),""""""(.*)"""",""),src.urls,0),5)))"),"Gasperotti,")</f>
        <v>Gasperotti,</v>
      </c>
      <c r="AE10" s="71" t="str">
        <f>HYPERLINK("https://sci-hub.se/10.1155/2016/5498618","Solanum lycopersicum")</f>
        <v>Solanum lycopersicum</v>
      </c>
      <c r="AF10" s="69" t="str">
        <f>IFERROR(__xludf.DUMMYFUNCTION("cell(""contents"",indirect(address(match(REGEXEXTRACT(FORMULATEXT(AE10),""""""(.*)"""",""),src.urls,0),5)))"),"Bhandari,")</f>
        <v>Bhandari,</v>
      </c>
      <c r="AG10" s="73"/>
      <c r="AH10" s="73"/>
      <c r="AI10" s="73"/>
      <c r="AJ10" s="73"/>
      <c r="AK10" s="73"/>
      <c r="AL10" s="73"/>
      <c r="AM10" s="73"/>
      <c r="AN10" s="69"/>
      <c r="AO10" s="73"/>
      <c r="AP10" s="73"/>
      <c r="AQ10" s="73"/>
      <c r="AR10" s="73"/>
      <c r="AS10" s="73"/>
      <c r="AT10" s="73"/>
      <c r="AU10" s="73"/>
      <c r="AV10" s="73"/>
      <c r="AW10" s="73"/>
      <c r="AX10" s="73"/>
      <c r="AY10" s="73"/>
      <c r="AZ10" s="73"/>
      <c r="BA10" s="71" t="str">
        <f>HYPERLINK("https://sci-hub.se/10.1016/j.chroma.2015.08.033","Prunus mume")</f>
        <v>Prunus mume</v>
      </c>
      <c r="BB10" s="69" t="str">
        <f>IFERROR(__xludf.DUMMYFUNCTION("cell(""contents"",indirect(address(match(REGEXEXTRACT(FORMULATEXT(BA10),""""""(.*)"""",""),src.urls,0),5)))"),"Zhang,")</f>
        <v>Zhang,</v>
      </c>
    </row>
    <row r="11">
      <c r="A11" s="68" t="s">
        <v>49</v>
      </c>
      <c r="B11" s="69" t="str">
        <f>CONCATENATE("(",textjoin(", ", true, H2:H5),")")</f>
        <v>(Silva,, Hemalatha,, Liew,, Akomolafe,)</v>
      </c>
      <c r="C11" s="69" t="s">
        <v>440</v>
      </c>
      <c r="D11" s="69" t="s">
        <v>441</v>
      </c>
      <c r="E11" s="70" t="str">
        <f>IFERROR(__xludf.DUMMYFUNCTION("regexextract(D11,""[\S]*\s{0,2},"") "),"DONG,")</f>
        <v>DONG,</v>
      </c>
      <c r="F11" s="70" t="s">
        <v>442</v>
      </c>
      <c r="G11" s="73"/>
      <c r="H11" s="73"/>
      <c r="I11" s="71" t="str">
        <f>HYPERLINK("https://sci-hub.se/10.7717/peerj.5331","Citrus sinensis")</f>
        <v>Citrus sinensis</v>
      </c>
      <c r="J11" s="69" t="str">
        <f>IFERROR(__xludf.DUMMYFUNCTION("cell(""contents"",indirect(address(match(REGEXEXTRACT(FORMULATEXT(I11),""""""(.*)"""",""),src.urls,0),5)))"),"Liew,")</f>
        <v>Liew,</v>
      </c>
      <c r="K11" s="73"/>
      <c r="L11" s="73"/>
      <c r="M11" s="71" t="str">
        <f>HYPERLINK("https://sci-hub.se/10.1016/j.jpba.2018.11.029","Juglans regia")</f>
        <v>Juglans regia</v>
      </c>
      <c r="N11" s="69" t="str">
        <f>IFERROR(__xludf.DUMMYFUNCTION("cell(""contents"",indirect(address(match(REGEXEXTRACT(FORMULATEXT(M11),""""""(.*)"""",""),src.urls,0),5)))"),"Yan,")</f>
        <v>Yan,</v>
      </c>
      <c r="O11" s="73"/>
      <c r="P11" s="73"/>
      <c r="Q11" s="73"/>
      <c r="R11" s="77"/>
      <c r="S11" s="73"/>
      <c r="T11" s="73"/>
      <c r="U11" s="73"/>
      <c r="V11" s="73"/>
      <c r="W11" s="73"/>
      <c r="X11" s="69"/>
      <c r="Y11" s="73"/>
      <c r="Z11" s="69"/>
      <c r="AA11" s="73"/>
      <c r="AB11" s="73"/>
      <c r="AC11" s="71" t="str">
        <f>HYPERLINK("https://sci-hub.se/10.3390/plants6040043","Gossypium hirsutum")</f>
        <v>Gossypium hirsutum</v>
      </c>
      <c r="AD11" s="69" t="str">
        <f>IFERROR(__xludf.DUMMYFUNCTION("cell(""contents"",indirect(address(match(REGEXEXTRACT(FORMULATEXT(AC11),""""""(.*)"""",""),src.urls,0),5)))"),"Nix,")</f>
        <v>Nix,</v>
      </c>
      <c r="AE11" s="73"/>
      <c r="AF11" s="69"/>
      <c r="AG11" s="73"/>
      <c r="AH11" s="73"/>
      <c r="AI11" s="73"/>
      <c r="AJ11" s="73"/>
      <c r="AK11" s="73"/>
      <c r="AL11" s="73"/>
      <c r="AM11" s="73"/>
      <c r="AN11" s="69"/>
      <c r="AO11" s="73"/>
      <c r="AP11" s="73"/>
      <c r="AQ11" s="73"/>
      <c r="AR11" s="73"/>
      <c r="AS11" s="73"/>
      <c r="AT11" s="73"/>
      <c r="AU11" s="73"/>
      <c r="AV11" s="73"/>
      <c r="AW11" s="73"/>
      <c r="AX11" s="73"/>
      <c r="AY11" s="73"/>
      <c r="AZ11" s="73"/>
      <c r="BA11" s="71" t="str">
        <f>HYPERLINK("https://sci-hub.se/10.1007/s11240-019-01679-3","Theobroma cacao")</f>
        <v>Theobroma cacao</v>
      </c>
      <c r="BB11" s="69" t="str">
        <f>IFERROR(__xludf.DUMMYFUNCTION("cell(""contents"",indirect(address(match(REGEXEXTRACT(FORMULATEXT(BA11),""""""(.*)"""",""),src.urls,0),5)))"),"Gallego,")</f>
        <v>Gallego,</v>
      </c>
    </row>
    <row r="12">
      <c r="A12" s="68" t="s">
        <v>53</v>
      </c>
      <c r="B12" s="69" t="str">
        <f>CONCATENATE("(",textjoin(", ", true,N2:N18),")")</f>
        <v>(Wu,, Georgiev,, Auger,, Sotto,, Oboh,, Liu,, Ahmad,, Santos,, Nix,, Yan,, Chen,, Wang,, Zhai,, Zeb,, Luo,, Singh,, Ganesan,)</v>
      </c>
      <c r="C12" s="69" t="s">
        <v>443</v>
      </c>
      <c r="D12" s="69" t="s">
        <v>444</v>
      </c>
      <c r="E12" s="70" t="str">
        <f>IFERROR(__xludf.DUMMYFUNCTION("regexextract(D12,""[\S]*\s{0,2},"") "),"Klejdus,")</f>
        <v>Klejdus,</v>
      </c>
      <c r="F12" s="70" t="s">
        <v>445</v>
      </c>
      <c r="G12" s="73"/>
      <c r="H12" s="73"/>
      <c r="I12" s="71" t="str">
        <f>HYPERLINK("https://sci-hub.se/10.1016/j.jfca.2004.06.008","Cucumis melo")</f>
        <v>Cucumis melo</v>
      </c>
      <c r="J12" s="69" t="str">
        <f>IFERROR(__xludf.DUMMYFUNCTION("cell(""contents"",indirect(address(match(REGEXEXTRACT(FORMULATEXT(I12),""""""(.*)"""",""),src.urls,0),5)))"),"Tsanova-Savova,")</f>
        <v>Tsanova-Savova,</v>
      </c>
      <c r="K12" s="73"/>
      <c r="L12" s="73"/>
      <c r="M12" s="71" t="str">
        <f>HYPERLINK("https://sci-hub.se/10.1016/j.phytol.2012.12.001","Nicotiana tabacum")</f>
        <v>Nicotiana tabacum</v>
      </c>
      <c r="N12" s="69" t="str">
        <f>IFERROR(__xludf.DUMMYFUNCTION("cell(""contents"",indirect(address(match(REGEXEXTRACT(FORMULATEXT(M12),""""""(.*)"""",""),src.urls,0),5)))"),"Chen,")</f>
        <v>Chen,</v>
      </c>
      <c r="O12" s="73"/>
      <c r="P12" s="73"/>
      <c r="Q12" s="73"/>
      <c r="R12" s="77"/>
      <c r="S12" s="73"/>
      <c r="T12" s="73"/>
      <c r="U12" s="73"/>
      <c r="V12" s="73"/>
      <c r="W12" s="73"/>
      <c r="X12" s="69"/>
      <c r="Y12" s="73"/>
      <c r="Z12" s="69"/>
      <c r="AA12" s="73"/>
      <c r="AB12" s="73"/>
      <c r="AC12" s="71" t="str">
        <f>HYPERLINK("https://sci-hub.se/10.1016/j.jpba.2018.11.029","Juglans regia")</f>
        <v>Juglans regia</v>
      </c>
      <c r="AD12" s="69" t="str">
        <f>IFERROR(__xludf.DUMMYFUNCTION("cell(""contents"",indirect(address(match(REGEXEXTRACT(FORMULATEXT(AC12),""""""(.*)"""",""),src.urls,0),5)))"),"Yan,")</f>
        <v>Yan,</v>
      </c>
      <c r="AE12" s="73"/>
      <c r="AF12" s="69"/>
      <c r="AG12" s="73"/>
      <c r="AH12" s="73"/>
      <c r="AI12" s="73"/>
      <c r="AJ12" s="73"/>
      <c r="AK12" s="73"/>
      <c r="AL12" s="73"/>
      <c r="AM12" s="73"/>
      <c r="AN12" s="69"/>
      <c r="AO12" s="73"/>
      <c r="AP12" s="73"/>
      <c r="AQ12" s="73"/>
      <c r="AR12" s="73"/>
      <c r="AS12" s="73"/>
      <c r="AT12" s="73"/>
      <c r="AU12" s="73"/>
      <c r="AV12" s="73"/>
      <c r="AW12" s="73"/>
      <c r="AX12" s="73"/>
      <c r="AY12" s="73"/>
      <c r="AZ12" s="73"/>
      <c r="BA12" s="73"/>
      <c r="BB12" s="73"/>
    </row>
    <row r="13">
      <c r="A13" s="67" t="s">
        <v>55</v>
      </c>
      <c r="B13" s="69" t="str">
        <f>CONCATENATE("(",textjoin(", ", true, P2:P3),")")</f>
        <v>(Liew,, Ganesan,)</v>
      </c>
      <c r="C13" s="69" t="s">
        <v>446</v>
      </c>
      <c r="D13" s="69" t="s">
        <v>447</v>
      </c>
      <c r="E13" s="70" t="str">
        <f>IFERROR(__xludf.DUMMYFUNCTION("regexextract(D13,""[\S]*\s{0,2},"") "),"Zhang,")</f>
        <v>Zhang,</v>
      </c>
      <c r="F13" s="70" t="s">
        <v>448</v>
      </c>
      <c r="G13" s="73"/>
      <c r="H13" s="73"/>
      <c r="I13" s="71" t="str">
        <f>HYPERLINK("https://sci-hub.se/10.1007/s11738-019-2925-7","Cucumis sativus")</f>
        <v>Cucumis sativus</v>
      </c>
      <c r="J13" s="69" t="str">
        <f>IFERROR(__xludf.DUMMYFUNCTION("cell(""contents"",indirect(address(match(REGEXEXTRACT(FORMULATEXT(I13),""""""(.*)"""",""),src.urls,0),5)))"),"Xu,")</f>
        <v>Xu,</v>
      </c>
      <c r="K13" s="73"/>
      <c r="L13" s="73"/>
      <c r="M13" s="71" t="str">
        <f>HYPERLINK("https://sci-hub.se/10.1371/journal.pone.0064664","Populus trichocarpa")</f>
        <v>Populus trichocarpa</v>
      </c>
      <c r="N13" s="69" t="str">
        <f>IFERROR(__xludf.DUMMYFUNCTION("cell(""contents"",indirect(address(match(REGEXEXTRACT(FORMULATEXT(M13),""""""(.*)"""",""),src.urls,0),5)))"),"Wang,")</f>
        <v>Wang,</v>
      </c>
      <c r="O13" s="73"/>
      <c r="P13" s="73"/>
      <c r="Q13" s="73"/>
      <c r="R13" s="77"/>
      <c r="S13" s="73"/>
      <c r="T13" s="73"/>
      <c r="U13" s="73"/>
      <c r="V13" s="73"/>
      <c r="W13" s="73"/>
      <c r="X13" s="69"/>
      <c r="Y13" s="73"/>
      <c r="Z13" s="69"/>
      <c r="AA13" s="73"/>
      <c r="AB13" s="73"/>
      <c r="AC13" s="71" t="str">
        <f>HYPERLINK("https://sci-hub.se/10.3390/molecules22071036","Nelumbo nucifera")</f>
        <v>Nelumbo nucifera</v>
      </c>
      <c r="AD13" s="69" t="str">
        <f>IFERROR(__xludf.DUMMYFUNCTION("cell(""contents"",indirect(address(match(REGEXEXTRACT(FORMULATEXT(AC13),""""""(.*)"""",""),src.urls,0),5)))"),"Tang,")</f>
        <v>Tang,</v>
      </c>
      <c r="AE13" s="73"/>
      <c r="AF13" s="69"/>
      <c r="AG13" s="73"/>
      <c r="AH13" s="73"/>
      <c r="AI13" s="73"/>
      <c r="AJ13" s="73"/>
      <c r="AK13" s="73"/>
      <c r="AL13" s="73"/>
      <c r="AM13" s="73"/>
      <c r="AN13" s="69"/>
      <c r="AO13" s="73"/>
      <c r="AP13" s="73"/>
      <c r="AQ13" s="73"/>
      <c r="AR13" s="73"/>
      <c r="AS13" s="73"/>
      <c r="AT13" s="73"/>
      <c r="AU13" s="73"/>
      <c r="AV13" s="73"/>
      <c r="AW13" s="73"/>
      <c r="AX13" s="73"/>
      <c r="AY13" s="73"/>
      <c r="AZ13" s="73"/>
      <c r="BA13" s="73"/>
      <c r="BB13" s="73"/>
    </row>
    <row r="14">
      <c r="A14" s="67" t="s">
        <v>58</v>
      </c>
      <c r="B14" s="69" t="str">
        <f>CONCATENATE("(",textjoin(", ", true, R2:R8),")")</f>
        <v>(Wu,, Santos,, Nix,, Yıldırım,, Sanz,, Gallego,, Tang,)</v>
      </c>
      <c r="C14" s="69" t="s">
        <v>449</v>
      </c>
      <c r="D14" s="69" t="s">
        <v>450</v>
      </c>
      <c r="E14" s="70" t="str">
        <f>IFERROR(__xludf.DUMMYFUNCTION("regexextract(D14,""[\S]*\s{0,2},"") "),"Preuß,")</f>
        <v>Preuß,</v>
      </c>
      <c r="F14" s="70" t="s">
        <v>451</v>
      </c>
      <c r="G14" s="73"/>
      <c r="H14" s="73"/>
      <c r="I14" s="71" t="str">
        <f>HYPERLINK("https://www.mdpi.com/1420-3049/25/8/1792/htm","Cucurbita pepo subsp. Pepo")</f>
        <v>Cucurbita pepo subsp. Pepo</v>
      </c>
      <c r="J14" s="69" t="str">
        <f>IFERROR(__xludf.DUMMYFUNCTION("cell(""contents"",indirect(address(match(REGEXEXTRACT(FORMULATEXT(I14),""""""(.*)"""",""),src.urls,0),5)))"),"Kostecka-Gugała,")</f>
        <v>Kostecka-Gugała,</v>
      </c>
      <c r="K14" s="73"/>
      <c r="L14" s="73"/>
      <c r="M14" s="71" t="str">
        <f>HYPERLINK("https://sci-hub.se/10.1371/journal.pone.0091945","Pyrus x bretschneideri")</f>
        <v>Pyrus x bretschneideri</v>
      </c>
      <c r="N14" s="69" t="str">
        <f>IFERROR(__xludf.DUMMYFUNCTION("cell(""contents"",indirect(address(match(REGEXEXTRACT(FORMULATEXT(M14),""""""(.*)"""",""),src.urls,0),5)))"),"Zhai,")</f>
        <v>Zhai,</v>
      </c>
      <c r="O14" s="73"/>
      <c r="P14" s="73"/>
      <c r="Q14" s="73"/>
      <c r="R14" s="77"/>
      <c r="S14" s="73"/>
      <c r="T14" s="73"/>
      <c r="U14" s="73"/>
      <c r="V14" s="73"/>
      <c r="W14" s="73"/>
      <c r="X14" s="69"/>
      <c r="Y14" s="73"/>
      <c r="Z14" s="69"/>
      <c r="AA14" s="73"/>
      <c r="AB14" s="73"/>
      <c r="AC14" s="71" t="str">
        <f>HYPERLINK("https://sci-hub.se/10.1002/fsn3.1142","Olea europaea var. sylvestris")</f>
        <v>Olea europaea var. sylvestris</v>
      </c>
      <c r="AD14" s="69" t="str">
        <f>IFERROR(__xludf.DUMMYFUNCTION("cell(""contents"",indirect(address(match(REGEXEXTRACT(FORMULATEXT(AC14),""""""(.*)"""",""),src.urls,0),5)))"),"Tamasi,")</f>
        <v>Tamasi,</v>
      </c>
      <c r="AE14" s="73"/>
      <c r="AF14" s="69"/>
      <c r="AG14" s="73"/>
      <c r="AH14" s="73"/>
      <c r="AI14" s="73"/>
      <c r="AJ14" s="73"/>
      <c r="AK14" s="73"/>
      <c r="AL14" s="73"/>
      <c r="AM14" s="73"/>
      <c r="AN14" s="69"/>
      <c r="AO14" s="73"/>
      <c r="AP14" s="73"/>
      <c r="AQ14" s="73"/>
      <c r="AR14" s="73"/>
      <c r="AS14" s="73"/>
      <c r="AT14" s="73"/>
      <c r="AU14" s="73"/>
      <c r="AV14" s="73"/>
      <c r="AW14" s="73"/>
      <c r="AX14" s="73"/>
      <c r="AY14" s="73"/>
      <c r="AZ14" s="73"/>
      <c r="BA14" s="73"/>
      <c r="BB14" s="73"/>
    </row>
    <row r="15">
      <c r="A15" s="68" t="s">
        <v>399</v>
      </c>
      <c r="B15" s="69" t="str">
        <f>CONCATENATE("(",textjoin(", ", true, T2:T3),")")</f>
        <v>(Nix,, Ganesan,)</v>
      </c>
      <c r="C15" s="69" t="s">
        <v>452</v>
      </c>
      <c r="D15" s="69" t="s">
        <v>453</v>
      </c>
      <c r="E15" s="70" t="str">
        <f>IFERROR(__xludf.DUMMYFUNCTION("regexextract(D15,""[\S]*\s{0,2},"") "),"Dueñas,")</f>
        <v>Dueñas,</v>
      </c>
      <c r="F15" s="70" t="s">
        <v>454</v>
      </c>
      <c r="G15" s="73"/>
      <c r="H15" s="73"/>
      <c r="I15" s="71" t="str">
        <f>HYPERLINK("https://sci-hub.se/https://www.sciencedirect.com/science/article/abs/pii/S0308814614010528","Durio zibethinus")</f>
        <v>Durio zibethinus</v>
      </c>
      <c r="J15" s="69" t="str">
        <f>IFERROR(__xludf.DUMMYFUNCTION("cell(""contents"",indirect(address(match(REGEXEXTRACT(FORMULATEXT(I15),""""""(.*)"""",""),src.urls,0),5)))"),"Ho,")</f>
        <v>Ho,</v>
      </c>
      <c r="K15" s="73"/>
      <c r="L15" s="73"/>
      <c r="M15" s="71" t="str">
        <f>HYPERLINK("https://sci-hub.se/10.1007/s11694-017-9514-5","Sesamum indicum")</f>
        <v>Sesamum indicum</v>
      </c>
      <c r="N15" s="69" t="str">
        <f>IFERROR(__xludf.DUMMYFUNCTION("cell(""contents"",indirect(address(match(REGEXEXTRACT(FORMULATEXT(M15),""""""(.*)"""",""),src.urls,0),5)))"),"Zeb,")</f>
        <v>Zeb,</v>
      </c>
      <c r="O15" s="73"/>
      <c r="P15" s="73"/>
      <c r="Q15" s="73"/>
      <c r="R15" s="77"/>
      <c r="S15" s="73"/>
      <c r="T15" s="73"/>
      <c r="U15" s="73"/>
      <c r="V15" s="73"/>
      <c r="W15" s="73"/>
      <c r="X15" s="69"/>
      <c r="Y15" s="73"/>
      <c r="Z15" s="69"/>
      <c r="AA15" s="73"/>
      <c r="AB15" s="73"/>
      <c r="AC15" s="71" t="str">
        <f>HYPERLINK("https://sci-hub.se/10.1016/j.foodchem.2016.08.069","Oryza sativa japonica")</f>
        <v>Oryza sativa japonica</v>
      </c>
      <c r="AD15" s="69" t="str">
        <f>IFERROR(__xludf.DUMMYFUNCTION("cell(""contents"",indirect(address(match(REGEXEXTRACT(FORMULATEXT(AC15),""""""(.*)"""",""),src.urls,0),5)))"),"Kim,")</f>
        <v>Kim,</v>
      </c>
      <c r="AE15" s="73"/>
      <c r="AF15" s="69"/>
      <c r="AG15" s="73"/>
      <c r="AH15" s="73"/>
      <c r="AI15" s="73"/>
      <c r="AJ15" s="73"/>
      <c r="AK15" s="73"/>
      <c r="AL15" s="73"/>
      <c r="AM15" s="73"/>
      <c r="AN15" s="69"/>
      <c r="AO15" s="73"/>
      <c r="AP15" s="73"/>
      <c r="AQ15" s="73"/>
      <c r="AR15" s="73"/>
      <c r="AS15" s="73"/>
      <c r="AT15" s="73"/>
      <c r="AU15" s="73"/>
      <c r="AV15" s="73"/>
      <c r="AW15" s="73"/>
      <c r="AX15" s="73"/>
      <c r="AY15" s="73"/>
      <c r="AZ15" s="73"/>
      <c r="BA15" s="73"/>
      <c r="BB15" s="73"/>
    </row>
    <row r="16">
      <c r="A16" s="67" t="s">
        <v>60</v>
      </c>
      <c r="B16" s="69" t="str">
        <f>CONCATENATE("(",textjoin(", ", true, V2:V4),")")</f>
        <v>(Wu,, Nix,, Singh,)</v>
      </c>
      <c r="C16" s="69" t="s">
        <v>455</v>
      </c>
      <c r="D16" s="69" t="s">
        <v>456</v>
      </c>
      <c r="E16" s="70" t="str">
        <f>IFERROR(__xludf.DUMMYFUNCTION("regexextract(D16,""[\S]*\s{0,2},"") "),"Jaffri,")</f>
        <v>Jaffri,</v>
      </c>
      <c r="F16" s="70" t="s">
        <v>457</v>
      </c>
      <c r="G16" s="73"/>
      <c r="H16" s="73"/>
      <c r="I16" s="71" t="str">
        <f>HYPERLINK("https://sci-hub.se/10.1016/j.foodchem.2011.03.050","Elaeis guineensis")</f>
        <v>Elaeis guineensis</v>
      </c>
      <c r="J16" s="69" t="str">
        <f>IFERROR(__xludf.DUMMYFUNCTION("cell(""contents"",indirect(address(match(REGEXEXTRACT(FORMULATEXT(I16),""""""(.*)"""",""),src.urls,0),5)))"),"Jaffri,")</f>
        <v>Jaffri,</v>
      </c>
      <c r="K16" s="73"/>
      <c r="L16" s="73"/>
      <c r="M16" s="71" t="str">
        <f>HYPERLINK("https://sci-hub.se/10.1016/j.foodchem.2018.04.073","Sorghum bicolor")</f>
        <v>Sorghum bicolor</v>
      </c>
      <c r="N16" s="69" t="str">
        <f>IFERROR(__xludf.DUMMYFUNCTION("cell(""contents"",indirect(address(match(REGEXEXTRACT(FORMULATEXT(M16),""""""(.*)"""",""),src.urls,0),5)))"),"Luo,")</f>
        <v>Luo,</v>
      </c>
      <c r="O16" s="73"/>
      <c r="P16" s="73"/>
      <c r="Q16" s="73"/>
      <c r="R16" s="77"/>
      <c r="S16" s="73"/>
      <c r="T16" s="73"/>
      <c r="U16" s="73"/>
      <c r="V16" s="73"/>
      <c r="W16" s="73"/>
      <c r="X16" s="69"/>
      <c r="Y16" s="73"/>
      <c r="Z16" s="69"/>
      <c r="AA16" s="73"/>
      <c r="AB16" s="73"/>
      <c r="AC16" s="71" t="str">
        <f>HYPERLINK("https://sci-hub.se/10.3390/ijms18112331","Phaseolus vulgaris")</f>
        <v>Phaseolus vulgaris</v>
      </c>
      <c r="AD16" s="69" t="str">
        <f>IFERROR(__xludf.DUMMYFUNCTION("cell(""contents"",indirect(address(match(REGEXEXTRACT(FORMULATEXT(AC16),""""""(.*)"""",""),src.urls,0),5)))"),"Ganesan,")</f>
        <v>Ganesan,</v>
      </c>
      <c r="AE16" s="73"/>
      <c r="AF16" s="69"/>
      <c r="AG16" s="73"/>
      <c r="AH16" s="73"/>
      <c r="AI16" s="73"/>
      <c r="AJ16" s="73"/>
      <c r="AK16" s="73"/>
      <c r="AL16" s="73"/>
      <c r="AM16" s="73"/>
      <c r="AN16" s="69"/>
      <c r="AO16" s="73"/>
      <c r="AP16" s="73"/>
      <c r="AQ16" s="73"/>
      <c r="AR16" s="73"/>
      <c r="AS16" s="73"/>
      <c r="AT16" s="73"/>
      <c r="AU16" s="73"/>
      <c r="AV16" s="73"/>
      <c r="AW16" s="73"/>
      <c r="AX16" s="73"/>
      <c r="AY16" s="73"/>
      <c r="AZ16" s="73"/>
      <c r="BA16" s="73"/>
      <c r="BB16" s="73"/>
    </row>
    <row r="17">
      <c r="A17" s="67" t="s">
        <v>52</v>
      </c>
      <c r="B17" s="69" t="str">
        <f>CONCATENATE("(",textjoin(", ", true, L2),")")</f>
        <v>(Nix,)</v>
      </c>
      <c r="C17" s="69" t="s">
        <v>458</v>
      </c>
      <c r="D17" s="69" t="s">
        <v>459</v>
      </c>
      <c r="E17" s="70" t="str">
        <f>IFERROR(__xludf.DUMMYFUNCTION("regexextract(D17,""[\S]*\s{0,2},"") "),"Perestrelo,")</f>
        <v>Perestrelo,</v>
      </c>
      <c r="F17" s="70" t="s">
        <v>460</v>
      </c>
      <c r="G17" s="73"/>
      <c r="H17" s="73"/>
      <c r="I17" s="71" t="str">
        <f>HYPERLINK("https://sci-hub.se/10.1016/j.jchromb.2013.08.034","Eucalyptus grandis")</f>
        <v>Eucalyptus grandis</v>
      </c>
      <c r="J17" s="69" t="str">
        <f>IFERROR(__xludf.DUMMYFUNCTION("cell(""contents"",indirect(address(match(REGEXEXTRACT(FORMULATEXT(I17),""""""(.*)"""",""),src.urls,0),5)))"),"Santos,")</f>
        <v>Santos,</v>
      </c>
      <c r="K17" s="73"/>
      <c r="L17" s="73"/>
      <c r="M17" s="71" t="str">
        <f>HYPERLINK("https://sci-hub.se/10.1016/j.foodchem.2015.11.127","Spinacia oleracea")</f>
        <v>Spinacia oleracea</v>
      </c>
      <c r="N17" s="69" t="str">
        <f>IFERROR(__xludf.DUMMYFUNCTION("cell(""contents"",indirect(address(match(REGEXEXTRACT(FORMULATEXT(M17),""""""(.*)"""",""),src.urls,0),5)))"),"Singh,")</f>
        <v>Singh,</v>
      </c>
      <c r="O17" s="73"/>
      <c r="P17" s="73"/>
      <c r="Q17" s="73"/>
      <c r="R17" s="73"/>
      <c r="S17" s="73"/>
      <c r="T17" s="73"/>
      <c r="U17" s="73"/>
      <c r="V17" s="73"/>
      <c r="W17" s="73"/>
      <c r="X17" s="69"/>
      <c r="Y17" s="73"/>
      <c r="Z17" s="73"/>
      <c r="AA17" s="73"/>
      <c r="AB17" s="73"/>
      <c r="AC17" s="71" t="str">
        <f>HYPERLINK("https://sci-hub.se/10.1371/journal.pone.0222789","Phoenix dactylifera")</f>
        <v>Phoenix dactylifera</v>
      </c>
      <c r="AD17" s="69" t="str">
        <f>IFERROR(__xludf.DUMMYFUNCTION("cell(""contents"",indirect(address(match(REGEXEXTRACT(FORMULATEXT(AC17),""""""(.*)"""",""),src.urls,0),5)))"),"El-Kholy,")</f>
        <v>El-Kholy,</v>
      </c>
      <c r="AE17" s="73"/>
      <c r="AF17" s="69"/>
      <c r="AG17" s="73"/>
      <c r="AH17" s="73"/>
      <c r="AI17" s="73"/>
      <c r="AJ17" s="73"/>
      <c r="AK17" s="73"/>
      <c r="AL17" s="73"/>
      <c r="AM17" s="73"/>
      <c r="AN17" s="69"/>
      <c r="AO17" s="73"/>
      <c r="AP17" s="73"/>
      <c r="AQ17" s="73"/>
      <c r="AR17" s="73"/>
      <c r="AS17" s="73"/>
      <c r="AT17" s="73"/>
      <c r="AU17" s="73"/>
      <c r="AV17" s="73"/>
      <c r="AW17" s="73"/>
      <c r="AX17" s="73"/>
      <c r="AY17" s="73"/>
      <c r="AZ17" s="73"/>
      <c r="BA17" s="73"/>
      <c r="BB17" s="73"/>
    </row>
    <row r="18">
      <c r="A18" s="67" t="s">
        <v>62</v>
      </c>
      <c r="B18" s="69" t="str">
        <f>CONCATENATE("(",textjoin(", ", true, X2:X92),")")</f>
        <v>(Zhou,, Gasperotti,, Nix,, Kim,)</v>
      </c>
      <c r="C18" s="69" t="s">
        <v>461</v>
      </c>
      <c r="D18" s="69" t="s">
        <v>462</v>
      </c>
      <c r="E18" s="70" t="str">
        <f>IFERROR(__xludf.DUMMYFUNCTION("regexextract(D18,""[\S]*\s{0,2},"") "),"Thiruvengadam,")</f>
        <v>Thiruvengadam,</v>
      </c>
      <c r="F18" s="70" t="s">
        <v>463</v>
      </c>
      <c r="G18" s="73"/>
      <c r="H18" s="73"/>
      <c r="I18" s="71" t="str">
        <f>HYPERLINK("https://sci-hub.se/10.3390/ijms12052958","Jatropha curcas")</f>
        <v>Jatropha curcas</v>
      </c>
      <c r="J18" s="69" t="str">
        <f>IFERROR(__xludf.DUMMYFUNCTION("cell(""contents"",indirect(address(match(REGEXEXTRACT(FORMULATEXT(I18),""""""(.*)"""",""),src.urls,0),5)))"),"Igbinosa,")</f>
        <v>Igbinosa,</v>
      </c>
      <c r="K18" s="73"/>
      <c r="L18" s="73"/>
      <c r="M18" s="71" t="str">
        <f>HYPERLINK("https://sci-hub.se/10.1016/j.fshw.2017.11.002","Vigna radiata")</f>
        <v>Vigna radiata</v>
      </c>
      <c r="N18" s="69" t="str">
        <f>IFERROR(__xludf.DUMMYFUNCTION("cell(""contents"",indirect(address(match(REGEXEXTRACT(FORMULATEXT(M18),""""""(.*)"""",""),src.urls,0),5)))"),"Ganesan,")</f>
        <v>Ganesan,</v>
      </c>
      <c r="O18" s="73"/>
      <c r="P18" s="73"/>
      <c r="Q18" s="73"/>
      <c r="R18" s="73"/>
      <c r="S18" s="73"/>
      <c r="T18" s="73"/>
      <c r="U18" s="73"/>
      <c r="V18" s="73"/>
      <c r="W18" s="73"/>
      <c r="X18" s="69"/>
      <c r="Y18" s="73"/>
      <c r="Z18" s="73"/>
      <c r="AA18" s="73"/>
      <c r="AB18" s="73"/>
      <c r="AC18" s="71" t="str">
        <f>HYPERLINK("https://sci-hub.se/10.1111/tpj.12008","Selaginella moellendorffii")</f>
        <v>Selaginella moellendorffii</v>
      </c>
      <c r="AD18" s="69" t="str">
        <f>IFERROR(__xludf.DUMMYFUNCTION("cell(""contents"",indirect(address(match(REGEXEXTRACT(FORMULATEXT(AC18),""""""(.*)"""",""),src.urls,0),5)))"),"Yobi,")</f>
        <v>Yobi,</v>
      </c>
      <c r="AE18" s="73"/>
      <c r="AF18" s="69"/>
      <c r="AG18" s="73"/>
      <c r="AH18" s="73"/>
      <c r="AI18" s="73"/>
      <c r="AJ18" s="73"/>
      <c r="AK18" s="73"/>
      <c r="AL18" s="73"/>
      <c r="AM18" s="73"/>
      <c r="AN18" s="69"/>
      <c r="AO18" s="73"/>
      <c r="AP18" s="73"/>
      <c r="AQ18" s="73"/>
      <c r="AR18" s="73"/>
      <c r="AS18" s="73"/>
      <c r="AT18" s="73"/>
      <c r="AU18" s="73"/>
      <c r="AV18" s="73"/>
      <c r="AW18" s="73"/>
      <c r="AX18" s="73"/>
      <c r="AY18" s="73"/>
      <c r="AZ18" s="73"/>
      <c r="BA18" s="73"/>
      <c r="BB18" s="73"/>
    </row>
    <row r="19">
      <c r="A19" s="67" t="s">
        <v>51</v>
      </c>
      <c r="B19" s="69" t="str">
        <f>CONCATENATE("(",textjoin(", ", true, J2:J27),")")</f>
        <v>(DONG,, Wu,, Georgiev,, Kim,, Terpinc,, Ghasemnezhad,, Duru,, Hemalatha,, Quintero-Soto,, Liew,, Tsanova-Savova,, Xu,, Kostecka-Gugała,, Ho,, Jaffri,, Santos,, Igbinosa,, Buschmann,, Shimoda,, Kim,, Wang,, Zhai, R., Liu, X.-T., Feng, W.-T., Chen, S.-S., Xu, L.-F., Wang, Z.-G., … Ma, F.-W. (2014). Different Biosynthesis Patterns among Flavonoid 3-glycosides with Distinct Effects on Accumulation of Other Flavonoid Metabolites in Pears (Pyrus bretschneideri Rehd.). PLoS ONE, 9(3), e91945. doi:10.1371/journal.pone.0091945, Zeb,, Akyol,, Singh,, Gan,)</v>
      </c>
      <c r="C19" s="69" t="s">
        <v>464</v>
      </c>
      <c r="D19" s="69" t="s">
        <v>465</v>
      </c>
      <c r="E19" s="70" t="str">
        <f>IFERROR(__xludf.DUMMYFUNCTION("regexextract(D19,""[\S]*\s{0,2},"") "),"Singh,")</f>
        <v>Singh,</v>
      </c>
      <c r="F19" s="70" t="s">
        <v>466</v>
      </c>
      <c r="G19" s="73"/>
      <c r="H19" s="73"/>
      <c r="I19" s="71" t="str">
        <f>HYPERLINK("https://sci-hub.se/10.1021/jf000513p","Manihot esculenta")</f>
        <v>Manihot esculenta</v>
      </c>
      <c r="J19" s="69" t="str">
        <f>IFERROR(__xludf.DUMMYFUNCTION("cell(""contents"",indirect(address(match(REGEXEXTRACT(FORMULATEXT(I19),""""""(.*)"""",""),src.urls,0),5)))"),"Buschmann,")</f>
        <v>Buschmann,</v>
      </c>
      <c r="K19" s="73"/>
      <c r="L19" s="73"/>
      <c r="M19" s="73"/>
      <c r="N19" s="69"/>
      <c r="O19" s="73"/>
      <c r="P19" s="73"/>
      <c r="Q19" s="73"/>
      <c r="R19" s="73"/>
      <c r="S19" s="73"/>
      <c r="T19" s="73"/>
      <c r="U19" s="73"/>
      <c r="V19" s="73"/>
      <c r="W19" s="73"/>
      <c r="X19" s="69"/>
      <c r="Y19" s="73"/>
      <c r="Z19" s="73"/>
      <c r="AA19" s="73"/>
      <c r="AB19" s="73"/>
      <c r="AC19" s="71" t="str">
        <f>HYPERLINK("https://sci-hub.se/10.1016/j.foodchem.2017.02.150","Solanum tuberosum")</f>
        <v>Solanum tuberosum</v>
      </c>
      <c r="AD19" s="69" t="str">
        <f>IFERROR(__xludf.DUMMYFUNCTION("cell(""contents"",indirect(address(match(REGEXEXTRACT(FORMULATEXT(AC19),""""""(.*)"""",""),src.urls,0),5)))"),"Valiñas,")</f>
        <v>Valiñas,</v>
      </c>
      <c r="AE19" s="73"/>
      <c r="AF19" s="69"/>
      <c r="AG19" s="73"/>
      <c r="AH19" s="73"/>
      <c r="AI19" s="73"/>
      <c r="AJ19" s="73"/>
      <c r="AK19" s="73"/>
      <c r="AL19" s="73"/>
      <c r="AM19" s="73"/>
      <c r="AN19" s="69"/>
      <c r="AO19" s="73"/>
      <c r="AP19" s="73"/>
      <c r="AQ19" s="73"/>
      <c r="AR19" s="73"/>
      <c r="AS19" s="73"/>
      <c r="AT19" s="73"/>
      <c r="AU19" s="73"/>
      <c r="AV19" s="73"/>
      <c r="AW19" s="73"/>
      <c r="AX19" s="73"/>
      <c r="AY19" s="73"/>
      <c r="AZ19" s="73"/>
      <c r="BA19" s="73"/>
      <c r="BB19" s="73"/>
    </row>
    <row r="20">
      <c r="A20" s="67" t="s">
        <v>63</v>
      </c>
      <c r="B20" s="69" t="str">
        <f>CONCATENATE("(",textjoin(", ", true, Z2:Z92),")")</f>
        <v>(Wu,, Pei,, Hemalatha,, Akomolafe,, Khallouki,, Bhandari,, Svensson,, Hashmi,)</v>
      </c>
      <c r="C20" s="69" t="s">
        <v>467</v>
      </c>
      <c r="D20" s="69" t="s">
        <v>468</v>
      </c>
      <c r="E20" s="70" t="str">
        <f>IFERROR(__xludf.DUMMYFUNCTION("regexextract(D20,""[\S]*\s{0,2},"") "),"Hemalatha,")</f>
        <v>Hemalatha,</v>
      </c>
      <c r="F20" s="70" t="s">
        <v>469</v>
      </c>
      <c r="G20" s="73"/>
      <c r="H20" s="73"/>
      <c r="I20" s="71" t="str">
        <f>HYPERLINK("https://sci-hub.se/https://www.journal.csj.jp/doi/abs/10.1246/cl.2007.1292?journalCode=cl","Nicotiana tabacum")</f>
        <v>Nicotiana tabacum</v>
      </c>
      <c r="J20" s="69" t="str">
        <f>IFERROR(__xludf.DUMMYFUNCTION("cell(""contents"",indirect(address(match(REGEXEXTRACT(FORMULATEXT(I20),""""""(.*)"""",""),src.urls,0),5)))"),"Shimoda,")</f>
        <v>Shimoda,</v>
      </c>
      <c r="K20" s="73"/>
      <c r="L20" s="73"/>
      <c r="M20" s="73"/>
      <c r="N20" s="77"/>
      <c r="O20" s="73"/>
      <c r="P20" s="73"/>
      <c r="Q20" s="73"/>
      <c r="R20" s="73"/>
      <c r="S20" s="73"/>
      <c r="T20" s="73"/>
      <c r="U20" s="73"/>
      <c r="V20" s="73"/>
      <c r="W20" s="73"/>
      <c r="X20" s="69"/>
      <c r="Y20" s="73"/>
      <c r="Z20" s="73"/>
      <c r="AA20" s="73"/>
      <c r="AB20" s="73"/>
      <c r="AC20" s="71" t="str">
        <f>HYPERLINK("https://sci-hub.se/10.1016/j.foodchem.2015.11.127","Spinacia oleracea")</f>
        <v>Spinacia oleracea</v>
      </c>
      <c r="AD20" s="69" t="str">
        <f>IFERROR(__xludf.DUMMYFUNCTION("cell(""contents"",indirect(address(match(REGEXEXTRACT(FORMULATEXT(AC20),""""""(.*)"""",""),src.urls,0),5)))"),"Singh,")</f>
        <v>Singh,</v>
      </c>
      <c r="AE20" s="73"/>
      <c r="AF20" s="69"/>
      <c r="AG20" s="73"/>
      <c r="AH20" s="73"/>
      <c r="AI20" s="73"/>
      <c r="AJ20" s="73"/>
      <c r="AK20" s="73"/>
      <c r="AL20" s="73"/>
      <c r="AM20" s="73"/>
      <c r="AN20" s="69"/>
      <c r="AO20" s="73"/>
      <c r="AP20" s="73"/>
      <c r="AQ20" s="73"/>
      <c r="AR20" s="73"/>
      <c r="AS20" s="73"/>
      <c r="AT20" s="73"/>
      <c r="AU20" s="73"/>
      <c r="AV20" s="73"/>
      <c r="AW20" s="73"/>
      <c r="AX20" s="73"/>
      <c r="AY20" s="73"/>
      <c r="AZ20" s="73"/>
      <c r="BA20" s="73"/>
      <c r="BB20" s="73"/>
    </row>
    <row r="21" ht="15.75" customHeight="1">
      <c r="A21" s="67" t="s">
        <v>64</v>
      </c>
      <c r="B21" s="69" t="str">
        <f>CONCATENATE("(",textjoin(", ", true, AB2:AB92),")")</f>
        <v>(Nix,, Yan,, Ganesan,, Petkovska,)</v>
      </c>
      <c r="C21" s="69" t="s">
        <v>470</v>
      </c>
      <c r="D21" s="69" t="s">
        <v>471</v>
      </c>
      <c r="E21" s="70" t="str">
        <f>IFERROR(__xludf.DUMMYFUNCTION("regexextract(D21,""[\S]*\s{0,2},"") "),"Kim,")</f>
        <v>Kim,</v>
      </c>
      <c r="F21" s="70" t="s">
        <v>472</v>
      </c>
      <c r="G21" s="73"/>
      <c r="H21" s="73"/>
      <c r="I21" s="71" t="str">
        <f>HYPERLINK("https://sci-hub.se/10.1016/j.foodchem.2016.08.069","Oryza sativa japonica")</f>
        <v>Oryza sativa japonica</v>
      </c>
      <c r="J21" s="69" t="str">
        <f>IFERROR(__xludf.DUMMYFUNCTION("cell(""contents"",indirect(address(match(REGEXEXTRACT(FORMULATEXT(I21),""""""(.*)"""",""),src.urls,0),5)))"),"Kim,")</f>
        <v>Kim,</v>
      </c>
      <c r="K21" s="73"/>
      <c r="L21" s="73"/>
      <c r="M21" s="73"/>
      <c r="N21" s="77"/>
      <c r="O21" s="73"/>
      <c r="P21" s="73"/>
      <c r="Q21" s="73"/>
      <c r="R21" s="73"/>
      <c r="S21" s="73"/>
      <c r="T21" s="73"/>
      <c r="U21" s="73"/>
      <c r="V21" s="73"/>
      <c r="W21" s="74"/>
      <c r="X21" s="69"/>
      <c r="Y21" s="73"/>
      <c r="Z21" s="73"/>
      <c r="AA21" s="73"/>
      <c r="AB21" s="73"/>
      <c r="AC21" s="71" t="str">
        <f>HYPERLINK("https://sci-hub.se/10.1016/j.foodchem.2012.04.102","Vitis vinifera")</f>
        <v>Vitis vinifera</v>
      </c>
      <c r="AD21" s="69" t="str">
        <f>IFERROR(__xludf.DUMMYFUNCTION("cell(""contents"",indirect(address(match(REGEXEXTRACT(FORMULATEXT(AC21),""""""(.*)"""",""),src.urls,0),5)))"),"Perestrelo,")</f>
        <v>Perestrelo,</v>
      </c>
      <c r="AE21" s="73"/>
      <c r="AF21" s="69"/>
      <c r="AG21" s="73"/>
      <c r="AH21" s="73"/>
      <c r="AI21" s="73"/>
      <c r="AJ21" s="73"/>
      <c r="AK21" s="73"/>
      <c r="AL21" s="73"/>
      <c r="AM21" s="73"/>
      <c r="AN21" s="69"/>
      <c r="AO21" s="73"/>
      <c r="AP21" s="73"/>
      <c r="AQ21" s="73"/>
      <c r="AR21" s="73"/>
      <c r="AS21" s="73"/>
      <c r="AT21" s="73"/>
      <c r="AU21" s="73"/>
      <c r="AV21" s="73"/>
      <c r="AW21" s="73"/>
      <c r="AX21" s="73"/>
      <c r="AY21" s="73"/>
      <c r="AZ21" s="73"/>
      <c r="BA21" s="73"/>
      <c r="BB21" s="73"/>
    </row>
    <row r="22" ht="15.75" customHeight="1">
      <c r="A22" s="67" t="s">
        <v>65</v>
      </c>
      <c r="B22" s="69" t="str">
        <f>CONCATENATE("(",textjoin(", ", true, AD2:AD92),")")</f>
        <v>(Wu,, Napoleão,, Pei,, Thiruvengadam,, Nix,, Hemalatha,, Mallek-Ayadi,, Santos,, Gasperotti,, Nix,, Yan,, Tang,, Tamasi,, Kim,, Ganesan,, El-Kholy,, Yobi,, Valiñas,, Singh,, Perestrelo,)</v>
      </c>
      <c r="C22" s="69" t="s">
        <v>473</v>
      </c>
      <c r="D22" s="69" t="s">
        <v>474</v>
      </c>
      <c r="E22" s="70" t="str">
        <f>IFERROR(__xludf.DUMMYFUNCTION("regexextract(D22,""[\S]*\s{0,2},"") "),"Mallek-Ayadi,")</f>
        <v>Mallek-Ayadi,</v>
      </c>
      <c r="F22" s="70" t="s">
        <v>475</v>
      </c>
      <c r="G22" s="73"/>
      <c r="H22" s="73"/>
      <c r="I22" s="71" t="str">
        <f>HYPERLINK("https://sci-hub.se/10.1371/journal.pone.0064664","Populus trichocarpa")</f>
        <v>Populus trichocarpa</v>
      </c>
      <c r="J22" s="69" t="str">
        <f>IFERROR(__xludf.DUMMYFUNCTION("cell(""contents"",indirect(address(match(REGEXEXTRACT(FORMULATEXT(I22),""""""(.*)"""",""),src.urls,0),5)))"),"Wang,")</f>
        <v>Wang,</v>
      </c>
      <c r="K22" s="73"/>
      <c r="L22" s="73"/>
      <c r="M22" s="73"/>
      <c r="N22" s="77"/>
      <c r="O22" s="73"/>
      <c r="P22" s="73"/>
      <c r="Q22" s="73"/>
      <c r="R22" s="73"/>
      <c r="S22" s="73"/>
      <c r="T22" s="73"/>
      <c r="U22" s="73"/>
      <c r="V22" s="73"/>
      <c r="W22" s="73"/>
      <c r="X22" s="73"/>
      <c r="Y22" s="73"/>
      <c r="Z22" s="73"/>
      <c r="AA22" s="73"/>
      <c r="AB22" s="73"/>
      <c r="AC22" s="73"/>
      <c r="AD22" s="73"/>
      <c r="AE22" s="73"/>
      <c r="AF22" s="69"/>
      <c r="AG22" s="73"/>
      <c r="AH22" s="73"/>
      <c r="AI22" s="73"/>
      <c r="AJ22" s="73"/>
      <c r="AK22" s="73"/>
      <c r="AL22" s="73"/>
      <c r="AM22" s="73"/>
      <c r="AN22" s="69"/>
      <c r="AO22" s="73"/>
      <c r="AP22" s="73"/>
      <c r="AQ22" s="73"/>
      <c r="AR22" s="73"/>
      <c r="AS22" s="73"/>
      <c r="AT22" s="73"/>
      <c r="AU22" s="73"/>
      <c r="AV22" s="73"/>
      <c r="AW22" s="73"/>
      <c r="AX22" s="73"/>
      <c r="AY22" s="73"/>
      <c r="AZ22" s="73"/>
      <c r="BA22" s="73"/>
      <c r="BB22" s="73"/>
    </row>
    <row r="23" ht="15.75" customHeight="1">
      <c r="A23" s="67" t="s">
        <v>66</v>
      </c>
      <c r="B23" s="69" t="str">
        <f>CONCATENATE("(",textjoin(", ", true, AF2:AF92),")")</f>
        <v>(Wu,, Nix,, Terpinc,, Gasperotti,, Nix,, Igbinosa,, Hashmi,, Khallouki,, Bhandari,)</v>
      </c>
      <c r="C23" s="69" t="s">
        <v>476</v>
      </c>
      <c r="D23" s="69" t="s">
        <v>477</v>
      </c>
      <c r="E23" s="70" t="str">
        <f>IFERROR(__xludf.DUMMYFUNCTION("regexextract(D23,""[\S]*\s{0,2},"") "),"Valiñas,")</f>
        <v>Valiñas,</v>
      </c>
      <c r="F23" s="70" t="s">
        <v>478</v>
      </c>
      <c r="G23" s="73"/>
      <c r="H23" s="73"/>
      <c r="I23" s="71" t="str">
        <f>HYPERLINK("https://sci-hub.se/10.1371/journal.pone.0091945","Pyrus x bretschneideri")</f>
        <v>Pyrus x bretschneideri</v>
      </c>
      <c r="J23" s="69" t="str">
        <f>IFERROR(__xludf.DUMMYFUNCTION("cell(""contents"",indirect(address(match(REGEXEXTRACT(FORMULATEXT(I23),""""""(.*)"""",""),src.urls,0),4)))"),"Zhai, R., Liu, X.-T., Feng, W.-T., Chen, S.-S., Xu, L.-F., Wang, Z.-G., … Ma, F.-W. (2014). Different Biosynthesis Patterns among Flavonoid 3-glycosides with Distinct Effects on Accumulation of Other Flavonoid Metabolites in Pears (Pyrus bretschneideri Re"&amp;"hd.). PLoS ONE, 9(3), e91945. doi:10.1371/journal.pone.0091945")</f>
        <v>Zhai, R., Liu, X.-T., Feng, W.-T., Chen, S.-S., Xu, L.-F., Wang, Z.-G., … Ma, F.-W. (2014). Different Biosynthesis Patterns among Flavonoid 3-glycosides with Distinct Effects on Accumulation of Other Flavonoid Metabolites in Pears (Pyrus bretschneideri Rehd.). PLoS ONE, 9(3), e91945. doi:10.1371/journal.pone.0091945</v>
      </c>
      <c r="K23" s="73"/>
      <c r="L23" s="73"/>
      <c r="M23" s="73"/>
      <c r="N23" s="77"/>
      <c r="O23" s="73"/>
      <c r="P23" s="73"/>
      <c r="Q23" s="73"/>
      <c r="R23" s="73"/>
      <c r="S23" s="73"/>
      <c r="T23" s="73"/>
      <c r="U23" s="73"/>
      <c r="V23" s="73"/>
      <c r="W23" s="73"/>
      <c r="X23" s="73"/>
      <c r="Y23" s="73"/>
      <c r="Z23" s="73"/>
      <c r="AA23" s="73"/>
      <c r="AB23" s="73"/>
      <c r="AC23" s="73"/>
      <c r="AD23" s="73"/>
      <c r="AE23" s="73"/>
      <c r="AF23" s="69"/>
      <c r="AG23" s="73"/>
      <c r="AH23" s="73"/>
      <c r="AI23" s="73"/>
      <c r="AJ23" s="73"/>
      <c r="AK23" s="73"/>
      <c r="AL23" s="73"/>
      <c r="AM23" s="73"/>
      <c r="AN23" s="69"/>
      <c r="AO23" s="73"/>
      <c r="AP23" s="73"/>
      <c r="AQ23" s="73"/>
      <c r="AR23" s="73"/>
      <c r="AS23" s="73"/>
      <c r="AT23" s="73"/>
      <c r="AU23" s="73"/>
      <c r="AV23" s="73"/>
      <c r="AW23" s="73"/>
      <c r="AX23" s="73"/>
      <c r="AY23" s="73"/>
      <c r="AZ23" s="73"/>
      <c r="BA23" s="73"/>
      <c r="BB23" s="73"/>
    </row>
    <row r="24" ht="15.75" customHeight="1">
      <c r="A24" s="67" t="s">
        <v>400</v>
      </c>
      <c r="B24" s="69" t="str">
        <f>CONCATENATE("(",textjoin(", ", true, AH2:AH6),")")</f>
        <v>(Mallek-Ayadi,, Dueñas,, Hashmi,, Ganesan,, Khallouki,)</v>
      </c>
      <c r="C24" s="69" t="s">
        <v>479</v>
      </c>
      <c r="D24" s="69" t="s">
        <v>480</v>
      </c>
      <c r="E24" s="70" t="str">
        <f>IFERROR(__xludf.DUMMYFUNCTION("regexextract(D24,""[\S]*\s{0,2},"") "),"Luo,")</f>
        <v>Luo,</v>
      </c>
      <c r="F24" s="70" t="s">
        <v>481</v>
      </c>
      <c r="G24" s="73"/>
      <c r="H24" s="73"/>
      <c r="I24" s="71" t="str">
        <f>HYPERLINK("https://sci-hub.se/10.1007/s11694-017-9514-5","Sesamum indicum")</f>
        <v>Sesamum indicum</v>
      </c>
      <c r="J24" s="69" t="str">
        <f>IFERROR(__xludf.DUMMYFUNCTION("cell(""contents"",indirect(address(match(REGEXEXTRACT(FORMULATEXT(I24),""""""(.*)"""",""),src.urls,0),5)))"),"Zeb,")</f>
        <v>Zeb,</v>
      </c>
      <c r="K24" s="73"/>
      <c r="L24" s="73"/>
      <c r="M24" s="73"/>
      <c r="N24" s="77"/>
      <c r="O24" s="73"/>
      <c r="P24" s="73"/>
      <c r="Q24" s="73"/>
      <c r="R24" s="73"/>
      <c r="S24" s="73"/>
      <c r="T24" s="73"/>
      <c r="U24" s="73"/>
      <c r="V24" s="73"/>
      <c r="W24" s="73"/>
      <c r="X24" s="73"/>
      <c r="Y24" s="73"/>
      <c r="Z24" s="73"/>
      <c r="AA24" s="73"/>
      <c r="AB24" s="73"/>
      <c r="AC24" s="73"/>
      <c r="AD24" s="73"/>
      <c r="AE24" s="73"/>
      <c r="AF24" s="69"/>
      <c r="AG24" s="73"/>
      <c r="AH24" s="73"/>
      <c r="AI24" s="73"/>
      <c r="AJ24" s="73"/>
      <c r="AK24" s="73"/>
      <c r="AL24" s="73"/>
      <c r="AM24" s="73"/>
      <c r="AN24" s="69"/>
      <c r="AO24" s="73"/>
      <c r="AP24" s="73"/>
      <c r="AQ24" s="73"/>
      <c r="AR24" s="73"/>
      <c r="AS24" s="73"/>
      <c r="AT24" s="73"/>
      <c r="AU24" s="73"/>
      <c r="AV24" s="73"/>
      <c r="AW24" s="73"/>
      <c r="AX24" s="73"/>
      <c r="AY24" s="73"/>
      <c r="AZ24" s="73"/>
      <c r="BA24" s="73"/>
      <c r="BB24" s="73"/>
    </row>
    <row r="25" ht="15.75" customHeight="1">
      <c r="A25" s="67" t="s">
        <v>404</v>
      </c>
      <c r="B25" s="69" t="str">
        <f>CONCATENATE("(",textjoin(", ", true, AP2),")")</f>
        <v>(Wu,)</v>
      </c>
      <c r="C25" s="69" t="s">
        <v>482</v>
      </c>
      <c r="D25" s="69" t="s">
        <v>483</v>
      </c>
      <c r="E25" s="70" t="str">
        <f>IFERROR(__xludf.DUMMYFUNCTION("regexextract(D25,""[\S]*\s{0,2},"") "),"Zhou,")</f>
        <v>Zhou,</v>
      </c>
      <c r="F25" s="70" t="s">
        <v>484</v>
      </c>
      <c r="G25" s="73"/>
      <c r="H25" s="73"/>
      <c r="I25" s="71" t="str">
        <f>HYPERLINK("https://www.mdpi.com/1422-0067/17/6/835/htm","Solanum tuberosum")</f>
        <v>Solanum tuberosum</v>
      </c>
      <c r="J25" s="69" t="str">
        <f>IFERROR(__xludf.DUMMYFUNCTION("cell(""contents"",indirect(address(match(REGEXEXTRACT(FORMULATEXT(I25),""""""(.*)"""",""),src.urls,0),5)))"),"Akyol,")</f>
        <v>Akyol,</v>
      </c>
      <c r="K25" s="73"/>
      <c r="L25" s="73"/>
      <c r="M25" s="73"/>
      <c r="N25" s="77"/>
      <c r="O25" s="73"/>
      <c r="P25" s="73"/>
      <c r="Q25" s="73"/>
      <c r="R25" s="73"/>
      <c r="S25" s="73"/>
      <c r="T25" s="73"/>
      <c r="U25" s="73"/>
      <c r="V25" s="73"/>
      <c r="W25" s="73"/>
      <c r="X25" s="73"/>
      <c r="Y25" s="73"/>
      <c r="Z25" s="73"/>
      <c r="AA25" s="73"/>
      <c r="AB25" s="73"/>
      <c r="AC25" s="73"/>
      <c r="AD25" s="73"/>
      <c r="AE25" s="74"/>
      <c r="AF25" s="69"/>
      <c r="AG25" s="73"/>
      <c r="AH25" s="73"/>
      <c r="AI25" s="73"/>
      <c r="AJ25" s="73"/>
      <c r="AK25" s="73"/>
      <c r="AL25" s="73"/>
      <c r="AM25" s="73"/>
      <c r="AN25" s="69"/>
      <c r="AO25" s="73"/>
      <c r="AP25" s="73"/>
      <c r="AQ25" s="73"/>
      <c r="AR25" s="73"/>
      <c r="AS25" s="73"/>
      <c r="AT25" s="73"/>
      <c r="AU25" s="73"/>
      <c r="AV25" s="73"/>
      <c r="AW25" s="73"/>
      <c r="AX25" s="73"/>
      <c r="AY25" s="73"/>
      <c r="AZ25" s="73"/>
      <c r="BA25" s="73"/>
      <c r="BB25" s="73"/>
    </row>
    <row r="26" ht="15.75" customHeight="1">
      <c r="A26" s="67" t="s">
        <v>405</v>
      </c>
      <c r="B26" s="69" t="str">
        <f>CONCATENATE("(",textjoin(", ", true, AR2:AR92),")")</f>
        <v>(Dueñas,, Ganesan,)</v>
      </c>
      <c r="C26" s="69" t="s">
        <v>485</v>
      </c>
      <c r="D26" s="70" t="s">
        <v>486</v>
      </c>
      <c r="E26" s="70" t="str">
        <f>IFERROR(__xludf.DUMMYFUNCTION("regexextract(D26,""[\S]*\s{0,2},"") "),"Ganesan,")</f>
        <v>Ganesan,</v>
      </c>
      <c r="F26" s="70" t="s">
        <v>487</v>
      </c>
      <c r="G26" s="73"/>
      <c r="H26" s="73"/>
      <c r="I26" s="71" t="str">
        <f>HYPERLINK("https://sci-hub.se/10.1016/j.foodchem.2015.11.127","Spinacia oleracea")</f>
        <v>Spinacia oleracea</v>
      </c>
      <c r="J26" s="69" t="str">
        <f>IFERROR(__xludf.DUMMYFUNCTION("cell(""contents"",indirect(address(match(REGEXEXTRACT(FORMULATEXT(I26),""""""(.*)"""",""),src.urls,0),5)))"),"Singh,")</f>
        <v>Singh,</v>
      </c>
      <c r="K26" s="73"/>
      <c r="L26" s="73"/>
      <c r="M26" s="73"/>
      <c r="N26" s="77"/>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69"/>
      <c r="AO26" s="73"/>
      <c r="AP26" s="73"/>
      <c r="AQ26" s="73"/>
      <c r="AR26" s="73"/>
      <c r="AS26" s="73"/>
      <c r="AT26" s="73"/>
      <c r="AU26" s="73"/>
      <c r="AV26" s="73"/>
      <c r="AW26" s="73"/>
      <c r="AX26" s="73"/>
      <c r="AY26" s="73"/>
      <c r="AZ26" s="73"/>
      <c r="BA26" s="73"/>
      <c r="BB26" s="73"/>
    </row>
    <row r="27" ht="15.75" customHeight="1">
      <c r="A27" s="67" t="s">
        <v>403</v>
      </c>
      <c r="B27" s="69" t="str">
        <f>CONCATENATE("(",textjoin(", ", true, AN2:AN6),")")</f>
        <v>(Wu,, Gasperotti,, Ganesan,)</v>
      </c>
      <c r="C27" s="69" t="s">
        <v>488</v>
      </c>
      <c r="D27" s="70" t="s">
        <v>489</v>
      </c>
      <c r="E27" s="70" t="str">
        <f>IFERROR(__xludf.DUMMYFUNCTION("regexextract(D27,""[\S]*\s{0,2},"") "),"Santos,")</f>
        <v>Santos,</v>
      </c>
      <c r="F27" s="70" t="s">
        <v>490</v>
      </c>
      <c r="G27" s="73"/>
      <c r="H27" s="73"/>
      <c r="I27" s="71" t="str">
        <f>HYPERLINK("https://sci-hub.se/https://ifst.onlinelibrary.wiley.com/doi/abs/10.1111/ijfs.13185","Vigna radiata")</f>
        <v>Vigna radiata</v>
      </c>
      <c r="J27" s="69" t="str">
        <f>IFERROR(__xludf.DUMMYFUNCTION("cell(""contents"",indirect(address(match(REGEXEXTRACT(FORMULATEXT(I27),""""""(.*)"""",""),src.urls,0),5)))"),"Gan,")</f>
        <v>Gan,</v>
      </c>
      <c r="K27" s="73"/>
      <c r="L27" s="73"/>
      <c r="M27" s="73"/>
      <c r="N27" s="77"/>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69"/>
      <c r="AO27" s="73"/>
      <c r="AP27" s="73"/>
      <c r="AQ27" s="73"/>
      <c r="AR27" s="73"/>
      <c r="AS27" s="73"/>
      <c r="AT27" s="73"/>
      <c r="AU27" s="73"/>
      <c r="AV27" s="73"/>
      <c r="AW27" s="73"/>
      <c r="AX27" s="73"/>
      <c r="AY27" s="73"/>
      <c r="AZ27" s="73"/>
      <c r="BA27" s="73"/>
      <c r="BB27" s="73"/>
    </row>
    <row r="28" ht="15.75" customHeight="1">
      <c r="A28" s="67" t="s">
        <v>406</v>
      </c>
      <c r="B28" s="69" t="str">
        <f>CONCATENATE("(",textjoin(", ", true, AT2:AT92),")")</f>
        <v>(Wu,, Auger,, Gasperotti,, Chen,, Ganesan,, Khallouki,, Zhang,)</v>
      </c>
      <c r="C28" s="69" t="s">
        <v>491</v>
      </c>
      <c r="D28" s="70" t="s">
        <v>492</v>
      </c>
      <c r="E28" s="70" t="str">
        <f>IFERROR(__xludf.DUMMYFUNCTION("regexextract(D28,""[\S]*\s{0,2},"") "),"Tsanova-Savova,")</f>
        <v>Tsanova-Savova,</v>
      </c>
      <c r="F28" s="70" t="s">
        <v>493</v>
      </c>
      <c r="G28" s="73"/>
      <c r="H28" s="73"/>
      <c r="I28" s="73"/>
      <c r="J28" s="73"/>
      <c r="K28" s="73"/>
      <c r="L28" s="73"/>
      <c r="M28" s="73"/>
      <c r="N28" s="77"/>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69"/>
      <c r="AO28" s="73"/>
      <c r="AP28" s="73"/>
      <c r="AQ28" s="73"/>
      <c r="AR28" s="73"/>
      <c r="AS28" s="73"/>
      <c r="AT28" s="73"/>
      <c r="AU28" s="73"/>
      <c r="AV28" s="73"/>
      <c r="AW28" s="73"/>
      <c r="AX28" s="73"/>
      <c r="AY28" s="73"/>
      <c r="AZ28" s="73"/>
      <c r="BA28" s="73"/>
      <c r="BB28" s="73"/>
    </row>
    <row r="29" ht="15.75" customHeight="1">
      <c r="A29" s="67" t="s">
        <v>401</v>
      </c>
      <c r="B29" s="69" t="str">
        <f>CONCATENATE("(",textjoin(", ", true, AJ2),")")</f>
        <v>(Wu,)</v>
      </c>
      <c r="C29" s="69" t="s">
        <v>494</v>
      </c>
      <c r="D29" s="70" t="s">
        <v>495</v>
      </c>
      <c r="E29" s="70" t="str">
        <f>IFERROR(__xludf.DUMMYFUNCTION("regexextract(D29,""[\S]*\s{0,2},"") "),"San,")</f>
        <v>San,</v>
      </c>
      <c r="F29" s="70" t="s">
        <v>496</v>
      </c>
      <c r="G29" s="73"/>
      <c r="H29" s="73"/>
      <c r="I29" s="73"/>
      <c r="J29" s="73"/>
      <c r="K29" s="73"/>
      <c r="L29" s="73"/>
      <c r="M29" s="73"/>
      <c r="N29" s="77"/>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69"/>
      <c r="AO29" s="73"/>
      <c r="AP29" s="73"/>
      <c r="AQ29" s="73"/>
      <c r="AR29" s="73"/>
      <c r="AS29" s="73"/>
      <c r="AT29" s="73"/>
      <c r="AU29" s="73"/>
      <c r="AV29" s="73"/>
      <c r="AW29" s="73"/>
      <c r="AX29" s="73"/>
      <c r="AY29" s="73"/>
      <c r="AZ29" s="73"/>
      <c r="BA29" s="73"/>
      <c r="BB29" s="73"/>
    </row>
    <row r="30" ht="15.75" customHeight="1">
      <c r="A30" s="67" t="s">
        <v>407</v>
      </c>
      <c r="B30" s="69" t="str">
        <f>CONCATENATE("(",textjoin(", ", true, AV2:AV92),")")</f>
        <v>(Wu,, Mallek-Ayadi,, Dueñas,, Hashmi,, Khallouki,, Gallego,)</v>
      </c>
      <c r="C30" s="69" t="s">
        <v>497</v>
      </c>
      <c r="D30" s="70" t="s">
        <v>498</v>
      </c>
      <c r="E30" s="70" t="str">
        <f>IFERROR(__xludf.DUMMYFUNCTION("regexextract(D30,""[\S]*\s{0,2},"") "),"Khallouki,")</f>
        <v>Khallouki,</v>
      </c>
      <c r="F30" s="70" t="s">
        <v>499</v>
      </c>
      <c r="G30" s="73"/>
      <c r="H30" s="73"/>
      <c r="I30" s="73"/>
      <c r="J30" s="73"/>
      <c r="K30" s="73"/>
      <c r="L30" s="73"/>
      <c r="M30" s="73"/>
      <c r="N30" s="77"/>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69"/>
      <c r="AO30" s="73"/>
      <c r="AP30" s="73"/>
      <c r="AQ30" s="73"/>
      <c r="AR30" s="73"/>
      <c r="AS30" s="73"/>
      <c r="AT30" s="73"/>
      <c r="AU30" s="73"/>
      <c r="AV30" s="73"/>
      <c r="AW30" s="73"/>
      <c r="AX30" s="73"/>
      <c r="AY30" s="73"/>
      <c r="AZ30" s="73"/>
      <c r="BA30" s="73"/>
      <c r="BB30" s="73"/>
    </row>
    <row r="31" ht="15.75" customHeight="1">
      <c r="A31" s="67" t="s">
        <v>409</v>
      </c>
      <c r="B31" s="69" t="str">
        <f>CONCATENATE("(",textjoin(", ", true, AZ2:AZ92),")")</f>
        <v>(Wu,, Ganesan,, Luo,, Gallego,)</v>
      </c>
      <c r="C31" s="69" t="s">
        <v>500</v>
      </c>
      <c r="D31" s="70" t="s">
        <v>501</v>
      </c>
      <c r="E31" s="70" t="str">
        <f>IFERROR(__xludf.DUMMYFUNCTION("regexextract(D31,""[\S]*\s{0,2},"") "),"Ghasemnezhad,")</f>
        <v>Ghasemnezhad,</v>
      </c>
      <c r="F31" s="70" t="s">
        <v>502</v>
      </c>
      <c r="G31" s="73"/>
      <c r="H31" s="73"/>
      <c r="I31" s="73"/>
      <c r="J31" s="73"/>
      <c r="K31" s="73"/>
      <c r="L31" s="73"/>
      <c r="M31" s="73"/>
      <c r="N31" s="77"/>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69"/>
      <c r="AO31" s="73"/>
      <c r="AP31" s="73"/>
      <c r="AQ31" s="73"/>
      <c r="AR31" s="73"/>
      <c r="AS31" s="73"/>
      <c r="AT31" s="73"/>
      <c r="AU31" s="73"/>
      <c r="AV31" s="73"/>
      <c r="AW31" s="73"/>
      <c r="AX31" s="73"/>
      <c r="AY31" s="73"/>
      <c r="AZ31" s="73"/>
      <c r="BA31" s="73"/>
      <c r="BB31" s="73"/>
    </row>
    <row r="32" ht="15.75" customHeight="1">
      <c r="A32" s="67" t="s">
        <v>410</v>
      </c>
      <c r="B32" s="69" t="str">
        <f>CONCATENATE("(",textjoin(", ", true, BB2:BB92),")")</f>
        <v>(Wu,, Vissers,, Auger,, Gasperotti,, Chen,, Hashmi,, Ganesan,, Khallouki,, Zhang,, Gallego,)</v>
      </c>
      <c r="C32" s="69" t="s">
        <v>503</v>
      </c>
      <c r="D32" s="70" t="s">
        <v>504</v>
      </c>
      <c r="E32" s="70" t="str">
        <f>IFERROR(__xludf.DUMMYFUNCTION("regexextract(D32,""[\S]*\s{0,2},"") "),"Gasperotti,")</f>
        <v>Gasperotti,</v>
      </c>
      <c r="F32" s="70" t="s">
        <v>505</v>
      </c>
      <c r="G32" s="73"/>
      <c r="H32" s="73"/>
      <c r="I32" s="73"/>
      <c r="J32" s="73"/>
      <c r="K32" s="73"/>
      <c r="L32" s="73"/>
      <c r="M32" s="73"/>
      <c r="N32" s="77"/>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69"/>
      <c r="AO32" s="73"/>
      <c r="AP32" s="73"/>
      <c r="AQ32" s="73"/>
      <c r="AR32" s="73"/>
      <c r="AS32" s="73"/>
      <c r="AT32" s="73"/>
      <c r="AU32" s="73"/>
      <c r="AV32" s="73"/>
      <c r="AW32" s="73"/>
      <c r="AX32" s="73"/>
      <c r="AY32" s="73"/>
      <c r="AZ32" s="73"/>
      <c r="BA32" s="73"/>
      <c r="BB32" s="73"/>
    </row>
    <row r="33" ht="15.75" customHeight="1">
      <c r="A33" s="77"/>
      <c r="B33" s="77"/>
      <c r="C33" s="69" t="s">
        <v>506</v>
      </c>
      <c r="D33" s="70" t="s">
        <v>507</v>
      </c>
      <c r="E33" s="70" t="str">
        <f>IFERROR(__xludf.DUMMYFUNCTION("regexextract(D33,""[\S]*\s{0,2},"") "),"Sotto,")</f>
        <v>Sotto,</v>
      </c>
      <c r="F33" s="70" t="s">
        <v>508</v>
      </c>
      <c r="G33" s="73"/>
      <c r="H33" s="73"/>
      <c r="I33" s="73"/>
      <c r="J33" s="73"/>
      <c r="K33" s="73"/>
      <c r="L33" s="73"/>
      <c r="M33" s="73"/>
      <c r="N33" s="77"/>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69"/>
      <c r="AO33" s="73"/>
      <c r="AP33" s="73"/>
      <c r="AQ33" s="73"/>
      <c r="AR33" s="73"/>
      <c r="AS33" s="73"/>
      <c r="AT33" s="73"/>
      <c r="AU33" s="73"/>
      <c r="AV33" s="73"/>
      <c r="AW33" s="73"/>
      <c r="AX33" s="73"/>
      <c r="AY33" s="73"/>
      <c r="AZ33" s="73"/>
      <c r="BA33" s="73"/>
      <c r="BB33" s="73"/>
    </row>
    <row r="34" ht="15.75" customHeight="1">
      <c r="A34" s="68"/>
      <c r="B34" s="69"/>
      <c r="C34" s="69" t="s">
        <v>509</v>
      </c>
      <c r="D34" s="70" t="s">
        <v>510</v>
      </c>
      <c r="E34" s="70" t="str">
        <f>IFERROR(__xludf.DUMMYFUNCTION("regexextract(D34,""[\S]*\s{0,2},"") "),"Yan,")</f>
        <v>Yan,</v>
      </c>
      <c r="F34" s="70" t="s">
        <v>511</v>
      </c>
      <c r="G34" s="73"/>
      <c r="H34" s="73"/>
      <c r="I34" s="73"/>
      <c r="J34" s="73"/>
      <c r="K34" s="73"/>
      <c r="L34" s="73"/>
      <c r="M34" s="73"/>
      <c r="N34" s="77"/>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69"/>
      <c r="AO34" s="73"/>
      <c r="AP34" s="73"/>
      <c r="AQ34" s="73"/>
      <c r="AR34" s="73"/>
      <c r="AS34" s="73"/>
      <c r="AT34" s="73"/>
      <c r="AU34" s="73"/>
      <c r="AV34" s="73"/>
      <c r="AW34" s="73"/>
      <c r="AX34" s="73"/>
      <c r="AY34" s="73"/>
      <c r="AZ34" s="73"/>
      <c r="BA34" s="73"/>
      <c r="BB34" s="73"/>
    </row>
    <row r="35" ht="15.75" customHeight="1">
      <c r="A35" s="67"/>
      <c r="B35" s="69"/>
      <c r="C35" s="69" t="s">
        <v>512</v>
      </c>
      <c r="D35" s="70" t="s">
        <v>513</v>
      </c>
      <c r="E35" s="70" t="str">
        <f>IFERROR(__xludf.DUMMYFUNCTION("regexextract(D35,""[\S]*\s{0,2},"") "),"Chen,")</f>
        <v>Chen,</v>
      </c>
      <c r="F35" s="70" t="s">
        <v>514</v>
      </c>
      <c r="G35" s="73"/>
      <c r="H35" s="73"/>
      <c r="I35" s="73"/>
      <c r="J35" s="73"/>
      <c r="K35" s="73"/>
      <c r="L35" s="73"/>
      <c r="M35" s="73"/>
      <c r="N35" s="77"/>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69"/>
      <c r="AO35" s="73"/>
      <c r="AP35" s="73"/>
      <c r="AQ35" s="73"/>
      <c r="AR35" s="73"/>
      <c r="AS35" s="73"/>
      <c r="AT35" s="73"/>
      <c r="AU35" s="73"/>
      <c r="AV35" s="73"/>
      <c r="AW35" s="73"/>
      <c r="AX35" s="73"/>
      <c r="AY35" s="73"/>
      <c r="AZ35" s="73"/>
      <c r="BA35" s="73"/>
      <c r="BB35" s="73"/>
    </row>
    <row r="36" ht="15.75" customHeight="1">
      <c r="A36" s="69"/>
      <c r="B36" s="69"/>
      <c r="C36" s="69" t="s">
        <v>515</v>
      </c>
      <c r="D36" s="70" t="s">
        <v>516</v>
      </c>
      <c r="E36" s="70" t="str">
        <f>IFERROR(__xludf.DUMMYFUNCTION("regexextract(D36,""[\S]*\s{0,2},"") "),"Kim,")</f>
        <v>Kim,</v>
      </c>
      <c r="F36" s="70" t="s">
        <v>517</v>
      </c>
      <c r="G36" s="73"/>
      <c r="H36" s="73"/>
      <c r="I36" s="73"/>
      <c r="J36" s="73"/>
      <c r="K36" s="73"/>
      <c r="L36" s="73"/>
      <c r="M36" s="73"/>
      <c r="N36" s="77"/>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69"/>
      <c r="AO36" s="73"/>
      <c r="AP36" s="73"/>
      <c r="AQ36" s="73"/>
      <c r="AR36" s="73"/>
      <c r="AS36" s="73"/>
      <c r="AT36" s="73"/>
      <c r="AU36" s="73"/>
      <c r="AV36" s="73"/>
      <c r="AW36" s="73"/>
      <c r="AX36" s="73"/>
      <c r="AY36" s="73"/>
      <c r="AZ36" s="73"/>
      <c r="BA36" s="73"/>
      <c r="BB36" s="73"/>
    </row>
    <row r="37" ht="15.75" customHeight="1">
      <c r="A37" s="69"/>
      <c r="B37" s="69"/>
      <c r="C37" s="69" t="s">
        <v>518</v>
      </c>
      <c r="D37" s="70" t="s">
        <v>519</v>
      </c>
      <c r="E37" s="70" t="str">
        <f>IFERROR(__xludf.DUMMYFUNCTION("regexextract(D37,""[\S]*\s{0,2},"") "),"Arts,")</f>
        <v>Arts,</v>
      </c>
      <c r="F37" s="70" t="s">
        <v>520</v>
      </c>
      <c r="G37" s="73"/>
      <c r="H37" s="73"/>
      <c r="I37" s="73"/>
      <c r="J37" s="73"/>
      <c r="K37" s="73"/>
      <c r="L37" s="73"/>
      <c r="M37" s="73"/>
      <c r="N37" s="69"/>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69"/>
      <c r="AO37" s="73"/>
      <c r="AP37" s="73"/>
      <c r="AQ37" s="73"/>
      <c r="AR37" s="73"/>
      <c r="AS37" s="73"/>
      <c r="AT37" s="73"/>
      <c r="AU37" s="73"/>
      <c r="AV37" s="73"/>
      <c r="AW37" s="73"/>
      <c r="AX37" s="73"/>
      <c r="AY37" s="73"/>
      <c r="AZ37" s="73"/>
      <c r="BA37" s="73"/>
      <c r="BB37" s="73"/>
    </row>
    <row r="38" ht="15.75" customHeight="1">
      <c r="A38" s="67"/>
      <c r="B38" s="69"/>
      <c r="C38" s="78" t="s">
        <v>521</v>
      </c>
      <c r="D38" s="70" t="s">
        <v>522</v>
      </c>
      <c r="E38" s="70" t="str">
        <f>IFERROR(__xludf.DUMMYFUNCTION("regexextract(D38,""[\S]*\s{0,2},"") "),"Buschmann,")</f>
        <v>Buschmann,</v>
      </c>
      <c r="F38" s="70" t="s">
        <v>523</v>
      </c>
      <c r="G38" s="73"/>
      <c r="H38" s="73"/>
      <c r="I38" s="73"/>
      <c r="J38" s="73"/>
      <c r="K38" s="73"/>
      <c r="L38" s="73"/>
      <c r="M38" s="73"/>
      <c r="N38" s="69"/>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69"/>
      <c r="AO38" s="73"/>
      <c r="AP38" s="73"/>
      <c r="AQ38" s="73"/>
      <c r="AR38" s="73"/>
      <c r="AS38" s="73"/>
      <c r="AT38" s="73"/>
      <c r="AU38" s="73"/>
      <c r="AV38" s="73"/>
      <c r="AW38" s="73"/>
      <c r="AX38" s="73"/>
      <c r="AY38" s="73"/>
      <c r="AZ38" s="73"/>
      <c r="BA38" s="73"/>
      <c r="BB38" s="73"/>
    </row>
    <row r="39" ht="15.75" customHeight="1">
      <c r="A39" s="67"/>
      <c r="B39" s="69"/>
      <c r="C39" s="69" t="s">
        <v>524</v>
      </c>
      <c r="D39" s="70" t="s">
        <v>525</v>
      </c>
      <c r="E39" s="70" t="str">
        <f>IFERROR(__xludf.DUMMYFUNCTION("regexextract(D39,""[\S]*\s{0,2},"") "),"Pascual-Teresa,")</f>
        <v>Pascual-Teresa,</v>
      </c>
      <c r="F39" s="70" t="s">
        <v>526</v>
      </c>
      <c r="G39" s="73"/>
      <c r="H39" s="73"/>
      <c r="I39" s="73"/>
      <c r="J39" s="73"/>
      <c r="K39" s="73"/>
      <c r="L39" s="73"/>
      <c r="M39" s="73"/>
      <c r="N39" s="69"/>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69"/>
      <c r="AO39" s="73"/>
      <c r="AP39" s="73"/>
      <c r="AQ39" s="73"/>
      <c r="AR39" s="73"/>
      <c r="AS39" s="73"/>
      <c r="AT39" s="73"/>
      <c r="AU39" s="73"/>
      <c r="AV39" s="73"/>
      <c r="AW39" s="73"/>
      <c r="AX39" s="73"/>
      <c r="AY39" s="73"/>
      <c r="AZ39" s="73"/>
      <c r="BA39" s="73"/>
      <c r="BB39" s="73"/>
    </row>
    <row r="40" ht="15.75" customHeight="1">
      <c r="A40" s="67"/>
      <c r="B40" s="78"/>
      <c r="C40" s="69" t="s">
        <v>527</v>
      </c>
      <c r="D40" s="70" t="s">
        <v>528</v>
      </c>
      <c r="E40" s="70" t="str">
        <f>IFERROR(__xludf.DUMMYFUNCTION("regexextract(D40,""[\S]*\s{0,2},"") "),"Sanz,")</f>
        <v>Sanz,</v>
      </c>
      <c r="F40" s="70" t="s">
        <v>529</v>
      </c>
      <c r="G40" s="73"/>
      <c r="H40" s="73"/>
      <c r="I40" s="73"/>
      <c r="J40" s="73"/>
      <c r="K40" s="73"/>
      <c r="L40" s="73"/>
      <c r="M40" s="73"/>
      <c r="N40" s="69"/>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69"/>
      <c r="AO40" s="73"/>
      <c r="AP40" s="73"/>
      <c r="AQ40" s="73"/>
      <c r="AR40" s="73"/>
      <c r="AS40" s="73"/>
      <c r="AT40" s="73"/>
      <c r="AU40" s="73"/>
      <c r="AV40" s="73"/>
      <c r="AW40" s="73"/>
      <c r="AX40" s="73"/>
      <c r="AY40" s="73"/>
      <c r="AZ40" s="73"/>
      <c r="BA40" s="73"/>
      <c r="BB40" s="73"/>
    </row>
    <row r="41" ht="15.75" customHeight="1">
      <c r="A41" s="69"/>
      <c r="B41" s="69"/>
      <c r="C41" s="69" t="s">
        <v>530</v>
      </c>
      <c r="D41" s="70" t="s">
        <v>531</v>
      </c>
      <c r="E41" s="70" t="str">
        <f>IFERROR(__xludf.DUMMYFUNCTION("regexextract(D41,""[\S]*\s{0,2},"") "),"Svensson,")</f>
        <v>Svensson,</v>
      </c>
      <c r="F41" s="70" t="s">
        <v>532</v>
      </c>
      <c r="G41" s="73"/>
      <c r="H41" s="73"/>
      <c r="I41" s="73"/>
      <c r="J41" s="73"/>
      <c r="K41" s="73"/>
      <c r="L41" s="73"/>
      <c r="M41" s="73"/>
      <c r="N41" s="69"/>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69"/>
      <c r="AO41" s="73"/>
      <c r="AP41" s="73"/>
      <c r="AQ41" s="73"/>
      <c r="AR41" s="73"/>
      <c r="AS41" s="73"/>
      <c r="AT41" s="73"/>
      <c r="AU41" s="73"/>
      <c r="AV41" s="73"/>
      <c r="AW41" s="73"/>
      <c r="AX41" s="73"/>
      <c r="AY41" s="73"/>
      <c r="AZ41" s="73"/>
      <c r="BA41" s="73"/>
      <c r="BB41" s="73"/>
    </row>
    <row r="42" ht="15.75" customHeight="1">
      <c r="A42" s="69"/>
      <c r="B42" s="69"/>
      <c r="C42" s="69" t="s">
        <v>533</v>
      </c>
      <c r="D42" s="70" t="s">
        <v>534</v>
      </c>
      <c r="E42" s="70" t="str">
        <f>IFERROR(__xludf.DUMMYFUNCTION("regexextract(D42,""[\S]*\s{0,2},"") "),"Huang,")</f>
        <v>Huang,</v>
      </c>
      <c r="F42" s="70" t="s">
        <v>535</v>
      </c>
      <c r="G42" s="73"/>
      <c r="H42" s="73"/>
      <c r="I42" s="73"/>
      <c r="J42" s="73"/>
      <c r="K42" s="73"/>
      <c r="L42" s="73"/>
      <c r="M42" s="73"/>
      <c r="N42" s="69"/>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69"/>
      <c r="AO42" s="73"/>
      <c r="AP42" s="73"/>
      <c r="AQ42" s="73"/>
      <c r="AR42" s="73"/>
      <c r="AS42" s="73"/>
      <c r="AT42" s="73"/>
      <c r="AU42" s="73"/>
      <c r="AV42" s="73"/>
      <c r="AW42" s="73"/>
      <c r="AX42" s="73"/>
      <c r="AY42" s="73"/>
      <c r="AZ42" s="73"/>
      <c r="BA42" s="73"/>
      <c r="BB42" s="73"/>
    </row>
    <row r="43" ht="15.75" customHeight="1">
      <c r="A43" s="69"/>
      <c r="B43" s="69"/>
      <c r="C43" s="69" t="s">
        <v>536</v>
      </c>
      <c r="D43" s="70" t="s">
        <v>537</v>
      </c>
      <c r="E43" s="70" t="str">
        <f>IFERROR(__xludf.DUMMYFUNCTION("regexextract(D43,""[\S]*\s{0,2},"") "),"Gao,")</f>
        <v>Gao,</v>
      </c>
      <c r="F43" s="70" t="s">
        <v>538</v>
      </c>
      <c r="G43" s="73"/>
      <c r="H43" s="73"/>
      <c r="I43" s="73"/>
      <c r="J43" s="73"/>
      <c r="K43" s="73"/>
      <c r="L43" s="73"/>
      <c r="M43" s="73"/>
      <c r="N43" s="69"/>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69"/>
      <c r="AO43" s="73"/>
      <c r="AP43" s="73"/>
      <c r="AQ43" s="73"/>
      <c r="AR43" s="73"/>
      <c r="AS43" s="73"/>
      <c r="AT43" s="73"/>
      <c r="AU43" s="73"/>
      <c r="AV43" s="73"/>
      <c r="AW43" s="73"/>
      <c r="AX43" s="73"/>
      <c r="AY43" s="73"/>
      <c r="AZ43" s="73"/>
      <c r="BA43" s="73"/>
      <c r="BB43" s="73"/>
    </row>
    <row r="44" ht="15.75" customHeight="1">
      <c r="A44" s="69"/>
      <c r="B44" s="69"/>
      <c r="C44" s="69" t="s">
        <v>539</v>
      </c>
      <c r="D44" s="70" t="s">
        <v>540</v>
      </c>
      <c r="E44" s="70" t="str">
        <f>IFERROR(__xludf.DUMMYFUNCTION("regexextract(D44,""[\S]*\s{0,2},"") "),"Hammouda,")</f>
        <v>Hammouda,</v>
      </c>
      <c r="F44" s="70" t="s">
        <v>541</v>
      </c>
      <c r="G44" s="73"/>
      <c r="H44" s="73"/>
      <c r="I44" s="73"/>
      <c r="J44" s="73"/>
      <c r="K44" s="73"/>
      <c r="L44" s="73"/>
      <c r="M44" s="73"/>
      <c r="N44" s="69"/>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69"/>
      <c r="AO44" s="73"/>
      <c r="AP44" s="73"/>
      <c r="AQ44" s="73"/>
      <c r="AR44" s="73"/>
      <c r="AS44" s="73"/>
      <c r="AT44" s="73"/>
      <c r="AU44" s="73"/>
      <c r="AV44" s="73"/>
      <c r="AW44" s="73"/>
      <c r="AX44" s="73"/>
      <c r="AY44" s="73"/>
      <c r="AZ44" s="73"/>
      <c r="BA44" s="73"/>
      <c r="BB44" s="73"/>
    </row>
    <row r="45" ht="15.75" customHeight="1">
      <c r="A45" s="69"/>
      <c r="B45" s="69"/>
      <c r="C45" s="78" t="s">
        <v>542</v>
      </c>
      <c r="D45" s="70" t="s">
        <v>543</v>
      </c>
      <c r="E45" s="70" t="str">
        <f>IFERROR(__xludf.DUMMYFUNCTION("regexextract(D45,""[\S]*\s{0,2},"") "),"Auger,")</f>
        <v>Auger,</v>
      </c>
      <c r="F45" s="70" t="s">
        <v>544</v>
      </c>
      <c r="G45" s="73"/>
      <c r="H45" s="73"/>
      <c r="I45" s="73"/>
      <c r="J45" s="73"/>
      <c r="K45" s="73"/>
      <c r="L45" s="73"/>
      <c r="M45" s="73"/>
      <c r="N45" s="69"/>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69"/>
      <c r="AO45" s="73"/>
      <c r="AP45" s="73"/>
      <c r="AQ45" s="73"/>
      <c r="AR45" s="73"/>
      <c r="AS45" s="73"/>
      <c r="AT45" s="73"/>
      <c r="AU45" s="73"/>
      <c r="AV45" s="73"/>
      <c r="AW45" s="73"/>
      <c r="AX45" s="73"/>
      <c r="AY45" s="73"/>
      <c r="AZ45" s="73"/>
      <c r="BA45" s="73"/>
      <c r="BB45" s="73"/>
    </row>
    <row r="46" ht="15.75" customHeight="1">
      <c r="A46" s="67"/>
      <c r="B46" s="69"/>
      <c r="C46" s="69" t="s">
        <v>545</v>
      </c>
      <c r="D46" s="70" t="s">
        <v>546</v>
      </c>
      <c r="E46" s="70" t="str">
        <f>IFERROR(__xludf.DUMMYFUNCTION("regexextract(D46,""[\S]*\s{0,2},"") "),"Yobi,")</f>
        <v>Yobi,</v>
      </c>
      <c r="F46" s="70" t="s">
        <v>547</v>
      </c>
      <c r="G46" s="73"/>
      <c r="H46" s="73"/>
      <c r="I46" s="73"/>
      <c r="J46" s="73"/>
      <c r="K46" s="73"/>
      <c r="L46" s="73"/>
      <c r="M46" s="73"/>
      <c r="N46" s="69"/>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69"/>
      <c r="AO46" s="73"/>
      <c r="AP46" s="73"/>
      <c r="AQ46" s="73"/>
      <c r="AR46" s="73"/>
      <c r="AS46" s="73"/>
      <c r="AT46" s="73"/>
      <c r="AU46" s="73"/>
      <c r="AV46" s="73"/>
      <c r="AW46" s="73"/>
      <c r="AX46" s="73"/>
      <c r="AY46" s="73"/>
      <c r="AZ46" s="73"/>
      <c r="BA46" s="73"/>
      <c r="BB46" s="73"/>
    </row>
    <row r="47" ht="15.75" customHeight="1">
      <c r="A47" s="67"/>
      <c r="B47" s="69"/>
      <c r="C47" s="69" t="s">
        <v>548</v>
      </c>
      <c r="D47" s="70" t="s">
        <v>549</v>
      </c>
      <c r="E47" s="70" t="str">
        <f>IFERROR(__xludf.DUMMYFUNCTION("regexextract(D47,""[\S]*\s{0,2},"") "),"Hashmi,")</f>
        <v>Hashmi,</v>
      </c>
      <c r="F47" s="70" t="s">
        <v>550</v>
      </c>
      <c r="G47" s="73"/>
      <c r="H47" s="73"/>
      <c r="I47" s="73"/>
      <c r="J47" s="73"/>
      <c r="K47" s="73"/>
      <c r="L47" s="73"/>
      <c r="M47" s="73"/>
      <c r="N47" s="69"/>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69"/>
      <c r="AO47" s="73"/>
      <c r="AP47" s="73"/>
      <c r="AQ47" s="73"/>
      <c r="AR47" s="73"/>
      <c r="AS47" s="73"/>
      <c r="AT47" s="73"/>
      <c r="AU47" s="73"/>
      <c r="AV47" s="73"/>
      <c r="AW47" s="73"/>
      <c r="AX47" s="73"/>
      <c r="AY47" s="73"/>
      <c r="AZ47" s="73"/>
      <c r="BA47" s="73"/>
      <c r="BB47" s="73"/>
    </row>
    <row r="48" ht="15.75" customHeight="1">
      <c r="A48" s="67"/>
      <c r="B48" s="69"/>
      <c r="C48" s="69" t="s">
        <v>551</v>
      </c>
      <c r="D48" s="70" t="s">
        <v>552</v>
      </c>
      <c r="E48" s="70" t="str">
        <f>IFERROR(__xludf.DUMMYFUNCTION("regexextract(D48,""[\S]*\s{0,2},"") "),"Bhandari,")</f>
        <v>Bhandari,</v>
      </c>
      <c r="F48" s="70" t="s">
        <v>553</v>
      </c>
      <c r="G48" s="73"/>
      <c r="H48" s="73"/>
      <c r="I48" s="73"/>
      <c r="J48" s="73"/>
      <c r="K48" s="73"/>
      <c r="L48" s="73"/>
      <c r="M48" s="73"/>
      <c r="N48" s="69"/>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69"/>
      <c r="AO48" s="73"/>
      <c r="AP48" s="73"/>
      <c r="AQ48" s="73"/>
      <c r="AR48" s="73"/>
      <c r="AS48" s="73"/>
      <c r="AT48" s="73"/>
      <c r="AU48" s="73"/>
      <c r="AV48" s="73"/>
      <c r="AW48" s="73"/>
      <c r="AX48" s="73"/>
      <c r="AY48" s="73"/>
      <c r="AZ48" s="73"/>
      <c r="BA48" s="73"/>
      <c r="BB48" s="73"/>
    </row>
    <row r="49" ht="15.75" customHeight="1">
      <c r="A49" s="67"/>
      <c r="B49" s="69"/>
      <c r="C49" s="69" t="s">
        <v>554</v>
      </c>
      <c r="D49" s="70" t="s">
        <v>555</v>
      </c>
      <c r="E49" s="70" t="str">
        <f>IFERROR(__xludf.DUMMYFUNCTION("regexextract(D49,""[\S]*\s{0,2},"") "),"Koopman,")</f>
        <v>Koopman,</v>
      </c>
      <c r="F49" s="70" t="s">
        <v>556</v>
      </c>
      <c r="G49" s="73"/>
      <c r="H49" s="73"/>
      <c r="I49" s="73"/>
      <c r="J49" s="73"/>
      <c r="K49" s="73"/>
      <c r="L49" s="73"/>
      <c r="M49" s="73"/>
      <c r="N49" s="69"/>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69"/>
      <c r="AO49" s="73"/>
      <c r="AP49" s="73"/>
      <c r="AQ49" s="73"/>
      <c r="AR49" s="73"/>
      <c r="AS49" s="73"/>
      <c r="AT49" s="73"/>
      <c r="AU49" s="73"/>
      <c r="AV49" s="73"/>
      <c r="AW49" s="73"/>
      <c r="AX49" s="73"/>
      <c r="AY49" s="73"/>
      <c r="AZ49" s="73"/>
      <c r="BA49" s="73"/>
      <c r="BB49" s="73"/>
    </row>
    <row r="50" ht="15.75" customHeight="1">
      <c r="A50" s="67"/>
      <c r="B50" s="69"/>
      <c r="C50" s="69" t="s">
        <v>557</v>
      </c>
      <c r="D50" s="70" t="s">
        <v>558</v>
      </c>
      <c r="E50" s="70" t="str">
        <f>IFERROR(__xludf.DUMMYFUNCTION("regexextract(D50,""[\S]*\s{0,2},"") "),"Nix,")</f>
        <v>Nix,</v>
      </c>
      <c r="F50" s="70" t="s">
        <v>559</v>
      </c>
      <c r="G50" s="73"/>
      <c r="H50" s="73"/>
      <c r="I50" s="73"/>
      <c r="J50" s="73"/>
      <c r="K50" s="73"/>
      <c r="L50" s="73"/>
      <c r="M50" s="73"/>
      <c r="N50" s="69"/>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69"/>
      <c r="AO50" s="73"/>
      <c r="AP50" s="73"/>
      <c r="AQ50" s="73"/>
      <c r="AR50" s="73"/>
      <c r="AS50" s="73"/>
      <c r="AT50" s="73"/>
      <c r="AU50" s="73"/>
      <c r="AV50" s="73"/>
      <c r="AW50" s="73"/>
      <c r="AX50" s="73"/>
      <c r="AY50" s="73"/>
      <c r="AZ50" s="73"/>
      <c r="BA50" s="73"/>
      <c r="BB50" s="73"/>
    </row>
    <row r="51" ht="15.75" customHeight="1">
      <c r="A51" s="67"/>
      <c r="B51" s="69"/>
      <c r="C51" s="69" t="s">
        <v>560</v>
      </c>
      <c r="D51" s="70" t="s">
        <v>561</v>
      </c>
      <c r="E51" s="70" t="str">
        <f>IFERROR(__xludf.DUMMYFUNCTION("regexextract(D51,""[\S]*\s{0,2},"") "),"Hou,")</f>
        <v>Hou,</v>
      </c>
      <c r="F51" s="70" t="s">
        <v>562</v>
      </c>
      <c r="G51" s="73"/>
      <c r="H51" s="73"/>
      <c r="I51" s="73"/>
      <c r="J51" s="73"/>
      <c r="K51" s="73"/>
      <c r="L51" s="73"/>
      <c r="M51" s="73"/>
      <c r="N51" s="69"/>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69"/>
      <c r="AO51" s="73"/>
      <c r="AP51" s="73"/>
      <c r="AQ51" s="73"/>
      <c r="AR51" s="73"/>
      <c r="AS51" s="73"/>
      <c r="AT51" s="73"/>
      <c r="AU51" s="73"/>
      <c r="AV51" s="73"/>
      <c r="AW51" s="73"/>
      <c r="AX51" s="73"/>
      <c r="AY51" s="73"/>
      <c r="AZ51" s="73"/>
      <c r="BA51" s="73"/>
      <c r="BB51" s="73"/>
    </row>
    <row r="52" ht="15.75" customHeight="1">
      <c r="A52" s="67"/>
      <c r="B52" s="69"/>
      <c r="C52" s="69" t="s">
        <v>563</v>
      </c>
      <c r="D52" s="70" t="s">
        <v>564</v>
      </c>
      <c r="E52" s="70" t="str">
        <f>IFERROR(__xludf.DUMMYFUNCTION("regexextract(D52,""[\S]*\s{0,2},"") "),"Wang,")</f>
        <v>Wang,</v>
      </c>
      <c r="F52" s="70" t="s">
        <v>565</v>
      </c>
      <c r="G52" s="73"/>
      <c r="H52" s="73"/>
      <c r="I52" s="73"/>
      <c r="J52" s="73"/>
      <c r="K52" s="73"/>
      <c r="L52" s="73"/>
      <c r="M52" s="73"/>
      <c r="N52" s="69"/>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69"/>
      <c r="AO52" s="73"/>
      <c r="AP52" s="73"/>
      <c r="AQ52" s="73"/>
      <c r="AR52" s="73"/>
      <c r="AS52" s="73"/>
      <c r="AT52" s="73"/>
      <c r="AU52" s="73"/>
      <c r="AV52" s="73"/>
      <c r="AW52" s="73"/>
      <c r="AX52" s="73"/>
      <c r="AY52" s="73"/>
      <c r="AZ52" s="73"/>
      <c r="BA52" s="73"/>
      <c r="BB52" s="73"/>
    </row>
    <row r="53" ht="15.75" customHeight="1">
      <c r="A53" s="67"/>
      <c r="B53" s="69"/>
      <c r="C53" s="69" t="s">
        <v>566</v>
      </c>
      <c r="D53" s="70" t="s">
        <v>567</v>
      </c>
      <c r="E53" s="70" t="str">
        <f>IFERROR(__xludf.DUMMYFUNCTION("regexextract(D53,""[\S]*\s{0,2},"") "),"Zhai,")</f>
        <v>Zhai,</v>
      </c>
      <c r="F53" s="70" t="s">
        <v>568</v>
      </c>
      <c r="G53" s="73"/>
      <c r="H53" s="73"/>
      <c r="I53" s="73"/>
      <c r="J53" s="73"/>
      <c r="K53" s="73"/>
      <c r="L53" s="73"/>
      <c r="M53" s="73"/>
      <c r="N53" s="69"/>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69"/>
      <c r="AO53" s="73"/>
      <c r="AP53" s="73"/>
      <c r="AQ53" s="73"/>
      <c r="AR53" s="73"/>
      <c r="AS53" s="73"/>
      <c r="AT53" s="73"/>
      <c r="AU53" s="73"/>
      <c r="AV53" s="73"/>
      <c r="AW53" s="73"/>
      <c r="AX53" s="73"/>
      <c r="AY53" s="73"/>
      <c r="AZ53" s="73"/>
      <c r="BA53" s="73"/>
      <c r="BB53" s="73"/>
    </row>
    <row r="54" ht="15.75" customHeight="1">
      <c r="A54" s="67"/>
      <c r="B54" s="69"/>
      <c r="C54" s="69" t="s">
        <v>569</v>
      </c>
      <c r="D54" s="70" t="s">
        <v>570</v>
      </c>
      <c r="E54" s="70" t="str">
        <f>IFERROR(__xludf.DUMMYFUNCTION("regexextract(D54,""[\S]*\s{0,2},"") "),"El-Kholy,")</f>
        <v>El-Kholy,</v>
      </c>
      <c r="F54" s="70" t="s">
        <v>571</v>
      </c>
      <c r="G54" s="73"/>
      <c r="H54" s="73"/>
      <c r="I54" s="73"/>
      <c r="J54" s="73"/>
      <c r="K54" s="73"/>
      <c r="L54" s="73"/>
      <c r="M54" s="73"/>
      <c r="N54" s="69"/>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69"/>
      <c r="AO54" s="73"/>
      <c r="AP54" s="73"/>
      <c r="AQ54" s="73"/>
      <c r="AR54" s="73"/>
      <c r="AS54" s="73"/>
      <c r="AT54" s="73"/>
      <c r="AU54" s="73"/>
      <c r="AV54" s="73"/>
      <c r="AW54" s="73"/>
      <c r="AX54" s="73"/>
      <c r="AY54" s="73"/>
      <c r="AZ54" s="73"/>
      <c r="BA54" s="73"/>
      <c r="BB54" s="73"/>
    </row>
    <row r="55" ht="15.75" customHeight="1">
      <c r="A55" s="67"/>
      <c r="B55" s="69"/>
      <c r="C55" s="69" t="s">
        <v>572</v>
      </c>
      <c r="D55" s="70" t="s">
        <v>573</v>
      </c>
      <c r="E55" s="70" t="str">
        <f>IFERROR(__xludf.DUMMYFUNCTION("regexextract(D55,""[\S]*\s{0,2},"") "),"Oboh,")</f>
        <v>Oboh,</v>
      </c>
      <c r="F55" s="70" t="s">
        <v>574</v>
      </c>
      <c r="G55" s="73"/>
      <c r="H55" s="73"/>
      <c r="I55" s="73"/>
      <c r="J55" s="73"/>
      <c r="K55" s="73"/>
      <c r="L55" s="73"/>
      <c r="M55" s="73"/>
      <c r="N55" s="69"/>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69"/>
      <c r="AO55" s="73"/>
      <c r="AP55" s="73"/>
      <c r="AQ55" s="73"/>
      <c r="AR55" s="73"/>
      <c r="AS55" s="73"/>
      <c r="AT55" s="73"/>
      <c r="AU55" s="73"/>
      <c r="AV55" s="73"/>
      <c r="AW55" s="73"/>
      <c r="AX55" s="73"/>
      <c r="AY55" s="73"/>
      <c r="AZ55" s="73"/>
      <c r="BA55" s="73"/>
      <c r="BB55" s="73"/>
    </row>
    <row r="56" ht="15.75" customHeight="1">
      <c r="A56" s="67"/>
      <c r="B56" s="69"/>
      <c r="C56" s="69" t="s">
        <v>575</v>
      </c>
      <c r="D56" s="70" t="s">
        <v>576</v>
      </c>
      <c r="E56" s="70" t="str">
        <f>IFERROR(__xludf.DUMMYFUNCTION("regexextract(D56,""[\S]*\s{0,2},"") "),"Igbinosa,")</f>
        <v>Igbinosa,</v>
      </c>
      <c r="F56" s="70" t="s">
        <v>577</v>
      </c>
      <c r="G56" s="73"/>
      <c r="H56" s="73"/>
      <c r="I56" s="73"/>
      <c r="J56" s="73"/>
      <c r="K56" s="73"/>
      <c r="L56" s="73"/>
      <c r="M56" s="73"/>
      <c r="N56" s="69"/>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69"/>
      <c r="AO56" s="73"/>
      <c r="AP56" s="73"/>
      <c r="AQ56" s="73"/>
      <c r="AR56" s="73"/>
      <c r="AS56" s="73"/>
      <c r="AT56" s="73"/>
      <c r="AU56" s="73"/>
      <c r="AV56" s="73"/>
      <c r="AW56" s="73"/>
      <c r="AX56" s="73"/>
      <c r="AY56" s="73"/>
      <c r="AZ56" s="73"/>
      <c r="BA56" s="73"/>
      <c r="BB56" s="73"/>
    </row>
    <row r="57" ht="15.75" customHeight="1">
      <c r="A57" s="67"/>
      <c r="B57" s="69"/>
      <c r="C57" s="69" t="s">
        <v>578</v>
      </c>
      <c r="D57" s="70" t="s">
        <v>579</v>
      </c>
      <c r="E57" s="70" t="str">
        <f>IFERROR(__xludf.DUMMYFUNCTION("regexextract(D57,""[\S]*\s{0,2},"") "),"Ganesan,")</f>
        <v>Ganesan,</v>
      </c>
      <c r="F57" s="70" t="s">
        <v>580</v>
      </c>
      <c r="G57" s="73"/>
      <c r="H57" s="73"/>
      <c r="I57" s="73"/>
      <c r="J57" s="73"/>
      <c r="K57" s="73"/>
      <c r="L57" s="73"/>
      <c r="M57" s="73"/>
      <c r="N57" s="69"/>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69"/>
      <c r="AO57" s="73"/>
      <c r="AP57" s="73"/>
      <c r="AQ57" s="73"/>
      <c r="AR57" s="73"/>
      <c r="AS57" s="73"/>
      <c r="AT57" s="73"/>
      <c r="AU57" s="73"/>
      <c r="AV57" s="73"/>
      <c r="AW57" s="73"/>
      <c r="AX57" s="73"/>
      <c r="AY57" s="73"/>
      <c r="AZ57" s="73"/>
      <c r="BA57" s="73"/>
      <c r="BB57" s="73"/>
    </row>
    <row r="58" ht="15.75" customHeight="1">
      <c r="A58" s="69"/>
      <c r="B58" s="69"/>
      <c r="C58" s="69" t="s">
        <v>581</v>
      </c>
      <c r="D58" s="70" t="s">
        <v>582</v>
      </c>
      <c r="E58" s="70" t="str">
        <f>IFERROR(__xludf.DUMMYFUNCTION("regexextract(D58,""[\S]*\s{0,2},"") "),"Tang,")</f>
        <v>Tang,</v>
      </c>
      <c r="F58" s="70" t="s">
        <v>583</v>
      </c>
      <c r="G58" s="73"/>
      <c r="H58" s="73"/>
      <c r="I58" s="73"/>
      <c r="J58" s="73"/>
      <c r="K58" s="73"/>
      <c r="L58" s="73"/>
      <c r="M58" s="73"/>
      <c r="N58" s="69"/>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69"/>
      <c r="AO58" s="73"/>
      <c r="AP58" s="73"/>
      <c r="AQ58" s="73"/>
      <c r="AR58" s="73"/>
      <c r="AS58" s="73"/>
      <c r="AT58" s="73"/>
      <c r="AU58" s="73"/>
      <c r="AV58" s="73"/>
      <c r="AW58" s="73"/>
      <c r="AX58" s="73"/>
      <c r="AY58" s="73"/>
      <c r="AZ58" s="73"/>
      <c r="BA58" s="73"/>
      <c r="BB58" s="73"/>
    </row>
    <row r="59" ht="15.75" customHeight="1">
      <c r="A59" s="67"/>
      <c r="B59" s="69"/>
      <c r="C59" s="69" t="s">
        <v>584</v>
      </c>
      <c r="D59" s="70" t="s">
        <v>585</v>
      </c>
      <c r="E59" s="70" t="str">
        <f>IFERROR(__xludf.DUMMYFUNCTION("regexextract(D59,""[\S]*\s{0,2},"") "),"Cuong,")</f>
        <v>Cuong,</v>
      </c>
      <c r="F59" s="70" t="s">
        <v>586</v>
      </c>
      <c r="G59" s="73"/>
      <c r="H59" s="73"/>
      <c r="I59" s="73"/>
      <c r="J59" s="73"/>
      <c r="K59" s="73"/>
      <c r="L59" s="73"/>
      <c r="M59" s="73"/>
      <c r="N59" s="69"/>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69"/>
      <c r="AO59" s="73"/>
      <c r="AP59" s="73"/>
      <c r="AQ59" s="73"/>
      <c r="AR59" s="73"/>
      <c r="AS59" s="73"/>
      <c r="AT59" s="73"/>
      <c r="AU59" s="73"/>
      <c r="AV59" s="73"/>
      <c r="AW59" s="73"/>
      <c r="AX59" s="73"/>
      <c r="AY59" s="73"/>
      <c r="AZ59" s="73"/>
      <c r="BA59" s="73"/>
      <c r="BB59" s="73"/>
    </row>
    <row r="60" ht="15.75" customHeight="1">
      <c r="A60" s="67"/>
      <c r="B60" s="69"/>
      <c r="C60" s="69" t="s">
        <v>587</v>
      </c>
      <c r="D60" s="70" t="s">
        <v>588</v>
      </c>
      <c r="E60" s="70" t="str">
        <f>IFERROR(__xludf.DUMMYFUNCTION("regexextract(D60,""[\S]*\s{0,2},"") "),"Nix,")</f>
        <v>Nix,</v>
      </c>
      <c r="F60" s="70" t="s">
        <v>589</v>
      </c>
      <c r="G60" s="73"/>
      <c r="H60" s="73"/>
      <c r="I60" s="73"/>
      <c r="J60" s="73"/>
      <c r="K60" s="73"/>
      <c r="L60" s="73"/>
      <c r="M60" s="73"/>
      <c r="N60" s="69"/>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69"/>
      <c r="AO60" s="73"/>
      <c r="AP60" s="73"/>
      <c r="AQ60" s="73"/>
      <c r="AR60" s="73"/>
      <c r="AS60" s="73"/>
      <c r="AT60" s="73"/>
      <c r="AU60" s="73"/>
      <c r="AV60" s="73"/>
      <c r="AW60" s="73"/>
      <c r="AX60" s="73"/>
      <c r="AY60" s="73"/>
      <c r="AZ60" s="73"/>
      <c r="BA60" s="73"/>
      <c r="BB60" s="73"/>
    </row>
    <row r="61" ht="15.75" customHeight="1">
      <c r="A61" s="67"/>
      <c r="B61" s="69"/>
      <c r="C61" s="69" t="s">
        <v>590</v>
      </c>
      <c r="D61" s="70" t="s">
        <v>591</v>
      </c>
      <c r="E61" s="70" t="str">
        <f>IFERROR(__xludf.DUMMYFUNCTION("regexextract(D61,""[\S]*\s{0,2},"") "),"Liew,")</f>
        <v>Liew,</v>
      </c>
      <c r="F61" s="70" t="s">
        <v>592</v>
      </c>
      <c r="G61" s="73"/>
      <c r="H61" s="73"/>
      <c r="I61" s="73"/>
      <c r="J61" s="73"/>
      <c r="K61" s="73"/>
      <c r="L61" s="73"/>
      <c r="M61" s="73"/>
      <c r="N61" s="69"/>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69"/>
      <c r="AO61" s="73"/>
      <c r="AP61" s="73"/>
      <c r="AQ61" s="73"/>
      <c r="AR61" s="73"/>
      <c r="AS61" s="73"/>
      <c r="AT61" s="73"/>
      <c r="AU61" s="73"/>
      <c r="AV61" s="73"/>
      <c r="AW61" s="73"/>
      <c r="AX61" s="73"/>
      <c r="AY61" s="73"/>
      <c r="AZ61" s="73"/>
      <c r="BA61" s="73"/>
      <c r="BB61" s="73"/>
    </row>
    <row r="62" ht="15.75" customHeight="1">
      <c r="A62" s="67"/>
      <c r="B62" s="69"/>
      <c r="C62" s="69" t="s">
        <v>593</v>
      </c>
      <c r="D62" s="70" t="s">
        <v>594</v>
      </c>
      <c r="E62" s="70" t="str">
        <f>IFERROR(__xludf.DUMMYFUNCTION("regexextract(D62,""[\S]*\s{0,2},"") "),"Tang,")</f>
        <v>Tang,</v>
      </c>
      <c r="F62" s="70" t="s">
        <v>595</v>
      </c>
      <c r="G62" s="73"/>
      <c r="H62" s="73"/>
      <c r="I62" s="73"/>
      <c r="J62" s="73"/>
      <c r="K62" s="73"/>
      <c r="L62" s="73"/>
      <c r="M62" s="73"/>
      <c r="N62" s="69"/>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69"/>
      <c r="AO62" s="73"/>
      <c r="AP62" s="73"/>
      <c r="AQ62" s="73"/>
      <c r="AR62" s="73"/>
      <c r="AS62" s="73"/>
      <c r="AT62" s="73"/>
      <c r="AU62" s="73"/>
      <c r="AV62" s="73"/>
      <c r="AW62" s="73"/>
      <c r="AX62" s="73"/>
      <c r="AY62" s="73"/>
      <c r="AZ62" s="73"/>
      <c r="BA62" s="73"/>
      <c r="BB62" s="73"/>
    </row>
    <row r="63" ht="15.75" customHeight="1">
      <c r="A63" s="67"/>
      <c r="B63" s="69"/>
      <c r="C63" s="79" t="s">
        <v>596</v>
      </c>
      <c r="D63" s="70" t="s">
        <v>597</v>
      </c>
      <c r="E63" s="70" t="str">
        <f>IFERROR(__xludf.DUMMYFUNCTION("regexextract(D63,""[\S]*\s{0,2},"") "),"Gan,")</f>
        <v>Gan,</v>
      </c>
      <c r="F63" s="70" t="s">
        <v>598</v>
      </c>
      <c r="G63" s="73"/>
      <c r="H63" s="73"/>
      <c r="I63" s="73"/>
      <c r="J63" s="73"/>
      <c r="K63" s="73"/>
      <c r="L63" s="73"/>
      <c r="M63" s="73"/>
      <c r="N63" s="69"/>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69"/>
      <c r="AO63" s="73"/>
      <c r="AP63" s="73"/>
      <c r="AQ63" s="73"/>
      <c r="AR63" s="73"/>
      <c r="AS63" s="73"/>
      <c r="AT63" s="73"/>
      <c r="AU63" s="73"/>
      <c r="AV63" s="73"/>
      <c r="AW63" s="73"/>
      <c r="AX63" s="73"/>
      <c r="AY63" s="73"/>
      <c r="AZ63" s="73"/>
      <c r="BA63" s="73"/>
      <c r="BB63" s="73"/>
    </row>
    <row r="64" ht="15.75" customHeight="1">
      <c r="A64" s="67"/>
      <c r="B64" s="69"/>
      <c r="C64" s="69" t="s">
        <v>599</v>
      </c>
      <c r="D64" s="70" t="s">
        <v>600</v>
      </c>
      <c r="E64" s="70" t="str">
        <f>IFERROR(__xludf.DUMMYFUNCTION("regexextract(D64,""[\S]*\s{0,2},"") "),"Koprivica,")</f>
        <v>Koprivica,</v>
      </c>
      <c r="F64" s="70" t="s">
        <v>601</v>
      </c>
      <c r="G64" s="73"/>
      <c r="H64" s="73"/>
      <c r="I64" s="73"/>
      <c r="J64" s="73"/>
      <c r="K64" s="73"/>
      <c r="L64" s="73"/>
      <c r="M64" s="73"/>
      <c r="N64" s="69"/>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69"/>
      <c r="AO64" s="73"/>
      <c r="AP64" s="73"/>
      <c r="AQ64" s="73"/>
      <c r="AR64" s="73"/>
      <c r="AS64" s="73"/>
      <c r="AT64" s="73"/>
      <c r="AU64" s="73"/>
      <c r="AV64" s="73"/>
      <c r="AW64" s="73"/>
      <c r="AX64" s="73"/>
      <c r="AY64" s="73"/>
      <c r="AZ64" s="73"/>
      <c r="BA64" s="73"/>
      <c r="BB64" s="73"/>
    </row>
    <row r="65" ht="15.75" customHeight="1">
      <c r="A65" s="67"/>
      <c r="B65" s="69"/>
      <c r="C65" s="69" t="s">
        <v>602</v>
      </c>
      <c r="D65" s="70" t="s">
        <v>603</v>
      </c>
      <c r="E65" s="70" t="str">
        <f>IFERROR(__xludf.DUMMYFUNCTION("regexextract(D65,""[\S]*\s{0,2},"") "),"Pei,")</f>
        <v>Pei,</v>
      </c>
      <c r="F65" s="70" t="s">
        <v>604</v>
      </c>
      <c r="G65" s="73"/>
      <c r="H65" s="73"/>
      <c r="I65" s="73"/>
      <c r="J65" s="73"/>
      <c r="K65" s="73"/>
      <c r="L65" s="73"/>
      <c r="M65" s="73"/>
      <c r="N65" s="69"/>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69"/>
      <c r="AO65" s="73"/>
      <c r="AP65" s="73"/>
      <c r="AQ65" s="73"/>
      <c r="AR65" s="73"/>
      <c r="AS65" s="73"/>
      <c r="AT65" s="73"/>
      <c r="AU65" s="73"/>
      <c r="AV65" s="73"/>
      <c r="AW65" s="73"/>
      <c r="AX65" s="73"/>
      <c r="AY65" s="73"/>
      <c r="AZ65" s="73"/>
      <c r="BA65" s="73"/>
      <c r="BB65" s="73"/>
    </row>
    <row r="66" ht="15.75" customHeight="1">
      <c r="A66" s="73"/>
      <c r="B66" s="69"/>
      <c r="C66" s="69" t="s">
        <v>605</v>
      </c>
      <c r="D66" s="70" t="s">
        <v>606</v>
      </c>
      <c r="E66" s="70" t="str">
        <f>IFERROR(__xludf.DUMMYFUNCTION("regexextract(D66,""[\S]*\s{0,2},"") "),"Georgiev,")</f>
        <v>Georgiev,</v>
      </c>
      <c r="F66" s="70" t="s">
        <v>607</v>
      </c>
      <c r="G66" s="73"/>
      <c r="H66" s="73"/>
      <c r="I66" s="73"/>
      <c r="J66" s="73"/>
      <c r="K66" s="73"/>
      <c r="L66" s="73"/>
      <c r="M66" s="73"/>
      <c r="N66" s="69"/>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69"/>
      <c r="AO66" s="73"/>
      <c r="AP66" s="73"/>
      <c r="AQ66" s="73"/>
      <c r="AR66" s="73"/>
      <c r="AS66" s="73"/>
      <c r="AT66" s="73"/>
      <c r="AU66" s="73"/>
      <c r="AV66" s="73"/>
      <c r="AW66" s="73"/>
      <c r="AX66" s="73"/>
      <c r="AY66" s="73"/>
      <c r="AZ66" s="73"/>
      <c r="BA66" s="73"/>
      <c r="BB66" s="73"/>
    </row>
    <row r="67" ht="15.75" customHeight="1">
      <c r="A67" s="73"/>
      <c r="B67" s="69"/>
      <c r="C67" s="69" t="s">
        <v>608</v>
      </c>
      <c r="D67" s="70" t="s">
        <v>609</v>
      </c>
      <c r="E67" s="70" t="str">
        <f>IFERROR(__xludf.DUMMYFUNCTION("regexextract(D67,""[\S]*\s{0,2},"") "),"Silva,")</f>
        <v>Silva,</v>
      </c>
      <c r="F67" s="70" t="s">
        <v>610</v>
      </c>
      <c r="G67" s="73"/>
      <c r="H67" s="73"/>
      <c r="I67" s="73"/>
      <c r="J67" s="73"/>
      <c r="K67" s="73"/>
      <c r="L67" s="73"/>
      <c r="M67" s="73"/>
      <c r="N67" s="69"/>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69"/>
      <c r="AO67" s="73"/>
      <c r="AP67" s="73"/>
      <c r="AQ67" s="73"/>
      <c r="AR67" s="73"/>
      <c r="AS67" s="73"/>
      <c r="AT67" s="73"/>
      <c r="AU67" s="73"/>
      <c r="AV67" s="73"/>
      <c r="AW67" s="73"/>
      <c r="AX67" s="73"/>
      <c r="AY67" s="73"/>
      <c r="AZ67" s="73"/>
      <c r="BA67" s="73"/>
      <c r="BB67" s="73"/>
    </row>
    <row r="68" ht="15.75" customHeight="1">
      <c r="A68" s="73"/>
      <c r="B68" s="69"/>
      <c r="C68" s="69" t="s">
        <v>611</v>
      </c>
      <c r="D68" s="70" t="s">
        <v>612</v>
      </c>
      <c r="E68" s="70" t="str">
        <f>IFERROR(__xludf.DUMMYFUNCTION("regexextract(D68,""[\S]*\s{0,2},"") "),"Shimoda,")</f>
        <v>Shimoda,</v>
      </c>
      <c r="F68" s="70" t="s">
        <v>613</v>
      </c>
      <c r="G68" s="73"/>
      <c r="H68" s="73"/>
      <c r="I68" s="73"/>
      <c r="J68" s="73"/>
      <c r="K68" s="73"/>
      <c r="L68" s="73"/>
      <c r="M68" s="73"/>
      <c r="N68" s="69"/>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69"/>
      <c r="AO68" s="73"/>
      <c r="AP68" s="73"/>
      <c r="AQ68" s="73"/>
      <c r="AR68" s="73"/>
      <c r="AS68" s="73"/>
      <c r="AT68" s="73"/>
      <c r="AU68" s="73"/>
      <c r="AV68" s="73"/>
      <c r="AW68" s="73"/>
      <c r="AX68" s="73"/>
      <c r="AY68" s="73"/>
      <c r="AZ68" s="73"/>
      <c r="BA68" s="73"/>
      <c r="BB68" s="73"/>
    </row>
    <row r="69" ht="15.75" customHeight="1">
      <c r="A69" s="73"/>
      <c r="B69" s="69"/>
      <c r="C69" s="69" t="s">
        <v>614</v>
      </c>
      <c r="D69" s="70" t="s">
        <v>615</v>
      </c>
      <c r="E69" s="70" t="str">
        <f>IFERROR(__xludf.DUMMYFUNCTION("regexextract(D69,""[\S]*\s{0,2},"") "),"Ahmad,")</f>
        <v>Ahmad,</v>
      </c>
      <c r="F69" s="70" t="s">
        <v>616</v>
      </c>
      <c r="G69" s="73"/>
      <c r="H69" s="73"/>
      <c r="I69" s="73"/>
      <c r="J69" s="73"/>
      <c r="K69" s="73"/>
      <c r="L69" s="73"/>
      <c r="M69" s="73"/>
      <c r="N69" s="69"/>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69"/>
      <c r="AO69" s="73"/>
      <c r="AP69" s="73"/>
      <c r="AQ69" s="73"/>
      <c r="AR69" s="73"/>
      <c r="AS69" s="73"/>
      <c r="AT69" s="73"/>
      <c r="AU69" s="73"/>
      <c r="AV69" s="73"/>
      <c r="AW69" s="73"/>
      <c r="AX69" s="73"/>
      <c r="AY69" s="73"/>
      <c r="AZ69" s="73"/>
      <c r="BA69" s="73"/>
      <c r="BB69" s="73"/>
    </row>
    <row r="70" ht="15.75" customHeight="1">
      <c r="A70" s="73"/>
      <c r="B70" s="69"/>
      <c r="C70" s="69" t="s">
        <v>617</v>
      </c>
      <c r="D70" s="70" t="s">
        <v>618</v>
      </c>
      <c r="E70" s="70" t="str">
        <f>IFERROR(__xludf.DUMMYFUNCTION("regexextract(D70,""[\S]*\s{0,2},"") "),"Gardner,")</f>
        <v>Gardner,</v>
      </c>
      <c r="F70" s="70" t="s">
        <v>619</v>
      </c>
      <c r="G70" s="73"/>
      <c r="H70" s="73"/>
      <c r="I70" s="73"/>
      <c r="J70" s="73"/>
      <c r="K70" s="73"/>
      <c r="L70" s="73"/>
      <c r="M70" s="73"/>
      <c r="N70" s="69"/>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69"/>
      <c r="AO70" s="73"/>
      <c r="AP70" s="73"/>
      <c r="AQ70" s="73"/>
      <c r="AR70" s="73"/>
      <c r="AS70" s="73"/>
      <c r="AT70" s="73"/>
      <c r="AU70" s="73"/>
      <c r="AV70" s="73"/>
      <c r="AW70" s="73"/>
      <c r="AX70" s="73"/>
      <c r="AY70" s="73"/>
      <c r="AZ70" s="73"/>
      <c r="BA70" s="73"/>
      <c r="BB70" s="73"/>
    </row>
    <row r="71" ht="15.75" customHeight="1">
      <c r="A71" s="73"/>
      <c r="B71" s="69"/>
      <c r="C71" s="69" t="s">
        <v>620</v>
      </c>
      <c r="D71" s="70" t="s">
        <v>621</v>
      </c>
      <c r="E71" s="70" t="str">
        <f>IFERROR(__xludf.DUMMYFUNCTION("regexextract(D71,""[\S]*\s{0,2},"") "),"Solar,")</f>
        <v>Solar,</v>
      </c>
      <c r="F71" s="70" t="s">
        <v>622</v>
      </c>
      <c r="G71" s="73"/>
      <c r="H71" s="73"/>
      <c r="I71" s="73"/>
      <c r="J71" s="73"/>
      <c r="K71" s="73"/>
      <c r="L71" s="73"/>
      <c r="M71" s="73"/>
      <c r="N71" s="69"/>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69"/>
      <c r="AO71" s="73"/>
      <c r="AP71" s="73"/>
      <c r="AQ71" s="73"/>
      <c r="AR71" s="73"/>
      <c r="AS71" s="73"/>
      <c r="AT71" s="73"/>
      <c r="AU71" s="73"/>
      <c r="AV71" s="73"/>
      <c r="AW71" s="73"/>
      <c r="AX71" s="73"/>
      <c r="AY71" s="73"/>
      <c r="AZ71" s="73"/>
      <c r="BA71" s="73"/>
      <c r="BB71" s="73"/>
    </row>
    <row r="72" ht="15.75" customHeight="1">
      <c r="A72" s="73"/>
      <c r="B72" s="69"/>
      <c r="C72" s="69" t="s">
        <v>623</v>
      </c>
      <c r="D72" s="70" t="s">
        <v>624</v>
      </c>
      <c r="E72" s="70" t="str">
        <f>IFERROR(__xludf.DUMMYFUNCTION("regexextract(D72,""[\S]*\s{0,2},"") "),"Napoleão,")</f>
        <v>Napoleão,</v>
      </c>
      <c r="F72" s="70" t="s">
        <v>625</v>
      </c>
      <c r="G72" s="73"/>
      <c r="H72" s="73"/>
      <c r="I72" s="73"/>
      <c r="J72" s="73"/>
      <c r="K72" s="73"/>
      <c r="L72" s="73"/>
      <c r="M72" s="73"/>
      <c r="N72" s="69"/>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69"/>
      <c r="AO72" s="73"/>
      <c r="AP72" s="73"/>
      <c r="AQ72" s="73"/>
      <c r="AR72" s="73"/>
      <c r="AS72" s="73"/>
      <c r="AT72" s="73"/>
      <c r="AU72" s="73"/>
      <c r="AV72" s="73"/>
      <c r="AW72" s="73"/>
      <c r="AX72" s="73"/>
      <c r="AY72" s="73"/>
      <c r="AZ72" s="73"/>
      <c r="BA72" s="73"/>
      <c r="BB72" s="73"/>
    </row>
    <row r="73" ht="15.75" customHeight="1">
      <c r="A73" s="73"/>
      <c r="B73" s="69"/>
      <c r="C73" s="69" t="s">
        <v>626</v>
      </c>
      <c r="D73" s="70" t="s">
        <v>627</v>
      </c>
      <c r="E73" s="70" t="str">
        <f>IFERROR(__xludf.DUMMYFUNCTION("regexextract(D73,""[\S]*\s{0,2},"") "),"Repo-Carrasco-Valencia,")</f>
        <v>Repo-Carrasco-Valencia,</v>
      </c>
      <c r="F73" s="70" t="s">
        <v>628</v>
      </c>
      <c r="G73" s="73"/>
      <c r="H73" s="73"/>
      <c r="I73" s="73"/>
      <c r="J73" s="73"/>
      <c r="K73" s="73"/>
      <c r="L73" s="73"/>
      <c r="M73" s="73"/>
      <c r="N73" s="69"/>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69"/>
      <c r="AO73" s="73"/>
      <c r="AP73" s="73"/>
      <c r="AQ73" s="73"/>
      <c r="AR73" s="73"/>
      <c r="AS73" s="73"/>
      <c r="AT73" s="73"/>
      <c r="AU73" s="73"/>
      <c r="AV73" s="73"/>
      <c r="AW73" s="73"/>
      <c r="AX73" s="73"/>
      <c r="AY73" s="73"/>
      <c r="AZ73" s="73"/>
      <c r="BA73" s="73"/>
      <c r="BB73" s="73"/>
    </row>
    <row r="74" ht="15.75" customHeight="1">
      <c r="A74" s="73"/>
      <c r="B74" s="69"/>
      <c r="C74" s="69" t="s">
        <v>629</v>
      </c>
      <c r="D74" s="70" t="s">
        <v>630</v>
      </c>
      <c r="E74" s="70" t="str">
        <f>IFERROR(__xludf.DUMMYFUNCTION("regexextract(D74,""[\S]*\s{0,2},"") "),"Terpinc,")</f>
        <v>Terpinc,</v>
      </c>
      <c r="F74" s="70" t="s">
        <v>631</v>
      </c>
      <c r="G74" s="73"/>
      <c r="H74" s="73"/>
      <c r="I74" s="73"/>
      <c r="J74" s="73"/>
      <c r="K74" s="73"/>
      <c r="L74" s="73"/>
      <c r="M74" s="73"/>
      <c r="N74" s="69"/>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69"/>
      <c r="AO74" s="73"/>
      <c r="AP74" s="73"/>
      <c r="AQ74" s="73"/>
      <c r="AR74" s="73"/>
      <c r="AS74" s="73"/>
      <c r="AT74" s="73"/>
      <c r="AU74" s="73"/>
      <c r="AV74" s="73"/>
      <c r="AW74" s="73"/>
      <c r="AX74" s="73"/>
      <c r="AY74" s="73"/>
      <c r="AZ74" s="73"/>
      <c r="BA74" s="73"/>
      <c r="BB74" s="73"/>
    </row>
    <row r="75" ht="15.75" customHeight="1">
      <c r="A75" s="73"/>
      <c r="B75" s="69"/>
      <c r="C75" s="69" t="s">
        <v>632</v>
      </c>
      <c r="D75" s="70" t="s">
        <v>633</v>
      </c>
      <c r="E75" s="70" t="str">
        <f>IFERROR(__xludf.DUMMYFUNCTION("regexextract(D75,""[\S]*\s{0,2},"") "),"Ho,")</f>
        <v>Ho,</v>
      </c>
      <c r="F75" s="70" t="s">
        <v>634</v>
      </c>
      <c r="G75" s="73"/>
      <c r="H75" s="73"/>
      <c r="I75" s="73"/>
      <c r="J75" s="73"/>
      <c r="K75" s="73"/>
      <c r="L75" s="73"/>
      <c r="M75" s="73"/>
      <c r="N75" s="69"/>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69"/>
      <c r="AO75" s="73"/>
      <c r="AP75" s="73"/>
      <c r="AQ75" s="73"/>
      <c r="AR75" s="73"/>
      <c r="AS75" s="73"/>
      <c r="AT75" s="73"/>
      <c r="AU75" s="73"/>
      <c r="AV75" s="73"/>
      <c r="AW75" s="73"/>
      <c r="AX75" s="73"/>
      <c r="AY75" s="73"/>
      <c r="AZ75" s="73"/>
      <c r="BA75" s="73"/>
      <c r="BB75" s="73"/>
    </row>
    <row r="76" ht="15.75" customHeight="1">
      <c r="A76" s="73"/>
      <c r="B76" s="69"/>
      <c r="C76" s="69" t="s">
        <v>635</v>
      </c>
      <c r="D76" s="70" t="s">
        <v>636</v>
      </c>
      <c r="E76" s="70" t="str">
        <f>IFERROR(__xludf.DUMMYFUNCTION("regexextract(D76,""[\S]*\s{0,2},"") "),"Santos,")</f>
        <v>Santos,</v>
      </c>
      <c r="F76" s="70" t="s">
        <v>637</v>
      </c>
      <c r="G76" s="73"/>
      <c r="H76" s="73"/>
      <c r="I76" s="73"/>
      <c r="J76" s="73"/>
      <c r="K76" s="73"/>
      <c r="L76" s="73"/>
      <c r="M76" s="73"/>
      <c r="N76" s="69"/>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69"/>
      <c r="AO76" s="73"/>
      <c r="AP76" s="73"/>
      <c r="AQ76" s="73"/>
      <c r="AR76" s="73"/>
      <c r="AS76" s="73"/>
      <c r="AT76" s="73"/>
      <c r="AU76" s="73"/>
      <c r="AV76" s="73"/>
      <c r="AW76" s="73"/>
      <c r="AX76" s="73"/>
      <c r="AY76" s="73"/>
      <c r="AZ76" s="73"/>
      <c r="BA76" s="73"/>
      <c r="BB76" s="73"/>
    </row>
    <row r="77" ht="15.75" customHeight="1">
      <c r="A77" s="73"/>
      <c r="B77" s="69"/>
      <c r="C77" s="69" t="s">
        <v>638</v>
      </c>
      <c r="D77" s="70" t="s">
        <v>639</v>
      </c>
      <c r="E77" s="70" t="str">
        <f>IFERROR(__xludf.DUMMYFUNCTION("regexextract(D77,""[\S]*\s{0,2},"") "),"Santos,")</f>
        <v>Santos,</v>
      </c>
      <c r="F77" s="70" t="s">
        <v>640</v>
      </c>
      <c r="G77" s="73"/>
      <c r="H77" s="73"/>
      <c r="I77" s="73"/>
      <c r="J77" s="73"/>
      <c r="K77" s="73"/>
      <c r="L77" s="73"/>
      <c r="M77" s="73"/>
      <c r="N77" s="69"/>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69"/>
      <c r="AO77" s="73"/>
      <c r="AP77" s="73"/>
      <c r="AQ77" s="73"/>
      <c r="AR77" s="73"/>
      <c r="AS77" s="73"/>
      <c r="AT77" s="73"/>
      <c r="AU77" s="73"/>
      <c r="AV77" s="73"/>
      <c r="AW77" s="73"/>
      <c r="AX77" s="73"/>
      <c r="AY77" s="73"/>
      <c r="AZ77" s="73"/>
      <c r="BA77" s="73"/>
      <c r="BB77" s="73"/>
    </row>
    <row r="78" ht="15.75" customHeight="1">
      <c r="A78" s="73"/>
      <c r="B78" s="69"/>
      <c r="C78" s="69" t="s">
        <v>641</v>
      </c>
      <c r="D78" s="70" t="s">
        <v>642</v>
      </c>
      <c r="E78" s="70" t="str">
        <f>IFERROR(__xludf.DUMMYFUNCTION("regexextract(D78,""[\S]*\s{0,2},"") "),"Abe,")</f>
        <v>Abe,</v>
      </c>
      <c r="F78" s="70" t="s">
        <v>643</v>
      </c>
      <c r="G78" s="73"/>
      <c r="H78" s="73"/>
      <c r="I78" s="73"/>
      <c r="J78" s="73"/>
      <c r="K78" s="73"/>
      <c r="L78" s="73"/>
      <c r="M78" s="73"/>
      <c r="N78" s="69"/>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69"/>
      <c r="AO78" s="73"/>
      <c r="AP78" s="73"/>
      <c r="AQ78" s="73"/>
      <c r="AR78" s="73"/>
      <c r="AS78" s="73"/>
      <c r="AT78" s="73"/>
      <c r="AU78" s="73"/>
      <c r="AV78" s="73"/>
      <c r="AW78" s="73"/>
      <c r="AX78" s="73"/>
      <c r="AY78" s="73"/>
      <c r="AZ78" s="73"/>
      <c r="BA78" s="73"/>
      <c r="BB78" s="73"/>
    </row>
    <row r="79" ht="15.75" customHeight="1">
      <c r="A79" s="73"/>
      <c r="B79" s="69"/>
      <c r="C79" s="69" t="s">
        <v>644</v>
      </c>
      <c r="D79" s="70" t="s">
        <v>645</v>
      </c>
      <c r="E79" s="70" t="str">
        <f>IFERROR(__xludf.DUMMYFUNCTION("regexextract(D79,""[\S]*\s{0,2},"") "),"Akomolafe,")</f>
        <v>Akomolafe,</v>
      </c>
      <c r="F79" s="70" t="s">
        <v>646</v>
      </c>
      <c r="G79" s="73"/>
      <c r="H79" s="73"/>
      <c r="I79" s="73"/>
      <c r="J79" s="73"/>
      <c r="K79" s="73"/>
      <c r="L79" s="73"/>
      <c r="M79" s="73"/>
      <c r="N79" s="69"/>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69"/>
      <c r="AO79" s="73"/>
      <c r="AP79" s="73"/>
      <c r="AQ79" s="73"/>
      <c r="AR79" s="73"/>
      <c r="AS79" s="73"/>
      <c r="AT79" s="73"/>
      <c r="AU79" s="73"/>
      <c r="AV79" s="73"/>
      <c r="AW79" s="73"/>
      <c r="AX79" s="73"/>
      <c r="AY79" s="73"/>
      <c r="AZ79" s="73"/>
      <c r="BA79" s="73"/>
      <c r="BB79" s="73"/>
    </row>
    <row r="80" ht="15.75" customHeight="1">
      <c r="A80" s="73"/>
      <c r="B80" s="69"/>
      <c r="C80" s="69" t="s">
        <v>647</v>
      </c>
      <c r="D80" s="70" t="s">
        <v>648</v>
      </c>
      <c r="E80" s="70" t="str">
        <f>IFERROR(__xludf.DUMMYFUNCTION("regexextract(D80,""[\S]*\s{0,2},"") "),"Malenčić,")</f>
        <v>Malenčić,</v>
      </c>
      <c r="F80" s="70" t="s">
        <v>649</v>
      </c>
      <c r="G80" s="73"/>
      <c r="H80" s="73"/>
      <c r="I80" s="73"/>
      <c r="J80" s="73"/>
      <c r="K80" s="73"/>
      <c r="L80" s="73"/>
      <c r="M80" s="73"/>
      <c r="N80" s="69"/>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69"/>
      <c r="AO80" s="73"/>
      <c r="AP80" s="73"/>
      <c r="AQ80" s="73"/>
      <c r="AR80" s="73"/>
      <c r="AS80" s="73"/>
      <c r="AT80" s="73"/>
      <c r="AU80" s="73"/>
      <c r="AV80" s="73"/>
      <c r="AW80" s="73"/>
      <c r="AX80" s="73"/>
      <c r="AY80" s="73"/>
      <c r="AZ80" s="73"/>
      <c r="BA80" s="73"/>
      <c r="BB80" s="73"/>
    </row>
    <row r="81" ht="15.75" customHeight="1">
      <c r="A81" s="73"/>
      <c r="B81" s="69"/>
      <c r="C81" s="69" t="s">
        <v>650</v>
      </c>
      <c r="D81" s="70" t="s">
        <v>651</v>
      </c>
      <c r="E81" s="70" t="str">
        <f>IFERROR(__xludf.DUMMYFUNCTION("regexextract(D81,""[\S]*\s{0,2},"") "),"Liu,")</f>
        <v>Liu,</v>
      </c>
      <c r="F81" s="70" t="s">
        <v>652</v>
      </c>
      <c r="G81" s="73"/>
      <c r="H81" s="73"/>
      <c r="I81" s="73"/>
      <c r="J81" s="73"/>
      <c r="K81" s="73"/>
      <c r="L81" s="73"/>
      <c r="M81" s="73"/>
      <c r="N81" s="69"/>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69"/>
      <c r="AO81" s="73"/>
      <c r="AP81" s="73"/>
      <c r="AQ81" s="73"/>
      <c r="AR81" s="73"/>
      <c r="AS81" s="73"/>
      <c r="AT81" s="73"/>
      <c r="AU81" s="73"/>
      <c r="AV81" s="73"/>
      <c r="AW81" s="73"/>
      <c r="AX81" s="73"/>
      <c r="AY81" s="73"/>
      <c r="AZ81" s="73"/>
      <c r="BA81" s="73"/>
      <c r="BB81" s="73"/>
    </row>
    <row r="82" ht="15.75" customHeight="1">
      <c r="A82" s="73"/>
      <c r="B82" s="69"/>
      <c r="C82" s="69" t="s">
        <v>653</v>
      </c>
      <c r="D82" s="70" t="s">
        <v>654</v>
      </c>
      <c r="E82" s="70" t="str">
        <f>IFERROR(__xludf.DUMMYFUNCTION("regexextract(D82,""[\S]*\s{0,2},"") "),"Wu,")</f>
        <v>Wu,</v>
      </c>
      <c r="F82" s="70" t="s">
        <v>655</v>
      </c>
      <c r="G82" s="73"/>
      <c r="H82" s="73"/>
      <c r="I82" s="73"/>
      <c r="J82" s="73"/>
      <c r="K82" s="73"/>
      <c r="L82" s="73"/>
      <c r="M82" s="73"/>
      <c r="N82" s="69"/>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69"/>
      <c r="AO82" s="73"/>
      <c r="AP82" s="73"/>
      <c r="AQ82" s="73"/>
      <c r="AR82" s="73"/>
      <c r="AS82" s="73"/>
      <c r="AT82" s="73"/>
      <c r="AU82" s="73"/>
      <c r="AV82" s="73"/>
      <c r="AW82" s="73"/>
      <c r="AX82" s="73"/>
      <c r="AY82" s="73"/>
      <c r="AZ82" s="73"/>
      <c r="BA82" s="73"/>
      <c r="BB82" s="73"/>
    </row>
    <row r="83" ht="15.75" customHeight="1">
      <c r="A83" s="73"/>
      <c r="B83" s="70"/>
      <c r="C83" s="69" t="s">
        <v>656</v>
      </c>
      <c r="D83" s="70" t="s">
        <v>657</v>
      </c>
      <c r="E83" s="70" t="str">
        <f>IFERROR(__xludf.DUMMYFUNCTION("regexextract(D83,""[\S]*\s{0,2},"") "),"Kostecka-Gugała,")</f>
        <v>Kostecka-Gugała,</v>
      </c>
      <c r="F83" s="70" t="s">
        <v>658</v>
      </c>
      <c r="G83" s="73"/>
      <c r="H83" s="73"/>
      <c r="I83" s="73"/>
      <c r="J83" s="73"/>
      <c r="K83" s="73"/>
      <c r="L83" s="73"/>
      <c r="M83" s="73"/>
      <c r="N83" s="69"/>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69"/>
      <c r="AO83" s="73"/>
      <c r="AP83" s="73"/>
      <c r="AQ83" s="73"/>
      <c r="AR83" s="73"/>
      <c r="AS83" s="73"/>
      <c r="AT83" s="73"/>
      <c r="AU83" s="73"/>
      <c r="AV83" s="73"/>
      <c r="AW83" s="73"/>
      <c r="AX83" s="73"/>
      <c r="AY83" s="73"/>
      <c r="AZ83" s="73"/>
      <c r="BA83" s="73"/>
      <c r="BB83" s="73"/>
    </row>
    <row r="84" ht="15.75" customHeight="1">
      <c r="A84" s="73"/>
      <c r="B84" s="69"/>
      <c r="C84" s="69" t="s">
        <v>659</v>
      </c>
      <c r="D84" s="70" t="s">
        <v>660</v>
      </c>
      <c r="E84" s="70" t="str">
        <f>IFERROR(__xludf.DUMMYFUNCTION("regexextract(D84,""[\S]*\s{0,2},"") "),"Akyol,")</f>
        <v>Akyol,</v>
      </c>
      <c r="F84" s="70" t="s">
        <v>661</v>
      </c>
      <c r="G84" s="73"/>
      <c r="H84" s="73"/>
      <c r="I84" s="73"/>
      <c r="J84" s="73"/>
      <c r="K84" s="73"/>
      <c r="L84" s="73"/>
      <c r="M84" s="73"/>
      <c r="N84" s="69"/>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69"/>
      <c r="AO84" s="73"/>
      <c r="AP84" s="73"/>
      <c r="AQ84" s="73"/>
      <c r="AR84" s="73"/>
      <c r="AS84" s="73"/>
      <c r="AT84" s="73"/>
      <c r="AU84" s="73"/>
      <c r="AV84" s="73"/>
      <c r="AW84" s="73"/>
      <c r="AX84" s="73"/>
      <c r="AY84" s="73"/>
      <c r="AZ84" s="73"/>
      <c r="BA84" s="73"/>
      <c r="BB84" s="73"/>
    </row>
    <row r="85" ht="15.75" customHeight="1">
      <c r="A85" s="73"/>
      <c r="B85" s="69"/>
      <c r="C85" s="78" t="s">
        <v>662</v>
      </c>
      <c r="D85" s="70" t="s">
        <v>663</v>
      </c>
      <c r="E85" s="70" t="str">
        <f>IFERROR(__xludf.DUMMYFUNCTION("regexextract(D85,""[\S]*\s{0,2},"") "),"Petkovska,")</f>
        <v>Petkovska,</v>
      </c>
      <c r="F85" s="70" t="s">
        <v>664</v>
      </c>
      <c r="G85" s="73"/>
      <c r="H85" s="73"/>
      <c r="I85" s="73"/>
      <c r="J85" s="73"/>
      <c r="K85" s="73"/>
      <c r="L85" s="73"/>
      <c r="M85" s="73"/>
      <c r="N85" s="69"/>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69"/>
      <c r="AO85" s="73"/>
      <c r="AP85" s="73"/>
      <c r="AQ85" s="73"/>
      <c r="AR85" s="73"/>
      <c r="AS85" s="73"/>
      <c r="AT85" s="73"/>
      <c r="AU85" s="73"/>
      <c r="AV85" s="73"/>
      <c r="AW85" s="73"/>
      <c r="AX85" s="73"/>
      <c r="AY85" s="73"/>
      <c r="AZ85" s="73"/>
      <c r="BA85" s="73"/>
      <c r="BB85" s="73"/>
    </row>
    <row r="86" ht="15.75" customHeight="1">
      <c r="A86" s="73"/>
      <c r="B86" s="69"/>
      <c r="C86" s="69"/>
      <c r="D86" s="70"/>
      <c r="E86" s="70"/>
      <c r="F86" s="70"/>
      <c r="G86" s="73"/>
      <c r="H86" s="73"/>
      <c r="I86" s="73"/>
      <c r="J86" s="73"/>
      <c r="K86" s="73"/>
      <c r="L86" s="73"/>
      <c r="M86" s="73"/>
      <c r="N86" s="69"/>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69"/>
      <c r="AO86" s="73"/>
      <c r="AP86" s="73"/>
      <c r="AQ86" s="73"/>
      <c r="AR86" s="73"/>
      <c r="AS86" s="73"/>
      <c r="AT86" s="73"/>
      <c r="AU86" s="73"/>
      <c r="AV86" s="73"/>
      <c r="AW86" s="73"/>
      <c r="AX86" s="73"/>
      <c r="AY86" s="73"/>
      <c r="AZ86" s="73"/>
      <c r="BA86" s="73"/>
      <c r="BB86" s="73"/>
    </row>
    <row r="87" ht="15.75" customHeight="1">
      <c r="A87" s="73"/>
      <c r="B87" s="69"/>
      <c r="C87" s="69"/>
      <c r="D87" s="80"/>
      <c r="E87" s="70"/>
      <c r="F87" s="70"/>
      <c r="G87" s="73"/>
      <c r="H87" s="73"/>
      <c r="I87" s="73"/>
      <c r="J87" s="73"/>
      <c r="K87" s="73"/>
      <c r="L87" s="73"/>
      <c r="M87" s="73"/>
      <c r="N87" s="69"/>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69"/>
      <c r="AO87" s="73"/>
      <c r="AP87" s="73"/>
      <c r="AQ87" s="73"/>
      <c r="AR87" s="73"/>
      <c r="AS87" s="73"/>
      <c r="AT87" s="73"/>
      <c r="AU87" s="73"/>
      <c r="AV87" s="73"/>
      <c r="AW87" s="73"/>
      <c r="AX87" s="73"/>
      <c r="AY87" s="73"/>
      <c r="AZ87" s="73"/>
      <c r="BA87" s="73"/>
      <c r="BB87" s="73"/>
    </row>
    <row r="88" ht="15.75" customHeight="1">
      <c r="A88" s="73"/>
      <c r="B88" s="69"/>
      <c r="C88" s="69"/>
      <c r="D88" s="70"/>
      <c r="E88" s="70"/>
      <c r="F88" s="70"/>
      <c r="G88" s="73"/>
      <c r="H88" s="73"/>
      <c r="I88" s="73"/>
      <c r="J88" s="73"/>
      <c r="K88" s="73"/>
      <c r="L88" s="73"/>
      <c r="M88" s="73"/>
      <c r="N88" s="69"/>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69"/>
      <c r="AO88" s="73"/>
      <c r="AP88" s="73"/>
      <c r="AQ88" s="73"/>
      <c r="AR88" s="73"/>
      <c r="AS88" s="73"/>
      <c r="AT88" s="73"/>
      <c r="AU88" s="73"/>
      <c r="AV88" s="73"/>
      <c r="AW88" s="73"/>
      <c r="AX88" s="73"/>
      <c r="AY88" s="73"/>
      <c r="AZ88" s="73"/>
      <c r="BA88" s="73"/>
      <c r="BB88" s="73"/>
    </row>
    <row r="89" ht="15.75" customHeight="1">
      <c r="A89" s="73"/>
      <c r="B89" s="70"/>
      <c r="C89" s="70"/>
      <c r="D89" s="69"/>
      <c r="E89" s="70"/>
      <c r="F89" s="70"/>
      <c r="G89" s="73"/>
      <c r="H89" s="73"/>
      <c r="I89" s="73"/>
      <c r="J89" s="73"/>
      <c r="K89" s="73"/>
      <c r="L89" s="73"/>
      <c r="M89" s="73"/>
      <c r="N89" s="69"/>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69"/>
      <c r="AO89" s="73"/>
      <c r="AP89" s="73"/>
      <c r="AQ89" s="73"/>
      <c r="AR89" s="73"/>
      <c r="AS89" s="73"/>
      <c r="AT89" s="73"/>
      <c r="AU89" s="73"/>
      <c r="AV89" s="73"/>
      <c r="AW89" s="73"/>
      <c r="AX89" s="73"/>
      <c r="AY89" s="73"/>
      <c r="AZ89" s="73"/>
      <c r="BA89" s="73"/>
      <c r="BB89" s="73"/>
    </row>
    <row r="90" ht="15.75" customHeight="1">
      <c r="A90" s="73"/>
      <c r="B90" s="69"/>
      <c r="C90" s="69"/>
      <c r="D90" s="69"/>
      <c r="E90" s="69"/>
      <c r="F90" s="69"/>
      <c r="G90" s="73"/>
      <c r="H90" s="73"/>
      <c r="I90" s="73"/>
      <c r="J90" s="73"/>
      <c r="K90" s="73"/>
      <c r="L90" s="73"/>
      <c r="M90" s="73"/>
      <c r="N90" s="69"/>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69"/>
      <c r="AO90" s="73"/>
      <c r="AP90" s="73"/>
      <c r="AQ90" s="73"/>
      <c r="AR90" s="73"/>
      <c r="AS90" s="73"/>
      <c r="AT90" s="73"/>
      <c r="AU90" s="73"/>
      <c r="AV90" s="73"/>
      <c r="AW90" s="73"/>
      <c r="AX90" s="73"/>
      <c r="AY90" s="73"/>
      <c r="AZ90" s="73"/>
      <c r="BA90" s="73"/>
      <c r="BB90" s="73"/>
    </row>
    <row r="91" ht="15.75" customHeight="1">
      <c r="A91" s="73"/>
      <c r="B91" s="69"/>
      <c r="C91" s="69"/>
      <c r="D91" s="69"/>
      <c r="E91" s="69"/>
      <c r="F91" s="69"/>
      <c r="G91" s="73"/>
      <c r="H91" s="73"/>
      <c r="I91" s="73"/>
      <c r="J91" s="73"/>
      <c r="K91" s="73"/>
      <c r="L91" s="73"/>
      <c r="M91" s="73"/>
      <c r="N91" s="69"/>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69"/>
      <c r="AO91" s="73"/>
      <c r="AP91" s="73"/>
      <c r="AQ91" s="73"/>
      <c r="AR91" s="73"/>
      <c r="AS91" s="73"/>
      <c r="AT91" s="73"/>
      <c r="AU91" s="73"/>
      <c r="AV91" s="73"/>
      <c r="AW91" s="73"/>
      <c r="AX91" s="73"/>
      <c r="AY91" s="73"/>
      <c r="AZ91" s="73"/>
      <c r="BA91" s="73"/>
      <c r="BB91" s="73"/>
    </row>
    <row r="92" ht="15.75" customHeight="1">
      <c r="A92" s="73"/>
      <c r="B92" s="69"/>
      <c r="C92" s="69"/>
      <c r="D92" s="69"/>
      <c r="E92" s="69"/>
      <c r="F92" s="69"/>
      <c r="G92" s="73"/>
      <c r="H92" s="73"/>
      <c r="I92" s="73"/>
      <c r="J92" s="73"/>
      <c r="K92" s="73"/>
      <c r="L92" s="73"/>
      <c r="M92" s="73"/>
      <c r="N92" s="69"/>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69"/>
      <c r="AO92" s="73"/>
      <c r="AP92" s="73"/>
      <c r="AQ92" s="73"/>
      <c r="AR92" s="73"/>
      <c r="AS92" s="73"/>
      <c r="AT92" s="73"/>
      <c r="AU92" s="73"/>
      <c r="AV92" s="73"/>
      <c r="AW92" s="73"/>
      <c r="AX92" s="73"/>
      <c r="AY92" s="73"/>
      <c r="AZ92" s="73"/>
      <c r="BA92" s="73"/>
      <c r="BB92" s="73"/>
    </row>
  </sheetData>
  <mergeCells count="1">
    <mergeCell ref="A1:A9"/>
  </mergeCells>
  <dataValidations>
    <dataValidation type="list" allowBlank="1" sqref="K2 AO2 AW2 O2:O3 S2:S3 AI2:AI3 AK2:AK3 AQ2:AQ3 U2:U4 W2:W5 AA2:AA5 AY2:AY5 G2:G6 AM2:AM6 AG2:AG7 AU2:AU7 Q2:Q8 AS2:AS8 Y2:Y9 AE2:AE10 BA2:BA11 M2:M18 AC2:AC21 I2:I27">
      <formula1>VRMUpdate!$C:$C</formula1>
    </dataValidation>
  </dataValidations>
  <hyperlinks>
    <hyperlink r:id="rId2" ref="C38"/>
    <hyperlink r:id="rId3" ref="C45"/>
    <hyperlink r:id="rId4" ref="C63"/>
    <hyperlink r:id="rId5" ref="C85"/>
  </hyperlinks>
  <drawing r:id="rId6"/>
  <legacy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63"/>
    <col customWidth="1" min="2" max="2" width="6.5"/>
    <col customWidth="1" min="3" max="4" width="6.75"/>
    <col customWidth="1" min="5" max="5" width="6.13"/>
    <col customWidth="1" min="6" max="7" width="8.38"/>
    <col customWidth="1" min="8" max="8" width="8.88"/>
    <col customWidth="1" min="9" max="9" width="7.13"/>
    <col customWidth="1" min="10" max="10" width="8.25"/>
  </cols>
  <sheetData>
    <row r="1">
      <c r="A1" s="81" t="s">
        <v>665</v>
      </c>
      <c r="B1" s="82"/>
      <c r="C1" s="82"/>
      <c r="E1" s="82"/>
      <c r="F1" s="82"/>
      <c r="G1" s="82"/>
      <c r="H1" s="82"/>
      <c r="I1" s="82"/>
      <c r="J1" s="82"/>
    </row>
    <row r="2">
      <c r="A2" s="83" t="s">
        <v>666</v>
      </c>
      <c r="B2" s="84" t="s">
        <v>667</v>
      </c>
      <c r="C2" s="84" t="s">
        <v>668</v>
      </c>
      <c r="D2" s="85" t="s">
        <v>669</v>
      </c>
      <c r="E2" s="84" t="s">
        <v>670</v>
      </c>
      <c r="F2" s="84" t="s">
        <v>671</v>
      </c>
      <c r="G2" s="84" t="s">
        <v>672</v>
      </c>
      <c r="H2" s="84" t="s">
        <v>673</v>
      </c>
      <c r="I2" s="84" t="s">
        <v>674</v>
      </c>
      <c r="J2" s="84" t="s">
        <v>675</v>
      </c>
      <c r="K2" s="83"/>
      <c r="L2" s="84"/>
      <c r="M2" s="83"/>
      <c r="N2" s="83"/>
      <c r="O2" s="84"/>
      <c r="P2" s="83"/>
    </row>
    <row r="3">
      <c r="A3" s="86" t="s">
        <v>60</v>
      </c>
      <c r="B3" s="87">
        <f t="shared" ref="B3:B17" si="1">$H3+$F3+$G3</f>
        <v>9</v>
      </c>
      <c r="C3" s="87">
        <f t="shared" ref="C3:C17" si="2">$I3+$F3</f>
        <v>17</v>
      </c>
      <c r="D3" s="88">
        <f>IFERROR(__xludf.DUMMYFUNCTION("countif(arrayformula(REGEXMATCH(s.gen,""[A-Z]+"")), true)"),10.0)</f>
        <v>10</v>
      </c>
      <c r="E3" s="87">
        <f t="shared" ref="E3:E17" si="3">G3+J3</f>
        <v>1</v>
      </c>
      <c r="F3" s="87">
        <f>countif(VRMUpdate!$BU:$BU,"LK")</f>
        <v>8</v>
      </c>
      <c r="G3" s="87">
        <f>countif(VRMUpdate!$BU:$BU,"SK")</f>
        <v>0</v>
      </c>
      <c r="H3" s="87">
        <f>countif(VRMUpdate!$BU:$BU,"K")</f>
        <v>1</v>
      </c>
      <c r="I3" s="87">
        <f>countif(VRMUpdate!$BU:$BU,"L")</f>
        <v>9</v>
      </c>
      <c r="J3" s="87">
        <f>countif(VRMUpdate!$BU:$BU,"S")</f>
        <v>1</v>
      </c>
      <c r="K3" s="86"/>
      <c r="L3" s="87"/>
      <c r="M3" s="87"/>
      <c r="N3" s="87"/>
      <c r="O3" s="87"/>
      <c r="P3" s="87"/>
    </row>
    <row r="4">
      <c r="A4" s="86" t="s">
        <v>52</v>
      </c>
      <c r="B4" s="87">
        <f t="shared" si="1"/>
        <v>76</v>
      </c>
      <c r="C4" s="87">
        <f t="shared" si="2"/>
        <v>27</v>
      </c>
      <c r="D4" s="88">
        <f>IFERROR(__xludf.DUMMYFUNCTION("countif(arrayformula(REGEXMATCH(s.hwb,""[A-Z]+"")), true)"),28.0)</f>
        <v>28</v>
      </c>
      <c r="E4" s="87">
        <f t="shared" si="3"/>
        <v>10</v>
      </c>
      <c r="F4" s="87">
        <f>countif(VRMUpdate!$BO:$BO,"LK")</f>
        <v>25</v>
      </c>
      <c r="G4" s="87">
        <f>countif(VRMUpdate!$BO:$BO,"SK")</f>
        <v>9</v>
      </c>
      <c r="H4" s="87">
        <f>countif(VRMUpdate!$BO:$BO,"K")</f>
        <v>42</v>
      </c>
      <c r="I4" s="87">
        <f>countif(VRMUpdate!$BO:$BO,"L")</f>
        <v>2</v>
      </c>
      <c r="J4" s="87">
        <f>countif(VRMUpdate!$BO:$BO,"S")</f>
        <v>1</v>
      </c>
      <c r="K4" s="86"/>
      <c r="L4" s="87"/>
      <c r="M4" s="87"/>
      <c r="N4" s="87"/>
      <c r="O4" s="87"/>
      <c r="P4" s="87"/>
    </row>
    <row r="5">
      <c r="A5" s="86" t="s">
        <v>50</v>
      </c>
      <c r="B5" s="87">
        <f t="shared" si="1"/>
        <v>90</v>
      </c>
      <c r="C5" s="87">
        <f t="shared" si="2"/>
        <v>1</v>
      </c>
      <c r="D5" s="88">
        <f>IFERROR(__xludf.DUMMYFUNCTION("countif(arrayformula(REGEXMATCH(s.bun,""[A-Z]+"")), true)"),0.0)</f>
        <v>0</v>
      </c>
      <c r="E5" s="87">
        <f t="shared" si="3"/>
        <v>0</v>
      </c>
      <c r="F5" s="87">
        <f>countif(VRMUpdate!$BM:$BM,"LK")</f>
        <v>1</v>
      </c>
      <c r="G5" s="87">
        <f>countif(VRMUpdate!$BM:$BM,"SK")</f>
        <v>0</v>
      </c>
      <c r="H5" s="87">
        <f>countif(VRMUpdate!$BM:$BM,"K")</f>
        <v>89</v>
      </c>
      <c r="I5" s="87">
        <f>countif(VRMUpdate!$BM:$BM,"L")</f>
        <v>0</v>
      </c>
      <c r="J5" s="87">
        <f>countif(VRMUpdate!$BM:$BM,"S")</f>
        <v>0</v>
      </c>
      <c r="K5" s="86"/>
      <c r="L5" s="87"/>
      <c r="M5" s="87"/>
      <c r="N5" s="87"/>
      <c r="O5" s="87"/>
      <c r="P5" s="87"/>
    </row>
    <row r="6">
      <c r="A6" s="86" t="s">
        <v>61</v>
      </c>
      <c r="B6" s="87">
        <f t="shared" si="1"/>
        <v>90</v>
      </c>
      <c r="C6" s="87">
        <f t="shared" si="2"/>
        <v>5</v>
      </c>
      <c r="D6" s="88">
        <f>IFERROR(__xludf.DUMMYFUNCTION("countif(arrayformula(REGEXMATCH(s.hcc,""[A-Z]+"")), true)"),0.0)</f>
        <v>0</v>
      </c>
      <c r="E6" s="87">
        <f t="shared" si="3"/>
        <v>0</v>
      </c>
      <c r="F6" s="87">
        <f>countif(VRMUpdate!$BV:$BV,"LK")</f>
        <v>5</v>
      </c>
      <c r="G6" s="87">
        <f>countif(VRMUpdate!$BV:$BV,"SK")</f>
        <v>0</v>
      </c>
      <c r="H6" s="87">
        <f>countif(VRMUpdate!$BV:$BV,"K")</f>
        <v>85</v>
      </c>
      <c r="I6" s="87">
        <f>countif(VRMUpdate!$BV:$BV,"L")</f>
        <v>0</v>
      </c>
      <c r="J6" s="87">
        <f>countif(VRMUpdate!$BV:$BV,"S")</f>
        <v>0</v>
      </c>
      <c r="K6" s="86"/>
      <c r="L6" s="87"/>
      <c r="M6" s="87"/>
      <c r="N6" s="87"/>
      <c r="O6" s="87"/>
      <c r="P6" s="87"/>
    </row>
    <row r="7">
      <c r="A7" s="86" t="s">
        <v>51</v>
      </c>
      <c r="B7" s="87">
        <f t="shared" si="1"/>
        <v>58</v>
      </c>
      <c r="C7" s="87">
        <f t="shared" si="2"/>
        <v>48</v>
      </c>
      <c r="D7" s="88">
        <f>IFERROR(__xludf.DUMMYFUNCTION("countif(arrayformula(REGEXMATCH(s.kxn,""[A-Z]+"")), true)"),8.0)</f>
        <v>8</v>
      </c>
      <c r="E7" s="87">
        <f t="shared" si="3"/>
        <v>1</v>
      </c>
      <c r="F7" s="87">
        <f>countif(VRMUpdate!$BN:$BN,"LK")</f>
        <v>37</v>
      </c>
      <c r="G7" s="87">
        <f>countif(VRMUpdate!$BN:$BN,"SK")</f>
        <v>1</v>
      </c>
      <c r="H7" s="87">
        <f>countif(VRMUpdate!$BN:$BN,"K")</f>
        <v>20</v>
      </c>
      <c r="I7" s="87">
        <f>countif(VRMUpdate!$BN:$BN,"L")</f>
        <v>11</v>
      </c>
      <c r="J7" s="87">
        <f>countif(VRMUpdate!$BN:$BN,"S")</f>
        <v>0</v>
      </c>
      <c r="K7" s="86"/>
      <c r="L7" s="87"/>
      <c r="M7" s="87"/>
      <c r="N7" s="87"/>
      <c r="O7" s="87"/>
      <c r="P7" s="87"/>
    </row>
    <row r="8">
      <c r="A8" s="89" t="s">
        <v>53</v>
      </c>
      <c r="B8" s="87">
        <f t="shared" si="1"/>
        <v>65</v>
      </c>
      <c r="C8" s="87">
        <f t="shared" si="2"/>
        <v>38</v>
      </c>
      <c r="D8" s="88">
        <f>IFERROR(__xludf.DUMMYFUNCTION("countif(arrayformula(REGEXMATCH(s.ekxn,""[A-Z]+"")), true)"),14.0)</f>
        <v>14</v>
      </c>
      <c r="E8" s="87">
        <f t="shared" si="3"/>
        <v>4</v>
      </c>
      <c r="F8" s="87">
        <f>countif(VRMUpdate!$BP:$BP,"LK")</f>
        <v>30</v>
      </c>
      <c r="G8" s="87">
        <f>countif(VRMUpdate!$BP:$BP,"SK")</f>
        <v>4</v>
      </c>
      <c r="H8" s="87">
        <f>countif(VRMUpdate!$BP:$BP,"K")</f>
        <v>31</v>
      </c>
      <c r="I8" s="87">
        <f>countif(VRMUpdate!$BP:$BP,"L")</f>
        <v>8</v>
      </c>
      <c r="J8" s="87">
        <f>countif(VRMUpdate!$BP:$BP,"S")</f>
        <v>0</v>
      </c>
      <c r="K8" s="86"/>
      <c r="L8" s="87"/>
      <c r="M8" s="87"/>
      <c r="N8" s="87"/>
      <c r="O8" s="87"/>
      <c r="P8" s="87"/>
    </row>
    <row r="9">
      <c r="A9" s="86" t="s">
        <v>55</v>
      </c>
      <c r="B9" s="87">
        <f t="shared" si="1"/>
        <v>43</v>
      </c>
      <c r="C9" s="87">
        <f t="shared" si="2"/>
        <v>10</v>
      </c>
      <c r="D9" s="88">
        <f>IFERROR(__xludf.DUMMYFUNCTION("countif(arrayformula(REGEXMATCH(s.egt,""[A-Z]+"")), true)"),6.0)</f>
        <v>6</v>
      </c>
      <c r="E9" s="87">
        <f t="shared" si="3"/>
        <v>2</v>
      </c>
      <c r="F9" s="87">
        <f>countif(VRMUpdate!$BQ:$BQ,"LK")</f>
        <v>5</v>
      </c>
      <c r="G9" s="87">
        <f>countif(VRMUpdate!$BQ:$BQ,"SK")</f>
        <v>2</v>
      </c>
      <c r="H9" s="87">
        <f>countif(VRMUpdate!$BQ:$BQ,"K")</f>
        <v>36</v>
      </c>
      <c r="I9" s="87">
        <f>countif(VRMUpdate!$BQ:$BQ,"L")</f>
        <v>5</v>
      </c>
      <c r="J9" s="87">
        <f>countif(VRMUpdate!$BQ:$BQ,"S")</f>
        <v>0</v>
      </c>
      <c r="K9" s="86"/>
      <c r="L9" s="87"/>
      <c r="M9" s="87"/>
      <c r="N9" s="87"/>
      <c r="O9" s="87"/>
      <c r="P9" s="87"/>
    </row>
    <row r="10">
      <c r="A10" s="89" t="s">
        <v>59</v>
      </c>
      <c r="B10" s="87">
        <f t="shared" si="1"/>
        <v>42</v>
      </c>
      <c r="C10" s="87">
        <f t="shared" si="2"/>
        <v>10</v>
      </c>
      <c r="D10" s="88">
        <f>IFERROR(__xludf.DUMMYFUNCTION("countif(arrayformula(REGEXMATCH(s.gkxn,""[A-Z]+"")), true)"),2.0)</f>
        <v>2</v>
      </c>
      <c r="E10" s="87">
        <f t="shared" si="3"/>
        <v>0</v>
      </c>
      <c r="F10" s="87">
        <f>countif(VRMUpdate!$BT:$BT,"LK")</f>
        <v>10</v>
      </c>
      <c r="G10" s="87">
        <f>countif(VRMUpdate!$BT:$BT,"SK")</f>
        <v>0</v>
      </c>
      <c r="H10" s="87">
        <f>countif(VRMUpdate!$BT:$BT,"K")</f>
        <v>32</v>
      </c>
      <c r="I10" s="87">
        <f>countif(VRMUpdate!$BT:$BT,"L")</f>
        <v>0</v>
      </c>
      <c r="J10" s="87">
        <f>countif(VRMUpdate!$BT:$BT,"S")</f>
        <v>0</v>
      </c>
      <c r="K10" s="86"/>
      <c r="L10" s="87"/>
      <c r="M10" s="87"/>
      <c r="N10" s="87"/>
      <c r="O10" s="87"/>
      <c r="P10" s="87"/>
    </row>
    <row r="11">
      <c r="A11" s="86" t="s">
        <v>58</v>
      </c>
      <c r="B11" s="87">
        <f t="shared" si="1"/>
        <v>89</v>
      </c>
      <c r="C11" s="87">
        <f t="shared" si="2"/>
        <v>11</v>
      </c>
      <c r="D11" s="88">
        <f>IFERROR(__xludf.DUMMYFUNCTION("countif(arrayformula(REGEXMATCH(s.erd,""[A-Z]+"")), true)"),5.0)</f>
        <v>5</v>
      </c>
      <c r="E11" s="87">
        <f t="shared" si="3"/>
        <v>0</v>
      </c>
      <c r="F11" s="87">
        <f>countif(VRMUpdate!$BS:$BS,"LK")</f>
        <v>11</v>
      </c>
      <c r="G11" s="87">
        <f>countif(VRMUpdate!$BS:$BS,"SK")</f>
        <v>0</v>
      </c>
      <c r="H11" s="87">
        <f>countif(VRMUpdate!$BS:$BS,"K")</f>
        <v>78</v>
      </c>
      <c r="I11" s="87">
        <f>countif(VRMUpdate!$BS:$BS,"L")</f>
        <v>0</v>
      </c>
      <c r="J11" s="87">
        <f>countif(VRMUpdate!$BS:$BS,"S")</f>
        <v>0</v>
      </c>
      <c r="K11" s="86"/>
      <c r="L11" s="87"/>
      <c r="M11" s="87"/>
      <c r="N11" s="87"/>
      <c r="O11" s="87"/>
      <c r="P11" s="87"/>
    </row>
    <row r="12">
      <c r="A12" s="86" t="s">
        <v>65</v>
      </c>
      <c r="B12" s="87">
        <f t="shared" si="1"/>
        <v>90</v>
      </c>
      <c r="C12" s="87">
        <f t="shared" si="2"/>
        <v>44</v>
      </c>
      <c r="D12" s="88">
        <f>IFERROR(__xludf.DUMMYFUNCTION("countif(arrayformula(REGEXMATCH(s.nar,""[A-Z]+"")), true)"),25.0)</f>
        <v>25</v>
      </c>
      <c r="E12" s="87">
        <f t="shared" si="3"/>
        <v>3</v>
      </c>
      <c r="F12" s="87">
        <f>countif(VRMUpdate!$BZ:$BZ,"LK")</f>
        <v>44</v>
      </c>
      <c r="G12" s="87">
        <f>countif(VRMUpdate!$BZ:$BZ,"SK")</f>
        <v>3</v>
      </c>
      <c r="H12" s="87">
        <f>countif(VRMUpdate!$BZ:$BZ,"K")</f>
        <v>43</v>
      </c>
      <c r="I12" s="87">
        <f>countif(VRMUpdate!$BZ:$BZ,"L")</f>
        <v>0</v>
      </c>
      <c r="J12" s="87">
        <f>countif(VRMUpdate!$BZ:$BZ,"S")</f>
        <v>0</v>
      </c>
      <c r="K12" s="86"/>
      <c r="L12" s="87"/>
      <c r="M12" s="87"/>
      <c r="N12" s="87"/>
      <c r="O12" s="87"/>
      <c r="P12" s="87"/>
    </row>
    <row r="13">
      <c r="A13" s="86" t="s">
        <v>62</v>
      </c>
      <c r="B13" s="87">
        <f t="shared" si="1"/>
        <v>84</v>
      </c>
      <c r="C13" s="87">
        <f t="shared" si="2"/>
        <v>49</v>
      </c>
      <c r="D13" s="88">
        <f>IFERROR(__xludf.DUMMYFUNCTION("countif(arrayformula(REGEXMATCH(s.kmp,""[A-Z]+"")), true)"),42.0)</f>
        <v>42</v>
      </c>
      <c r="E13" s="87">
        <f t="shared" si="3"/>
        <v>8</v>
      </c>
      <c r="F13" s="87">
        <f>countif(VRMUpdate!$BW:$BW,"LK")</f>
        <v>49</v>
      </c>
      <c r="G13" s="87">
        <f>countif(VRMUpdate!$BW:$BW,"SK")</f>
        <v>8</v>
      </c>
      <c r="H13" s="87">
        <f>countif(VRMUpdate!$BW:$BW,"K")</f>
        <v>27</v>
      </c>
      <c r="I13" s="87">
        <f>countif(VRMUpdate!$BW:$BW,"L")</f>
        <v>0</v>
      </c>
      <c r="J13" s="87">
        <f>countif(VRMUpdate!$BW:$BW,"S")</f>
        <v>0</v>
      </c>
      <c r="K13" s="86"/>
      <c r="L13" s="87"/>
      <c r="M13" s="87"/>
      <c r="N13" s="87"/>
      <c r="O13" s="87"/>
      <c r="P13" s="87"/>
    </row>
    <row r="14">
      <c r="A14" s="86" t="s">
        <v>64</v>
      </c>
      <c r="B14" s="87">
        <f t="shared" si="1"/>
        <v>47</v>
      </c>
      <c r="C14" s="87">
        <f t="shared" si="2"/>
        <v>19</v>
      </c>
      <c r="D14" s="88">
        <f>IFERROR(__xludf.DUMMYFUNCTION("countif(arrayformula(REGEXMATCH(s.myc,""[A-Z]+"")), true)"),2.0)</f>
        <v>2</v>
      </c>
      <c r="E14" s="87">
        <f t="shared" si="3"/>
        <v>0</v>
      </c>
      <c r="F14" s="87">
        <f>countif(VRMUpdate!$BY:$BY,"LK")</f>
        <v>13</v>
      </c>
      <c r="G14" s="87">
        <f>countif(VRMUpdate!$BY:$BY,"SK")</f>
        <v>0</v>
      </c>
      <c r="H14" s="87">
        <f>countif(VRMUpdate!$BY:$BY,"K")</f>
        <v>34</v>
      </c>
      <c r="I14" s="87">
        <f>countif(VRMUpdate!$BY:$BY,"L")</f>
        <v>6</v>
      </c>
      <c r="J14" s="87">
        <f>countif(VRMUpdate!$BY:$BY,"S")</f>
        <v>0</v>
      </c>
      <c r="K14" s="86"/>
      <c r="L14" s="87"/>
      <c r="M14" s="87"/>
      <c r="N14" s="87"/>
      <c r="O14" s="87"/>
      <c r="P14" s="87"/>
    </row>
    <row r="15">
      <c r="A15" s="86" t="s">
        <v>66</v>
      </c>
      <c r="B15" s="87">
        <f t="shared" si="1"/>
        <v>83</v>
      </c>
      <c r="C15" s="87">
        <f t="shared" si="2"/>
        <v>59</v>
      </c>
      <c r="D15" s="88">
        <f>IFERROR(__xludf.DUMMYFUNCTION("countif(arrayformula(REGEXMATCH(s.que,""[A-Z]+"")), true)"),56.0)</f>
        <v>56</v>
      </c>
      <c r="E15" s="87">
        <f t="shared" si="3"/>
        <v>4</v>
      </c>
      <c r="F15" s="87">
        <f>countif(VRMUpdate!$CA:$CA,"LK")</f>
        <v>57</v>
      </c>
      <c r="G15" s="87">
        <f>countif(VRMUpdate!$CA:$CA,"SK")</f>
        <v>4</v>
      </c>
      <c r="H15" s="87">
        <f>countif(VRMUpdate!$CA:$CA,"K")</f>
        <v>22</v>
      </c>
      <c r="I15" s="87">
        <f>countif(VRMUpdate!$CA:$CA,"L")</f>
        <v>2</v>
      </c>
      <c r="J15" s="87">
        <f>countif(VRMUpdate!$CA:$CA,"S")</f>
        <v>0</v>
      </c>
      <c r="K15" s="86"/>
      <c r="L15" s="87"/>
      <c r="M15" s="87"/>
      <c r="N15" s="87"/>
      <c r="O15" s="87"/>
      <c r="P15" s="87"/>
    </row>
    <row r="16">
      <c r="A16" s="87" t="s">
        <v>49</v>
      </c>
      <c r="B16" s="87">
        <f t="shared" si="1"/>
        <v>37</v>
      </c>
      <c r="C16" s="87">
        <f t="shared" si="2"/>
        <v>30</v>
      </c>
      <c r="D16" s="88">
        <f>IFERROR(__xludf.DUMMYFUNCTION("countif(arrayformula(REGEXMATCH(s.agi,""[A-Z]+"")), true)"),21.0)</f>
        <v>21</v>
      </c>
      <c r="E16" s="87">
        <f t="shared" si="3"/>
        <v>3</v>
      </c>
      <c r="F16" s="87">
        <f>countif(VRMUpdate!$BL:$BL,"LK")</f>
        <v>15</v>
      </c>
      <c r="G16" s="87">
        <f>countif(VRMUpdate!$BL:$BL,"SK")</f>
        <v>0</v>
      </c>
      <c r="H16" s="87">
        <f>countif(VRMUpdate!$BL:$BL,"K")</f>
        <v>22</v>
      </c>
      <c r="I16" s="87">
        <f>countif(VRMUpdate!$BL:$BL,"L")</f>
        <v>15</v>
      </c>
      <c r="J16" s="87">
        <f>countif(VRMUpdate!$BL:$BL,"S")</f>
        <v>3</v>
      </c>
      <c r="K16" s="87"/>
      <c r="L16" s="87"/>
      <c r="M16" s="87"/>
      <c r="N16" s="87"/>
      <c r="O16" s="87"/>
      <c r="P16" s="87"/>
    </row>
    <row r="17">
      <c r="A17" s="86" t="s">
        <v>63</v>
      </c>
      <c r="B17" s="87">
        <f t="shared" si="1"/>
        <v>37</v>
      </c>
      <c r="C17" s="87">
        <f t="shared" si="2"/>
        <v>36</v>
      </c>
      <c r="D17" s="88">
        <f>IFERROR(__xludf.DUMMYFUNCTION("countif(arrayformula(REGEXMATCH(s.lu2,""[A-Z]+"")), true)"),16.0)</f>
        <v>16</v>
      </c>
      <c r="E17" s="87">
        <f t="shared" si="3"/>
        <v>2</v>
      </c>
      <c r="F17" s="87">
        <f>countif(VRMUpdate!$BX:$BX,"LK")</f>
        <v>14</v>
      </c>
      <c r="G17" s="87">
        <f>countif(VRMUpdate!$BX:$BX,"SK")</f>
        <v>0</v>
      </c>
      <c r="H17" s="87">
        <f>countif(VRMUpdate!$BX:$BX,"K")</f>
        <v>23</v>
      </c>
      <c r="I17" s="87">
        <f>countif(VRMUpdate!$BX:$BX,"L")</f>
        <v>22</v>
      </c>
      <c r="J17" s="87">
        <f>countif(VRMUpdate!$BX:$BX,"S")</f>
        <v>2</v>
      </c>
      <c r="K17" s="86"/>
      <c r="L17" s="87"/>
      <c r="M17" s="87"/>
      <c r="N17" s="87"/>
      <c r="O17" s="87"/>
      <c r="P17" s="87"/>
    </row>
    <row r="21" ht="15.75" customHeight="1"/>
    <row r="22" ht="15.75" customHeight="1"/>
    <row r="23" ht="15.75" customHeight="1"/>
    <row r="24" ht="15.75" customHeight="1"/>
    <row r="25" ht="15.75" customHeight="1"/>
    <row r="26" ht="15.75" customHeight="1"/>
    <row r="27" ht="15.75" customHeight="1"/>
    <row r="28" ht="15.75" customHeight="1">
      <c r="L28" s="82"/>
      <c r="M28" s="82"/>
      <c r="N28" s="82"/>
      <c r="O28" s="82"/>
      <c r="P28" s="90"/>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38"/>
    <col customWidth="1" min="2" max="2" width="12.38"/>
    <col customWidth="1" min="3" max="3" width="5.0"/>
    <col customWidth="1" min="4" max="28" width="6.38"/>
  </cols>
  <sheetData>
    <row r="1">
      <c r="A1" s="91" t="s">
        <v>49</v>
      </c>
      <c r="D1" s="91" t="s">
        <v>55</v>
      </c>
      <c r="G1" s="91" t="s">
        <v>53</v>
      </c>
      <c r="J1" s="91" t="s">
        <v>52</v>
      </c>
      <c r="M1" s="92"/>
      <c r="N1" s="91" t="s">
        <v>409</v>
      </c>
      <c r="O1" s="92"/>
      <c r="P1" s="92"/>
      <c r="Q1" s="92"/>
      <c r="R1" s="92"/>
      <c r="S1" s="92"/>
      <c r="T1" s="92"/>
      <c r="U1" s="92"/>
      <c r="V1" s="92"/>
      <c r="W1" s="92"/>
      <c r="X1" s="92"/>
      <c r="Y1" s="92"/>
      <c r="Z1" s="92"/>
      <c r="AA1" s="92"/>
      <c r="AB1" s="92"/>
    </row>
    <row r="2">
      <c r="A2" s="91" t="s">
        <v>162</v>
      </c>
      <c r="B2" s="91" t="s">
        <v>676</v>
      </c>
      <c r="C2" s="91" t="s">
        <v>475</v>
      </c>
      <c r="D2" s="91" t="s">
        <v>240</v>
      </c>
      <c r="E2" s="91" t="s">
        <v>677</v>
      </c>
      <c r="F2" s="91" t="s">
        <v>21</v>
      </c>
      <c r="G2" s="91" t="s">
        <v>240</v>
      </c>
      <c r="H2" s="91" t="s">
        <v>678</v>
      </c>
      <c r="I2" s="91" t="s">
        <v>21</v>
      </c>
      <c r="J2" s="91" t="s">
        <v>76</v>
      </c>
      <c r="K2" s="91" t="s">
        <v>679</v>
      </c>
      <c r="L2" s="91" t="s">
        <v>655</v>
      </c>
      <c r="M2" s="92"/>
      <c r="N2" s="93" t="s">
        <v>680</v>
      </c>
      <c r="O2" s="94" t="s">
        <v>681</v>
      </c>
      <c r="Q2" s="92"/>
      <c r="R2" s="92"/>
      <c r="S2" s="92"/>
      <c r="T2" s="92"/>
      <c r="U2" s="92"/>
      <c r="V2" s="92"/>
      <c r="W2" s="92"/>
      <c r="X2" s="92"/>
      <c r="Y2" s="92"/>
      <c r="Z2" s="92"/>
      <c r="AA2" s="92"/>
      <c r="AB2" s="92"/>
    </row>
    <row r="3">
      <c r="A3" s="91" t="s">
        <v>165</v>
      </c>
      <c r="B3" s="91" t="s">
        <v>682</v>
      </c>
      <c r="C3" s="91" t="s">
        <v>683</v>
      </c>
      <c r="D3" s="92"/>
      <c r="E3" s="92"/>
      <c r="F3" s="92"/>
      <c r="G3" s="91" t="s">
        <v>243</v>
      </c>
      <c r="H3" s="91" t="s">
        <v>684</v>
      </c>
      <c r="I3" s="91" t="s">
        <v>683</v>
      </c>
      <c r="J3" s="91" t="s">
        <v>95</v>
      </c>
      <c r="K3" s="91" t="s">
        <v>685</v>
      </c>
      <c r="L3" s="91" t="s">
        <v>686</v>
      </c>
      <c r="M3" s="92"/>
      <c r="O3" s="94" t="s">
        <v>687</v>
      </c>
      <c r="P3" s="92"/>
      <c r="Q3" s="92"/>
      <c r="R3" s="92"/>
      <c r="S3" s="92"/>
      <c r="T3" s="92"/>
      <c r="U3" s="92"/>
      <c r="V3" s="92"/>
      <c r="W3" s="92"/>
      <c r="X3" s="92"/>
      <c r="Y3" s="92"/>
      <c r="Z3" s="92"/>
      <c r="AA3" s="92"/>
      <c r="AB3" s="92"/>
    </row>
    <row r="4">
      <c r="A4" s="91" t="s">
        <v>378</v>
      </c>
      <c r="B4" s="91" t="s">
        <v>688</v>
      </c>
      <c r="C4" s="91" t="s">
        <v>683</v>
      </c>
      <c r="D4" s="92"/>
      <c r="E4" s="92"/>
      <c r="F4" s="92"/>
      <c r="G4" s="91" t="s">
        <v>390</v>
      </c>
      <c r="H4" s="91" t="s">
        <v>678</v>
      </c>
      <c r="I4" s="91" t="s">
        <v>11</v>
      </c>
      <c r="J4" s="91" t="s">
        <v>114</v>
      </c>
      <c r="K4" s="91" t="s">
        <v>689</v>
      </c>
      <c r="L4" s="91" t="s">
        <v>683</v>
      </c>
      <c r="M4" s="92"/>
      <c r="N4" s="93" t="s">
        <v>690</v>
      </c>
      <c r="O4" s="91" t="s">
        <v>691</v>
      </c>
      <c r="P4" s="92"/>
      <c r="Q4" s="92"/>
      <c r="R4" s="92"/>
      <c r="S4" s="92"/>
      <c r="T4" s="92"/>
      <c r="U4" s="92"/>
      <c r="V4" s="92"/>
      <c r="W4" s="92"/>
      <c r="X4" s="92"/>
      <c r="Y4" s="92"/>
      <c r="Z4" s="92"/>
      <c r="AA4" s="92"/>
      <c r="AB4" s="92"/>
    </row>
    <row r="5">
      <c r="A5" s="91" t="s">
        <v>393</v>
      </c>
      <c r="B5" s="91" t="s">
        <v>692</v>
      </c>
      <c r="C5" s="91" t="s">
        <v>686</v>
      </c>
      <c r="D5" s="92"/>
      <c r="E5" s="92"/>
      <c r="F5" s="92"/>
      <c r="G5" s="92"/>
      <c r="H5" s="92"/>
      <c r="I5" s="92"/>
      <c r="J5" s="95" t="s">
        <v>156</v>
      </c>
      <c r="K5" s="91" t="s">
        <v>693</v>
      </c>
      <c r="L5" s="91" t="s">
        <v>683</v>
      </c>
      <c r="M5" s="92"/>
      <c r="O5" s="91" t="s">
        <v>694</v>
      </c>
      <c r="P5" s="92"/>
      <c r="Q5" s="92"/>
      <c r="R5" s="92"/>
      <c r="S5" s="92"/>
      <c r="T5" s="92"/>
      <c r="U5" s="92"/>
      <c r="V5" s="92"/>
      <c r="W5" s="92"/>
      <c r="X5" s="92"/>
      <c r="Y5" s="92"/>
      <c r="Z5" s="92"/>
      <c r="AA5" s="92"/>
      <c r="AB5" s="92"/>
    </row>
    <row r="6">
      <c r="A6" s="92"/>
      <c r="B6" s="92"/>
      <c r="C6" s="92"/>
      <c r="D6" s="92"/>
      <c r="E6" s="92"/>
      <c r="F6" s="92"/>
      <c r="G6" s="92"/>
      <c r="H6" s="92"/>
      <c r="I6" s="92"/>
      <c r="K6" s="91" t="s">
        <v>695</v>
      </c>
      <c r="L6" s="92"/>
      <c r="M6" s="92"/>
      <c r="N6" s="92"/>
      <c r="O6" s="96" t="s">
        <v>696</v>
      </c>
      <c r="P6" s="92"/>
      <c r="Q6" s="92"/>
      <c r="R6" s="92"/>
      <c r="S6" s="92"/>
      <c r="T6" s="92"/>
      <c r="U6" s="92"/>
      <c r="V6" s="92"/>
      <c r="W6" s="92"/>
      <c r="X6" s="92"/>
      <c r="Y6" s="92"/>
      <c r="Z6" s="92"/>
      <c r="AA6" s="92"/>
      <c r="AB6" s="92"/>
    </row>
    <row r="7">
      <c r="A7" s="92"/>
      <c r="B7" s="92"/>
      <c r="C7" s="92"/>
      <c r="D7" s="92"/>
      <c r="E7" s="92"/>
      <c r="F7" s="92"/>
      <c r="G7" s="92"/>
      <c r="H7" s="92"/>
      <c r="I7" s="92"/>
      <c r="K7" s="97" t="s">
        <v>697</v>
      </c>
      <c r="L7" s="92"/>
      <c r="M7" s="92"/>
      <c r="N7" s="93" t="s">
        <v>698</v>
      </c>
      <c r="O7" s="91" t="s">
        <v>699</v>
      </c>
      <c r="P7" s="92"/>
      <c r="Q7" s="92"/>
      <c r="R7" s="92"/>
      <c r="S7" s="92"/>
      <c r="T7" s="92"/>
      <c r="U7" s="92"/>
      <c r="V7" s="92"/>
      <c r="W7" s="92"/>
      <c r="X7" s="92"/>
      <c r="Y7" s="92"/>
      <c r="Z7" s="92"/>
      <c r="AA7" s="92"/>
      <c r="AB7" s="92"/>
    </row>
    <row r="8">
      <c r="A8" s="92"/>
      <c r="B8" s="92"/>
      <c r="C8" s="92"/>
      <c r="D8" s="92"/>
      <c r="E8" s="92"/>
      <c r="F8" s="92"/>
      <c r="G8" s="92"/>
      <c r="H8" s="92"/>
      <c r="I8" s="92"/>
      <c r="J8" s="91" t="s">
        <v>213</v>
      </c>
      <c r="K8" s="91" t="s">
        <v>700</v>
      </c>
      <c r="L8" s="91" t="s">
        <v>686</v>
      </c>
      <c r="M8" s="92"/>
      <c r="N8" s="92"/>
      <c r="O8" s="96" t="s">
        <v>701</v>
      </c>
      <c r="P8" s="92"/>
      <c r="Q8" s="92"/>
      <c r="R8" s="92"/>
      <c r="S8" s="92"/>
      <c r="T8" s="92"/>
      <c r="U8" s="92"/>
      <c r="V8" s="92"/>
      <c r="W8" s="92"/>
      <c r="X8" s="92"/>
      <c r="Y8" s="92"/>
      <c r="Z8" s="92"/>
      <c r="AA8" s="92"/>
      <c r="AB8" s="92"/>
    </row>
    <row r="9">
      <c r="A9" s="92"/>
      <c r="B9" s="92"/>
      <c r="C9" s="92"/>
      <c r="D9" s="92"/>
      <c r="E9" s="92"/>
      <c r="F9" s="92"/>
      <c r="G9" s="92"/>
      <c r="H9" s="92"/>
      <c r="I9" s="92"/>
      <c r="J9" s="95" t="s">
        <v>222</v>
      </c>
      <c r="K9" s="91" t="s">
        <v>702</v>
      </c>
      <c r="L9" s="91" t="s">
        <v>683</v>
      </c>
      <c r="M9" s="92"/>
      <c r="N9" s="92"/>
      <c r="O9" s="96" t="s">
        <v>703</v>
      </c>
      <c r="P9" s="92"/>
      <c r="Q9" s="92"/>
      <c r="R9" s="92"/>
      <c r="S9" s="92"/>
      <c r="T9" s="92"/>
      <c r="U9" s="92"/>
      <c r="V9" s="92"/>
      <c r="W9" s="92"/>
      <c r="X9" s="92"/>
      <c r="Y9" s="92"/>
      <c r="Z9" s="92"/>
      <c r="AA9" s="92"/>
      <c r="AB9" s="92"/>
    </row>
    <row r="10">
      <c r="A10" s="92"/>
      <c r="B10" s="92"/>
      <c r="C10" s="92"/>
      <c r="D10" s="92"/>
      <c r="E10" s="92"/>
      <c r="F10" s="92"/>
      <c r="G10" s="92"/>
      <c r="H10" s="92"/>
      <c r="I10" s="92"/>
      <c r="K10" s="97" t="s">
        <v>697</v>
      </c>
      <c r="L10" s="92"/>
      <c r="M10" s="92"/>
      <c r="N10" s="92"/>
      <c r="O10" s="92"/>
      <c r="P10" s="92"/>
      <c r="Q10" s="92"/>
      <c r="R10" s="92"/>
      <c r="S10" s="92"/>
      <c r="T10" s="92"/>
      <c r="U10" s="92"/>
      <c r="V10" s="92"/>
      <c r="W10" s="92"/>
      <c r="X10" s="92"/>
      <c r="Y10" s="92"/>
      <c r="Z10" s="92"/>
      <c r="AA10" s="92"/>
      <c r="AB10" s="92"/>
    </row>
    <row r="11">
      <c r="A11" s="92"/>
      <c r="B11" s="92"/>
      <c r="C11" s="92"/>
      <c r="D11" s="92"/>
      <c r="E11" s="92"/>
      <c r="F11" s="92"/>
      <c r="G11" s="92"/>
      <c r="H11" s="92"/>
      <c r="I11" s="92"/>
      <c r="J11" s="91" t="s">
        <v>243</v>
      </c>
      <c r="K11" s="91" t="s">
        <v>704</v>
      </c>
      <c r="L11" s="91" t="s">
        <v>683</v>
      </c>
      <c r="M11" s="92"/>
      <c r="N11" s="92"/>
      <c r="O11" s="92"/>
      <c r="P11" s="92"/>
      <c r="Q11" s="92"/>
      <c r="R11" s="92"/>
      <c r="S11" s="92"/>
      <c r="T11" s="92"/>
      <c r="U11" s="92"/>
      <c r="V11" s="92"/>
      <c r="W11" s="92"/>
      <c r="X11" s="92"/>
      <c r="Y11" s="92"/>
      <c r="Z11" s="92"/>
      <c r="AA11" s="92"/>
      <c r="AB11" s="92"/>
    </row>
    <row r="12">
      <c r="A12" s="92"/>
      <c r="B12" s="92"/>
      <c r="C12" s="92"/>
      <c r="D12" s="92"/>
      <c r="E12" s="92"/>
      <c r="F12" s="92"/>
      <c r="G12" s="92"/>
      <c r="H12" s="92"/>
      <c r="I12" s="92"/>
      <c r="J12" s="91" t="s">
        <v>260</v>
      </c>
      <c r="K12" s="91" t="s">
        <v>689</v>
      </c>
      <c r="L12" s="91" t="s">
        <v>683</v>
      </c>
      <c r="M12" s="92"/>
      <c r="N12" s="92"/>
      <c r="O12" s="92"/>
      <c r="P12" s="92"/>
      <c r="Q12" s="92"/>
      <c r="R12" s="92"/>
      <c r="S12" s="92"/>
      <c r="T12" s="92"/>
      <c r="U12" s="92"/>
      <c r="V12" s="92"/>
      <c r="W12" s="92"/>
      <c r="X12" s="92"/>
      <c r="Y12" s="92"/>
      <c r="Z12" s="92"/>
      <c r="AA12" s="92"/>
      <c r="AB12" s="92"/>
    </row>
    <row r="13">
      <c r="A13" s="92"/>
      <c r="B13" s="92"/>
      <c r="C13" s="92"/>
      <c r="D13" s="92"/>
      <c r="E13" s="92"/>
      <c r="F13" s="92"/>
      <c r="G13" s="92"/>
      <c r="H13" s="92"/>
      <c r="I13" s="92"/>
      <c r="J13" s="91" t="s">
        <v>268</v>
      </c>
      <c r="K13" s="91" t="s">
        <v>689</v>
      </c>
      <c r="L13" s="91" t="s">
        <v>683</v>
      </c>
      <c r="M13" s="92"/>
      <c r="N13" s="92"/>
      <c r="O13" s="92"/>
      <c r="P13" s="92"/>
      <c r="Q13" s="92"/>
      <c r="R13" s="92"/>
      <c r="S13" s="92"/>
      <c r="T13" s="92"/>
      <c r="U13" s="92"/>
      <c r="V13" s="92"/>
      <c r="W13" s="92"/>
      <c r="X13" s="92"/>
      <c r="Y13" s="92"/>
      <c r="Z13" s="92"/>
      <c r="AA13" s="92"/>
      <c r="AB13" s="92"/>
    </row>
    <row r="14">
      <c r="A14" s="92"/>
      <c r="B14" s="92"/>
      <c r="C14" s="92"/>
      <c r="D14" s="92"/>
      <c r="E14" s="92"/>
      <c r="F14" s="92"/>
      <c r="G14" s="92"/>
      <c r="H14" s="92"/>
      <c r="I14" s="92"/>
      <c r="J14" s="95" t="s">
        <v>274</v>
      </c>
      <c r="K14" s="97" t="s">
        <v>704</v>
      </c>
      <c r="L14" s="91" t="s">
        <v>21</v>
      </c>
      <c r="M14" s="92"/>
      <c r="N14" s="92"/>
      <c r="O14" s="92"/>
      <c r="P14" s="92"/>
      <c r="Q14" s="92"/>
      <c r="R14" s="92"/>
      <c r="S14" s="92"/>
      <c r="T14" s="92"/>
      <c r="U14" s="92"/>
      <c r="V14" s="92"/>
      <c r="W14" s="92"/>
      <c r="X14" s="92"/>
      <c r="Y14" s="92"/>
      <c r="Z14" s="92"/>
      <c r="AA14" s="92"/>
      <c r="AB14" s="92"/>
    </row>
    <row r="15">
      <c r="A15" s="92"/>
      <c r="B15" s="92"/>
      <c r="C15" s="92"/>
      <c r="D15" s="92"/>
      <c r="E15" s="92"/>
      <c r="F15" s="92"/>
      <c r="G15" s="92"/>
      <c r="H15" s="92"/>
      <c r="I15" s="92"/>
      <c r="K15" s="91" t="s">
        <v>705</v>
      </c>
      <c r="L15" s="92"/>
      <c r="M15" s="92"/>
      <c r="N15" s="92"/>
      <c r="O15" s="92"/>
      <c r="P15" s="92"/>
      <c r="Q15" s="92"/>
      <c r="R15" s="92"/>
      <c r="S15" s="92"/>
      <c r="T15" s="92"/>
      <c r="U15" s="92"/>
      <c r="V15" s="92"/>
      <c r="W15" s="92"/>
      <c r="X15" s="92"/>
      <c r="Y15" s="92"/>
      <c r="Z15" s="92"/>
      <c r="AA15" s="92"/>
      <c r="AB15" s="92"/>
    </row>
    <row r="16">
      <c r="A16" s="92"/>
      <c r="B16" s="92"/>
      <c r="C16" s="92"/>
      <c r="D16" s="92"/>
      <c r="E16" s="92"/>
      <c r="F16" s="92"/>
      <c r="G16" s="92"/>
      <c r="H16" s="92"/>
      <c r="I16" s="92"/>
      <c r="K16" s="91" t="s">
        <v>706</v>
      </c>
      <c r="L16" s="92"/>
      <c r="M16" s="92"/>
      <c r="N16" s="92"/>
      <c r="O16" s="92"/>
      <c r="P16" s="92"/>
      <c r="Q16" s="92"/>
      <c r="R16" s="92"/>
      <c r="S16" s="92"/>
      <c r="T16" s="92"/>
      <c r="U16" s="92"/>
      <c r="V16" s="92"/>
      <c r="W16" s="92"/>
      <c r="X16" s="92"/>
      <c r="Y16" s="92"/>
      <c r="Z16" s="92"/>
      <c r="AA16" s="92"/>
      <c r="AB16" s="92"/>
    </row>
    <row r="17">
      <c r="A17" s="92"/>
      <c r="B17" s="92"/>
      <c r="C17" s="92"/>
      <c r="D17" s="92"/>
      <c r="E17" s="92"/>
      <c r="F17" s="92"/>
      <c r="G17" s="92"/>
      <c r="H17" s="92"/>
      <c r="I17" s="92"/>
      <c r="K17" s="91" t="s">
        <v>707</v>
      </c>
      <c r="L17" s="92"/>
      <c r="M17" s="92"/>
      <c r="N17" s="92"/>
      <c r="O17" s="92"/>
      <c r="P17" s="92"/>
      <c r="Q17" s="92"/>
      <c r="R17" s="92"/>
      <c r="S17" s="92"/>
      <c r="T17" s="92"/>
      <c r="U17" s="92"/>
      <c r="V17" s="92"/>
      <c r="W17" s="92"/>
      <c r="X17" s="92"/>
      <c r="Y17" s="92"/>
      <c r="Z17" s="92"/>
      <c r="AA17" s="92"/>
      <c r="AB17" s="92"/>
    </row>
    <row r="18">
      <c r="A18" s="92"/>
      <c r="B18" s="92"/>
      <c r="C18" s="92"/>
      <c r="D18" s="92"/>
      <c r="E18" s="92"/>
      <c r="F18" s="92"/>
      <c r="G18" s="92"/>
      <c r="H18" s="92"/>
      <c r="I18" s="92"/>
      <c r="J18" s="95" t="s">
        <v>303</v>
      </c>
      <c r="K18" s="91" t="s">
        <v>708</v>
      </c>
      <c r="L18" s="91" t="s">
        <v>683</v>
      </c>
      <c r="M18" s="92"/>
      <c r="N18" s="92"/>
      <c r="O18" s="92"/>
      <c r="P18" s="92"/>
      <c r="Q18" s="92"/>
      <c r="R18" s="92"/>
      <c r="S18" s="92"/>
      <c r="T18" s="92"/>
      <c r="U18" s="92"/>
      <c r="V18" s="92"/>
      <c r="W18" s="92"/>
      <c r="X18" s="92"/>
      <c r="Y18" s="92"/>
      <c r="Z18" s="92"/>
      <c r="AA18" s="92"/>
      <c r="AB18" s="92"/>
    </row>
    <row r="19">
      <c r="A19" s="92"/>
      <c r="B19" s="92"/>
      <c r="C19" s="92"/>
      <c r="D19" s="92"/>
      <c r="E19" s="92"/>
      <c r="F19" s="92"/>
      <c r="G19" s="92"/>
      <c r="H19" s="92"/>
      <c r="I19" s="92"/>
      <c r="K19" s="91" t="s">
        <v>709</v>
      </c>
      <c r="L19" s="92"/>
      <c r="M19" s="92"/>
      <c r="N19" s="92"/>
      <c r="O19" s="92"/>
      <c r="P19" s="92"/>
      <c r="Q19" s="92"/>
      <c r="R19" s="92"/>
      <c r="S19" s="92"/>
      <c r="T19" s="92"/>
      <c r="U19" s="92"/>
      <c r="V19" s="92"/>
      <c r="W19" s="92"/>
      <c r="X19" s="92"/>
      <c r="Y19" s="92"/>
      <c r="Z19" s="92"/>
      <c r="AA19" s="92"/>
      <c r="AB19" s="92"/>
    </row>
    <row r="20">
      <c r="A20" s="92"/>
      <c r="B20" s="92"/>
      <c r="C20" s="92"/>
      <c r="D20" s="92"/>
      <c r="E20" s="92"/>
      <c r="F20" s="92"/>
      <c r="G20" s="92"/>
      <c r="H20" s="92"/>
      <c r="I20" s="92"/>
      <c r="J20" s="91" t="s">
        <v>363</v>
      </c>
      <c r="K20" s="91" t="s">
        <v>710</v>
      </c>
      <c r="L20" s="91" t="s">
        <v>686</v>
      </c>
      <c r="M20" s="92"/>
      <c r="N20" s="92"/>
      <c r="O20" s="92"/>
      <c r="P20" s="92"/>
      <c r="Q20" s="92"/>
      <c r="R20" s="92"/>
      <c r="S20" s="92"/>
      <c r="T20" s="92"/>
      <c r="U20" s="92"/>
      <c r="V20" s="92"/>
      <c r="W20" s="92"/>
      <c r="X20" s="92"/>
      <c r="Y20" s="92"/>
      <c r="Z20" s="92"/>
      <c r="AA20" s="92"/>
      <c r="AB20" s="92"/>
    </row>
    <row r="21">
      <c r="A21" s="92"/>
      <c r="B21" s="92"/>
      <c r="C21" s="92"/>
      <c r="D21" s="92"/>
      <c r="E21" s="92"/>
      <c r="F21" s="92"/>
      <c r="G21" s="92"/>
      <c r="H21" s="92"/>
      <c r="I21" s="92"/>
      <c r="J21" s="91" t="s">
        <v>393</v>
      </c>
      <c r="K21" s="91" t="s">
        <v>706</v>
      </c>
      <c r="L21" s="91" t="s">
        <v>21</v>
      </c>
      <c r="M21" s="92"/>
      <c r="N21" s="92"/>
      <c r="O21" s="92"/>
      <c r="P21" s="92"/>
      <c r="Q21" s="92"/>
      <c r="R21" s="92"/>
      <c r="S21" s="92"/>
      <c r="T21" s="92"/>
      <c r="U21" s="92"/>
      <c r="V21" s="92"/>
      <c r="W21" s="92"/>
      <c r="X21" s="92"/>
      <c r="Y21" s="92"/>
      <c r="Z21" s="92"/>
      <c r="AA21" s="92"/>
      <c r="AB21" s="92"/>
    </row>
    <row r="22">
      <c r="A22" s="91" t="s">
        <v>406</v>
      </c>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row>
    <row r="23">
      <c r="A23" s="98" t="s">
        <v>711</v>
      </c>
      <c r="B23" s="99" t="s">
        <v>712</v>
      </c>
      <c r="C23" s="100"/>
      <c r="D23" s="101"/>
      <c r="E23" s="102"/>
      <c r="F23" s="92"/>
      <c r="G23" s="92"/>
      <c r="H23" s="92"/>
      <c r="I23" s="92"/>
      <c r="J23" s="92"/>
      <c r="K23" s="92"/>
      <c r="L23" s="92"/>
      <c r="M23" s="92"/>
      <c r="N23" s="92"/>
      <c r="O23" s="92"/>
      <c r="P23" s="92"/>
      <c r="Q23" s="92"/>
      <c r="R23" s="92"/>
      <c r="S23" s="92"/>
      <c r="T23" s="92"/>
      <c r="U23" s="92"/>
      <c r="V23" s="92"/>
      <c r="W23" s="92"/>
      <c r="X23" s="92"/>
      <c r="Y23" s="92"/>
      <c r="Z23" s="92"/>
      <c r="AA23" s="92"/>
      <c r="AB23" s="92"/>
    </row>
    <row r="24">
      <c r="A24" s="98" t="s">
        <v>713</v>
      </c>
      <c r="B24" s="96" t="s">
        <v>714</v>
      </c>
      <c r="C24" s="100"/>
      <c r="D24" s="101"/>
      <c r="E24" s="103"/>
      <c r="F24" s="92"/>
      <c r="G24" s="92"/>
      <c r="H24" s="92"/>
      <c r="I24" s="92"/>
      <c r="J24" s="92"/>
      <c r="K24" s="92"/>
      <c r="L24" s="92"/>
      <c r="M24" s="92"/>
      <c r="N24" s="92"/>
      <c r="O24" s="92"/>
      <c r="P24" s="92"/>
      <c r="Q24" s="92"/>
      <c r="R24" s="92"/>
      <c r="S24" s="92"/>
      <c r="T24" s="92"/>
      <c r="U24" s="92"/>
      <c r="V24" s="92"/>
      <c r="W24" s="92"/>
      <c r="X24" s="92"/>
      <c r="Y24" s="92"/>
      <c r="Z24" s="92"/>
      <c r="AA24" s="92"/>
      <c r="AB24" s="92"/>
    </row>
    <row r="25">
      <c r="A25" s="98" t="s">
        <v>715</v>
      </c>
      <c r="B25" s="91" t="s">
        <v>716</v>
      </c>
      <c r="C25" s="91"/>
      <c r="D25" s="92"/>
      <c r="E25" s="103"/>
      <c r="F25" s="92"/>
      <c r="G25" s="92"/>
      <c r="H25" s="92"/>
      <c r="I25" s="92"/>
      <c r="J25" s="92"/>
      <c r="K25" s="92"/>
      <c r="L25" s="92"/>
      <c r="M25" s="92"/>
      <c r="N25" s="92"/>
      <c r="O25" s="92"/>
      <c r="P25" s="92"/>
      <c r="Q25" s="92"/>
      <c r="R25" s="92"/>
      <c r="S25" s="92"/>
      <c r="T25" s="92"/>
      <c r="U25" s="92"/>
      <c r="V25" s="92"/>
      <c r="W25" s="92"/>
      <c r="X25" s="92"/>
      <c r="Y25" s="92"/>
      <c r="Z25" s="92"/>
      <c r="AA25" s="92"/>
      <c r="AB25" s="92"/>
    </row>
    <row r="26">
      <c r="A26" s="98" t="s">
        <v>717</v>
      </c>
      <c r="B26" s="91" t="s">
        <v>718</v>
      </c>
      <c r="C26" s="91"/>
      <c r="D26" s="92"/>
      <c r="E26" s="103"/>
      <c r="F26" s="92"/>
      <c r="G26" s="92"/>
      <c r="H26" s="92"/>
      <c r="I26" s="92"/>
      <c r="J26" s="92"/>
      <c r="K26" s="92"/>
      <c r="L26" s="92"/>
      <c r="M26" s="92"/>
      <c r="N26" s="92"/>
      <c r="O26" s="92"/>
      <c r="P26" s="92"/>
      <c r="Q26" s="92"/>
      <c r="R26" s="92"/>
      <c r="S26" s="92"/>
      <c r="T26" s="92"/>
      <c r="U26" s="92"/>
      <c r="V26" s="92"/>
      <c r="W26" s="92"/>
      <c r="X26" s="92"/>
      <c r="Y26" s="92"/>
      <c r="Z26" s="92"/>
      <c r="AA26" s="92"/>
      <c r="AB26" s="92"/>
    </row>
    <row r="27">
      <c r="A27" s="98" t="s">
        <v>719</v>
      </c>
      <c r="B27" s="91" t="s">
        <v>720</v>
      </c>
      <c r="C27" s="91"/>
      <c r="D27" s="92"/>
      <c r="E27" s="103"/>
      <c r="F27" s="92"/>
      <c r="G27" s="92"/>
      <c r="H27" s="92"/>
      <c r="I27" s="92"/>
      <c r="J27" s="92"/>
      <c r="K27" s="92"/>
      <c r="L27" s="92"/>
      <c r="M27" s="92"/>
      <c r="N27" s="92"/>
      <c r="O27" s="92"/>
      <c r="P27" s="92"/>
      <c r="Q27" s="92"/>
      <c r="R27" s="92"/>
      <c r="S27" s="92"/>
      <c r="T27" s="92"/>
      <c r="U27" s="92"/>
      <c r="V27" s="92"/>
      <c r="W27" s="92"/>
      <c r="X27" s="92"/>
      <c r="Y27" s="92"/>
      <c r="Z27" s="92"/>
      <c r="AA27" s="92"/>
      <c r="AB27" s="92"/>
    </row>
    <row r="28">
      <c r="A28" s="98" t="s">
        <v>721</v>
      </c>
      <c r="B28" s="91" t="s">
        <v>722</v>
      </c>
      <c r="C28" s="91"/>
      <c r="D28" s="92"/>
      <c r="F28" s="92"/>
      <c r="G28" s="92"/>
      <c r="H28" s="92"/>
      <c r="I28" s="92"/>
      <c r="J28" s="92"/>
      <c r="K28" s="92"/>
      <c r="L28" s="92"/>
      <c r="M28" s="92"/>
      <c r="N28" s="92"/>
      <c r="O28" s="92"/>
      <c r="P28" s="92"/>
      <c r="Q28" s="92"/>
      <c r="R28" s="92"/>
      <c r="S28" s="92"/>
      <c r="T28" s="92"/>
      <c r="U28" s="92"/>
      <c r="V28" s="92"/>
      <c r="W28" s="92"/>
      <c r="X28" s="92"/>
      <c r="Y28" s="92"/>
      <c r="Z28" s="92"/>
      <c r="AA28" s="92"/>
      <c r="AB28" s="92"/>
    </row>
    <row r="29">
      <c r="B29" s="104" t="s">
        <v>723</v>
      </c>
      <c r="D29" s="92"/>
      <c r="E29" s="103"/>
      <c r="F29" s="92"/>
      <c r="G29" s="92"/>
      <c r="H29" s="92"/>
      <c r="I29" s="92"/>
      <c r="J29" s="92"/>
      <c r="K29" s="92"/>
      <c r="L29" s="92"/>
      <c r="M29" s="92"/>
      <c r="N29" s="92"/>
      <c r="O29" s="92"/>
      <c r="P29" s="92"/>
      <c r="Q29" s="92"/>
      <c r="R29" s="92"/>
      <c r="S29" s="92"/>
      <c r="T29" s="92"/>
      <c r="U29" s="92"/>
      <c r="V29" s="92"/>
      <c r="W29" s="92"/>
      <c r="X29" s="92"/>
      <c r="Y29" s="92"/>
      <c r="Z29" s="92"/>
      <c r="AA29" s="92"/>
      <c r="AB29" s="92"/>
    </row>
    <row r="30">
      <c r="A30" s="98" t="s">
        <v>724</v>
      </c>
      <c r="B30" s="91" t="s">
        <v>725</v>
      </c>
      <c r="C30" s="91"/>
      <c r="D30" s="92"/>
      <c r="E30" s="103"/>
      <c r="F30" s="92"/>
      <c r="G30" s="92"/>
      <c r="H30" s="92"/>
      <c r="I30" s="92"/>
      <c r="J30" s="92"/>
      <c r="K30" s="92"/>
      <c r="L30" s="92"/>
      <c r="M30" s="92"/>
      <c r="N30" s="92"/>
      <c r="O30" s="92"/>
      <c r="P30" s="92"/>
      <c r="Q30" s="92"/>
      <c r="R30" s="92"/>
      <c r="S30" s="92"/>
      <c r="T30" s="92"/>
      <c r="U30" s="92"/>
      <c r="V30" s="92"/>
      <c r="W30" s="92"/>
      <c r="X30" s="92"/>
      <c r="Y30" s="92"/>
      <c r="Z30" s="92"/>
      <c r="AA30" s="92"/>
      <c r="AB30" s="92"/>
    </row>
    <row r="31">
      <c r="B31" s="91" t="s">
        <v>726</v>
      </c>
      <c r="D31" s="92"/>
      <c r="E31" s="103"/>
      <c r="F31" s="92"/>
      <c r="G31" s="92"/>
      <c r="H31" s="92"/>
      <c r="I31" s="92"/>
      <c r="J31" s="92"/>
      <c r="K31" s="92"/>
      <c r="L31" s="92"/>
      <c r="M31" s="92"/>
      <c r="N31" s="92"/>
      <c r="O31" s="92"/>
      <c r="P31" s="92"/>
      <c r="Q31" s="92"/>
      <c r="R31" s="92"/>
      <c r="S31" s="92"/>
      <c r="T31" s="92"/>
      <c r="U31" s="92"/>
      <c r="V31" s="92"/>
      <c r="W31" s="92"/>
      <c r="X31" s="92"/>
      <c r="Y31" s="92"/>
      <c r="Z31" s="92"/>
      <c r="AA31" s="92"/>
      <c r="AB31" s="92"/>
    </row>
    <row r="32">
      <c r="A32" s="98" t="s">
        <v>727</v>
      </c>
      <c r="B32" s="96" t="s">
        <v>728</v>
      </c>
      <c r="C32" s="92"/>
      <c r="D32" s="92"/>
      <c r="E32" s="103"/>
      <c r="F32" s="92"/>
      <c r="G32" s="92"/>
      <c r="H32" s="92"/>
      <c r="I32" s="92"/>
      <c r="J32" s="92"/>
      <c r="K32" s="92"/>
      <c r="L32" s="92"/>
      <c r="M32" s="92"/>
      <c r="N32" s="92"/>
      <c r="O32" s="92"/>
      <c r="P32" s="92"/>
      <c r="Q32" s="92"/>
      <c r="R32" s="92"/>
      <c r="S32" s="92"/>
      <c r="T32" s="92"/>
      <c r="U32" s="92"/>
      <c r="V32" s="92"/>
      <c r="W32" s="92"/>
      <c r="X32" s="92"/>
      <c r="Y32" s="92"/>
      <c r="Z32" s="92"/>
      <c r="AA32" s="92"/>
      <c r="AB32" s="92"/>
    </row>
    <row r="33">
      <c r="B33" s="96" t="s">
        <v>729</v>
      </c>
      <c r="C33" s="91"/>
      <c r="D33" s="92"/>
      <c r="E33" s="103"/>
      <c r="F33" s="92"/>
      <c r="G33" s="92"/>
      <c r="H33" s="92"/>
      <c r="I33" s="92"/>
      <c r="J33" s="92"/>
      <c r="K33" s="92"/>
      <c r="L33" s="92"/>
      <c r="M33" s="92"/>
      <c r="N33" s="92"/>
      <c r="O33" s="92"/>
      <c r="P33" s="92"/>
      <c r="Q33" s="92"/>
      <c r="R33" s="92"/>
      <c r="S33" s="92"/>
      <c r="T33" s="92"/>
      <c r="U33" s="92"/>
      <c r="V33" s="92"/>
      <c r="W33" s="92"/>
      <c r="X33" s="92"/>
      <c r="Y33" s="92"/>
      <c r="Z33" s="92"/>
      <c r="AA33" s="92"/>
      <c r="AB33" s="92"/>
    </row>
    <row r="34">
      <c r="A34" s="92"/>
      <c r="B34" s="92"/>
      <c r="C34" s="92"/>
      <c r="D34" s="92"/>
      <c r="E34" s="103"/>
      <c r="F34" s="92"/>
      <c r="G34" s="92"/>
      <c r="H34" s="92"/>
      <c r="I34" s="92"/>
      <c r="J34" s="92"/>
      <c r="K34" s="92"/>
      <c r="L34" s="92"/>
      <c r="M34" s="92"/>
      <c r="N34" s="92"/>
      <c r="O34" s="92"/>
      <c r="P34" s="92"/>
      <c r="Q34" s="92"/>
      <c r="R34" s="92"/>
      <c r="S34" s="92"/>
      <c r="T34" s="92"/>
      <c r="U34" s="92"/>
      <c r="V34" s="92"/>
      <c r="W34" s="92"/>
      <c r="X34" s="92"/>
      <c r="Y34" s="92"/>
      <c r="Z34" s="92"/>
      <c r="AA34" s="92"/>
      <c r="AB34" s="92"/>
    </row>
    <row r="35">
      <c r="A35" s="92"/>
      <c r="B35" s="105"/>
      <c r="C35" s="92"/>
      <c r="D35" s="92"/>
      <c r="E35" s="103"/>
      <c r="F35" s="92"/>
      <c r="G35" s="92"/>
      <c r="H35" s="92"/>
      <c r="I35" s="92"/>
      <c r="J35" s="92"/>
      <c r="K35" s="92"/>
      <c r="L35" s="92"/>
      <c r="M35" s="92"/>
      <c r="N35" s="92"/>
      <c r="O35" s="92"/>
      <c r="P35" s="92"/>
      <c r="Q35" s="92"/>
      <c r="R35" s="92"/>
      <c r="S35" s="92"/>
      <c r="T35" s="92"/>
      <c r="U35" s="92"/>
      <c r="V35" s="92"/>
      <c r="W35" s="92"/>
      <c r="X35" s="92"/>
      <c r="Y35" s="92"/>
      <c r="Z35" s="92"/>
      <c r="AA35" s="92"/>
      <c r="AB35" s="92"/>
    </row>
    <row r="36">
      <c r="A36" s="99" t="s">
        <v>410</v>
      </c>
      <c r="B36" s="106"/>
      <c r="C36" s="107"/>
      <c r="D36" s="107"/>
      <c r="E36" s="103"/>
      <c r="F36" s="103"/>
      <c r="G36" s="103"/>
      <c r="H36" s="103"/>
      <c r="I36" s="103"/>
      <c r="J36" s="103"/>
      <c r="K36" s="103"/>
      <c r="L36" s="103"/>
      <c r="M36" s="103"/>
      <c r="N36" s="103"/>
      <c r="O36" s="103"/>
      <c r="P36" s="103"/>
      <c r="Q36" s="103"/>
      <c r="R36" s="103"/>
      <c r="S36" s="103"/>
      <c r="T36" s="92"/>
      <c r="U36" s="92"/>
      <c r="V36" s="92"/>
      <c r="W36" s="92"/>
      <c r="X36" s="92"/>
      <c r="Y36" s="92"/>
      <c r="Z36" s="92"/>
      <c r="AA36" s="92"/>
      <c r="AB36" s="92"/>
    </row>
    <row r="37">
      <c r="A37" s="98" t="s">
        <v>680</v>
      </c>
      <c r="B37" s="108" t="s">
        <v>730</v>
      </c>
      <c r="C37" s="109"/>
      <c r="E37" s="103"/>
      <c r="F37" s="92"/>
      <c r="G37" s="92"/>
      <c r="H37" s="92"/>
      <c r="I37" s="92"/>
      <c r="J37" s="92"/>
      <c r="K37" s="92"/>
      <c r="L37" s="92"/>
      <c r="M37" s="92"/>
      <c r="N37" s="92"/>
      <c r="O37" s="92"/>
      <c r="P37" s="92"/>
      <c r="Q37" s="92"/>
      <c r="R37" s="92"/>
      <c r="S37" s="92"/>
      <c r="T37" s="92"/>
      <c r="U37" s="92"/>
      <c r="V37" s="92"/>
      <c r="W37" s="92"/>
      <c r="X37" s="92"/>
      <c r="Y37" s="92"/>
      <c r="Z37" s="92"/>
      <c r="AA37" s="92"/>
      <c r="AB37" s="92"/>
    </row>
    <row r="38">
      <c r="A38" s="110" t="s">
        <v>731</v>
      </c>
      <c r="B38" s="111" t="s">
        <v>732</v>
      </c>
      <c r="C38" s="91"/>
      <c r="D38" s="92"/>
      <c r="E38" s="103"/>
      <c r="F38" s="92"/>
      <c r="G38" s="92"/>
      <c r="H38" s="92"/>
      <c r="I38" s="92"/>
      <c r="J38" s="92"/>
      <c r="K38" s="92"/>
      <c r="L38" s="92"/>
      <c r="M38" s="92"/>
      <c r="N38" s="92"/>
      <c r="O38" s="92"/>
      <c r="P38" s="92"/>
      <c r="Q38" s="92"/>
      <c r="R38" s="92"/>
      <c r="S38" s="92"/>
      <c r="T38" s="92"/>
      <c r="U38" s="92"/>
      <c r="V38" s="92"/>
      <c r="W38" s="92"/>
      <c r="X38" s="92"/>
      <c r="Y38" s="92"/>
      <c r="Z38" s="92"/>
      <c r="AA38" s="92"/>
      <c r="AB38" s="92"/>
    </row>
    <row r="39">
      <c r="C39" s="109"/>
      <c r="D39" s="92"/>
      <c r="E39" s="103"/>
      <c r="F39" s="92"/>
      <c r="G39" s="92"/>
      <c r="H39" s="92"/>
      <c r="I39" s="92"/>
      <c r="J39" s="92"/>
      <c r="K39" s="92"/>
      <c r="L39" s="92"/>
      <c r="M39" s="92"/>
      <c r="N39" s="92"/>
      <c r="O39" s="92"/>
      <c r="P39" s="92"/>
      <c r="Q39" s="92"/>
      <c r="R39" s="92"/>
      <c r="S39" s="92"/>
      <c r="T39" s="92"/>
      <c r="U39" s="92"/>
      <c r="V39" s="92"/>
      <c r="W39" s="92"/>
      <c r="X39" s="92"/>
      <c r="Y39" s="92"/>
      <c r="Z39" s="92"/>
      <c r="AA39" s="92"/>
      <c r="AB39" s="92"/>
    </row>
    <row r="40">
      <c r="A40" s="110"/>
      <c r="B40" s="105"/>
      <c r="C40" s="109"/>
      <c r="D40" s="92"/>
      <c r="E40" s="103"/>
      <c r="F40" s="92"/>
      <c r="G40" s="92"/>
      <c r="H40" s="92"/>
      <c r="I40" s="92"/>
      <c r="J40" s="92"/>
      <c r="K40" s="92"/>
      <c r="L40" s="92"/>
      <c r="M40" s="92"/>
      <c r="N40" s="92"/>
      <c r="O40" s="92"/>
      <c r="P40" s="92"/>
      <c r="Q40" s="92"/>
      <c r="R40" s="92"/>
      <c r="S40" s="92"/>
      <c r="T40" s="92"/>
      <c r="U40" s="92"/>
      <c r="V40" s="92"/>
      <c r="W40" s="92"/>
      <c r="X40" s="92"/>
      <c r="Y40" s="92"/>
      <c r="Z40" s="92"/>
      <c r="AA40" s="92"/>
      <c r="AB40" s="92"/>
    </row>
    <row r="41">
      <c r="A41" s="65"/>
      <c r="B41" s="105"/>
      <c r="C41" s="65"/>
      <c r="D41" s="92"/>
      <c r="E41" s="103"/>
      <c r="F41" s="92"/>
      <c r="G41" s="92"/>
      <c r="H41" s="92"/>
      <c r="I41" s="92"/>
      <c r="J41" s="92"/>
      <c r="K41" s="92"/>
      <c r="L41" s="92"/>
      <c r="M41" s="92"/>
      <c r="N41" s="92"/>
      <c r="O41" s="92"/>
      <c r="P41" s="92"/>
      <c r="Q41" s="92"/>
      <c r="R41" s="92"/>
      <c r="S41" s="92"/>
      <c r="T41" s="92"/>
      <c r="U41" s="92"/>
      <c r="V41" s="92"/>
      <c r="W41" s="92"/>
      <c r="X41" s="92"/>
      <c r="Y41" s="92"/>
      <c r="Z41" s="92"/>
      <c r="AA41" s="92"/>
      <c r="AB41" s="92"/>
    </row>
    <row r="42">
      <c r="A42" s="65"/>
      <c r="B42" s="105"/>
      <c r="C42" s="65"/>
      <c r="D42" s="92"/>
      <c r="E42" s="92"/>
      <c r="F42" s="92"/>
      <c r="G42" s="92"/>
      <c r="H42" s="92"/>
      <c r="I42" s="92"/>
      <c r="J42" s="92"/>
      <c r="K42" s="92"/>
      <c r="L42" s="92"/>
      <c r="M42" s="92"/>
      <c r="N42" s="92"/>
      <c r="O42" s="92"/>
      <c r="P42" s="92"/>
      <c r="Q42" s="92"/>
      <c r="R42" s="92"/>
      <c r="S42" s="92"/>
      <c r="T42" s="92"/>
      <c r="U42" s="92"/>
      <c r="V42" s="92"/>
      <c r="W42" s="92"/>
      <c r="X42" s="92"/>
      <c r="Y42" s="92"/>
      <c r="Z42" s="92"/>
      <c r="AA42" s="92"/>
      <c r="AB42" s="92"/>
    </row>
    <row r="43">
      <c r="B43" s="112"/>
      <c r="D43" s="92"/>
      <c r="E43" s="92"/>
      <c r="F43" s="92"/>
      <c r="G43" s="92"/>
      <c r="H43" s="92"/>
      <c r="I43" s="92"/>
      <c r="J43" s="92"/>
      <c r="K43" s="92"/>
      <c r="L43" s="92"/>
      <c r="M43" s="92"/>
      <c r="N43" s="92"/>
      <c r="O43" s="92"/>
      <c r="P43" s="92"/>
      <c r="Q43" s="92"/>
      <c r="R43" s="92"/>
      <c r="S43" s="92"/>
      <c r="T43" s="92"/>
      <c r="U43" s="92"/>
      <c r="V43" s="92"/>
      <c r="W43" s="92"/>
      <c r="X43" s="92"/>
      <c r="Y43" s="92"/>
      <c r="Z43" s="92"/>
      <c r="AA43" s="92"/>
      <c r="AB43" s="92"/>
    </row>
    <row r="44">
      <c r="D44" s="92"/>
      <c r="E44" s="92"/>
      <c r="F44" s="92"/>
      <c r="G44" s="92"/>
      <c r="H44" s="92"/>
      <c r="I44" s="92"/>
      <c r="J44" s="92"/>
      <c r="K44" s="92"/>
      <c r="L44" s="92"/>
      <c r="M44" s="92"/>
      <c r="N44" s="92"/>
      <c r="O44" s="92"/>
      <c r="P44" s="92"/>
      <c r="Q44" s="92"/>
      <c r="R44" s="92"/>
      <c r="S44" s="92"/>
      <c r="T44" s="92"/>
      <c r="U44" s="92"/>
      <c r="V44" s="92"/>
      <c r="W44" s="92"/>
      <c r="X44" s="92"/>
      <c r="Y44" s="92"/>
      <c r="Z44" s="92"/>
      <c r="AA44" s="92"/>
      <c r="AB44" s="92"/>
    </row>
    <row r="45">
      <c r="D45" s="92"/>
      <c r="E45" s="92"/>
      <c r="F45" s="92"/>
      <c r="G45" s="92"/>
      <c r="H45" s="92"/>
      <c r="I45" s="92"/>
      <c r="J45" s="92"/>
      <c r="K45" s="92"/>
      <c r="L45" s="92"/>
      <c r="M45" s="92"/>
      <c r="N45" s="92"/>
      <c r="O45" s="92"/>
      <c r="P45" s="92"/>
      <c r="Q45" s="92"/>
      <c r="R45" s="92"/>
      <c r="S45" s="92"/>
      <c r="T45" s="92"/>
      <c r="U45" s="92"/>
      <c r="V45" s="92"/>
      <c r="W45" s="92"/>
      <c r="X45" s="92"/>
      <c r="Y45" s="92"/>
      <c r="Z45" s="92"/>
      <c r="AA45" s="92"/>
      <c r="AB45" s="92"/>
    </row>
    <row r="46">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row>
    <row r="47">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row>
    <row r="48">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row>
    <row r="49">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row>
    <row r="50">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row>
    <row r="51">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row>
    <row r="5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row>
    <row r="53">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row>
    <row r="54">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row>
    <row r="55">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row>
    <row r="56">
      <c r="B56" s="92"/>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row>
    <row r="57">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row>
    <row r="58">
      <c r="A58" s="92"/>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row>
    <row r="59">
      <c r="A59" s="92"/>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row>
    <row r="60">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row>
    <row r="61">
      <c r="A61" s="92"/>
      <c r="B61" s="92"/>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row>
    <row r="62">
      <c r="A62" s="92"/>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row>
    <row r="63">
      <c r="A63" s="92"/>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row>
    <row r="64">
      <c r="A64" s="92"/>
      <c r="B64" s="92"/>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row>
    <row r="65">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row>
    <row r="66">
      <c r="A66" s="92"/>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row>
    <row r="67">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row>
    <row r="68">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row>
    <row r="69">
      <c r="A69" s="92"/>
      <c r="B69" s="92"/>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row>
    <row r="70">
      <c r="A70" s="92"/>
      <c r="B70" s="92"/>
      <c r="C70" s="92"/>
      <c r="D70" s="92"/>
      <c r="E70" s="92"/>
      <c r="F70" s="92"/>
      <c r="G70" s="92"/>
      <c r="H70" s="92"/>
      <c r="I70" s="92"/>
      <c r="J70" s="92"/>
      <c r="K70" s="92"/>
      <c r="L70" s="92"/>
      <c r="M70" s="92"/>
      <c r="N70" s="92"/>
      <c r="O70" s="92"/>
      <c r="P70" s="92"/>
      <c r="Q70" s="92"/>
      <c r="R70" s="92"/>
      <c r="S70" s="92"/>
      <c r="T70" s="92"/>
      <c r="U70" s="92"/>
      <c r="V70" s="92"/>
      <c r="W70" s="92"/>
      <c r="X70" s="92"/>
      <c r="Y70" s="92"/>
      <c r="Z70" s="92"/>
      <c r="AA70" s="92"/>
      <c r="AB70" s="92"/>
    </row>
    <row r="7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row>
    <row r="72">
      <c r="A72" s="92"/>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2"/>
      <c r="AB72" s="92"/>
    </row>
    <row r="73">
      <c r="A73" s="92"/>
      <c r="B73" s="92"/>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row>
    <row r="74">
      <c r="A74" s="92"/>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2"/>
      <c r="AB74" s="92"/>
    </row>
    <row r="75">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row>
    <row r="76">
      <c r="A76" s="92"/>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row>
    <row r="77">
      <c r="A77" s="92"/>
      <c r="B77" s="92"/>
      <c r="C77" s="92"/>
      <c r="D77" s="92"/>
      <c r="E77" s="92"/>
      <c r="F77" s="92"/>
      <c r="G77" s="92"/>
      <c r="H77" s="92"/>
      <c r="I77" s="92"/>
      <c r="J77" s="92"/>
      <c r="K77" s="92"/>
      <c r="L77" s="92"/>
      <c r="M77" s="92"/>
      <c r="N77" s="92"/>
      <c r="O77" s="92"/>
      <c r="P77" s="92"/>
      <c r="Q77" s="92"/>
      <c r="R77" s="92"/>
      <c r="S77" s="92"/>
      <c r="T77" s="92"/>
      <c r="U77" s="92"/>
      <c r="V77" s="92"/>
      <c r="W77" s="92"/>
      <c r="X77" s="92"/>
      <c r="Y77" s="92"/>
      <c r="Z77" s="92"/>
      <c r="AA77" s="92"/>
      <c r="AB77" s="92"/>
    </row>
    <row r="78">
      <c r="A78" s="92"/>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92"/>
      <c r="AB78" s="92"/>
    </row>
    <row r="79">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row>
    <row r="80">
      <c r="A80" s="92"/>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92"/>
      <c r="AB80" s="92"/>
    </row>
    <row r="81">
      <c r="A81" s="92"/>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92"/>
      <c r="AB81" s="92"/>
    </row>
    <row r="82">
      <c r="A82" s="92"/>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92"/>
      <c r="AB82" s="92"/>
    </row>
    <row r="83">
      <c r="A83" s="92"/>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row>
    <row r="84">
      <c r="A84" s="92"/>
      <c r="B84" s="92"/>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row>
    <row r="85">
      <c r="A85" s="92"/>
      <c r="B85" s="92"/>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row>
    <row r="86">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row>
    <row r="87">
      <c r="A87" s="92"/>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row>
    <row r="88">
      <c r="A88" s="92"/>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row>
    <row r="89">
      <c r="A89" s="92"/>
      <c r="B89" s="92"/>
      <c r="C89" s="92"/>
      <c r="D89" s="92"/>
      <c r="E89" s="92"/>
      <c r="F89" s="92"/>
      <c r="G89" s="92"/>
      <c r="H89" s="92"/>
      <c r="I89" s="92"/>
      <c r="J89" s="92"/>
      <c r="K89" s="92"/>
      <c r="L89" s="92"/>
      <c r="M89" s="92"/>
      <c r="N89" s="92"/>
      <c r="O89" s="92"/>
      <c r="P89" s="92"/>
      <c r="Q89" s="92"/>
      <c r="R89" s="92"/>
      <c r="S89" s="92"/>
      <c r="T89" s="92"/>
      <c r="U89" s="92"/>
      <c r="V89" s="92"/>
      <c r="W89" s="92"/>
      <c r="X89" s="92"/>
      <c r="Y89" s="92"/>
      <c r="Z89" s="92"/>
      <c r="AA89" s="92"/>
      <c r="AB89" s="92"/>
    </row>
    <row r="90">
      <c r="A90" s="92"/>
      <c r="B90" s="92"/>
      <c r="C90" s="92"/>
      <c r="D90" s="92"/>
      <c r="E90" s="92"/>
      <c r="F90" s="92"/>
      <c r="G90" s="92"/>
      <c r="H90" s="92"/>
      <c r="I90" s="92"/>
      <c r="J90" s="92"/>
      <c r="K90" s="92"/>
      <c r="L90" s="92"/>
      <c r="M90" s="92"/>
      <c r="N90" s="92"/>
      <c r="O90" s="92"/>
      <c r="P90" s="92"/>
      <c r="Q90" s="92"/>
      <c r="R90" s="92"/>
      <c r="S90" s="92"/>
      <c r="T90" s="92"/>
      <c r="U90" s="92"/>
      <c r="V90" s="92"/>
      <c r="W90" s="92"/>
      <c r="X90" s="92"/>
      <c r="Y90" s="92"/>
      <c r="Z90" s="92"/>
      <c r="AA90" s="92"/>
      <c r="AB90" s="92"/>
    </row>
    <row r="91">
      <c r="A91" s="92"/>
      <c r="B91" s="92"/>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row>
    <row r="92">
      <c r="A92" s="92"/>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row>
    <row r="93">
      <c r="A93" s="92"/>
      <c r="B93" s="92"/>
      <c r="C93" s="92"/>
      <c r="D93" s="92"/>
      <c r="E93" s="92"/>
      <c r="F93" s="92"/>
      <c r="G93" s="92"/>
      <c r="H93" s="92"/>
      <c r="I93" s="92"/>
      <c r="J93" s="92"/>
      <c r="K93" s="92"/>
      <c r="L93" s="92"/>
      <c r="M93" s="92"/>
      <c r="N93" s="92"/>
      <c r="O93" s="92"/>
      <c r="P93" s="92"/>
      <c r="Q93" s="92"/>
      <c r="R93" s="92"/>
      <c r="S93" s="92"/>
      <c r="T93" s="92"/>
      <c r="U93" s="92"/>
      <c r="V93" s="92"/>
      <c r="W93" s="92"/>
      <c r="X93" s="92"/>
      <c r="Y93" s="92"/>
      <c r="Z93" s="92"/>
      <c r="AA93" s="92"/>
      <c r="AB93" s="92"/>
    </row>
    <row r="94">
      <c r="A94" s="92"/>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row>
    <row r="95">
      <c r="A95" s="92"/>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row>
    <row r="96">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row>
    <row r="97">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row>
    <row r="98">
      <c r="A98" s="92"/>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row>
    <row r="99">
      <c r="A99" s="92"/>
      <c r="B99" s="92"/>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row>
    <row r="100">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row>
    <row r="101">
      <c r="A101" s="92"/>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row>
    <row r="102">
      <c r="A102" s="92"/>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row>
    <row r="103">
      <c r="A103" s="92"/>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row>
    <row r="104">
      <c r="A104" s="92"/>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row>
    <row r="105">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row>
    <row r="106">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row>
    <row r="107">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row>
    <row r="108">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row>
    <row r="109">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row>
    <row r="110">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row>
    <row r="11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row>
    <row r="112">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row>
    <row r="113">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row>
    <row r="114">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row>
    <row r="115">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row>
    <row r="116">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row>
    <row r="117">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row>
    <row r="118">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row>
    <row r="119">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row>
    <row r="120">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row>
    <row r="12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row>
    <row r="122">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row>
    <row r="123">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row>
    <row r="124">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row>
    <row r="125">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row>
    <row r="126">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row>
    <row r="127">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row>
    <row r="128">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row>
    <row r="129">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row>
    <row r="130">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row>
    <row r="13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row>
    <row r="132">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row>
    <row r="133">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row>
    <row r="134">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row>
    <row r="135">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row>
    <row r="136">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row>
    <row r="137">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row>
    <row r="138">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row>
    <row r="139">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row>
    <row r="140">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row>
    <row r="14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row>
    <row r="142">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row>
    <row r="143">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row>
    <row r="144">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row>
    <row r="145">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row>
    <row r="146">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row>
    <row r="147">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row>
    <row r="148">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row>
    <row r="149">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row>
    <row r="150">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row>
    <row r="15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row>
    <row r="152">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row>
    <row r="153">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row>
    <row r="154">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row>
    <row r="155">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row>
    <row r="156">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row>
    <row r="157">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row>
    <row r="158">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row>
    <row r="159">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row>
    <row r="160">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row>
    <row r="16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row>
    <row r="162">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row>
    <row r="163">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row>
    <row r="164">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row>
    <row r="165">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row>
    <row r="166">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row>
    <row r="167">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row>
    <row r="168">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row>
    <row r="169">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row>
    <row r="170">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row>
    <row r="17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row>
    <row r="172">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row>
    <row r="173">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row>
    <row r="174">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row>
    <row r="175">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row>
    <row r="176">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row>
    <row r="177">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row>
    <row r="178">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row>
    <row r="179">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row>
    <row r="180">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row>
    <row r="18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row>
    <row r="182">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row>
    <row r="183">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row>
    <row r="184">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row>
    <row r="185">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row>
    <row r="186">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row>
    <row r="187">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row>
    <row r="188">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row>
    <row r="189">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row>
    <row r="190">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row>
    <row r="19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row>
    <row r="192">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row>
    <row r="193">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row>
    <row r="194">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row>
    <row r="195">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row>
    <row r="196">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row>
    <row r="197">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row>
    <row r="198">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row>
    <row r="199">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row>
    <row r="200">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row>
    <row r="20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row>
    <row r="202">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row>
    <row r="203">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row>
    <row r="204">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row>
    <row r="205">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row>
    <row r="206">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row>
    <row r="207">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row>
    <row r="208">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row>
    <row r="209">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row>
    <row r="210">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row>
    <row r="21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row>
    <row r="212">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row>
    <row r="213">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row>
    <row r="214">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row>
    <row r="215">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row>
    <row r="216">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row>
    <row r="217">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row>
    <row r="218">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row>
    <row r="219">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row>
    <row r="220">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row>
    <row r="22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row>
    <row r="222">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row>
    <row r="223">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row>
    <row r="224">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row>
    <row r="225">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row>
    <row r="226">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row>
    <row r="227">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row>
    <row r="228">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row>
    <row r="229">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row>
    <row r="230">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row>
    <row r="23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row>
    <row r="232">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row>
    <row r="233">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row>
    <row r="234">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row>
    <row r="235">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row>
    <row r="236">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row>
    <row r="237">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row>
    <row r="238">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row>
    <row r="239">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row>
    <row r="240">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row>
    <row r="24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row>
    <row r="242">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row>
    <row r="243">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row>
    <row r="244">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row>
    <row r="245">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row>
    <row r="246">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row>
    <row r="247">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row>
    <row r="248">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row>
    <row r="249">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row>
    <row r="250">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row>
    <row r="25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row>
    <row r="252">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row>
    <row r="253">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row>
    <row r="254">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row>
    <row r="255">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row>
    <row r="256">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row>
    <row r="257">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row>
    <row r="258">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row>
    <row r="259">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row>
    <row r="260">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row>
    <row r="26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row>
    <row r="262">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row>
    <row r="263">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row>
    <row r="264">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row>
    <row r="265">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row>
    <row r="266">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row>
    <row r="267">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row>
    <row r="268">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row>
    <row r="269">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row>
    <row r="270">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row>
    <row r="27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row>
    <row r="272">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row>
    <row r="273">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row>
    <row r="274">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row>
    <row r="275">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row>
    <row r="276">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row>
    <row r="277">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row>
    <row r="278">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row>
    <row r="279">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row>
    <row r="280">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row>
    <row r="28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row>
    <row r="282">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row>
    <row r="283">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row>
    <row r="284">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row>
    <row r="285">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row>
    <row r="286">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row>
    <row r="287">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row>
    <row r="288">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row>
    <row r="289">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row>
    <row r="290">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row>
    <row r="29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row>
    <row r="292">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row>
    <row r="293">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row>
    <row r="294">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row>
    <row r="295">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row>
    <row r="296">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row>
    <row r="297">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row>
    <row r="298">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row>
    <row r="299">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row>
    <row r="300">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row>
    <row r="30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row>
    <row r="302">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row>
    <row r="303">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row>
    <row r="304">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row>
    <row r="305">
      <c r="A305" s="92"/>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row>
    <row r="306">
      <c r="A306" s="92"/>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row>
    <row r="307">
      <c r="A307" s="92"/>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row>
    <row r="308">
      <c r="A308" s="92"/>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row>
    <row r="309">
      <c r="A309" s="92"/>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row>
    <row r="310">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row>
    <row r="311">
      <c r="A311" s="92"/>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c r="AA311" s="92"/>
      <c r="AB311" s="92"/>
    </row>
    <row r="312">
      <c r="A312" s="92"/>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row>
    <row r="313">
      <c r="A313" s="92"/>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row>
    <row r="314">
      <c r="A314" s="92"/>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row>
    <row r="315">
      <c r="A315" s="92"/>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c r="AA315" s="92"/>
      <c r="AB315" s="92"/>
    </row>
    <row r="316">
      <c r="A316" s="92"/>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row>
    <row r="317">
      <c r="A317" s="92"/>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c r="AA317" s="92"/>
      <c r="AB317" s="92"/>
    </row>
    <row r="318">
      <c r="A318" s="92"/>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row>
    <row r="319">
      <c r="A319" s="92"/>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92"/>
    </row>
    <row r="320">
      <c r="A320" s="92"/>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row>
    <row r="321">
      <c r="A321" s="92"/>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c r="AA321" s="92"/>
      <c r="AB321" s="92"/>
    </row>
    <row r="322">
      <c r="A322" s="92"/>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row>
    <row r="323">
      <c r="A323" s="92"/>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c r="AA323" s="92"/>
      <c r="AB323" s="92"/>
    </row>
    <row r="324">
      <c r="A324" s="92"/>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row>
    <row r="325">
      <c r="A325" s="92"/>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c r="AA325" s="92"/>
      <c r="AB325" s="92"/>
    </row>
    <row r="326">
      <c r="A326" s="92"/>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row>
    <row r="327">
      <c r="A327" s="92"/>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row>
    <row r="328">
      <c r="A328" s="92"/>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row>
    <row r="329">
      <c r="A329" s="92"/>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row>
    <row r="330">
      <c r="A330" s="92"/>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row>
    <row r="331">
      <c r="A331" s="92"/>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c r="AA331" s="92"/>
      <c r="AB331" s="92"/>
    </row>
    <row r="332">
      <c r="A332" s="92"/>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row>
    <row r="333">
      <c r="A333" s="92"/>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c r="AA333" s="92"/>
      <c r="AB333" s="92"/>
    </row>
    <row r="334">
      <c r="A334" s="92"/>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row>
    <row r="335">
      <c r="A335" s="92"/>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c r="AA335" s="92"/>
      <c r="AB335" s="92"/>
    </row>
    <row r="336">
      <c r="A336" s="92"/>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row>
    <row r="337">
      <c r="A337" s="92"/>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c r="AA337" s="92"/>
      <c r="AB337" s="92"/>
    </row>
    <row r="338">
      <c r="A338" s="92"/>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row>
    <row r="339">
      <c r="A339" s="92"/>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c r="AA339" s="92"/>
      <c r="AB339" s="92"/>
    </row>
    <row r="340">
      <c r="A340" s="92"/>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row>
    <row r="341">
      <c r="A341" s="92"/>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c r="AA341" s="92"/>
      <c r="AB341" s="92"/>
    </row>
    <row r="342">
      <c r="A342" s="92"/>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row>
    <row r="343">
      <c r="A343" s="92"/>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c r="AA343" s="92"/>
      <c r="AB343" s="92"/>
    </row>
    <row r="344">
      <c r="A344" s="92"/>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row>
    <row r="345">
      <c r="A345" s="92"/>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row>
    <row r="346">
      <c r="A346" s="92"/>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row>
    <row r="347">
      <c r="A347" s="92"/>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c r="AA347" s="92"/>
      <c r="AB347" s="92"/>
    </row>
    <row r="348">
      <c r="A348" s="92"/>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row>
    <row r="349">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c r="AA349" s="92"/>
      <c r="AB349" s="92"/>
    </row>
    <row r="350">
      <c r="A350" s="92"/>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row>
    <row r="351">
      <c r="A351" s="92"/>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c r="AA351" s="92"/>
      <c r="AB351" s="92"/>
    </row>
    <row r="352">
      <c r="A352" s="92"/>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row>
    <row r="353">
      <c r="A353" s="92"/>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c r="AA353" s="92"/>
      <c r="AB353" s="92"/>
    </row>
    <row r="354">
      <c r="A354" s="92"/>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row>
    <row r="355">
      <c r="A355" s="92"/>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c r="AA355" s="92"/>
      <c r="AB355" s="92"/>
    </row>
    <row r="356">
      <c r="A356" s="92"/>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row>
    <row r="357">
      <c r="A357" s="92"/>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c r="AA357" s="92"/>
      <c r="AB357" s="92"/>
    </row>
    <row r="358">
      <c r="A358" s="92"/>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row>
    <row r="359">
      <c r="A359" s="92"/>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c r="AA359" s="92"/>
      <c r="AB359" s="92"/>
    </row>
    <row r="360">
      <c r="A360" s="92"/>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row>
    <row r="361">
      <c r="A361" s="92"/>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c r="AA361" s="92"/>
      <c r="AB361" s="92"/>
    </row>
    <row r="362">
      <c r="A362" s="92"/>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row>
    <row r="363">
      <c r="A363" s="92"/>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c r="AA363" s="92"/>
      <c r="AB363" s="92"/>
    </row>
    <row r="364">
      <c r="A364" s="92"/>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c r="AA364" s="92"/>
      <c r="AB364" s="92"/>
    </row>
    <row r="365">
      <c r="A365" s="92"/>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c r="AA365" s="92"/>
      <c r="AB365" s="92"/>
    </row>
    <row r="366">
      <c r="A366" s="92"/>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row>
    <row r="367">
      <c r="A367" s="92"/>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c r="AA367" s="92"/>
      <c r="AB367" s="92"/>
    </row>
    <row r="368">
      <c r="A368" s="92"/>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row>
    <row r="369">
      <c r="A369" s="92"/>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c r="AA369" s="92"/>
      <c r="AB369" s="92"/>
    </row>
    <row r="370">
      <c r="A370" s="92"/>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row>
    <row r="371">
      <c r="A371" s="92"/>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c r="AA371" s="92"/>
      <c r="AB371" s="92"/>
    </row>
    <row r="372">
      <c r="A372" s="92"/>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row>
    <row r="373">
      <c r="A373" s="92"/>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c r="AA373" s="92"/>
      <c r="AB373" s="92"/>
    </row>
    <row r="374">
      <c r="A374" s="92"/>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row>
    <row r="375">
      <c r="A375" s="92"/>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c r="AA375" s="92"/>
      <c r="AB375" s="92"/>
    </row>
    <row r="376">
      <c r="A376" s="92"/>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row>
    <row r="377">
      <c r="A377" s="92"/>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c r="AA377" s="92"/>
      <c r="AB377" s="92"/>
    </row>
    <row r="378">
      <c r="A378" s="92"/>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row>
    <row r="379">
      <c r="A379" s="92"/>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c r="AA379" s="92"/>
      <c r="AB379" s="92"/>
    </row>
    <row r="380">
      <c r="A380" s="92"/>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row>
    <row r="381">
      <c r="A381" s="92"/>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c r="AA381" s="92"/>
      <c r="AB381" s="92"/>
    </row>
    <row r="382">
      <c r="A382" s="92"/>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row>
    <row r="383">
      <c r="A383" s="92"/>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c r="AA383" s="92"/>
      <c r="AB383" s="92"/>
    </row>
    <row r="384">
      <c r="A384" s="92"/>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row>
    <row r="385">
      <c r="A385" s="92"/>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c r="AA385" s="92"/>
      <c r="AB385" s="92"/>
    </row>
    <row r="386">
      <c r="A386" s="92"/>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row>
    <row r="387">
      <c r="A387" s="92"/>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c r="AA387" s="92"/>
      <c r="AB387" s="92"/>
    </row>
    <row r="388">
      <c r="A388" s="92"/>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row>
    <row r="389">
      <c r="A389" s="92"/>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c r="AA389" s="92"/>
      <c r="AB389" s="92"/>
    </row>
    <row r="390">
      <c r="A390" s="92"/>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c r="AA390" s="92"/>
      <c r="AB390" s="92"/>
    </row>
    <row r="391">
      <c r="A391" s="92"/>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c r="AA391" s="92"/>
      <c r="AB391" s="92"/>
    </row>
    <row r="392">
      <c r="A392" s="92"/>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row>
    <row r="393">
      <c r="A393" s="92"/>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c r="AA393" s="92"/>
      <c r="AB393" s="92"/>
    </row>
    <row r="394">
      <c r="A394" s="92"/>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row>
    <row r="395">
      <c r="A395" s="92"/>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c r="AA395" s="92"/>
      <c r="AB395" s="92"/>
    </row>
    <row r="396">
      <c r="A396" s="92"/>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row>
    <row r="397">
      <c r="A397" s="92"/>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row>
    <row r="398">
      <c r="A398" s="92"/>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row>
    <row r="399">
      <c r="A399" s="92"/>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c r="AA399" s="92"/>
      <c r="AB399" s="92"/>
    </row>
    <row r="400">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row>
    <row r="40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row>
    <row r="402">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row>
    <row r="403">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row>
    <row r="404">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row>
    <row r="405">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row>
    <row r="406">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row>
    <row r="407">
      <c r="A407" s="92"/>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c r="AA407" s="92"/>
      <c r="AB407" s="92"/>
    </row>
    <row r="408">
      <c r="A408" s="92"/>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row>
    <row r="409">
      <c r="A409" s="92"/>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row>
    <row r="410">
      <c r="A410" s="92"/>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row>
    <row r="411">
      <c r="A411" s="92"/>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c r="AA411" s="92"/>
      <c r="AB411" s="92"/>
    </row>
    <row r="412">
      <c r="A412" s="92"/>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row>
    <row r="413">
      <c r="A413" s="92"/>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c r="AA413" s="92"/>
      <c r="AB413" s="92"/>
    </row>
    <row r="414">
      <c r="A414" s="92"/>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row>
    <row r="415">
      <c r="A415" s="92"/>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c r="AA415" s="92"/>
      <c r="AB415" s="92"/>
    </row>
    <row r="416">
      <c r="A416" s="92"/>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row>
    <row r="417">
      <c r="A417" s="92"/>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c r="AA417" s="92"/>
      <c r="AB417" s="92"/>
    </row>
    <row r="418">
      <c r="A418" s="92"/>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row>
    <row r="419">
      <c r="A419" s="92"/>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c r="AA419" s="92"/>
      <c r="AB419" s="92"/>
    </row>
    <row r="420">
      <c r="A420" s="92"/>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row>
    <row r="421">
      <c r="A421" s="92"/>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c r="AA421" s="92"/>
      <c r="AB421" s="92"/>
    </row>
    <row r="422">
      <c r="A422" s="92"/>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row>
    <row r="423">
      <c r="A423" s="92"/>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c r="AA423" s="92"/>
      <c r="AB423" s="92"/>
    </row>
    <row r="424">
      <c r="A424" s="92"/>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row>
    <row r="425">
      <c r="A425" s="92"/>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c r="AA425" s="92"/>
      <c r="AB425" s="92"/>
    </row>
    <row r="426">
      <c r="A426" s="92"/>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row>
    <row r="427">
      <c r="A427" s="92"/>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c r="AA427" s="92"/>
      <c r="AB427" s="92"/>
    </row>
    <row r="428">
      <c r="A428" s="92"/>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row>
    <row r="429">
      <c r="A429" s="92"/>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c r="AA429" s="92"/>
      <c r="AB429" s="92"/>
    </row>
    <row r="430">
      <c r="A430" s="92"/>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row>
    <row r="431">
      <c r="A431" s="92"/>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c r="AA431" s="92"/>
      <c r="AB431" s="92"/>
    </row>
    <row r="432">
      <c r="A432" s="92"/>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c r="AA432" s="92"/>
      <c r="AB432" s="92"/>
    </row>
    <row r="433">
      <c r="A433" s="92"/>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row>
    <row r="434">
      <c r="A434" s="92"/>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row>
    <row r="435">
      <c r="A435" s="92"/>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row>
    <row r="436">
      <c r="A436" s="92"/>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row>
    <row r="437">
      <c r="A437" s="92"/>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c r="AA437" s="92"/>
      <c r="AB437" s="92"/>
    </row>
    <row r="438">
      <c r="A438" s="92"/>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row>
    <row r="439">
      <c r="A439" s="92"/>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row>
    <row r="440">
      <c r="A440" s="92"/>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row>
    <row r="441">
      <c r="A441" s="92"/>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c r="AA441" s="92"/>
      <c r="AB441" s="92"/>
    </row>
    <row r="442">
      <c r="A442" s="92"/>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row>
    <row r="443">
      <c r="A443" s="92"/>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c r="AA443" s="92"/>
      <c r="AB443" s="92"/>
    </row>
    <row r="444">
      <c r="A444" s="92"/>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row>
    <row r="445">
      <c r="A445" s="92"/>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c r="AA445" s="92"/>
      <c r="AB445" s="92"/>
    </row>
    <row r="446">
      <c r="A446" s="92"/>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row>
    <row r="447">
      <c r="A447" s="92"/>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c r="AA447" s="92"/>
      <c r="AB447" s="92"/>
    </row>
    <row r="448">
      <c r="A448" s="92"/>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row>
    <row r="449">
      <c r="A449" s="92"/>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c r="AA449" s="92"/>
      <c r="AB449" s="92"/>
    </row>
    <row r="450">
      <c r="A450" s="92"/>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row>
    <row r="451">
      <c r="A451" s="92"/>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c r="AA451" s="92"/>
      <c r="AB451" s="92"/>
    </row>
    <row r="452">
      <c r="A452" s="92"/>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row>
    <row r="453">
      <c r="A453" s="92"/>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c r="AA453" s="92"/>
      <c r="AB453" s="92"/>
    </row>
    <row r="454">
      <c r="A454" s="92"/>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row>
    <row r="455">
      <c r="A455" s="92"/>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c r="AA455" s="92"/>
      <c r="AB455" s="92"/>
    </row>
    <row r="456">
      <c r="A456" s="92"/>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c r="AA456" s="92"/>
      <c r="AB456" s="92"/>
    </row>
    <row r="457">
      <c r="A457" s="92"/>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c r="AA457" s="92"/>
      <c r="AB457" s="92"/>
    </row>
    <row r="458">
      <c r="A458" s="92"/>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row>
    <row r="459">
      <c r="A459" s="92"/>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c r="AA459" s="92"/>
      <c r="AB459" s="92"/>
    </row>
    <row r="460">
      <c r="A460" s="92"/>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row>
    <row r="461">
      <c r="A461" s="92"/>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c r="AA461" s="92"/>
      <c r="AB461" s="92"/>
    </row>
    <row r="462">
      <c r="A462" s="92"/>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row>
    <row r="463">
      <c r="A463" s="92"/>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c r="AA463" s="92"/>
      <c r="AB463" s="92"/>
    </row>
    <row r="464">
      <c r="A464" s="92"/>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row>
    <row r="465">
      <c r="A465" s="92"/>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c r="AA465" s="92"/>
      <c r="AB465" s="92"/>
    </row>
    <row r="466">
      <c r="A466" s="92"/>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c r="AA466" s="92"/>
      <c r="AB466" s="92"/>
    </row>
    <row r="467">
      <c r="A467" s="92"/>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c r="AA467" s="92"/>
      <c r="AB467" s="92"/>
    </row>
    <row r="468">
      <c r="A468" s="92"/>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row>
    <row r="469">
      <c r="A469" s="92"/>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c r="AA469" s="92"/>
      <c r="AB469" s="92"/>
    </row>
    <row r="470">
      <c r="A470" s="92"/>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c r="AA470" s="92"/>
      <c r="AB470" s="92"/>
    </row>
    <row r="471">
      <c r="A471" s="92"/>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c r="AA471" s="92"/>
      <c r="AB471" s="92"/>
    </row>
    <row r="472">
      <c r="A472" s="92"/>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c r="AA472" s="92"/>
      <c r="AB472" s="92"/>
    </row>
    <row r="473">
      <c r="A473" s="92"/>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c r="AA473" s="92"/>
      <c r="AB473" s="92"/>
    </row>
    <row r="474">
      <c r="A474" s="92"/>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row>
    <row r="475">
      <c r="A475" s="92"/>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c r="AA475" s="92"/>
      <c r="AB475" s="92"/>
    </row>
    <row r="476">
      <c r="A476" s="92"/>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row>
    <row r="477">
      <c r="A477" s="92"/>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c r="AA477" s="92"/>
      <c r="AB477" s="92"/>
    </row>
    <row r="478">
      <c r="A478" s="92"/>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row>
    <row r="479">
      <c r="A479" s="92"/>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c r="AA479" s="92"/>
      <c r="AB479" s="92"/>
    </row>
    <row r="480">
      <c r="A480" s="92"/>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row>
    <row r="481">
      <c r="A481" s="92"/>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c r="AA481" s="92"/>
      <c r="AB481" s="92"/>
    </row>
    <row r="482">
      <c r="A482" s="92"/>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row>
    <row r="483">
      <c r="A483" s="92"/>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c r="AA483" s="92"/>
      <c r="AB483" s="92"/>
    </row>
    <row r="484">
      <c r="A484" s="92"/>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row>
    <row r="485">
      <c r="A485" s="92"/>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c r="AA485" s="92"/>
      <c r="AB485" s="92"/>
    </row>
    <row r="486">
      <c r="A486" s="92"/>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c r="AA486" s="92"/>
      <c r="AB486" s="92"/>
    </row>
    <row r="487">
      <c r="A487" s="92"/>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c r="AA487" s="92"/>
      <c r="AB487" s="92"/>
    </row>
    <row r="488">
      <c r="A488" s="92"/>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row>
    <row r="489">
      <c r="A489" s="92"/>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c r="AA489" s="92"/>
      <c r="AB489" s="92"/>
    </row>
    <row r="490">
      <c r="A490" s="92"/>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row>
    <row r="491">
      <c r="A491" s="92"/>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row>
    <row r="492">
      <c r="A492" s="92"/>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row>
    <row r="493">
      <c r="A493" s="92"/>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c r="AA493" s="92"/>
      <c r="AB493" s="92"/>
    </row>
    <row r="494">
      <c r="A494" s="92"/>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row>
    <row r="495">
      <c r="A495" s="92"/>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c r="AA495" s="92"/>
      <c r="AB495" s="92"/>
    </row>
    <row r="496">
      <c r="A496" s="92"/>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row>
    <row r="497">
      <c r="A497" s="92"/>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c r="AA497" s="92"/>
      <c r="AB497" s="92"/>
    </row>
    <row r="498">
      <c r="A498" s="92"/>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c r="AA498" s="92"/>
      <c r="AB498" s="92"/>
    </row>
    <row r="499">
      <c r="A499" s="92"/>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c r="AA499" s="92"/>
      <c r="AB499" s="92"/>
    </row>
    <row r="500">
      <c r="A500" s="92"/>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row>
    <row r="501">
      <c r="A501" s="92"/>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c r="AA501" s="92"/>
      <c r="AB501" s="92"/>
    </row>
    <row r="502">
      <c r="A502" s="92"/>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row>
    <row r="503">
      <c r="A503" s="92"/>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c r="AA503" s="92"/>
      <c r="AB503" s="92"/>
    </row>
    <row r="504">
      <c r="A504" s="92"/>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row>
    <row r="505">
      <c r="A505" s="92"/>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c r="AA505" s="92"/>
      <c r="AB505" s="92"/>
    </row>
    <row r="506">
      <c r="A506" s="92"/>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row>
    <row r="507">
      <c r="A507" s="92"/>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c r="AA507" s="92"/>
      <c r="AB507" s="92"/>
    </row>
    <row r="508">
      <c r="A508" s="92"/>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c r="AA508" s="92"/>
      <c r="AB508" s="92"/>
    </row>
    <row r="509">
      <c r="A509" s="92"/>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c r="AA509" s="92"/>
      <c r="AB509" s="92"/>
    </row>
    <row r="510">
      <c r="A510" s="92"/>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row>
    <row r="511">
      <c r="A511" s="92"/>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row>
    <row r="512">
      <c r="A512" s="92"/>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row>
    <row r="513">
      <c r="A513" s="92"/>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c r="AA513" s="92"/>
      <c r="AB513" s="92"/>
    </row>
    <row r="514">
      <c r="A514" s="92"/>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row>
    <row r="515">
      <c r="A515" s="92"/>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c r="AA515" s="92"/>
      <c r="AB515" s="92"/>
    </row>
    <row r="516">
      <c r="A516" s="92"/>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row>
    <row r="517">
      <c r="A517" s="92"/>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c r="AA517" s="92"/>
      <c r="AB517" s="92"/>
    </row>
    <row r="518">
      <c r="A518" s="92"/>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row>
    <row r="519">
      <c r="A519" s="92"/>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c r="AA519" s="92"/>
      <c r="AB519" s="92"/>
    </row>
    <row r="520">
      <c r="A520" s="92"/>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row>
    <row r="521">
      <c r="A521" s="92"/>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c r="AA521" s="92"/>
      <c r="AB521" s="92"/>
    </row>
    <row r="522">
      <c r="A522" s="92"/>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row>
    <row r="523">
      <c r="A523" s="92"/>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c r="AA523" s="92"/>
      <c r="AB523" s="92"/>
    </row>
    <row r="524">
      <c r="A524" s="92"/>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row>
    <row r="525">
      <c r="A525" s="92"/>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c r="AA525" s="92"/>
      <c r="AB525" s="92"/>
    </row>
    <row r="526">
      <c r="A526" s="92"/>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row>
    <row r="527">
      <c r="A527" s="92"/>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c r="AA527" s="92"/>
      <c r="AB527" s="92"/>
    </row>
    <row r="528">
      <c r="A528" s="92"/>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row>
    <row r="529">
      <c r="A529" s="92"/>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c r="AA529" s="92"/>
      <c r="AB529" s="92"/>
    </row>
    <row r="530">
      <c r="A530" s="92"/>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row>
    <row r="531">
      <c r="A531" s="92"/>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row>
    <row r="532">
      <c r="A532" s="92"/>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row>
    <row r="533">
      <c r="A533" s="92"/>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c r="AA533" s="92"/>
      <c r="AB533" s="92"/>
    </row>
    <row r="534">
      <c r="A534" s="92"/>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c r="AA534" s="92"/>
      <c r="AB534" s="92"/>
    </row>
    <row r="535">
      <c r="A535" s="92"/>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c r="AA535" s="92"/>
      <c r="AB535" s="92"/>
    </row>
    <row r="536">
      <c r="A536" s="92"/>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row>
    <row r="537">
      <c r="A537" s="92"/>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c r="AA537" s="92"/>
      <c r="AB537" s="92"/>
    </row>
    <row r="538">
      <c r="A538" s="92"/>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c r="AA538" s="92"/>
      <c r="AB538" s="92"/>
    </row>
    <row r="539">
      <c r="A539" s="92"/>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c r="AA539" s="92"/>
      <c r="AB539" s="92"/>
    </row>
    <row r="540">
      <c r="A540" s="92"/>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c r="AA540" s="92"/>
      <c r="AB540" s="92"/>
    </row>
    <row r="541">
      <c r="A541" s="92"/>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c r="AA541" s="92"/>
      <c r="AB541" s="92"/>
    </row>
    <row r="542">
      <c r="A542" s="92"/>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row>
    <row r="543">
      <c r="A543" s="92"/>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c r="AA543" s="92"/>
      <c r="AB543" s="92"/>
    </row>
    <row r="544">
      <c r="A544" s="92"/>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row>
    <row r="545">
      <c r="A545" s="92"/>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c r="AA545" s="92"/>
      <c r="AB545" s="92"/>
    </row>
    <row r="546">
      <c r="A546" s="92"/>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c r="AA546" s="92"/>
      <c r="AB546" s="92"/>
    </row>
    <row r="547">
      <c r="A547" s="92"/>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c r="AA547" s="92"/>
      <c r="AB547" s="92"/>
    </row>
    <row r="548">
      <c r="A548" s="92"/>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row>
    <row r="549">
      <c r="A549" s="92"/>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c r="AA549" s="92"/>
      <c r="AB549" s="92"/>
    </row>
    <row r="550">
      <c r="A550" s="92"/>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row>
    <row r="551">
      <c r="A551" s="92"/>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c r="AA551" s="92"/>
      <c r="AB551" s="92"/>
    </row>
    <row r="552">
      <c r="A552" s="92"/>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c r="AA552" s="92"/>
      <c r="AB552" s="92"/>
    </row>
    <row r="553">
      <c r="A553" s="92"/>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c r="AA553" s="92"/>
      <c r="AB553" s="92"/>
    </row>
    <row r="554">
      <c r="A554" s="92"/>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row>
    <row r="555">
      <c r="A555" s="92"/>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c r="AA555" s="92"/>
      <c r="AB555" s="92"/>
    </row>
    <row r="556">
      <c r="A556" s="92"/>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row>
    <row r="557">
      <c r="A557" s="92"/>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c r="AA557" s="92"/>
      <c r="AB557" s="92"/>
    </row>
    <row r="558">
      <c r="A558" s="92"/>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row>
    <row r="559">
      <c r="A559" s="92"/>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c r="AA559" s="92"/>
      <c r="AB559" s="92"/>
    </row>
    <row r="560">
      <c r="A560" s="92"/>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row>
    <row r="561">
      <c r="A561" s="92"/>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c r="AA561" s="92"/>
      <c r="AB561" s="92"/>
    </row>
    <row r="562">
      <c r="A562" s="92"/>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c r="AA562" s="92"/>
      <c r="AB562" s="92"/>
    </row>
    <row r="563">
      <c r="A563" s="92"/>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c r="AA563" s="92"/>
      <c r="AB563" s="92"/>
    </row>
    <row r="564">
      <c r="A564" s="92"/>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c r="AA564" s="92"/>
      <c r="AB564" s="92"/>
    </row>
    <row r="565">
      <c r="A565" s="92"/>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c r="AA565" s="92"/>
      <c r="AB565" s="92"/>
    </row>
    <row r="566">
      <c r="A566" s="92"/>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row>
    <row r="567">
      <c r="A567" s="92"/>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c r="AA567" s="92"/>
      <c r="AB567" s="92"/>
    </row>
    <row r="568">
      <c r="A568" s="92"/>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c r="AA568" s="92"/>
      <c r="AB568" s="92"/>
    </row>
    <row r="569">
      <c r="A569" s="92"/>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c r="AA569" s="92"/>
      <c r="AB569" s="92"/>
    </row>
    <row r="570">
      <c r="A570" s="92"/>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c r="AA570" s="92"/>
      <c r="AB570" s="92"/>
    </row>
    <row r="571">
      <c r="A571" s="92"/>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c r="AA571" s="92"/>
      <c r="AB571" s="92"/>
    </row>
    <row r="572">
      <c r="A572" s="92"/>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row>
    <row r="573">
      <c r="A573" s="92"/>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c r="AA573" s="92"/>
      <c r="AB573" s="92"/>
    </row>
    <row r="574">
      <c r="A574" s="92"/>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row>
    <row r="575">
      <c r="A575" s="92"/>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c r="AA575" s="92"/>
      <c r="AB575" s="92"/>
    </row>
    <row r="576">
      <c r="A576" s="92"/>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c r="AA576" s="92"/>
      <c r="AB576" s="92"/>
    </row>
    <row r="577">
      <c r="A577" s="92"/>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c r="AA577" s="92"/>
      <c r="AB577" s="92"/>
    </row>
    <row r="578">
      <c r="A578" s="92"/>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row>
    <row r="579">
      <c r="A579" s="92"/>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c r="AA579" s="92"/>
      <c r="AB579" s="92"/>
    </row>
    <row r="580">
      <c r="A580" s="92"/>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row>
    <row r="581">
      <c r="A581" s="92"/>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c r="AA581" s="92"/>
      <c r="AB581" s="92"/>
    </row>
    <row r="582">
      <c r="A582" s="92"/>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row>
    <row r="583">
      <c r="A583" s="92"/>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c r="AA583" s="92"/>
      <c r="AB583" s="92"/>
    </row>
    <row r="584">
      <c r="A584" s="92"/>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row>
    <row r="585">
      <c r="A585" s="92"/>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c r="AA585" s="92"/>
      <c r="AB585" s="92"/>
    </row>
    <row r="586">
      <c r="A586" s="92"/>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row>
    <row r="587">
      <c r="A587" s="92"/>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c r="AA587" s="92"/>
      <c r="AB587" s="92"/>
    </row>
    <row r="588">
      <c r="A588" s="92"/>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row>
    <row r="589">
      <c r="A589" s="92"/>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c r="AA589" s="92"/>
      <c r="AB589" s="92"/>
    </row>
    <row r="590">
      <c r="A590" s="92"/>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row>
    <row r="591">
      <c r="A591" s="92"/>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c r="AA591" s="92"/>
      <c r="AB591" s="92"/>
    </row>
    <row r="592">
      <c r="A592" s="92"/>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row>
    <row r="593">
      <c r="A593" s="92"/>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c r="AA593" s="92"/>
      <c r="AB593" s="92"/>
    </row>
    <row r="594">
      <c r="A594" s="92"/>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row>
    <row r="595">
      <c r="A595" s="92"/>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c r="AA595" s="92"/>
      <c r="AB595" s="92"/>
    </row>
    <row r="596">
      <c r="A596" s="92"/>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c r="AA596" s="92"/>
      <c r="AB596" s="92"/>
    </row>
    <row r="597">
      <c r="A597" s="92"/>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c r="AA597" s="92"/>
      <c r="AB597" s="92"/>
    </row>
    <row r="598">
      <c r="A598" s="92"/>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c r="AA598" s="92"/>
      <c r="AB598" s="92"/>
    </row>
    <row r="599">
      <c r="A599" s="92"/>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c r="AA599" s="92"/>
      <c r="AB599" s="92"/>
    </row>
    <row r="600">
      <c r="A600" s="92"/>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row>
    <row r="601">
      <c r="A601" s="92"/>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c r="AA601" s="92"/>
      <c r="AB601" s="92"/>
    </row>
    <row r="602">
      <c r="A602" s="92"/>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c r="AA602" s="92"/>
      <c r="AB602" s="92"/>
    </row>
    <row r="603">
      <c r="A603" s="92"/>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c r="AA603" s="92"/>
      <c r="AB603" s="92"/>
    </row>
    <row r="604">
      <c r="A604" s="92"/>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row>
    <row r="605">
      <c r="A605" s="92"/>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c r="AA605" s="92"/>
      <c r="AB605" s="92"/>
    </row>
    <row r="606">
      <c r="A606" s="92"/>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row>
    <row r="607">
      <c r="A607" s="92"/>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row>
    <row r="608">
      <c r="A608" s="92"/>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c r="AA608" s="92"/>
      <c r="AB608" s="92"/>
    </row>
    <row r="609">
      <c r="A609" s="92"/>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row>
    <row r="610">
      <c r="A610" s="92"/>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c r="AA610" s="92"/>
      <c r="AB610" s="92"/>
    </row>
    <row r="611">
      <c r="A611" s="92"/>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c r="AA611" s="92"/>
      <c r="AB611" s="92"/>
    </row>
    <row r="612">
      <c r="A612" s="92"/>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c r="AA612" s="92"/>
      <c r="AB612" s="92"/>
    </row>
    <row r="613">
      <c r="A613" s="92"/>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row>
    <row r="614">
      <c r="A614" s="92"/>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c r="AA614" s="92"/>
      <c r="AB614" s="92"/>
    </row>
    <row r="615">
      <c r="A615" s="92"/>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row>
    <row r="616">
      <c r="A616" s="92"/>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c r="AA616" s="92"/>
      <c r="AB616" s="92"/>
    </row>
    <row r="617">
      <c r="A617" s="92"/>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row>
    <row r="618">
      <c r="A618" s="92"/>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c r="AA618" s="92"/>
      <c r="AB618" s="92"/>
    </row>
    <row r="619">
      <c r="A619" s="92"/>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row>
    <row r="620">
      <c r="A620" s="92"/>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c r="AA620" s="92"/>
      <c r="AB620" s="92"/>
    </row>
    <row r="621">
      <c r="A621" s="92"/>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c r="AA621" s="92"/>
      <c r="AB621" s="92"/>
    </row>
    <row r="622">
      <c r="A622" s="92"/>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c r="AA622" s="92"/>
      <c r="AB622" s="92"/>
    </row>
    <row r="623">
      <c r="A623" s="92"/>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row>
    <row r="624">
      <c r="A624" s="92"/>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c r="AA624" s="92"/>
      <c r="AB624" s="92"/>
    </row>
    <row r="625">
      <c r="A625" s="92"/>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row>
    <row r="626">
      <c r="A626" s="92"/>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c r="AA626" s="92"/>
      <c r="AB626" s="92"/>
    </row>
    <row r="627">
      <c r="A627" s="92"/>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row>
    <row r="628">
      <c r="A628" s="92"/>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c r="AA628" s="92"/>
      <c r="AB628" s="92"/>
    </row>
    <row r="629">
      <c r="A629" s="92"/>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row>
    <row r="630">
      <c r="A630" s="92"/>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c r="AA630" s="92"/>
      <c r="AB630" s="92"/>
    </row>
    <row r="631">
      <c r="A631" s="92"/>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row>
    <row r="632">
      <c r="A632" s="92"/>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c r="AA632" s="92"/>
      <c r="AB632" s="92"/>
    </row>
    <row r="633">
      <c r="A633" s="92"/>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row>
    <row r="634">
      <c r="A634" s="92"/>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c r="AA634" s="92"/>
      <c r="AB634" s="92"/>
    </row>
    <row r="635">
      <c r="A635" s="92"/>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c r="AA635" s="92"/>
      <c r="AB635" s="92"/>
    </row>
    <row r="636">
      <c r="A636" s="92"/>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c r="AA636" s="92"/>
      <c r="AB636" s="92"/>
    </row>
    <row r="637">
      <c r="A637" s="92"/>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c r="AA637" s="92"/>
      <c r="AB637" s="92"/>
    </row>
    <row r="638">
      <c r="A638" s="92"/>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c r="AA638" s="92"/>
      <c r="AB638" s="92"/>
    </row>
    <row r="639">
      <c r="A639" s="92"/>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c r="AA639" s="92"/>
      <c r="AB639" s="92"/>
    </row>
    <row r="640">
      <c r="A640" s="92"/>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c r="AA640" s="92"/>
      <c r="AB640" s="92"/>
    </row>
    <row r="641">
      <c r="A641" s="92"/>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row>
    <row r="642">
      <c r="A642" s="92"/>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row>
    <row r="643">
      <c r="A643" s="92"/>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row>
    <row r="644">
      <c r="A644" s="92"/>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c r="AA644" s="92"/>
      <c r="AB644" s="92"/>
    </row>
    <row r="645">
      <c r="A645" s="92"/>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c r="AA645" s="92"/>
      <c r="AB645" s="92"/>
    </row>
    <row r="646">
      <c r="A646" s="92"/>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c r="AA646" s="92"/>
      <c r="AB646" s="92"/>
    </row>
    <row r="647">
      <c r="A647" s="92"/>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row>
    <row r="648">
      <c r="A648" s="92"/>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c r="AA648" s="92"/>
      <c r="AB648" s="92"/>
    </row>
    <row r="649">
      <c r="A649" s="92"/>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row>
    <row r="650">
      <c r="A650" s="92"/>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c r="AA650" s="92"/>
      <c r="AB650" s="92"/>
    </row>
    <row r="651">
      <c r="A651" s="92"/>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row>
    <row r="652">
      <c r="A652" s="9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row>
    <row r="653">
      <c r="A653" s="9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row>
    <row r="654">
      <c r="A654" s="9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row>
    <row r="655">
      <c r="A655" s="9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row>
    <row r="656">
      <c r="A656" s="9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row>
    <row r="657">
      <c r="A657" s="9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row>
    <row r="658">
      <c r="A658" s="9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row>
    <row r="659">
      <c r="A659" s="9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row>
    <row r="660">
      <c r="A660" s="9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row>
    <row r="661">
      <c r="A661" s="9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row>
    <row r="662">
      <c r="A662" s="9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row>
    <row r="663">
      <c r="A663" s="9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row>
    <row r="664">
      <c r="A664" s="9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row>
    <row r="665">
      <c r="A665" s="9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row>
    <row r="666">
      <c r="A666" s="9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row>
    <row r="667">
      <c r="A667" s="9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row>
    <row r="668">
      <c r="A668" s="9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row>
    <row r="669">
      <c r="A669" s="9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row>
    <row r="670">
      <c r="A670" s="9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row>
    <row r="671">
      <c r="A671" s="9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row>
    <row r="672">
      <c r="A672" s="9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row>
    <row r="673">
      <c r="A673" s="9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row>
    <row r="674">
      <c r="A674" s="9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row>
    <row r="675">
      <c r="A675" s="9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row>
    <row r="676">
      <c r="A676" s="9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row>
    <row r="677">
      <c r="A677" s="9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row>
    <row r="678">
      <c r="A678" s="9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row>
    <row r="679">
      <c r="A679" s="9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row>
    <row r="680">
      <c r="A680" s="9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row>
    <row r="681">
      <c r="A681" s="9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row>
    <row r="682">
      <c r="A682" s="9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row>
    <row r="683">
      <c r="A683" s="9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row>
    <row r="684">
      <c r="A684" s="9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row>
    <row r="685">
      <c r="A685" s="9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row>
    <row r="686">
      <c r="A686" s="9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row>
    <row r="687">
      <c r="A687" s="9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row>
    <row r="688">
      <c r="A688" s="9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row>
    <row r="689">
      <c r="A689" s="9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row>
    <row r="690">
      <c r="A690" s="9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row>
    <row r="691">
      <c r="A691" s="9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row>
    <row r="692">
      <c r="A692" s="9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row>
    <row r="693">
      <c r="A693" s="9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row>
    <row r="694">
      <c r="A694" s="9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row>
    <row r="695">
      <c r="A695" s="9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row>
    <row r="696">
      <c r="A696" s="9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row>
    <row r="697">
      <c r="A697" s="9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row>
    <row r="698">
      <c r="A698" s="9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row>
    <row r="699">
      <c r="A699" s="9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row>
    <row r="700">
      <c r="A700" s="9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row>
    <row r="701">
      <c r="A701" s="9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row>
    <row r="702">
      <c r="A702" s="9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row>
    <row r="703">
      <c r="A703" s="9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row>
    <row r="704">
      <c r="A704" s="9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row>
    <row r="705">
      <c r="A705" s="9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row>
    <row r="706">
      <c r="A706" s="9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row>
    <row r="707">
      <c r="A707" s="9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row>
    <row r="708">
      <c r="A708" s="9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row>
    <row r="709">
      <c r="A709" s="9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row>
    <row r="710">
      <c r="A710" s="9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row>
    <row r="711">
      <c r="A711" s="9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row>
    <row r="712">
      <c r="A712" s="9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row>
    <row r="713">
      <c r="A713" s="9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row>
    <row r="714">
      <c r="A714" s="9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row>
    <row r="715">
      <c r="A715" s="9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row>
    <row r="716">
      <c r="A716" s="9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row>
    <row r="717">
      <c r="A717" s="9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row>
    <row r="718">
      <c r="A718" s="9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row>
    <row r="719">
      <c r="A719" s="9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row>
    <row r="720">
      <c r="A720" s="9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row>
    <row r="721">
      <c r="A721" s="9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row>
    <row r="722">
      <c r="A722" s="9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row>
    <row r="723">
      <c r="A723" s="9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row>
    <row r="724">
      <c r="A724" s="9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row>
    <row r="725">
      <c r="A725" s="9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row>
    <row r="726">
      <c r="A726" s="9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row>
    <row r="727">
      <c r="A727" s="9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row>
    <row r="728">
      <c r="A728" s="9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row>
    <row r="729">
      <c r="A729" s="9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row>
    <row r="730">
      <c r="A730" s="9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row>
    <row r="731">
      <c r="A731" s="9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row>
    <row r="732">
      <c r="A732" s="9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row>
    <row r="733">
      <c r="A733" s="9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row>
    <row r="734">
      <c r="A734" s="9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row>
    <row r="735">
      <c r="A735" s="9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row>
    <row r="736">
      <c r="A736" s="9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row>
    <row r="737">
      <c r="A737" s="9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row>
    <row r="738">
      <c r="A738" s="9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row>
    <row r="739">
      <c r="A739" s="9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row>
    <row r="740">
      <c r="A740" s="9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row>
    <row r="741">
      <c r="A741" s="9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row>
    <row r="742">
      <c r="A742" s="9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row>
    <row r="743">
      <c r="A743" s="9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row>
    <row r="744">
      <c r="A744" s="9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row>
    <row r="745">
      <c r="A745" s="9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row>
    <row r="746">
      <c r="A746" s="9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row>
    <row r="747">
      <c r="A747" s="9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row>
    <row r="748">
      <c r="A748" s="9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row>
    <row r="749">
      <c r="A749" s="9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row>
    <row r="750">
      <c r="A750" s="9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row>
    <row r="751">
      <c r="A751" s="9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row>
    <row r="752">
      <c r="A752" s="9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row>
    <row r="753">
      <c r="A753" s="9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row>
    <row r="754">
      <c r="A754" s="9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row>
    <row r="755">
      <c r="A755" s="9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row>
    <row r="756">
      <c r="A756" s="9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row>
    <row r="757">
      <c r="A757" s="9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row>
    <row r="758">
      <c r="A758" s="9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row>
    <row r="759">
      <c r="A759" s="9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row>
    <row r="760">
      <c r="A760" s="9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row>
    <row r="761">
      <c r="A761" s="9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row>
    <row r="762">
      <c r="A762" s="9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row>
    <row r="763">
      <c r="A763" s="9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row>
    <row r="764">
      <c r="A764" s="9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row>
    <row r="765">
      <c r="A765" s="9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row>
    <row r="766">
      <c r="A766" s="9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row>
    <row r="767">
      <c r="A767" s="9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row>
    <row r="768">
      <c r="A768" s="9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row>
    <row r="769">
      <c r="A769" s="9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row>
    <row r="770">
      <c r="A770" s="9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row>
    <row r="771">
      <c r="A771" s="9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row>
    <row r="772">
      <c r="A772" s="9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row>
    <row r="773">
      <c r="A773" s="9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row>
    <row r="774">
      <c r="A774" s="9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row>
    <row r="775">
      <c r="A775" s="9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row>
    <row r="776">
      <c r="A776" s="9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row>
    <row r="777">
      <c r="A777" s="9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row>
    <row r="778">
      <c r="A778" s="9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row>
    <row r="779">
      <c r="A779" s="9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row>
    <row r="780">
      <c r="A780" s="9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row>
    <row r="781">
      <c r="A781" s="9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row>
    <row r="782">
      <c r="A782" s="9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row>
    <row r="783">
      <c r="A783" s="9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row>
    <row r="784">
      <c r="A784" s="9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row>
    <row r="785">
      <c r="A785" s="9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row>
    <row r="786">
      <c r="A786" s="9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row>
    <row r="787">
      <c r="A787" s="9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row>
    <row r="788">
      <c r="A788" s="9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row>
    <row r="789">
      <c r="A789" s="9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row>
    <row r="790">
      <c r="A790" s="9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row>
    <row r="791">
      <c r="A791" s="9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row>
    <row r="792">
      <c r="A792" s="9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row>
    <row r="793">
      <c r="A793" s="9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row>
    <row r="794">
      <c r="A794" s="9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row>
    <row r="795">
      <c r="A795" s="9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row>
    <row r="796">
      <c r="A796" s="9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row>
    <row r="797">
      <c r="A797" s="9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row>
    <row r="798">
      <c r="A798" s="9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row>
    <row r="799">
      <c r="A799" s="9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row>
    <row r="800">
      <c r="A800" s="9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row>
    <row r="801">
      <c r="A801" s="9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row>
    <row r="802">
      <c r="A802" s="9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row>
    <row r="803">
      <c r="A803" s="9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row>
    <row r="804">
      <c r="A804" s="9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row>
    <row r="805">
      <c r="A805" s="9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row>
    <row r="806">
      <c r="A806" s="9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row>
    <row r="807">
      <c r="A807" s="9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row>
    <row r="808">
      <c r="A808" s="9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row>
    <row r="809">
      <c r="A809" s="9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row>
    <row r="810">
      <c r="A810" s="9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row>
    <row r="811">
      <c r="A811" s="9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row>
    <row r="812">
      <c r="A812" s="9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row>
    <row r="813">
      <c r="A813" s="9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row>
    <row r="814">
      <c r="A814" s="9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row>
    <row r="815">
      <c r="A815" s="9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row>
    <row r="816">
      <c r="A816" s="9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row>
    <row r="817">
      <c r="A817" s="9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row>
    <row r="818">
      <c r="A818" s="9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row>
    <row r="819">
      <c r="A819" s="9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row>
    <row r="820">
      <c r="A820" s="9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row>
    <row r="821">
      <c r="A821" s="92"/>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c r="AA821" s="92"/>
      <c r="AB821" s="92"/>
    </row>
    <row r="822">
      <c r="A822" s="92"/>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c r="AA822" s="92"/>
      <c r="AB822" s="92"/>
    </row>
    <row r="823">
      <c r="A823" s="92"/>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c r="AA823" s="92"/>
      <c r="AB823" s="92"/>
    </row>
    <row r="824">
      <c r="A824" s="92"/>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c r="AA824" s="92"/>
      <c r="AB824" s="92"/>
    </row>
    <row r="825">
      <c r="A825" s="92"/>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c r="AA825" s="92"/>
      <c r="AB825" s="92"/>
    </row>
    <row r="826">
      <c r="A826" s="92"/>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c r="AA826" s="92"/>
      <c r="AB826" s="92"/>
    </row>
    <row r="827">
      <c r="A827" s="92"/>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c r="AA827" s="92"/>
      <c r="AB827" s="92"/>
    </row>
    <row r="828">
      <c r="A828" s="92"/>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c r="AA828" s="92"/>
      <c r="AB828" s="92"/>
    </row>
    <row r="829">
      <c r="A829" s="92"/>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c r="AA829" s="92"/>
      <c r="AB829" s="92"/>
    </row>
    <row r="830">
      <c r="A830" s="92"/>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c r="AA830" s="92"/>
      <c r="AB830" s="92"/>
    </row>
    <row r="831">
      <c r="A831" s="92"/>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c r="AA831" s="92"/>
      <c r="AB831" s="92"/>
    </row>
    <row r="832">
      <c r="A832" s="92"/>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c r="AA832" s="92"/>
      <c r="AB832" s="92"/>
    </row>
    <row r="833">
      <c r="A833" s="92"/>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c r="AA833" s="92"/>
      <c r="AB833" s="92"/>
    </row>
    <row r="834">
      <c r="A834" s="92"/>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c r="AA834" s="92"/>
      <c r="AB834" s="92"/>
    </row>
    <row r="835">
      <c r="A835" s="92"/>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c r="AA835" s="92"/>
      <c r="AB835" s="92"/>
    </row>
    <row r="836">
      <c r="A836" s="92"/>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c r="AA836" s="92"/>
      <c r="AB836" s="92"/>
    </row>
    <row r="837">
      <c r="A837" s="92"/>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c r="AA837" s="92"/>
      <c r="AB837" s="92"/>
    </row>
    <row r="838">
      <c r="A838" s="92"/>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c r="AA838" s="92"/>
      <c r="AB838" s="92"/>
    </row>
    <row r="839">
      <c r="A839" s="92"/>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c r="AA839" s="92"/>
      <c r="AB839" s="92"/>
    </row>
    <row r="840">
      <c r="A840" s="92"/>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c r="AA840" s="92"/>
      <c r="AB840" s="92"/>
    </row>
    <row r="841">
      <c r="A841" s="92"/>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c r="AA841" s="92"/>
      <c r="AB841" s="92"/>
    </row>
    <row r="842">
      <c r="A842" s="92"/>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c r="AA842" s="92"/>
      <c r="AB842" s="92"/>
    </row>
    <row r="843">
      <c r="A843" s="92"/>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c r="AA843" s="92"/>
      <c r="AB843" s="92"/>
    </row>
    <row r="844">
      <c r="A844" s="92"/>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c r="AA844" s="92"/>
      <c r="AB844" s="92"/>
    </row>
    <row r="845">
      <c r="A845" s="92"/>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c r="AA845" s="92"/>
      <c r="AB845" s="92"/>
    </row>
    <row r="846">
      <c r="A846" s="92"/>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c r="AA846" s="92"/>
      <c r="AB846" s="92"/>
    </row>
    <row r="847">
      <c r="A847" s="92"/>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c r="AA847" s="92"/>
      <c r="AB847" s="92"/>
    </row>
    <row r="848">
      <c r="A848" s="92"/>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c r="AA848" s="92"/>
      <c r="AB848" s="92"/>
    </row>
    <row r="849">
      <c r="A849" s="92"/>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c r="AA849" s="92"/>
      <c r="AB849" s="92"/>
    </row>
    <row r="850">
      <c r="A850" s="92"/>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c r="AA850" s="92"/>
      <c r="AB850" s="92"/>
    </row>
    <row r="851">
      <c r="A851" s="92"/>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c r="AA851" s="92"/>
      <c r="AB851" s="92"/>
    </row>
    <row r="852">
      <c r="A852" s="92"/>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c r="AA852" s="92"/>
      <c r="AB852" s="92"/>
    </row>
    <row r="853">
      <c r="A853" s="92"/>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c r="AA853" s="92"/>
      <c r="AB853" s="92"/>
    </row>
    <row r="854">
      <c r="A854" s="92"/>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c r="AA854" s="92"/>
      <c r="AB854" s="92"/>
    </row>
    <row r="855">
      <c r="A855" s="92"/>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c r="AA855" s="92"/>
      <c r="AB855" s="92"/>
    </row>
    <row r="856">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row>
    <row r="857">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row>
    <row r="858">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row>
    <row r="859">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row>
    <row r="860">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row>
    <row r="861">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row>
    <row r="862">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row>
    <row r="863">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row>
    <row r="864">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row>
    <row r="865">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row>
    <row r="866">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row>
    <row r="867">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row>
    <row r="868">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row>
    <row r="869">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row>
    <row r="870">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row>
    <row r="871">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row>
    <row r="872">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row>
    <row r="873">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row>
    <row r="874">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row>
    <row r="875">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row>
    <row r="876">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row>
    <row r="877">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row>
    <row r="878">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row>
    <row r="879">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row>
    <row r="880">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row>
    <row r="881">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row>
    <row r="882">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row>
    <row r="883">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row>
    <row r="884">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row>
    <row r="885">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row>
    <row r="886">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row>
    <row r="887">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row>
    <row r="888">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row>
    <row r="889">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row>
    <row r="890">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row>
    <row r="891">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row>
    <row r="892">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row>
    <row r="893">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row>
    <row r="894">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row>
    <row r="895">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row>
    <row r="896">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row>
    <row r="897">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row>
    <row r="898">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row>
    <row r="899">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row>
    <row r="900">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row>
    <row r="901">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row>
    <row r="902">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row>
    <row r="903">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row>
    <row r="904">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row>
    <row r="905">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row>
    <row r="906">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row>
    <row r="907">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row>
    <row r="908">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row>
    <row r="909">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row>
    <row r="910">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row>
    <row r="911">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row>
    <row r="912">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row>
    <row r="913">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row>
    <row r="914">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row>
    <row r="915">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row>
    <row r="916">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row>
    <row r="917">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row>
    <row r="918">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row>
    <row r="919">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row>
    <row r="920">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row>
    <row r="921">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row>
    <row r="922">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row>
    <row r="923">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row>
    <row r="924">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row>
    <row r="925">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row>
    <row r="926">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row>
    <row r="927">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row>
    <row r="928">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row>
    <row r="929">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row>
    <row r="930">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row>
    <row r="931">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row>
    <row r="932">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row>
    <row r="933">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row>
    <row r="934">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row>
    <row r="935">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row>
    <row r="936">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row>
    <row r="937">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row>
    <row r="938">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row>
    <row r="939">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row>
    <row r="940">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row>
    <row r="941">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row>
    <row r="942">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row>
    <row r="943">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row>
    <row r="944">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row>
    <row r="945">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row>
    <row r="946">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row>
    <row r="947">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row>
    <row r="948">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row>
    <row r="949">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row>
    <row r="950">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row>
    <row r="951">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row>
    <row r="952">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row>
    <row r="953">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row>
    <row r="954">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row>
    <row r="955">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row>
    <row r="956">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row>
    <row r="957">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row>
    <row r="958">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row>
    <row r="959">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row>
    <row r="960">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row>
    <row r="961">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row>
    <row r="962">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row>
    <row r="963">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row>
    <row r="964">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row>
    <row r="965">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row>
    <row r="966">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row>
    <row r="967">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row>
    <row r="968">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row>
    <row r="969">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row>
    <row r="970">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row>
    <row r="971">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row>
    <row r="972">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row>
    <row r="973">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row>
    <row r="974">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row>
    <row r="975">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row>
    <row r="976">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row>
    <row r="977">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row>
    <row r="978">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row>
    <row r="979">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row>
    <row r="980">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row>
    <row r="981">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row>
    <row r="982">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row>
    <row r="983">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row>
    <row r="984">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row>
    <row r="985">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row>
    <row r="986">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row>
    <row r="987">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row>
    <row r="988">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row>
    <row r="989">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row>
    <row r="990">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row>
    <row r="991">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row>
    <row r="992">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row>
    <row r="993">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row>
    <row r="994">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row>
    <row r="995">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row>
    <row r="996">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row>
    <row r="997">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row>
    <row r="998">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row>
    <row r="999">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row>
    <row r="1000">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row>
  </sheetData>
  <mergeCells count="8">
    <mergeCell ref="A1:C1"/>
    <mergeCell ref="D1:F1"/>
    <mergeCell ref="G1:I1"/>
    <mergeCell ref="J1:L1"/>
    <mergeCell ref="J5:J7"/>
    <mergeCell ref="J9:J10"/>
    <mergeCell ref="J14:J17"/>
    <mergeCell ref="J18:J1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4.25"/>
    <col customWidth="1" hidden="1" min="2" max="2" width="7.13"/>
    <col customWidth="1" min="3" max="3" width="27.13"/>
    <col customWidth="1" min="4" max="4" width="7.25"/>
    <col customWidth="1" hidden="1" min="5" max="5" width="11.38"/>
    <col customWidth="1" min="6" max="6" width="8.25"/>
    <col customWidth="1" min="7" max="7" width="6.25"/>
    <col customWidth="1" min="8" max="8" width="6.13"/>
    <col customWidth="1" min="9" max="9" width="7.38"/>
    <col customWidth="1" min="10" max="10" width="8.5"/>
    <col customWidth="1" min="11" max="11" width="11.0"/>
    <col customWidth="1" hidden="1" min="12" max="12" width="16.0"/>
    <col customWidth="1" min="13" max="13" width="8.13"/>
    <col customWidth="1" min="14" max="14" width="7.25"/>
    <col customWidth="1" min="15" max="15" width="8.38"/>
    <col customWidth="1" min="16" max="16" width="7.88"/>
    <col customWidth="1" hidden="1" min="17" max="17" width="11.25"/>
    <col customWidth="1" hidden="1" min="18" max="18" width="7.88"/>
    <col customWidth="1" hidden="1" min="19" max="19" width="6.75"/>
    <col customWidth="1" min="20" max="20" width="7.13"/>
    <col customWidth="1" min="21" max="21" width="7.38"/>
    <col customWidth="1" min="22" max="22" width="6.13"/>
    <col customWidth="1" min="23" max="23" width="4.88"/>
    <col customWidth="1" min="24" max="24" width="5.13"/>
    <col customWidth="1" min="25" max="41" width="5.0"/>
    <col customWidth="1" hidden="1" min="42" max="42" width="4.0"/>
    <col customWidth="1" hidden="1" min="43" max="43" width="4.5"/>
    <col customWidth="1" hidden="1" min="44" max="44" width="4.75"/>
    <col customWidth="1" hidden="1" min="45" max="45" width="3.88"/>
    <col customWidth="1" hidden="1" min="46" max="46" width="3.75"/>
    <col customWidth="1" hidden="1" min="47" max="47" width="4.0"/>
    <col customWidth="1" hidden="1" min="48" max="48" width="4.25"/>
    <col customWidth="1" hidden="1" min="49" max="49" width="4.75"/>
    <col customWidth="1" hidden="1" min="50" max="50" width="4.63"/>
    <col customWidth="1" hidden="1" min="51" max="51" width="4.25"/>
    <col customWidth="1" hidden="1" min="52" max="52" width="4.88"/>
    <col customWidth="1" hidden="1" min="53" max="53" width="5.5"/>
    <col customWidth="1" hidden="1" min="54" max="54" width="4.38"/>
    <col customWidth="1" hidden="1" min="55" max="55" width="4.75"/>
    <col customWidth="1" hidden="1" min="56" max="59" width="9.0"/>
    <col customWidth="1" hidden="1" min="60" max="62" width="9.25"/>
    <col customWidth="1" min="63" max="63" width="9.25"/>
    <col customWidth="1" min="64" max="64" width="7.88"/>
    <col customWidth="1" min="65" max="66" width="9.25"/>
  </cols>
  <sheetData>
    <row r="1" ht="22.5" customHeight="1">
      <c r="A1" s="113" t="s">
        <v>42</v>
      </c>
      <c r="B1" s="113" t="s">
        <v>733</v>
      </c>
      <c r="C1" s="114" t="s">
        <v>43</v>
      </c>
      <c r="D1" s="113" t="s">
        <v>734</v>
      </c>
      <c r="E1" s="113" t="s">
        <v>735</v>
      </c>
      <c r="F1" s="113" t="s">
        <v>736</v>
      </c>
      <c r="G1" s="113" t="s">
        <v>737</v>
      </c>
      <c r="H1" s="113" t="s">
        <v>738</v>
      </c>
      <c r="I1" s="113" t="s">
        <v>739</v>
      </c>
      <c r="J1" s="113" t="s">
        <v>740</v>
      </c>
      <c r="K1" s="113" t="s">
        <v>741</v>
      </c>
      <c r="L1" s="113" t="s">
        <v>742</v>
      </c>
      <c r="M1" s="113" t="s">
        <v>743</v>
      </c>
      <c r="N1" s="113" t="s">
        <v>744</v>
      </c>
      <c r="O1" s="113" t="s">
        <v>745</v>
      </c>
      <c r="P1" s="113" t="s">
        <v>746</v>
      </c>
      <c r="Q1" s="113" t="s">
        <v>747</v>
      </c>
      <c r="R1" s="113" t="s">
        <v>748</v>
      </c>
      <c r="S1" s="113" t="s">
        <v>749</v>
      </c>
      <c r="T1" s="113" t="s">
        <v>750</v>
      </c>
      <c r="U1" s="113" t="s">
        <v>751</v>
      </c>
      <c r="V1" s="113" t="s">
        <v>752</v>
      </c>
      <c r="W1" s="115" t="s">
        <v>49</v>
      </c>
      <c r="X1" s="116" t="s">
        <v>50</v>
      </c>
      <c r="Y1" s="116" t="s">
        <v>51</v>
      </c>
      <c r="Z1" s="117" t="s">
        <v>52</v>
      </c>
      <c r="AA1" s="118" t="s">
        <v>53</v>
      </c>
      <c r="AB1" s="117" t="s">
        <v>55</v>
      </c>
      <c r="AC1" s="117" t="s">
        <v>70</v>
      </c>
      <c r="AD1" s="117" t="s">
        <v>58</v>
      </c>
      <c r="AE1" s="118" t="s">
        <v>59</v>
      </c>
      <c r="AF1" s="117" t="s">
        <v>60</v>
      </c>
      <c r="AG1" s="117" t="s">
        <v>61</v>
      </c>
      <c r="AH1" s="117" t="s">
        <v>62</v>
      </c>
      <c r="AI1" s="117" t="s">
        <v>63</v>
      </c>
      <c r="AJ1" s="117" t="s">
        <v>64</v>
      </c>
      <c r="AK1" s="117" t="s">
        <v>65</v>
      </c>
      <c r="AL1" s="117" t="s">
        <v>66</v>
      </c>
      <c r="AM1" s="117"/>
      <c r="AN1" s="117"/>
      <c r="AO1" s="117"/>
      <c r="AP1" s="113" t="s">
        <v>753</v>
      </c>
      <c r="AQ1" s="113" t="s">
        <v>754</v>
      </c>
      <c r="AR1" s="113" t="s">
        <v>755</v>
      </c>
      <c r="AS1" s="113" t="s">
        <v>756</v>
      </c>
      <c r="AT1" s="113" t="s">
        <v>757</v>
      </c>
      <c r="AU1" s="113" t="s">
        <v>758</v>
      </c>
      <c r="AV1" s="113" t="s">
        <v>759</v>
      </c>
      <c r="AW1" s="113" t="s">
        <v>742</v>
      </c>
      <c r="AX1" s="113" t="s">
        <v>760</v>
      </c>
      <c r="AY1" s="113" t="s">
        <v>761</v>
      </c>
      <c r="AZ1" s="113" t="s">
        <v>762</v>
      </c>
      <c r="BA1" s="113" t="s">
        <v>763</v>
      </c>
      <c r="BB1" s="113" t="s">
        <v>764</v>
      </c>
      <c r="BC1" s="113" t="s">
        <v>765</v>
      </c>
      <c r="BD1" s="113"/>
      <c r="BE1" s="113"/>
      <c r="BF1" s="113"/>
      <c r="BG1" s="113"/>
      <c r="BH1" s="113"/>
      <c r="BI1" s="113"/>
      <c r="BJ1" s="113"/>
      <c r="BK1" s="113"/>
      <c r="BL1" s="113" t="s">
        <v>746</v>
      </c>
      <c r="BM1" s="113"/>
      <c r="BN1" s="113"/>
    </row>
    <row r="2" ht="14.25" customHeight="1">
      <c r="A2" s="119" t="s">
        <v>106</v>
      </c>
      <c r="B2" s="119" t="s">
        <v>766</v>
      </c>
      <c r="C2" s="120" t="s">
        <v>107</v>
      </c>
      <c r="D2" s="119" t="s">
        <v>767</v>
      </c>
      <c r="E2" s="113" t="s">
        <v>768</v>
      </c>
      <c r="F2" s="119" t="s">
        <v>769</v>
      </c>
      <c r="G2" s="119" t="s">
        <v>770</v>
      </c>
      <c r="H2" s="119" t="s">
        <v>771</v>
      </c>
      <c r="I2" s="119" t="s">
        <v>772</v>
      </c>
      <c r="J2" s="119" t="s">
        <v>773</v>
      </c>
      <c r="K2" s="119" t="s">
        <v>774</v>
      </c>
      <c r="L2" s="119" t="s">
        <v>775</v>
      </c>
      <c r="M2" s="119" t="s">
        <v>776</v>
      </c>
      <c r="N2" s="119" t="s">
        <v>777</v>
      </c>
      <c r="O2" s="119" t="s">
        <v>778</v>
      </c>
      <c r="P2" s="119" t="s">
        <v>779</v>
      </c>
      <c r="Q2" s="119" t="s">
        <v>775</v>
      </c>
      <c r="R2" s="119" t="s">
        <v>775</v>
      </c>
      <c r="S2" s="119" t="s">
        <v>775</v>
      </c>
      <c r="T2" s="121" t="s">
        <v>780</v>
      </c>
      <c r="U2" s="121" t="s">
        <v>781</v>
      </c>
      <c r="V2" s="121"/>
      <c r="W2" s="122" t="s">
        <v>782</v>
      </c>
      <c r="X2" s="122" t="s">
        <v>783</v>
      </c>
      <c r="Y2" s="122" t="s">
        <v>784</v>
      </c>
      <c r="Z2" s="123" t="s">
        <v>783</v>
      </c>
      <c r="AA2" s="123" t="s">
        <v>784</v>
      </c>
      <c r="AB2" s="123" t="s">
        <v>775</v>
      </c>
      <c r="AC2" s="123" t="s">
        <v>775</v>
      </c>
      <c r="AD2" s="123" t="s">
        <v>783</v>
      </c>
      <c r="AE2" s="123" t="s">
        <v>775</v>
      </c>
      <c r="AF2" s="123" t="s">
        <v>782</v>
      </c>
      <c r="AG2" s="123" t="s">
        <v>783</v>
      </c>
      <c r="AH2" s="123" t="s">
        <v>784</v>
      </c>
      <c r="AI2" s="123" t="s">
        <v>782</v>
      </c>
      <c r="AJ2" s="123" t="s">
        <v>775</v>
      </c>
      <c r="AK2" s="123" t="s">
        <v>783</v>
      </c>
      <c r="AL2" s="123" t="s">
        <v>784</v>
      </c>
      <c r="AM2" s="123"/>
      <c r="AN2" s="123"/>
      <c r="AO2" s="123"/>
      <c r="AP2" s="119"/>
      <c r="AQ2" s="119" t="s">
        <v>769</v>
      </c>
      <c r="AR2" s="119" t="s">
        <v>770</v>
      </c>
      <c r="AS2" s="119" t="s">
        <v>771</v>
      </c>
      <c r="AT2" s="119" t="s">
        <v>785</v>
      </c>
      <c r="AU2" s="119" t="s">
        <v>786</v>
      </c>
      <c r="AV2" s="119" t="s">
        <v>774</v>
      </c>
      <c r="AW2" s="119" t="s">
        <v>787</v>
      </c>
      <c r="AX2" s="119" t="s">
        <v>788</v>
      </c>
      <c r="AY2" s="119" t="s">
        <v>789</v>
      </c>
      <c r="AZ2" s="119" t="s">
        <v>790</v>
      </c>
      <c r="BA2" s="119" t="s">
        <v>791</v>
      </c>
      <c r="BB2" s="119" t="s">
        <v>792</v>
      </c>
      <c r="BC2" s="119" t="s">
        <v>793</v>
      </c>
      <c r="BD2" s="119"/>
      <c r="BE2" s="119"/>
      <c r="BF2" s="119"/>
      <c r="BG2" s="119"/>
      <c r="BH2" s="119"/>
      <c r="BI2" s="119"/>
      <c r="BJ2" s="119"/>
      <c r="BK2" s="119"/>
      <c r="BL2" s="119" t="s">
        <v>794</v>
      </c>
      <c r="BM2" s="119"/>
      <c r="BN2" s="124"/>
    </row>
    <row r="3" ht="14.25" customHeight="1">
      <c r="A3" s="119" t="s">
        <v>365</v>
      </c>
      <c r="B3" s="119" t="s">
        <v>367</v>
      </c>
      <c r="C3" s="120" t="s">
        <v>366</v>
      </c>
      <c r="D3" s="119" t="s">
        <v>767</v>
      </c>
      <c r="E3" s="113" t="s">
        <v>768</v>
      </c>
      <c r="F3" s="119" t="s">
        <v>769</v>
      </c>
      <c r="G3" s="119" t="s">
        <v>770</v>
      </c>
      <c r="H3" s="119" t="s">
        <v>771</v>
      </c>
      <c r="I3" s="119" t="s">
        <v>772</v>
      </c>
      <c r="J3" s="119" t="s">
        <v>773</v>
      </c>
      <c r="K3" s="119" t="s">
        <v>774</v>
      </c>
      <c r="L3" s="119" t="s">
        <v>775</v>
      </c>
      <c r="M3" s="119" t="s">
        <v>776</v>
      </c>
      <c r="N3" s="119" t="s">
        <v>777</v>
      </c>
      <c r="O3" s="119" t="s">
        <v>778</v>
      </c>
      <c r="P3" s="119" t="s">
        <v>779</v>
      </c>
      <c r="Q3" s="119" t="s">
        <v>795</v>
      </c>
      <c r="R3" s="119" t="s">
        <v>796</v>
      </c>
      <c r="S3" s="119" t="s">
        <v>775</v>
      </c>
      <c r="T3" s="125" t="s">
        <v>797</v>
      </c>
      <c r="U3" s="121" t="s">
        <v>798</v>
      </c>
      <c r="V3" s="121"/>
      <c r="W3" s="122" t="s">
        <v>775</v>
      </c>
      <c r="X3" s="122" t="s">
        <v>783</v>
      </c>
      <c r="Y3" s="122" t="s">
        <v>784</v>
      </c>
      <c r="Z3" s="123" t="s">
        <v>783</v>
      </c>
      <c r="AA3" s="123" t="s">
        <v>782</v>
      </c>
      <c r="AB3" s="123" t="s">
        <v>775</v>
      </c>
      <c r="AC3" s="123" t="s">
        <v>775</v>
      </c>
      <c r="AD3" s="123" t="s">
        <v>783</v>
      </c>
      <c r="AE3" s="123" t="s">
        <v>775</v>
      </c>
      <c r="AF3" s="123" t="s">
        <v>782</v>
      </c>
      <c r="AG3" s="123" t="s">
        <v>783</v>
      </c>
      <c r="AH3" s="123" t="s">
        <v>784</v>
      </c>
      <c r="AI3" s="123" t="s">
        <v>782</v>
      </c>
      <c r="AJ3" s="123" t="s">
        <v>782</v>
      </c>
      <c r="AK3" s="123" t="s">
        <v>784</v>
      </c>
      <c r="AL3" s="123" t="s">
        <v>784</v>
      </c>
      <c r="AM3" s="123"/>
      <c r="AN3" s="123"/>
      <c r="AO3" s="123"/>
      <c r="AP3" s="119"/>
      <c r="AQ3" s="119"/>
      <c r="AR3" s="119"/>
      <c r="AS3" s="119"/>
      <c r="AT3" s="119"/>
      <c r="AU3" s="119"/>
      <c r="AV3" s="119"/>
      <c r="AW3" s="119"/>
      <c r="AX3" s="119"/>
      <c r="AY3" s="119"/>
      <c r="AZ3" s="119" t="s">
        <v>794</v>
      </c>
      <c r="BA3" s="119"/>
      <c r="BB3" s="119"/>
      <c r="BC3" s="119"/>
      <c r="BD3" s="119"/>
      <c r="BE3" s="119"/>
      <c r="BF3" s="119"/>
      <c r="BG3" s="119"/>
      <c r="BH3" s="119"/>
      <c r="BI3" s="119"/>
      <c r="BJ3" s="119"/>
      <c r="BK3" s="119"/>
      <c r="BL3" s="119" t="s">
        <v>799</v>
      </c>
      <c r="BM3" s="119"/>
      <c r="BN3" s="124"/>
    </row>
    <row r="4" ht="14.25" customHeight="1">
      <c r="A4" s="119" t="s">
        <v>75</v>
      </c>
      <c r="B4" s="119" t="s">
        <v>77</v>
      </c>
      <c r="C4" s="120" t="s">
        <v>76</v>
      </c>
      <c r="D4" s="119" t="s">
        <v>767</v>
      </c>
      <c r="E4" s="113" t="s">
        <v>768</v>
      </c>
      <c r="F4" s="119" t="s">
        <v>769</v>
      </c>
      <c r="G4" s="119" t="s">
        <v>770</v>
      </c>
      <c r="H4" s="119" t="s">
        <v>771</v>
      </c>
      <c r="I4" s="126" t="s">
        <v>772</v>
      </c>
      <c r="J4" s="119" t="s">
        <v>773</v>
      </c>
      <c r="K4" s="119" t="s">
        <v>774</v>
      </c>
      <c r="L4" s="119" t="s">
        <v>775</v>
      </c>
      <c r="M4" s="119" t="s">
        <v>800</v>
      </c>
      <c r="N4" s="119" t="s">
        <v>775</v>
      </c>
      <c r="O4" s="119" t="s">
        <v>789</v>
      </c>
      <c r="P4" s="119" t="s">
        <v>790</v>
      </c>
      <c r="Q4" s="119" t="s">
        <v>775</v>
      </c>
      <c r="R4" s="119" t="s">
        <v>775</v>
      </c>
      <c r="S4" s="119" t="s">
        <v>775</v>
      </c>
      <c r="T4" s="125" t="s">
        <v>801</v>
      </c>
      <c r="U4" s="121" t="s">
        <v>802</v>
      </c>
      <c r="V4" s="121"/>
      <c r="W4" s="122" t="s">
        <v>775</v>
      </c>
      <c r="X4" s="122" t="s">
        <v>783</v>
      </c>
      <c r="Y4" s="122" t="s">
        <v>784</v>
      </c>
      <c r="Z4" s="123" t="s">
        <v>803</v>
      </c>
      <c r="AA4" s="123" t="s">
        <v>784</v>
      </c>
      <c r="AB4" s="123" t="s">
        <v>775</v>
      </c>
      <c r="AC4" s="123" t="s">
        <v>775</v>
      </c>
      <c r="AD4" s="123" t="s">
        <v>784</v>
      </c>
      <c r="AE4" s="123" t="s">
        <v>775</v>
      </c>
      <c r="AF4" s="123" t="s">
        <v>782</v>
      </c>
      <c r="AG4" s="123" t="s">
        <v>783</v>
      </c>
      <c r="AH4" s="123" t="s">
        <v>783</v>
      </c>
      <c r="AI4" s="123" t="s">
        <v>782</v>
      </c>
      <c r="AJ4" s="123" t="s">
        <v>775</v>
      </c>
      <c r="AK4" s="123" t="s">
        <v>784</v>
      </c>
      <c r="AL4" s="123" t="s">
        <v>784</v>
      </c>
      <c r="AM4" s="123"/>
      <c r="AN4" s="123"/>
      <c r="AO4" s="123"/>
      <c r="AP4" s="119"/>
      <c r="AQ4" s="119"/>
      <c r="AR4" s="119"/>
      <c r="AS4" s="119"/>
      <c r="AT4" s="119"/>
      <c r="AU4" s="119"/>
      <c r="AV4" s="119"/>
      <c r="AW4" s="119"/>
      <c r="AX4" s="119"/>
      <c r="AY4" s="119"/>
      <c r="AZ4" s="119"/>
      <c r="BA4" s="119"/>
      <c r="BB4" s="119"/>
      <c r="BC4" s="119"/>
      <c r="BD4" s="119"/>
      <c r="BE4" s="119"/>
      <c r="BF4" s="119"/>
      <c r="BG4" s="119"/>
      <c r="BH4" s="119"/>
      <c r="BI4" s="119"/>
      <c r="BJ4" s="119"/>
      <c r="BK4" s="119"/>
      <c r="BL4" s="88"/>
      <c r="BM4" s="119"/>
      <c r="BN4" s="124"/>
    </row>
    <row r="5" ht="14.25" customHeight="1">
      <c r="A5" s="119" t="s">
        <v>182</v>
      </c>
      <c r="B5" s="119" t="s">
        <v>184</v>
      </c>
      <c r="C5" s="120" t="s">
        <v>183</v>
      </c>
      <c r="D5" s="119" t="s">
        <v>767</v>
      </c>
      <c r="E5" s="113" t="s">
        <v>768</v>
      </c>
      <c r="F5" s="119" t="s">
        <v>769</v>
      </c>
      <c r="G5" s="119" t="s">
        <v>770</v>
      </c>
      <c r="H5" s="119" t="s">
        <v>771</v>
      </c>
      <c r="I5" s="119" t="s">
        <v>772</v>
      </c>
      <c r="J5" s="119" t="s">
        <v>773</v>
      </c>
      <c r="K5" s="119" t="s">
        <v>774</v>
      </c>
      <c r="L5" s="119" t="s">
        <v>775</v>
      </c>
      <c r="M5" s="119" t="s">
        <v>776</v>
      </c>
      <c r="N5" s="119" t="s">
        <v>804</v>
      </c>
      <c r="O5" s="119" t="s">
        <v>805</v>
      </c>
      <c r="P5" s="119" t="s">
        <v>806</v>
      </c>
      <c r="Q5" s="119" t="s">
        <v>807</v>
      </c>
      <c r="R5" s="119" t="s">
        <v>808</v>
      </c>
      <c r="S5" s="119" t="s">
        <v>809</v>
      </c>
      <c r="T5" s="119" t="s">
        <v>810</v>
      </c>
      <c r="U5" s="121" t="s">
        <v>811</v>
      </c>
      <c r="V5" s="121"/>
      <c r="W5" s="122" t="s">
        <v>784</v>
      </c>
      <c r="X5" s="122" t="s">
        <v>783</v>
      </c>
      <c r="Y5" s="122" t="s">
        <v>775</v>
      </c>
      <c r="Z5" s="123" t="s">
        <v>784</v>
      </c>
      <c r="AA5" s="123" t="s">
        <v>775</v>
      </c>
      <c r="AB5" s="123" t="s">
        <v>775</v>
      </c>
      <c r="AC5" s="123" t="s">
        <v>775</v>
      </c>
      <c r="AD5" s="123" t="s">
        <v>783</v>
      </c>
      <c r="AE5" s="123" t="s">
        <v>775</v>
      </c>
      <c r="AF5" s="123" t="s">
        <v>775</v>
      </c>
      <c r="AG5" s="123" t="s">
        <v>783</v>
      </c>
      <c r="AH5" s="123" t="s">
        <v>784</v>
      </c>
      <c r="AI5" s="123" t="s">
        <v>784</v>
      </c>
      <c r="AJ5" s="123" t="s">
        <v>782</v>
      </c>
      <c r="AK5" s="123" t="s">
        <v>784</v>
      </c>
      <c r="AL5" s="123" t="s">
        <v>784</v>
      </c>
      <c r="AM5" s="123"/>
      <c r="AN5" s="123"/>
      <c r="AO5" s="123"/>
      <c r="AP5" s="119"/>
      <c r="AQ5" s="119"/>
      <c r="AR5" s="119"/>
      <c r="AS5" s="119"/>
      <c r="AT5" s="119"/>
      <c r="AU5" s="119"/>
      <c r="AV5" s="119"/>
      <c r="AW5" s="119"/>
      <c r="AX5" s="119"/>
      <c r="AY5" s="119" t="s">
        <v>812</v>
      </c>
      <c r="AZ5" s="119" t="s">
        <v>813</v>
      </c>
      <c r="BA5" s="119"/>
      <c r="BB5" s="119"/>
      <c r="BC5" s="119"/>
      <c r="BD5" s="119"/>
      <c r="BE5" s="119"/>
      <c r="BF5" s="119"/>
      <c r="BG5" s="119"/>
      <c r="BH5" s="119"/>
      <c r="BI5" s="119"/>
      <c r="BJ5" s="119"/>
      <c r="BK5" s="119"/>
      <c r="BL5" s="119" t="s">
        <v>814</v>
      </c>
      <c r="BM5" s="119"/>
      <c r="BN5" s="124"/>
    </row>
    <row r="6" ht="14.25" customHeight="1">
      <c r="A6" s="119" t="s">
        <v>191</v>
      </c>
      <c r="B6" s="119" t="s">
        <v>193</v>
      </c>
      <c r="C6" s="120" t="s">
        <v>192</v>
      </c>
      <c r="D6" s="119" t="s">
        <v>767</v>
      </c>
      <c r="E6" s="113" t="s">
        <v>768</v>
      </c>
      <c r="F6" s="119" t="s">
        <v>769</v>
      </c>
      <c r="G6" s="119" t="s">
        <v>770</v>
      </c>
      <c r="H6" s="119" t="s">
        <v>771</v>
      </c>
      <c r="I6" s="119" t="s">
        <v>772</v>
      </c>
      <c r="J6" s="119" t="s">
        <v>773</v>
      </c>
      <c r="K6" s="119" t="s">
        <v>774</v>
      </c>
      <c r="L6" s="119" t="s">
        <v>775</v>
      </c>
      <c r="M6" s="119" t="s">
        <v>815</v>
      </c>
      <c r="N6" s="119" t="s">
        <v>788</v>
      </c>
      <c r="O6" s="119" t="s">
        <v>816</v>
      </c>
      <c r="P6" s="119" t="s">
        <v>817</v>
      </c>
      <c r="Q6" s="119" t="s">
        <v>818</v>
      </c>
      <c r="R6" s="119" t="s">
        <v>819</v>
      </c>
      <c r="S6" s="119" t="s">
        <v>820</v>
      </c>
      <c r="T6" s="121" t="s">
        <v>821</v>
      </c>
      <c r="U6" s="121" t="s">
        <v>822</v>
      </c>
      <c r="V6" s="121"/>
      <c r="W6" s="122" t="s">
        <v>775</v>
      </c>
      <c r="X6" s="122" t="s">
        <v>783</v>
      </c>
      <c r="Y6" s="122" t="s">
        <v>784</v>
      </c>
      <c r="Z6" s="123" t="s">
        <v>783</v>
      </c>
      <c r="AA6" s="123" t="s">
        <v>784</v>
      </c>
      <c r="AB6" s="123" t="s">
        <v>783</v>
      </c>
      <c r="AC6" s="123" t="s">
        <v>775</v>
      </c>
      <c r="AD6" s="123" t="s">
        <v>783</v>
      </c>
      <c r="AE6" s="123" t="s">
        <v>783</v>
      </c>
      <c r="AF6" s="123" t="s">
        <v>775</v>
      </c>
      <c r="AG6" s="123" t="s">
        <v>783</v>
      </c>
      <c r="AH6" s="123" t="s">
        <v>784</v>
      </c>
      <c r="AI6" s="123" t="s">
        <v>775</v>
      </c>
      <c r="AJ6" s="123" t="s">
        <v>783</v>
      </c>
      <c r="AK6" s="123" t="s">
        <v>783</v>
      </c>
      <c r="AL6" s="123" t="s">
        <v>783</v>
      </c>
      <c r="AM6" s="123"/>
      <c r="AN6" s="123"/>
      <c r="AO6" s="123"/>
      <c r="AP6" s="119"/>
      <c r="AQ6" s="119"/>
      <c r="AR6" s="119"/>
      <c r="AS6" s="119"/>
      <c r="AT6" s="119"/>
      <c r="AU6" s="119"/>
      <c r="AV6" s="119"/>
      <c r="AW6" s="119"/>
      <c r="AX6" s="119"/>
      <c r="AY6" s="119"/>
      <c r="AZ6" s="119" t="s">
        <v>823</v>
      </c>
      <c r="BA6" s="119"/>
      <c r="BB6" s="119" t="s">
        <v>824</v>
      </c>
      <c r="BC6" s="119"/>
      <c r="BD6" s="119"/>
      <c r="BE6" s="119"/>
      <c r="BF6" s="119"/>
      <c r="BG6" s="119"/>
      <c r="BH6" s="119"/>
      <c r="BI6" s="119"/>
      <c r="BJ6" s="119"/>
      <c r="BK6" s="119"/>
      <c r="BL6" s="119" t="s">
        <v>825</v>
      </c>
      <c r="BM6" s="119"/>
      <c r="BN6" s="124"/>
    </row>
    <row r="7" ht="14.25" customHeight="1">
      <c r="A7" s="119" t="s">
        <v>308</v>
      </c>
      <c r="B7" s="119" t="s">
        <v>310</v>
      </c>
      <c r="C7" s="120" t="s">
        <v>309</v>
      </c>
      <c r="D7" s="119" t="s">
        <v>767</v>
      </c>
      <c r="E7" s="113" t="s">
        <v>768</v>
      </c>
      <c r="F7" s="119" t="s">
        <v>769</v>
      </c>
      <c r="G7" s="119" t="s">
        <v>770</v>
      </c>
      <c r="H7" s="119" t="s">
        <v>771</v>
      </c>
      <c r="I7" s="119" t="s">
        <v>772</v>
      </c>
      <c r="J7" s="119" t="s">
        <v>773</v>
      </c>
      <c r="K7" s="119" t="s">
        <v>774</v>
      </c>
      <c r="L7" s="119" t="s">
        <v>826</v>
      </c>
      <c r="M7" s="119" t="s">
        <v>815</v>
      </c>
      <c r="N7" s="119" t="s">
        <v>788</v>
      </c>
      <c r="O7" s="119" t="s">
        <v>816</v>
      </c>
      <c r="P7" s="119" t="s">
        <v>817</v>
      </c>
      <c r="Q7" s="119" t="s">
        <v>827</v>
      </c>
      <c r="R7" s="119" t="s">
        <v>828</v>
      </c>
      <c r="S7" s="119" t="s">
        <v>775</v>
      </c>
      <c r="T7" s="121" t="s">
        <v>829</v>
      </c>
      <c r="U7" s="121" t="s">
        <v>830</v>
      </c>
      <c r="V7" s="121"/>
      <c r="W7" s="122" t="s">
        <v>782</v>
      </c>
      <c r="X7" s="122" t="s">
        <v>783</v>
      </c>
      <c r="Y7" s="122" t="s">
        <v>784</v>
      </c>
      <c r="Z7" s="123" t="s">
        <v>784</v>
      </c>
      <c r="AA7" s="123" t="s">
        <v>784</v>
      </c>
      <c r="AB7" s="123" t="s">
        <v>783</v>
      </c>
      <c r="AC7" s="123" t="s">
        <v>775</v>
      </c>
      <c r="AD7" s="123" t="s">
        <v>783</v>
      </c>
      <c r="AE7" s="123" t="s">
        <v>783</v>
      </c>
      <c r="AF7" s="123" t="s">
        <v>775</v>
      </c>
      <c r="AG7" s="123" t="s">
        <v>783</v>
      </c>
      <c r="AH7" s="123" t="s">
        <v>783</v>
      </c>
      <c r="AI7" s="123" t="s">
        <v>782</v>
      </c>
      <c r="AJ7" s="123" t="s">
        <v>783</v>
      </c>
      <c r="AK7" s="123" t="s">
        <v>784</v>
      </c>
      <c r="AL7" s="123" t="s">
        <v>784</v>
      </c>
      <c r="AM7" s="123"/>
      <c r="AN7" s="123"/>
      <c r="AO7" s="123"/>
      <c r="AP7" s="119"/>
      <c r="AQ7" s="119"/>
      <c r="AR7" s="119"/>
      <c r="AS7" s="119"/>
      <c r="AT7" s="119"/>
      <c r="AU7" s="119"/>
      <c r="AV7" s="119"/>
      <c r="AW7" s="119"/>
      <c r="AX7" s="119"/>
      <c r="AY7" s="119" t="s">
        <v>816</v>
      </c>
      <c r="AZ7" s="119" t="s">
        <v>825</v>
      </c>
      <c r="BA7" s="119"/>
      <c r="BB7" s="119"/>
      <c r="BC7" s="119"/>
      <c r="BD7" s="119"/>
      <c r="BE7" s="119"/>
      <c r="BF7" s="119"/>
      <c r="BG7" s="119"/>
      <c r="BH7" s="119"/>
      <c r="BI7" s="119"/>
      <c r="BJ7" s="119"/>
      <c r="BK7" s="119"/>
      <c r="BL7" s="119" t="s">
        <v>831</v>
      </c>
      <c r="BM7" s="119"/>
      <c r="BN7" s="124"/>
    </row>
    <row r="8" ht="14.25" customHeight="1">
      <c r="A8" s="119" t="s">
        <v>94</v>
      </c>
      <c r="B8" s="119" t="s">
        <v>96</v>
      </c>
      <c r="C8" s="120" t="s">
        <v>95</v>
      </c>
      <c r="D8" s="119" t="s">
        <v>767</v>
      </c>
      <c r="E8" s="113" t="s">
        <v>768</v>
      </c>
      <c r="F8" s="119" t="s">
        <v>769</v>
      </c>
      <c r="G8" s="119" t="s">
        <v>770</v>
      </c>
      <c r="H8" s="119" t="s">
        <v>771</v>
      </c>
      <c r="I8" s="119" t="s">
        <v>772</v>
      </c>
      <c r="J8" s="119" t="s">
        <v>773</v>
      </c>
      <c r="K8" s="119" t="s">
        <v>774</v>
      </c>
      <c r="L8" s="119" t="s">
        <v>775</v>
      </c>
      <c r="M8" s="119" t="s">
        <v>815</v>
      </c>
      <c r="N8" s="119" t="s">
        <v>788</v>
      </c>
      <c r="O8" s="119" t="s">
        <v>832</v>
      </c>
      <c r="P8" s="119" t="s">
        <v>833</v>
      </c>
      <c r="Q8" s="119" t="s">
        <v>791</v>
      </c>
      <c r="R8" s="119" t="s">
        <v>775</v>
      </c>
      <c r="S8" s="119" t="s">
        <v>775</v>
      </c>
      <c r="T8" s="121" t="s">
        <v>834</v>
      </c>
      <c r="U8" s="121" t="s">
        <v>835</v>
      </c>
      <c r="V8" s="121"/>
      <c r="W8" s="122" t="s">
        <v>782</v>
      </c>
      <c r="X8" s="122" t="s">
        <v>783</v>
      </c>
      <c r="Y8" s="122" t="s">
        <v>784</v>
      </c>
      <c r="Z8" s="123" t="s">
        <v>783</v>
      </c>
      <c r="AA8" s="123" t="s">
        <v>783</v>
      </c>
      <c r="AB8" s="123" t="s">
        <v>775</v>
      </c>
      <c r="AC8" s="123" t="s">
        <v>775</v>
      </c>
      <c r="AD8" s="123" t="s">
        <v>783</v>
      </c>
      <c r="AE8" s="123" t="s">
        <v>775</v>
      </c>
      <c r="AF8" s="123" t="s">
        <v>775</v>
      </c>
      <c r="AG8" s="123" t="s">
        <v>783</v>
      </c>
      <c r="AH8" s="123" t="s">
        <v>784</v>
      </c>
      <c r="AI8" s="123" t="s">
        <v>782</v>
      </c>
      <c r="AJ8" s="123" t="s">
        <v>782</v>
      </c>
      <c r="AK8" s="123" t="s">
        <v>784</v>
      </c>
      <c r="AL8" s="123" t="s">
        <v>784</v>
      </c>
      <c r="AM8" s="123"/>
      <c r="AN8" s="123"/>
      <c r="AO8" s="123"/>
      <c r="AP8" s="119"/>
      <c r="AQ8" s="119"/>
      <c r="AR8" s="119"/>
      <c r="AS8" s="119"/>
      <c r="AT8" s="119"/>
      <c r="AU8" s="119"/>
      <c r="AV8" s="119"/>
      <c r="AW8" s="119"/>
      <c r="AX8" s="119"/>
      <c r="AY8" s="119"/>
      <c r="AZ8" s="119"/>
      <c r="BA8" s="119" t="s">
        <v>836</v>
      </c>
      <c r="BB8" s="119" t="s">
        <v>837</v>
      </c>
      <c r="BC8" s="119"/>
      <c r="BD8" s="119"/>
      <c r="BE8" s="119"/>
      <c r="BF8" s="119"/>
      <c r="BG8" s="119"/>
      <c r="BH8" s="119"/>
      <c r="BI8" s="119"/>
      <c r="BJ8" s="119"/>
      <c r="BK8" s="119"/>
      <c r="BL8" s="119" t="s">
        <v>838</v>
      </c>
      <c r="BM8" s="119"/>
      <c r="BN8" s="124"/>
    </row>
    <row r="9" ht="14.25" customHeight="1">
      <c r="A9" s="119" t="s">
        <v>179</v>
      </c>
      <c r="B9" s="119" t="s">
        <v>181</v>
      </c>
      <c r="C9" s="120" t="s">
        <v>839</v>
      </c>
      <c r="D9" s="119" t="s">
        <v>767</v>
      </c>
      <c r="E9" s="113" t="s">
        <v>768</v>
      </c>
      <c r="F9" s="119" t="s">
        <v>769</v>
      </c>
      <c r="G9" s="119" t="s">
        <v>770</v>
      </c>
      <c r="H9" s="119" t="s">
        <v>771</v>
      </c>
      <c r="I9" s="119" t="s">
        <v>772</v>
      </c>
      <c r="J9" s="119" t="s">
        <v>773</v>
      </c>
      <c r="K9" s="119" t="s">
        <v>774</v>
      </c>
      <c r="L9" s="126" t="s">
        <v>775</v>
      </c>
      <c r="M9" s="119" t="s">
        <v>776</v>
      </c>
      <c r="N9" s="119" t="s">
        <v>804</v>
      </c>
      <c r="O9" s="119" t="s">
        <v>840</v>
      </c>
      <c r="P9" s="119" t="s">
        <v>813</v>
      </c>
      <c r="Q9" s="119" t="s">
        <v>841</v>
      </c>
      <c r="R9" s="119" t="s">
        <v>842</v>
      </c>
      <c r="S9" s="119" t="s">
        <v>793</v>
      </c>
      <c r="T9" s="121" t="s">
        <v>843</v>
      </c>
      <c r="U9" s="121" t="s">
        <v>844</v>
      </c>
      <c r="V9" s="121" t="s">
        <v>845</v>
      </c>
      <c r="W9" s="122" t="s">
        <v>784</v>
      </c>
      <c r="X9" s="122" t="s">
        <v>783</v>
      </c>
      <c r="Y9" s="122" t="s">
        <v>775</v>
      </c>
      <c r="Z9" s="123" t="s">
        <v>783</v>
      </c>
      <c r="AA9" s="123" t="s">
        <v>775</v>
      </c>
      <c r="AB9" s="123" t="s">
        <v>775</v>
      </c>
      <c r="AC9" s="123" t="s">
        <v>775</v>
      </c>
      <c r="AD9" s="123" t="s">
        <v>783</v>
      </c>
      <c r="AE9" s="123" t="s">
        <v>775</v>
      </c>
      <c r="AF9" s="123" t="s">
        <v>775</v>
      </c>
      <c r="AG9" s="123" t="s">
        <v>783</v>
      </c>
      <c r="AH9" s="123" t="s">
        <v>783</v>
      </c>
      <c r="AI9" s="123" t="s">
        <v>784</v>
      </c>
      <c r="AJ9" s="123" t="s">
        <v>775</v>
      </c>
      <c r="AK9" s="123" t="s">
        <v>784</v>
      </c>
      <c r="AL9" s="123" t="s">
        <v>784</v>
      </c>
      <c r="AM9" s="123"/>
      <c r="AN9" s="123"/>
      <c r="AO9" s="123"/>
      <c r="AP9" s="119"/>
      <c r="AQ9" s="119"/>
      <c r="AR9" s="119"/>
      <c r="AS9" s="119"/>
      <c r="AT9" s="119"/>
      <c r="AU9" s="119"/>
      <c r="AV9" s="119"/>
      <c r="AW9" s="119"/>
      <c r="AX9" s="119"/>
      <c r="AY9" s="119"/>
      <c r="AZ9" s="119"/>
      <c r="BA9" s="119"/>
      <c r="BB9" s="119"/>
      <c r="BC9" s="119"/>
      <c r="BD9" s="119"/>
      <c r="BE9" s="119"/>
      <c r="BF9" s="127" t="s">
        <v>846</v>
      </c>
      <c r="BG9" s="119">
        <f>countif(tax.class,concatenate("*",BF9,"*"))</f>
        <v>2</v>
      </c>
      <c r="BH9" s="124">
        <f>BG9/BG10</f>
        <v>2</v>
      </c>
      <c r="BI9" s="128"/>
      <c r="BJ9" s="128"/>
      <c r="BK9" s="124"/>
      <c r="BL9" s="119" t="s">
        <v>847</v>
      </c>
      <c r="BM9" s="124"/>
      <c r="BN9" s="124"/>
    </row>
    <row r="10" ht="14.25" customHeight="1">
      <c r="A10" s="119" t="s">
        <v>221</v>
      </c>
      <c r="B10" s="119" t="s">
        <v>223</v>
      </c>
      <c r="C10" s="120" t="s">
        <v>222</v>
      </c>
      <c r="D10" s="119" t="s">
        <v>767</v>
      </c>
      <c r="E10" s="113" t="s">
        <v>768</v>
      </c>
      <c r="F10" s="119" t="s">
        <v>769</v>
      </c>
      <c r="G10" s="119" t="s">
        <v>770</v>
      </c>
      <c r="H10" s="119" t="s">
        <v>771</v>
      </c>
      <c r="I10" s="119" t="s">
        <v>772</v>
      </c>
      <c r="J10" s="119" t="s">
        <v>773</v>
      </c>
      <c r="K10" s="119" t="s">
        <v>774</v>
      </c>
      <c r="L10" s="119" t="s">
        <v>775</v>
      </c>
      <c r="M10" s="119" t="s">
        <v>776</v>
      </c>
      <c r="N10" s="119" t="s">
        <v>804</v>
      </c>
      <c r="O10" s="119" t="s">
        <v>840</v>
      </c>
      <c r="P10" s="119" t="s">
        <v>813</v>
      </c>
      <c r="Q10" s="119" t="s">
        <v>848</v>
      </c>
      <c r="R10" s="119" t="s">
        <v>849</v>
      </c>
      <c r="S10" s="119" t="s">
        <v>775</v>
      </c>
      <c r="T10" s="121" t="s">
        <v>850</v>
      </c>
      <c r="U10" s="121" t="s">
        <v>851</v>
      </c>
      <c r="V10" s="121"/>
      <c r="W10" s="122" t="s">
        <v>783</v>
      </c>
      <c r="X10" s="122" t="s">
        <v>783</v>
      </c>
      <c r="Y10" s="122" t="s">
        <v>783</v>
      </c>
      <c r="Z10" s="123" t="s">
        <v>803</v>
      </c>
      <c r="AA10" s="123" t="s">
        <v>775</v>
      </c>
      <c r="AB10" s="123" t="s">
        <v>775</v>
      </c>
      <c r="AC10" s="123" t="s">
        <v>775</v>
      </c>
      <c r="AD10" s="123" t="s">
        <v>783</v>
      </c>
      <c r="AE10" s="123" t="s">
        <v>775</v>
      </c>
      <c r="AF10" s="123" t="s">
        <v>775</v>
      </c>
      <c r="AG10" s="123" t="s">
        <v>784</v>
      </c>
      <c r="AH10" s="123" t="s">
        <v>783</v>
      </c>
      <c r="AI10" s="123" t="s">
        <v>784</v>
      </c>
      <c r="AJ10" s="123" t="s">
        <v>775</v>
      </c>
      <c r="AK10" s="123" t="s">
        <v>783</v>
      </c>
      <c r="AL10" s="123" t="s">
        <v>784</v>
      </c>
      <c r="AM10" s="123"/>
      <c r="AN10" s="123"/>
      <c r="AO10" s="123"/>
      <c r="AP10" s="119"/>
      <c r="AQ10" s="119"/>
      <c r="AR10" s="119"/>
      <c r="AS10" s="119"/>
      <c r="AT10" s="119"/>
      <c r="AU10" s="119"/>
      <c r="AV10" s="119"/>
      <c r="AW10" s="119"/>
      <c r="AX10" s="119"/>
      <c r="AY10" s="119"/>
      <c r="AZ10" s="119"/>
      <c r="BA10" s="119"/>
      <c r="BB10" s="119"/>
      <c r="BC10" s="119"/>
      <c r="BD10" s="119"/>
      <c r="BE10" s="119"/>
      <c r="BF10" s="127" t="s">
        <v>852</v>
      </c>
      <c r="BG10" s="119">
        <f>countif(tax.class,concatenate("*",BF10,"*"))</f>
        <v>1</v>
      </c>
      <c r="BH10" s="124" t="str">
        <f>BG10/BG15</f>
        <v>#DIV/0!</v>
      </c>
      <c r="BI10" s="129" t="s">
        <v>853</v>
      </c>
      <c r="BJ10" s="124">
        <f>BH13+BH9+BH14</f>
        <v>2</v>
      </c>
      <c r="BK10" s="124"/>
      <c r="BL10" s="119" t="s">
        <v>823</v>
      </c>
      <c r="BM10" s="124"/>
      <c r="BN10" s="119"/>
    </row>
    <row r="11" ht="14.25" customHeight="1">
      <c r="A11" s="119" t="s">
        <v>236</v>
      </c>
      <c r="B11" s="119" t="s">
        <v>238</v>
      </c>
      <c r="C11" s="120" t="s">
        <v>237</v>
      </c>
      <c r="D11" s="119" t="s">
        <v>767</v>
      </c>
      <c r="E11" s="113" t="s">
        <v>768</v>
      </c>
      <c r="F11" s="119" t="s">
        <v>769</v>
      </c>
      <c r="G11" s="119" t="s">
        <v>770</v>
      </c>
      <c r="H11" s="119" t="s">
        <v>771</v>
      </c>
      <c r="I11" s="119" t="s">
        <v>772</v>
      </c>
      <c r="J11" s="119" t="s">
        <v>773</v>
      </c>
      <c r="K11" s="119" t="s">
        <v>774</v>
      </c>
      <c r="L11" s="119" t="s">
        <v>775</v>
      </c>
      <c r="M11" s="119" t="s">
        <v>776</v>
      </c>
      <c r="N11" s="119" t="s">
        <v>804</v>
      </c>
      <c r="O11" s="119" t="s">
        <v>840</v>
      </c>
      <c r="P11" s="119" t="s">
        <v>813</v>
      </c>
      <c r="Q11" s="119" t="s">
        <v>854</v>
      </c>
      <c r="R11" s="119" t="s">
        <v>855</v>
      </c>
      <c r="S11" s="119" t="s">
        <v>856</v>
      </c>
      <c r="T11" s="121" t="s">
        <v>857</v>
      </c>
      <c r="U11" s="121" t="s">
        <v>858</v>
      </c>
      <c r="V11" s="121"/>
      <c r="W11" s="122" t="s">
        <v>783</v>
      </c>
      <c r="X11" s="122" t="s">
        <v>783</v>
      </c>
      <c r="Y11" s="122" t="s">
        <v>775</v>
      </c>
      <c r="Z11" s="123" t="s">
        <v>782</v>
      </c>
      <c r="AA11" s="123" t="s">
        <v>775</v>
      </c>
      <c r="AB11" s="123" t="s">
        <v>775</v>
      </c>
      <c r="AC11" s="123" t="s">
        <v>775</v>
      </c>
      <c r="AD11" s="123" t="s">
        <v>783</v>
      </c>
      <c r="AE11" s="123" t="s">
        <v>775</v>
      </c>
      <c r="AF11" s="123" t="s">
        <v>775</v>
      </c>
      <c r="AG11" s="123" t="s">
        <v>783</v>
      </c>
      <c r="AH11" s="123" t="s">
        <v>784</v>
      </c>
      <c r="AI11" s="123" t="s">
        <v>784</v>
      </c>
      <c r="AJ11" s="123" t="s">
        <v>775</v>
      </c>
      <c r="AK11" s="123" t="s">
        <v>783</v>
      </c>
      <c r="AL11" s="123" t="s">
        <v>784</v>
      </c>
      <c r="AM11" s="123"/>
      <c r="AN11" s="123"/>
      <c r="AO11" s="123"/>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t="s">
        <v>859</v>
      </c>
      <c r="BM11" s="119"/>
      <c r="BN11" s="119"/>
    </row>
    <row r="12" ht="14.25" customHeight="1">
      <c r="A12" s="119" t="s">
        <v>102</v>
      </c>
      <c r="B12" s="119" t="s">
        <v>104</v>
      </c>
      <c r="C12" s="120" t="s">
        <v>103</v>
      </c>
      <c r="D12" s="119" t="s">
        <v>767</v>
      </c>
      <c r="E12" s="113"/>
      <c r="F12" s="119" t="s">
        <v>769</v>
      </c>
      <c r="G12" s="119" t="s">
        <v>860</v>
      </c>
      <c r="H12" s="119" t="s">
        <v>775</v>
      </c>
      <c r="I12" s="119" t="s">
        <v>785</v>
      </c>
      <c r="J12" s="130" t="s">
        <v>861</v>
      </c>
      <c r="K12" s="119" t="s">
        <v>862</v>
      </c>
      <c r="L12" s="119" t="s">
        <v>775</v>
      </c>
      <c r="M12" s="119"/>
      <c r="N12" s="119" t="s">
        <v>775</v>
      </c>
      <c r="O12" s="119" t="s">
        <v>863</v>
      </c>
      <c r="P12" s="119" t="s">
        <v>864</v>
      </c>
      <c r="Q12" s="119" t="s">
        <v>775</v>
      </c>
      <c r="R12" s="119" t="s">
        <v>775</v>
      </c>
      <c r="S12" s="119" t="s">
        <v>775</v>
      </c>
      <c r="T12" s="121" t="s">
        <v>865</v>
      </c>
      <c r="U12" s="121" t="s">
        <v>866</v>
      </c>
      <c r="V12" s="121"/>
      <c r="W12" s="122" t="s">
        <v>775</v>
      </c>
      <c r="X12" s="122" t="s">
        <v>775</v>
      </c>
      <c r="Y12" s="122" t="s">
        <v>775</v>
      </c>
      <c r="Z12" s="123" t="s">
        <v>775</v>
      </c>
      <c r="AA12" s="123" t="s">
        <v>775</v>
      </c>
      <c r="AB12" s="123" t="s">
        <v>775</v>
      </c>
      <c r="AC12" s="123" t="s">
        <v>775</v>
      </c>
      <c r="AD12" s="123" t="s">
        <v>775</v>
      </c>
      <c r="AE12" s="123" t="s">
        <v>775</v>
      </c>
      <c r="AF12" s="123" t="s">
        <v>775</v>
      </c>
      <c r="AG12" s="123" t="s">
        <v>775</v>
      </c>
      <c r="AH12" s="123" t="s">
        <v>775</v>
      </c>
      <c r="AI12" s="123" t="s">
        <v>775</v>
      </c>
      <c r="AJ12" s="123" t="s">
        <v>775</v>
      </c>
      <c r="AK12" s="123" t="s">
        <v>775</v>
      </c>
      <c r="AL12" s="123" t="s">
        <v>775</v>
      </c>
      <c r="AM12" s="123"/>
      <c r="AN12" s="123"/>
      <c r="AO12" s="123"/>
      <c r="AP12" s="119"/>
      <c r="AQ12" s="119"/>
      <c r="AR12" s="119"/>
      <c r="AS12" s="119"/>
      <c r="AT12" s="119"/>
      <c r="AU12" s="119"/>
      <c r="AV12" s="119"/>
      <c r="AW12" s="119"/>
      <c r="AX12" s="119"/>
      <c r="AY12" s="119"/>
      <c r="AZ12" s="119" t="s">
        <v>867</v>
      </c>
      <c r="BA12" s="119"/>
      <c r="BB12" s="119"/>
      <c r="BC12" s="119"/>
      <c r="BD12" s="119"/>
      <c r="BE12" s="119"/>
      <c r="BF12" s="119" t="s">
        <v>868</v>
      </c>
      <c r="BG12" s="119">
        <f>countif(tax.class,concatenate("*",BF12,"*"))</f>
        <v>2</v>
      </c>
      <c r="BH12" s="124" t="str">
        <f>BG12/BG20</f>
        <v>#DIV/0!</v>
      </c>
      <c r="BI12" s="129" t="s">
        <v>869</v>
      </c>
      <c r="BJ12" s="124" t="str">
        <f>BH17</f>
        <v/>
      </c>
      <c r="BK12" s="124"/>
      <c r="BL12" s="119" t="s">
        <v>870</v>
      </c>
      <c r="BM12" s="124"/>
      <c r="BN12" s="119"/>
    </row>
    <row r="13" ht="14.25" customHeight="1">
      <c r="A13" s="119" t="s">
        <v>293</v>
      </c>
      <c r="B13" s="119" t="s">
        <v>295</v>
      </c>
      <c r="C13" s="120" t="s">
        <v>294</v>
      </c>
      <c r="D13" s="119" t="s">
        <v>767</v>
      </c>
      <c r="E13" s="113"/>
      <c r="F13" s="119" t="s">
        <v>769</v>
      </c>
      <c r="G13" s="119" t="s">
        <v>860</v>
      </c>
      <c r="H13" s="119" t="s">
        <v>775</v>
      </c>
      <c r="I13" s="119" t="s">
        <v>785</v>
      </c>
      <c r="J13" s="119" t="s">
        <v>861</v>
      </c>
      <c r="K13" s="119" t="s">
        <v>862</v>
      </c>
      <c r="L13" s="119" t="s">
        <v>775</v>
      </c>
      <c r="M13" s="119"/>
      <c r="N13" s="119" t="s">
        <v>775</v>
      </c>
      <c r="O13" s="119" t="s">
        <v>863</v>
      </c>
      <c r="P13" s="119" t="s">
        <v>864</v>
      </c>
      <c r="Q13" s="119" t="s">
        <v>775</v>
      </c>
      <c r="R13" s="119" t="s">
        <v>775</v>
      </c>
      <c r="S13" s="119" t="s">
        <v>775</v>
      </c>
      <c r="T13" s="121" t="s">
        <v>871</v>
      </c>
      <c r="U13" s="121" t="s">
        <v>872</v>
      </c>
      <c r="V13" s="121"/>
      <c r="W13" s="122" t="s">
        <v>775</v>
      </c>
      <c r="X13" s="122" t="s">
        <v>775</v>
      </c>
      <c r="Y13" s="122" t="s">
        <v>775</v>
      </c>
      <c r="Z13" s="123" t="s">
        <v>775</v>
      </c>
      <c r="AA13" s="123" t="s">
        <v>775</v>
      </c>
      <c r="AB13" s="123" t="s">
        <v>775</v>
      </c>
      <c r="AC13" s="123" t="s">
        <v>775</v>
      </c>
      <c r="AD13" s="123" t="s">
        <v>775</v>
      </c>
      <c r="AE13" s="123" t="s">
        <v>775</v>
      </c>
      <c r="AF13" s="123" t="s">
        <v>775</v>
      </c>
      <c r="AG13" s="123" t="s">
        <v>775</v>
      </c>
      <c r="AH13" s="123" t="s">
        <v>775</v>
      </c>
      <c r="AI13" s="123" t="s">
        <v>775</v>
      </c>
      <c r="AJ13" s="123" t="s">
        <v>775</v>
      </c>
      <c r="AK13" s="123" t="s">
        <v>775</v>
      </c>
      <c r="AL13" s="123" t="s">
        <v>775</v>
      </c>
      <c r="AM13" s="123"/>
      <c r="AN13" s="123"/>
      <c r="AO13" s="123"/>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t="s">
        <v>873</v>
      </c>
      <c r="BM13" s="119"/>
      <c r="BN13" s="119"/>
    </row>
    <row r="14" ht="14.25" customHeight="1">
      <c r="A14" s="119" t="s">
        <v>296</v>
      </c>
      <c r="B14" s="119" t="s">
        <v>298</v>
      </c>
      <c r="C14" s="120" t="s">
        <v>297</v>
      </c>
      <c r="D14" s="119" t="s">
        <v>767</v>
      </c>
      <c r="E14" s="113"/>
      <c r="F14" s="119" t="s">
        <v>769</v>
      </c>
      <c r="G14" s="119" t="s">
        <v>860</v>
      </c>
      <c r="H14" s="119" t="s">
        <v>775</v>
      </c>
      <c r="I14" s="119" t="s">
        <v>785</v>
      </c>
      <c r="J14" s="119" t="s">
        <v>861</v>
      </c>
      <c r="K14" s="119" t="s">
        <v>862</v>
      </c>
      <c r="L14" s="119" t="s">
        <v>775</v>
      </c>
      <c r="M14" s="119"/>
      <c r="N14" s="119" t="s">
        <v>775</v>
      </c>
      <c r="O14" s="119" t="s">
        <v>863</v>
      </c>
      <c r="P14" s="119" t="s">
        <v>864</v>
      </c>
      <c r="Q14" s="119" t="s">
        <v>775</v>
      </c>
      <c r="R14" s="119" t="s">
        <v>775</v>
      </c>
      <c r="S14" s="119" t="s">
        <v>775</v>
      </c>
      <c r="T14" s="121" t="s">
        <v>871</v>
      </c>
      <c r="U14" s="121" t="s">
        <v>874</v>
      </c>
      <c r="V14" s="121"/>
      <c r="W14" s="122" t="s">
        <v>775</v>
      </c>
      <c r="X14" s="122" t="s">
        <v>775</v>
      </c>
      <c r="Y14" s="122" t="s">
        <v>775</v>
      </c>
      <c r="Z14" s="123" t="s">
        <v>775</v>
      </c>
      <c r="AA14" s="123" t="s">
        <v>775</v>
      </c>
      <c r="AB14" s="123" t="s">
        <v>775</v>
      </c>
      <c r="AC14" s="123" t="s">
        <v>775</v>
      </c>
      <c r="AD14" s="123" t="s">
        <v>775</v>
      </c>
      <c r="AE14" s="123" t="s">
        <v>775</v>
      </c>
      <c r="AF14" s="123" t="s">
        <v>775</v>
      </c>
      <c r="AG14" s="123" t="s">
        <v>775</v>
      </c>
      <c r="AH14" s="123" t="s">
        <v>775</v>
      </c>
      <c r="AI14" s="123" t="s">
        <v>775</v>
      </c>
      <c r="AJ14" s="123" t="s">
        <v>775</v>
      </c>
      <c r="AK14" s="123" t="s">
        <v>775</v>
      </c>
      <c r="AL14" s="123" t="s">
        <v>775</v>
      </c>
      <c r="AM14" s="123"/>
      <c r="AN14" s="123"/>
      <c r="AO14" s="123"/>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t="s">
        <v>875</v>
      </c>
      <c r="BM14" s="119"/>
      <c r="BN14" s="119"/>
    </row>
    <row r="15" ht="14.25" customHeight="1">
      <c r="A15" s="119" t="s">
        <v>188</v>
      </c>
      <c r="B15" s="119" t="s">
        <v>190</v>
      </c>
      <c r="C15" s="120" t="s">
        <v>189</v>
      </c>
      <c r="D15" s="119" t="s">
        <v>767</v>
      </c>
      <c r="E15" s="113" t="s">
        <v>768</v>
      </c>
      <c r="F15" s="119" t="s">
        <v>769</v>
      </c>
      <c r="G15" s="119" t="s">
        <v>770</v>
      </c>
      <c r="H15" s="119" t="s">
        <v>771</v>
      </c>
      <c r="I15" s="119" t="s">
        <v>772</v>
      </c>
      <c r="J15" s="119" t="s">
        <v>773</v>
      </c>
      <c r="K15" s="119" t="s">
        <v>774</v>
      </c>
      <c r="L15" s="119" t="s">
        <v>775</v>
      </c>
      <c r="M15" s="119" t="s">
        <v>776</v>
      </c>
      <c r="N15" s="119" t="s">
        <v>876</v>
      </c>
      <c r="O15" s="119" t="s">
        <v>877</v>
      </c>
      <c r="P15" s="119" t="s">
        <v>878</v>
      </c>
      <c r="Q15" s="119" t="s">
        <v>775</v>
      </c>
      <c r="R15" s="119" t="s">
        <v>775</v>
      </c>
      <c r="S15" s="119" t="s">
        <v>775</v>
      </c>
      <c r="T15" s="125" t="s">
        <v>879</v>
      </c>
      <c r="U15" s="121" t="s">
        <v>880</v>
      </c>
      <c r="V15" s="121"/>
      <c r="W15" s="122" t="s">
        <v>783</v>
      </c>
      <c r="X15" s="122" t="s">
        <v>783</v>
      </c>
      <c r="Y15" s="122" t="s">
        <v>784</v>
      </c>
      <c r="Z15" s="123" t="s">
        <v>783</v>
      </c>
      <c r="AA15" s="123" t="s">
        <v>784</v>
      </c>
      <c r="AB15" s="123" t="s">
        <v>783</v>
      </c>
      <c r="AC15" s="123" t="s">
        <v>775</v>
      </c>
      <c r="AD15" s="123" t="s">
        <v>783</v>
      </c>
      <c r="AE15" s="123" t="s">
        <v>783</v>
      </c>
      <c r="AF15" s="123" t="s">
        <v>775</v>
      </c>
      <c r="AG15" s="123" t="s">
        <v>783</v>
      </c>
      <c r="AH15" s="123" t="s">
        <v>783</v>
      </c>
      <c r="AI15" s="123" t="s">
        <v>783</v>
      </c>
      <c r="AJ15" s="123" t="s">
        <v>783</v>
      </c>
      <c r="AK15" s="123" t="s">
        <v>783</v>
      </c>
      <c r="AL15" s="123" t="s">
        <v>783</v>
      </c>
      <c r="AM15" s="123"/>
      <c r="AN15" s="123"/>
      <c r="AO15" s="123"/>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t="s">
        <v>881</v>
      </c>
      <c r="BM15" s="119"/>
      <c r="BN15" s="119"/>
    </row>
    <row r="16" ht="14.25" customHeight="1">
      <c r="A16" s="129" t="s">
        <v>79</v>
      </c>
      <c r="B16" s="119" t="s">
        <v>81</v>
      </c>
      <c r="C16" s="120" t="s">
        <v>80</v>
      </c>
      <c r="D16" s="119" t="s">
        <v>767</v>
      </c>
      <c r="E16" s="113" t="s">
        <v>768</v>
      </c>
      <c r="F16" s="119" t="s">
        <v>769</v>
      </c>
      <c r="G16" s="119" t="s">
        <v>770</v>
      </c>
      <c r="H16" s="119" t="s">
        <v>771</v>
      </c>
      <c r="I16" s="126" t="s">
        <v>772</v>
      </c>
      <c r="J16" s="119" t="s">
        <v>773</v>
      </c>
      <c r="K16" s="119" t="s">
        <v>774</v>
      </c>
      <c r="L16" s="119" t="s">
        <v>775</v>
      </c>
      <c r="M16" s="131" t="s">
        <v>776</v>
      </c>
      <c r="N16" s="119" t="s">
        <v>876</v>
      </c>
      <c r="O16" s="119" t="s">
        <v>882</v>
      </c>
      <c r="P16" s="119" t="s">
        <v>883</v>
      </c>
      <c r="Q16" s="119" t="s">
        <v>775</v>
      </c>
      <c r="R16" s="119" t="s">
        <v>775</v>
      </c>
      <c r="S16" s="119" t="s">
        <v>775</v>
      </c>
      <c r="T16" s="121" t="s">
        <v>884</v>
      </c>
      <c r="U16" s="121" t="s">
        <v>885</v>
      </c>
      <c r="V16" s="121"/>
      <c r="W16" s="122" t="s">
        <v>775</v>
      </c>
      <c r="X16" s="122" t="s">
        <v>783</v>
      </c>
      <c r="Y16" s="122" t="s">
        <v>775</v>
      </c>
      <c r="Z16" s="123" t="s">
        <v>783</v>
      </c>
      <c r="AA16" s="123" t="s">
        <v>783</v>
      </c>
      <c r="AB16" s="123" t="s">
        <v>775</v>
      </c>
      <c r="AC16" s="123" t="s">
        <v>775</v>
      </c>
      <c r="AD16" s="123" t="s">
        <v>783</v>
      </c>
      <c r="AE16" s="123" t="s">
        <v>775</v>
      </c>
      <c r="AF16" s="123" t="s">
        <v>775</v>
      </c>
      <c r="AG16" s="123" t="s">
        <v>783</v>
      </c>
      <c r="AH16" s="123" t="s">
        <v>783</v>
      </c>
      <c r="AI16" s="123" t="s">
        <v>775</v>
      </c>
      <c r="AJ16" s="123" t="s">
        <v>775</v>
      </c>
      <c r="AK16" s="123" t="s">
        <v>783</v>
      </c>
      <c r="AL16" s="123" t="s">
        <v>783</v>
      </c>
      <c r="AM16" s="123"/>
      <c r="AN16" s="123"/>
      <c r="AO16" s="123"/>
      <c r="AP16" s="119"/>
      <c r="AQ16" s="119"/>
      <c r="AR16" s="119"/>
      <c r="AS16" s="119"/>
      <c r="AT16" s="119"/>
      <c r="AU16" s="119"/>
      <c r="AV16" s="119" t="s">
        <v>862</v>
      </c>
      <c r="AW16" s="119"/>
      <c r="AX16" s="119"/>
      <c r="AY16" s="119" t="s">
        <v>863</v>
      </c>
      <c r="AZ16" s="119" t="s">
        <v>886</v>
      </c>
      <c r="BA16" s="119"/>
      <c r="BB16" s="119" t="s">
        <v>887</v>
      </c>
      <c r="BC16" s="119"/>
      <c r="BD16" s="119"/>
      <c r="BE16" s="119"/>
      <c r="BF16" s="119" t="s">
        <v>888</v>
      </c>
      <c r="BG16" s="119">
        <f>countif(tax.class,concatenate("*",BF16,"*"))</f>
        <v>1</v>
      </c>
      <c r="BH16" s="124" t="str">
        <f>BG16/BG20</f>
        <v>#DIV/0!</v>
      </c>
      <c r="BI16" s="129" t="s">
        <v>889</v>
      </c>
      <c r="BJ16" s="124" t="str">
        <f>#REF!+BH15</f>
        <v>#REF!</v>
      </c>
      <c r="BK16" s="124"/>
      <c r="BL16" s="119" t="s">
        <v>890</v>
      </c>
      <c r="BM16" s="124"/>
      <c r="BN16" s="119"/>
    </row>
    <row r="17" ht="14.25" customHeight="1">
      <c r="A17" s="129" t="s">
        <v>83</v>
      </c>
      <c r="B17" s="119" t="s">
        <v>85</v>
      </c>
      <c r="C17" s="120" t="s">
        <v>84</v>
      </c>
      <c r="D17" s="119" t="s">
        <v>767</v>
      </c>
      <c r="E17" s="113" t="s">
        <v>768</v>
      </c>
      <c r="F17" s="119" t="s">
        <v>769</v>
      </c>
      <c r="G17" s="119" t="s">
        <v>770</v>
      </c>
      <c r="H17" s="119" t="s">
        <v>771</v>
      </c>
      <c r="I17" s="119" t="s">
        <v>772</v>
      </c>
      <c r="J17" s="119" t="s">
        <v>773</v>
      </c>
      <c r="K17" s="119" t="s">
        <v>774</v>
      </c>
      <c r="L17" s="119" t="s">
        <v>775</v>
      </c>
      <c r="M17" s="131" t="s">
        <v>776</v>
      </c>
      <c r="N17" s="119" t="s">
        <v>876</v>
      </c>
      <c r="O17" s="119" t="s">
        <v>882</v>
      </c>
      <c r="P17" s="119" t="s">
        <v>883</v>
      </c>
      <c r="Q17" s="119" t="s">
        <v>775</v>
      </c>
      <c r="R17" s="119" t="s">
        <v>775</v>
      </c>
      <c r="S17" s="119" t="s">
        <v>775</v>
      </c>
      <c r="T17" s="121" t="s">
        <v>884</v>
      </c>
      <c r="U17" s="121" t="s">
        <v>891</v>
      </c>
      <c r="V17" s="121"/>
      <c r="W17" s="122" t="s">
        <v>775</v>
      </c>
      <c r="X17" s="122" t="s">
        <v>783</v>
      </c>
      <c r="Y17" s="122" t="s">
        <v>782</v>
      </c>
      <c r="Z17" s="123" t="s">
        <v>784</v>
      </c>
      <c r="AA17" s="123" t="s">
        <v>784</v>
      </c>
      <c r="AB17" s="123" t="s">
        <v>775</v>
      </c>
      <c r="AC17" s="123" t="s">
        <v>775</v>
      </c>
      <c r="AD17" s="123" t="s">
        <v>784</v>
      </c>
      <c r="AE17" s="123" t="s">
        <v>775</v>
      </c>
      <c r="AF17" s="123" t="s">
        <v>782</v>
      </c>
      <c r="AG17" s="123" t="s">
        <v>784</v>
      </c>
      <c r="AH17" s="123" t="s">
        <v>784</v>
      </c>
      <c r="AI17" s="123" t="s">
        <v>775</v>
      </c>
      <c r="AJ17" s="123" t="s">
        <v>775</v>
      </c>
      <c r="AK17" s="123" t="s">
        <v>784</v>
      </c>
      <c r="AL17" s="123" t="s">
        <v>784</v>
      </c>
      <c r="AM17" s="123"/>
      <c r="AN17" s="123"/>
      <c r="AO17" s="123"/>
      <c r="AP17" s="119"/>
      <c r="AQ17" s="119"/>
      <c r="AR17" s="119"/>
      <c r="AS17" s="119"/>
      <c r="AT17" s="119"/>
      <c r="AU17" s="119"/>
      <c r="AV17" s="119"/>
      <c r="AW17" s="119"/>
      <c r="AX17" s="119"/>
      <c r="AY17" s="119" t="s">
        <v>778</v>
      </c>
      <c r="AZ17" s="119" t="s">
        <v>847</v>
      </c>
      <c r="BA17" s="119" t="s">
        <v>892</v>
      </c>
      <c r="BB17" s="119" t="s">
        <v>808</v>
      </c>
      <c r="BC17" s="119"/>
      <c r="BD17" s="119"/>
      <c r="BE17" s="119"/>
      <c r="BF17" s="119"/>
      <c r="BG17" s="119"/>
      <c r="BH17" s="119"/>
      <c r="BI17" s="119"/>
      <c r="BJ17" s="119"/>
      <c r="BK17" s="119"/>
      <c r="BL17" s="119" t="s">
        <v>893</v>
      </c>
      <c r="BM17" s="119"/>
      <c r="BN17" s="119"/>
    </row>
    <row r="18" ht="14.25" customHeight="1">
      <c r="A18" s="129" t="s">
        <v>113</v>
      </c>
      <c r="B18" s="119" t="s">
        <v>115</v>
      </c>
      <c r="C18" s="120" t="s">
        <v>114</v>
      </c>
      <c r="D18" s="119" t="s">
        <v>767</v>
      </c>
      <c r="E18" s="113" t="s">
        <v>768</v>
      </c>
      <c r="F18" s="119" t="s">
        <v>769</v>
      </c>
      <c r="G18" s="119" t="s">
        <v>770</v>
      </c>
      <c r="H18" s="119" t="s">
        <v>771</v>
      </c>
      <c r="I18" s="119" t="s">
        <v>772</v>
      </c>
      <c r="J18" s="119" t="s">
        <v>773</v>
      </c>
      <c r="K18" s="119" t="s">
        <v>774</v>
      </c>
      <c r="L18" s="119" t="s">
        <v>775</v>
      </c>
      <c r="M18" s="131" t="s">
        <v>776</v>
      </c>
      <c r="N18" s="119" t="s">
        <v>876</v>
      </c>
      <c r="O18" s="119" t="s">
        <v>882</v>
      </c>
      <c r="P18" s="119" t="s">
        <v>883</v>
      </c>
      <c r="Q18" s="119" t="s">
        <v>775</v>
      </c>
      <c r="R18" s="119" t="s">
        <v>775</v>
      </c>
      <c r="S18" s="119" t="s">
        <v>775</v>
      </c>
      <c r="T18" s="121" t="s">
        <v>894</v>
      </c>
      <c r="U18" s="121" t="s">
        <v>895</v>
      </c>
      <c r="V18" s="121"/>
      <c r="W18" s="122" t="s">
        <v>775</v>
      </c>
      <c r="X18" s="122" t="s">
        <v>783</v>
      </c>
      <c r="Y18" s="122" t="s">
        <v>775</v>
      </c>
      <c r="Z18" s="123" t="s">
        <v>803</v>
      </c>
      <c r="AA18" s="123" t="s">
        <v>784</v>
      </c>
      <c r="AB18" s="123" t="s">
        <v>775</v>
      </c>
      <c r="AC18" s="123" t="s">
        <v>775</v>
      </c>
      <c r="AD18" s="123" t="s">
        <v>783</v>
      </c>
      <c r="AE18" s="123" t="s">
        <v>775</v>
      </c>
      <c r="AF18" s="123" t="s">
        <v>775</v>
      </c>
      <c r="AG18" s="123" t="s">
        <v>783</v>
      </c>
      <c r="AH18" s="123" t="s">
        <v>784</v>
      </c>
      <c r="AI18" s="123" t="s">
        <v>782</v>
      </c>
      <c r="AJ18" s="123" t="s">
        <v>775</v>
      </c>
      <c r="AK18" s="123" t="s">
        <v>784</v>
      </c>
      <c r="AL18" s="123" t="s">
        <v>803</v>
      </c>
      <c r="AM18" s="123"/>
      <c r="AN18" s="123"/>
      <c r="AO18" s="123"/>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t="s">
        <v>896</v>
      </c>
      <c r="BM18" s="119"/>
      <c r="BN18" s="119"/>
    </row>
    <row r="19" ht="14.25" customHeight="1">
      <c r="A19" s="129" t="s">
        <v>116</v>
      </c>
      <c r="B19" s="119" t="s">
        <v>118</v>
      </c>
      <c r="C19" s="120" t="s">
        <v>117</v>
      </c>
      <c r="D19" s="119" t="s">
        <v>767</v>
      </c>
      <c r="E19" s="113" t="s">
        <v>768</v>
      </c>
      <c r="F19" s="119" t="s">
        <v>769</v>
      </c>
      <c r="G19" s="119" t="s">
        <v>770</v>
      </c>
      <c r="H19" s="119" t="s">
        <v>771</v>
      </c>
      <c r="I19" s="119" t="s">
        <v>772</v>
      </c>
      <c r="J19" s="119" t="s">
        <v>773</v>
      </c>
      <c r="K19" s="119" t="s">
        <v>774</v>
      </c>
      <c r="L19" s="119" t="s">
        <v>775</v>
      </c>
      <c r="M19" s="131" t="s">
        <v>776</v>
      </c>
      <c r="N19" s="119" t="s">
        <v>876</v>
      </c>
      <c r="O19" s="119" t="s">
        <v>882</v>
      </c>
      <c r="P19" s="119" t="s">
        <v>883</v>
      </c>
      <c r="Q19" s="119" t="s">
        <v>775</v>
      </c>
      <c r="R19" s="119" t="s">
        <v>775</v>
      </c>
      <c r="S19" s="119" t="s">
        <v>775</v>
      </c>
      <c r="T19" s="125" t="s">
        <v>894</v>
      </c>
      <c r="U19" s="121" t="s">
        <v>798</v>
      </c>
      <c r="V19" s="121"/>
      <c r="W19" s="122" t="s">
        <v>782</v>
      </c>
      <c r="X19" s="122" t="s">
        <v>783</v>
      </c>
      <c r="Y19" s="122" t="s">
        <v>775</v>
      </c>
      <c r="Z19" s="123" t="s">
        <v>784</v>
      </c>
      <c r="AA19" s="123" t="s">
        <v>783</v>
      </c>
      <c r="AB19" s="123" t="s">
        <v>775</v>
      </c>
      <c r="AC19" s="123" t="s">
        <v>775</v>
      </c>
      <c r="AD19" s="123" t="s">
        <v>783</v>
      </c>
      <c r="AE19" s="123" t="s">
        <v>775</v>
      </c>
      <c r="AF19" s="123" t="s">
        <v>782</v>
      </c>
      <c r="AG19" s="123" t="s">
        <v>783</v>
      </c>
      <c r="AH19" s="123" t="s">
        <v>784</v>
      </c>
      <c r="AI19" s="123" t="s">
        <v>782</v>
      </c>
      <c r="AJ19" s="123" t="s">
        <v>775</v>
      </c>
      <c r="AK19" s="123" t="s">
        <v>784</v>
      </c>
      <c r="AL19" s="123" t="s">
        <v>784</v>
      </c>
      <c r="AM19" s="123"/>
      <c r="AN19" s="123"/>
      <c r="AO19" s="123"/>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t="s">
        <v>897</v>
      </c>
      <c r="BM19" s="119"/>
      <c r="BN19" s="119"/>
    </row>
    <row r="20" ht="14.25" customHeight="1">
      <c r="A20" s="129" t="s">
        <v>119</v>
      </c>
      <c r="B20" s="119" t="s">
        <v>121</v>
      </c>
      <c r="C20" s="120" t="s">
        <v>120</v>
      </c>
      <c r="D20" s="119" t="s">
        <v>767</v>
      </c>
      <c r="E20" s="113" t="s">
        <v>768</v>
      </c>
      <c r="F20" s="119" t="s">
        <v>769</v>
      </c>
      <c r="G20" s="119" t="s">
        <v>770</v>
      </c>
      <c r="H20" s="119" t="s">
        <v>771</v>
      </c>
      <c r="I20" s="119" t="s">
        <v>772</v>
      </c>
      <c r="J20" s="119" t="s">
        <v>773</v>
      </c>
      <c r="K20" s="119" t="s">
        <v>774</v>
      </c>
      <c r="L20" s="119" t="s">
        <v>775</v>
      </c>
      <c r="M20" s="131" t="s">
        <v>776</v>
      </c>
      <c r="N20" s="119" t="s">
        <v>876</v>
      </c>
      <c r="O20" s="119" t="s">
        <v>882</v>
      </c>
      <c r="P20" s="119" t="s">
        <v>883</v>
      </c>
      <c r="Q20" s="119" t="s">
        <v>775</v>
      </c>
      <c r="R20" s="119" t="s">
        <v>775</v>
      </c>
      <c r="S20" s="119" t="s">
        <v>775</v>
      </c>
      <c r="T20" s="125" t="s">
        <v>894</v>
      </c>
      <c r="U20" s="121" t="s">
        <v>898</v>
      </c>
      <c r="V20" s="121"/>
      <c r="W20" s="122" t="s">
        <v>782</v>
      </c>
      <c r="X20" s="122" t="s">
        <v>783</v>
      </c>
      <c r="Y20" s="122" t="s">
        <v>782</v>
      </c>
      <c r="Z20" s="123" t="s">
        <v>783</v>
      </c>
      <c r="AA20" s="123" t="s">
        <v>783</v>
      </c>
      <c r="AB20" s="123" t="s">
        <v>775</v>
      </c>
      <c r="AC20" s="123" t="s">
        <v>775</v>
      </c>
      <c r="AD20" s="123" t="s">
        <v>783</v>
      </c>
      <c r="AE20" s="123" t="s">
        <v>775</v>
      </c>
      <c r="AF20" s="123" t="s">
        <v>775</v>
      </c>
      <c r="AG20" s="123" t="s">
        <v>783</v>
      </c>
      <c r="AH20" s="123" t="s">
        <v>784</v>
      </c>
      <c r="AI20" s="123" t="s">
        <v>782</v>
      </c>
      <c r="AJ20" s="123" t="s">
        <v>782</v>
      </c>
      <c r="AK20" s="123" t="s">
        <v>784</v>
      </c>
      <c r="AL20" s="123" t="s">
        <v>784</v>
      </c>
      <c r="AM20" s="123"/>
      <c r="AN20" s="123"/>
      <c r="AO20" s="123"/>
      <c r="AP20" s="119"/>
      <c r="AQ20" s="119"/>
      <c r="AR20" s="119"/>
      <c r="AS20" s="119"/>
      <c r="AT20" s="119"/>
      <c r="AU20" s="119"/>
      <c r="AV20" s="119"/>
      <c r="AW20" s="119"/>
      <c r="AX20" s="119"/>
      <c r="AY20" s="119"/>
      <c r="AZ20" s="119"/>
      <c r="BA20" s="119" t="s">
        <v>899</v>
      </c>
      <c r="BB20" s="119" t="s">
        <v>900</v>
      </c>
      <c r="BC20" s="119"/>
      <c r="BD20" s="119"/>
      <c r="BE20" s="119"/>
      <c r="BF20" s="119"/>
      <c r="BG20" s="119"/>
      <c r="BH20" s="119"/>
      <c r="BI20" s="119"/>
      <c r="BJ20" s="119"/>
      <c r="BK20" s="119"/>
      <c r="BL20" s="119" t="s">
        <v>901</v>
      </c>
      <c r="BM20" s="119"/>
      <c r="BN20" s="119"/>
    </row>
    <row r="21" ht="14.25" customHeight="1">
      <c r="A21" s="129" t="s">
        <v>125</v>
      </c>
      <c r="B21" s="119" t="s">
        <v>127</v>
      </c>
      <c r="C21" s="120" t="s">
        <v>126</v>
      </c>
      <c r="D21" s="119" t="s">
        <v>767</v>
      </c>
      <c r="E21" s="113" t="s">
        <v>768</v>
      </c>
      <c r="F21" s="119" t="s">
        <v>769</v>
      </c>
      <c r="G21" s="119" t="s">
        <v>770</v>
      </c>
      <c r="H21" s="119" t="s">
        <v>771</v>
      </c>
      <c r="I21" s="119" t="s">
        <v>772</v>
      </c>
      <c r="J21" s="119" t="s">
        <v>773</v>
      </c>
      <c r="K21" s="119" t="s">
        <v>774</v>
      </c>
      <c r="L21" s="119" t="s">
        <v>775</v>
      </c>
      <c r="M21" s="131" t="s">
        <v>776</v>
      </c>
      <c r="N21" s="119" t="s">
        <v>876</v>
      </c>
      <c r="O21" s="119" t="s">
        <v>882</v>
      </c>
      <c r="P21" s="119" t="s">
        <v>883</v>
      </c>
      <c r="Q21" s="119" t="s">
        <v>775</v>
      </c>
      <c r="R21" s="119" t="s">
        <v>775</v>
      </c>
      <c r="S21" s="119" t="s">
        <v>775</v>
      </c>
      <c r="T21" s="125" t="s">
        <v>902</v>
      </c>
      <c r="U21" s="121" t="s">
        <v>858</v>
      </c>
      <c r="V21" s="121"/>
      <c r="W21" s="122" t="s">
        <v>775</v>
      </c>
      <c r="X21" s="122" t="s">
        <v>783</v>
      </c>
      <c r="Y21" s="122" t="s">
        <v>782</v>
      </c>
      <c r="Z21" s="123" t="s">
        <v>783</v>
      </c>
      <c r="AA21" s="123" t="s">
        <v>783</v>
      </c>
      <c r="AB21" s="123" t="s">
        <v>775</v>
      </c>
      <c r="AC21" s="123" t="s">
        <v>775</v>
      </c>
      <c r="AD21" s="123" t="s">
        <v>783</v>
      </c>
      <c r="AE21" s="123" t="s">
        <v>775</v>
      </c>
      <c r="AF21" s="123" t="s">
        <v>775</v>
      </c>
      <c r="AG21" s="123" t="s">
        <v>783</v>
      </c>
      <c r="AH21" s="123" t="s">
        <v>783</v>
      </c>
      <c r="AI21" s="123" t="s">
        <v>775</v>
      </c>
      <c r="AJ21" s="123" t="s">
        <v>775</v>
      </c>
      <c r="AK21" s="123" t="s">
        <v>783</v>
      </c>
      <c r="AL21" s="123" t="s">
        <v>784</v>
      </c>
      <c r="AM21" s="123"/>
      <c r="AN21" s="123"/>
      <c r="AO21" s="123"/>
      <c r="AP21" s="119"/>
      <c r="AQ21" s="119" t="s">
        <v>903</v>
      </c>
      <c r="AR21" s="119" t="s">
        <v>860</v>
      </c>
      <c r="AS21" s="119"/>
      <c r="AT21" s="119" t="s">
        <v>772</v>
      </c>
      <c r="AU21" s="119" t="s">
        <v>773</v>
      </c>
      <c r="AV21" s="119" t="s">
        <v>862</v>
      </c>
      <c r="AW21" s="119"/>
      <c r="AX21" s="119" t="s">
        <v>876</v>
      </c>
      <c r="AY21" s="119" t="s">
        <v>832</v>
      </c>
      <c r="AZ21" s="119" t="s">
        <v>833</v>
      </c>
      <c r="BA21" s="119" t="s">
        <v>904</v>
      </c>
      <c r="BB21" s="119" t="s">
        <v>905</v>
      </c>
      <c r="BC21" s="119" t="s">
        <v>809</v>
      </c>
      <c r="BD21" s="119"/>
      <c r="BE21" s="119"/>
      <c r="BF21" s="119"/>
      <c r="BG21" s="119"/>
      <c r="BH21" s="119"/>
      <c r="BI21" s="119"/>
      <c r="BJ21" s="119"/>
      <c r="BK21" s="119"/>
      <c r="BL21" s="119" t="s">
        <v>906</v>
      </c>
      <c r="BM21" s="119"/>
      <c r="BN21" s="119"/>
    </row>
    <row r="22" ht="14.25" customHeight="1">
      <c r="A22" s="129" t="s">
        <v>128</v>
      </c>
      <c r="B22" s="119" t="s">
        <v>130</v>
      </c>
      <c r="C22" s="120" t="s">
        <v>907</v>
      </c>
      <c r="D22" s="119" t="s">
        <v>767</v>
      </c>
      <c r="E22" s="113" t="s">
        <v>768</v>
      </c>
      <c r="F22" s="119" t="s">
        <v>769</v>
      </c>
      <c r="G22" s="119" t="s">
        <v>770</v>
      </c>
      <c r="H22" s="119" t="s">
        <v>771</v>
      </c>
      <c r="I22" s="119" t="s">
        <v>772</v>
      </c>
      <c r="J22" s="119" t="s">
        <v>773</v>
      </c>
      <c r="K22" s="119" t="s">
        <v>774</v>
      </c>
      <c r="L22" s="119" t="s">
        <v>775</v>
      </c>
      <c r="M22" s="131" t="s">
        <v>776</v>
      </c>
      <c r="N22" s="119" t="s">
        <v>876</v>
      </c>
      <c r="O22" s="119" t="s">
        <v>882</v>
      </c>
      <c r="P22" s="119" t="s">
        <v>883</v>
      </c>
      <c r="Q22" s="119" t="s">
        <v>775</v>
      </c>
      <c r="R22" s="119" t="s">
        <v>775</v>
      </c>
      <c r="S22" s="119" t="s">
        <v>775</v>
      </c>
      <c r="T22" s="121" t="s">
        <v>908</v>
      </c>
      <c r="U22" s="121" t="s">
        <v>909</v>
      </c>
      <c r="V22" s="121"/>
      <c r="W22" s="122" t="s">
        <v>775</v>
      </c>
      <c r="X22" s="122" t="s">
        <v>775</v>
      </c>
      <c r="Y22" s="122" t="s">
        <v>775</v>
      </c>
      <c r="Z22" s="123" t="s">
        <v>775</v>
      </c>
      <c r="AA22" s="123" t="s">
        <v>775</v>
      </c>
      <c r="AB22" s="123" t="s">
        <v>775</v>
      </c>
      <c r="AC22" s="123" t="s">
        <v>775</v>
      </c>
      <c r="AD22" s="123" t="s">
        <v>775</v>
      </c>
      <c r="AE22" s="123" t="s">
        <v>775</v>
      </c>
      <c r="AF22" s="123" t="s">
        <v>775</v>
      </c>
      <c r="AG22" s="123" t="s">
        <v>775</v>
      </c>
      <c r="AH22" s="123" t="s">
        <v>775</v>
      </c>
      <c r="AI22" s="123" t="s">
        <v>775</v>
      </c>
      <c r="AJ22" s="123" t="s">
        <v>775</v>
      </c>
      <c r="AK22" s="123" t="s">
        <v>775</v>
      </c>
      <c r="AL22" s="123" t="s">
        <v>775</v>
      </c>
      <c r="AM22" s="123"/>
      <c r="AN22" s="123"/>
      <c r="AO22" s="123"/>
      <c r="AP22" s="119"/>
      <c r="AQ22" s="119"/>
      <c r="AR22" s="119"/>
      <c r="AS22" s="119"/>
      <c r="AT22" s="126"/>
      <c r="AU22" s="126"/>
      <c r="AV22" s="126"/>
      <c r="AW22" s="119" t="s">
        <v>826</v>
      </c>
      <c r="AX22" s="119"/>
      <c r="AY22" s="119" t="s">
        <v>816</v>
      </c>
      <c r="AZ22" s="119" t="s">
        <v>817</v>
      </c>
      <c r="BA22" s="119" t="s">
        <v>827</v>
      </c>
      <c r="BB22" s="119" t="s">
        <v>828</v>
      </c>
      <c r="BC22" s="119"/>
      <c r="BD22" s="119"/>
      <c r="BE22" s="119"/>
      <c r="BF22" s="119"/>
      <c r="BG22" s="119"/>
      <c r="BH22" s="119"/>
      <c r="BI22" s="119"/>
      <c r="BJ22" s="119"/>
      <c r="BK22" s="119"/>
      <c r="BL22" s="88"/>
      <c r="BM22" s="119"/>
      <c r="BN22" s="119"/>
    </row>
    <row r="23" ht="14.25" customHeight="1">
      <c r="A23" s="129" t="s">
        <v>197</v>
      </c>
      <c r="B23" s="119" t="s">
        <v>199</v>
      </c>
      <c r="C23" s="120" t="s">
        <v>198</v>
      </c>
      <c r="D23" s="119" t="s">
        <v>767</v>
      </c>
      <c r="E23" s="113" t="s">
        <v>768</v>
      </c>
      <c r="F23" s="119" t="s">
        <v>769</v>
      </c>
      <c r="G23" s="119" t="s">
        <v>770</v>
      </c>
      <c r="H23" s="119" t="s">
        <v>771</v>
      </c>
      <c r="I23" s="119" t="s">
        <v>772</v>
      </c>
      <c r="J23" s="119" t="s">
        <v>773</v>
      </c>
      <c r="K23" s="119" t="s">
        <v>774</v>
      </c>
      <c r="L23" s="119" t="s">
        <v>775</v>
      </c>
      <c r="M23" s="131" t="s">
        <v>776</v>
      </c>
      <c r="N23" s="119" t="s">
        <v>876</v>
      </c>
      <c r="O23" s="119" t="s">
        <v>882</v>
      </c>
      <c r="P23" s="119" t="s">
        <v>883</v>
      </c>
      <c r="Q23" s="119" t="s">
        <v>775</v>
      </c>
      <c r="R23" s="119" t="s">
        <v>775</v>
      </c>
      <c r="S23" s="119" t="s">
        <v>775</v>
      </c>
      <c r="T23" s="121" t="s">
        <v>910</v>
      </c>
      <c r="U23" s="121" t="s">
        <v>911</v>
      </c>
      <c r="V23" s="121"/>
      <c r="W23" s="122" t="s">
        <v>775</v>
      </c>
      <c r="X23" s="122" t="s">
        <v>783</v>
      </c>
      <c r="Y23" s="122" t="s">
        <v>775</v>
      </c>
      <c r="Z23" s="123" t="s">
        <v>783</v>
      </c>
      <c r="AA23" s="123" t="s">
        <v>783</v>
      </c>
      <c r="AB23" s="123" t="s">
        <v>775</v>
      </c>
      <c r="AC23" s="123" t="s">
        <v>775</v>
      </c>
      <c r="AD23" s="123" t="s">
        <v>783</v>
      </c>
      <c r="AE23" s="123" t="s">
        <v>775</v>
      </c>
      <c r="AF23" s="123" t="s">
        <v>775</v>
      </c>
      <c r="AG23" s="123" t="s">
        <v>783</v>
      </c>
      <c r="AH23" s="123" t="s">
        <v>783</v>
      </c>
      <c r="AI23" s="123" t="s">
        <v>775</v>
      </c>
      <c r="AJ23" s="123" t="s">
        <v>775</v>
      </c>
      <c r="AK23" s="123" t="s">
        <v>783</v>
      </c>
      <c r="AL23" s="123" t="s">
        <v>783</v>
      </c>
      <c r="AM23" s="123"/>
      <c r="AN23" s="123"/>
      <c r="AO23" s="123"/>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88"/>
      <c r="BM23" s="119"/>
      <c r="BN23" s="119"/>
    </row>
    <row r="24" ht="14.25" customHeight="1">
      <c r="A24" s="129" t="s">
        <v>335</v>
      </c>
      <c r="B24" s="119" t="s">
        <v>337</v>
      </c>
      <c r="C24" s="120" t="s">
        <v>336</v>
      </c>
      <c r="D24" s="119" t="s">
        <v>767</v>
      </c>
      <c r="E24" s="113" t="s">
        <v>768</v>
      </c>
      <c r="F24" s="119" t="s">
        <v>769</v>
      </c>
      <c r="G24" s="119" t="s">
        <v>770</v>
      </c>
      <c r="H24" s="119" t="s">
        <v>771</v>
      </c>
      <c r="I24" s="119" t="s">
        <v>772</v>
      </c>
      <c r="J24" s="119" t="s">
        <v>773</v>
      </c>
      <c r="K24" s="119" t="s">
        <v>774</v>
      </c>
      <c r="L24" s="119" t="s">
        <v>775</v>
      </c>
      <c r="M24" s="131" t="s">
        <v>776</v>
      </c>
      <c r="N24" s="119" t="s">
        <v>876</v>
      </c>
      <c r="O24" s="119" t="s">
        <v>882</v>
      </c>
      <c r="P24" s="119" t="s">
        <v>883</v>
      </c>
      <c r="Q24" s="119" t="s">
        <v>775</v>
      </c>
      <c r="R24" s="119" t="s">
        <v>775</v>
      </c>
      <c r="S24" s="119" t="s">
        <v>775</v>
      </c>
      <c r="T24" s="121" t="s">
        <v>912</v>
      </c>
      <c r="U24" s="121" t="s">
        <v>913</v>
      </c>
      <c r="V24" s="121"/>
      <c r="W24" s="122" t="s">
        <v>782</v>
      </c>
      <c r="X24" s="122" t="s">
        <v>783</v>
      </c>
      <c r="Y24" s="122" t="s">
        <v>775</v>
      </c>
      <c r="Z24" s="123" t="s">
        <v>784</v>
      </c>
      <c r="AA24" s="123" t="s">
        <v>783</v>
      </c>
      <c r="AB24" s="123" t="s">
        <v>775</v>
      </c>
      <c r="AC24" s="123" t="s">
        <v>775</v>
      </c>
      <c r="AD24" s="123" t="s">
        <v>783</v>
      </c>
      <c r="AE24" s="123" t="s">
        <v>775</v>
      </c>
      <c r="AF24" s="123" t="s">
        <v>775</v>
      </c>
      <c r="AG24" s="123" t="s">
        <v>775</v>
      </c>
      <c r="AH24" s="123" t="s">
        <v>784</v>
      </c>
      <c r="AI24" s="123" t="s">
        <v>782</v>
      </c>
      <c r="AJ24" s="123" t="s">
        <v>775</v>
      </c>
      <c r="AK24" s="123" t="s">
        <v>784</v>
      </c>
      <c r="AL24" s="123" t="s">
        <v>784</v>
      </c>
      <c r="AM24" s="123"/>
      <c r="AN24" s="123"/>
      <c r="AO24" s="123"/>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88"/>
      <c r="BM24" s="119"/>
      <c r="BN24" s="119"/>
    </row>
    <row r="25" ht="14.25" customHeight="1">
      <c r="A25" s="119" t="s">
        <v>134</v>
      </c>
      <c r="B25" s="119" t="s">
        <v>136</v>
      </c>
      <c r="C25" s="120" t="s">
        <v>135</v>
      </c>
      <c r="D25" s="119" t="s">
        <v>767</v>
      </c>
      <c r="E25" s="113" t="s">
        <v>768</v>
      </c>
      <c r="F25" s="119" t="s">
        <v>769</v>
      </c>
      <c r="G25" s="119" t="s">
        <v>770</v>
      </c>
      <c r="H25" s="119" t="s">
        <v>771</v>
      </c>
      <c r="I25" s="119" t="s">
        <v>772</v>
      </c>
      <c r="J25" s="119" t="s">
        <v>773</v>
      </c>
      <c r="K25" s="119" t="s">
        <v>774</v>
      </c>
      <c r="L25" s="119" t="s">
        <v>775</v>
      </c>
      <c r="M25" s="131" t="s">
        <v>776</v>
      </c>
      <c r="N25" s="119" t="s">
        <v>876</v>
      </c>
      <c r="O25" s="119" t="s">
        <v>882</v>
      </c>
      <c r="P25" s="119" t="s">
        <v>870</v>
      </c>
      <c r="Q25" s="119" t="s">
        <v>775</v>
      </c>
      <c r="R25" s="119" t="s">
        <v>775</v>
      </c>
      <c r="S25" s="119" t="s">
        <v>775</v>
      </c>
      <c r="T25" s="121" t="s">
        <v>914</v>
      </c>
      <c r="U25" s="121" t="s">
        <v>915</v>
      </c>
      <c r="V25" s="121"/>
      <c r="W25" s="122" t="s">
        <v>782</v>
      </c>
      <c r="X25" s="122" t="s">
        <v>783</v>
      </c>
      <c r="Y25" s="122" t="s">
        <v>784</v>
      </c>
      <c r="Z25" s="123" t="s">
        <v>784</v>
      </c>
      <c r="AA25" s="123" t="s">
        <v>784</v>
      </c>
      <c r="AB25" s="123" t="s">
        <v>783</v>
      </c>
      <c r="AC25" s="123" t="s">
        <v>775</v>
      </c>
      <c r="AD25" s="123" t="s">
        <v>783</v>
      </c>
      <c r="AE25" s="123" t="s">
        <v>783</v>
      </c>
      <c r="AF25" s="123" t="s">
        <v>775</v>
      </c>
      <c r="AG25" s="123" t="s">
        <v>783</v>
      </c>
      <c r="AH25" s="123" t="s">
        <v>784</v>
      </c>
      <c r="AI25" s="123" t="s">
        <v>782</v>
      </c>
      <c r="AJ25" s="123" t="s">
        <v>784</v>
      </c>
      <c r="AK25" s="123" t="s">
        <v>784</v>
      </c>
      <c r="AL25" s="123" t="s">
        <v>784</v>
      </c>
      <c r="AM25" s="123"/>
      <c r="AN25" s="123"/>
      <c r="AO25" s="123"/>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88"/>
      <c r="BM25" s="119"/>
      <c r="BN25" s="119"/>
    </row>
    <row r="26" ht="14.25" customHeight="1">
      <c r="A26" s="119" t="s">
        <v>137</v>
      </c>
      <c r="B26" s="119" t="s">
        <v>139</v>
      </c>
      <c r="C26" s="120" t="s">
        <v>138</v>
      </c>
      <c r="D26" s="119" t="s">
        <v>767</v>
      </c>
      <c r="E26" s="113" t="s">
        <v>768</v>
      </c>
      <c r="F26" s="119" t="s">
        <v>769</v>
      </c>
      <c r="G26" s="119" t="s">
        <v>770</v>
      </c>
      <c r="H26" s="119" t="s">
        <v>771</v>
      </c>
      <c r="I26" s="119" t="s">
        <v>772</v>
      </c>
      <c r="J26" s="119" t="s">
        <v>773</v>
      </c>
      <c r="K26" s="119" t="s">
        <v>774</v>
      </c>
      <c r="L26" s="119" t="s">
        <v>775</v>
      </c>
      <c r="M26" s="119" t="s">
        <v>776</v>
      </c>
      <c r="N26" s="119" t="s">
        <v>777</v>
      </c>
      <c r="O26" s="119" t="s">
        <v>778</v>
      </c>
      <c r="P26" s="119" t="s">
        <v>873</v>
      </c>
      <c r="Q26" s="119" t="s">
        <v>795</v>
      </c>
      <c r="R26" s="119" t="s">
        <v>916</v>
      </c>
      <c r="S26" s="119" t="s">
        <v>775</v>
      </c>
      <c r="T26" s="121" t="s">
        <v>917</v>
      </c>
      <c r="U26" s="121" t="s">
        <v>918</v>
      </c>
      <c r="V26" s="121"/>
      <c r="W26" s="122" t="s">
        <v>782</v>
      </c>
      <c r="X26" s="122" t="s">
        <v>783</v>
      </c>
      <c r="Y26" s="122" t="s">
        <v>784</v>
      </c>
      <c r="Z26" s="123" t="s">
        <v>783</v>
      </c>
      <c r="AA26" s="123" t="s">
        <v>783</v>
      </c>
      <c r="AB26" s="123" t="s">
        <v>775</v>
      </c>
      <c r="AC26" s="123" t="s">
        <v>775</v>
      </c>
      <c r="AD26" s="123" t="s">
        <v>783</v>
      </c>
      <c r="AE26" s="123" t="s">
        <v>775</v>
      </c>
      <c r="AF26" s="123" t="s">
        <v>775</v>
      </c>
      <c r="AG26" s="123" t="s">
        <v>783</v>
      </c>
      <c r="AH26" s="123" t="s">
        <v>784</v>
      </c>
      <c r="AI26" s="123" t="s">
        <v>782</v>
      </c>
      <c r="AJ26" s="123" t="s">
        <v>782</v>
      </c>
      <c r="AK26" s="123" t="s">
        <v>784</v>
      </c>
      <c r="AL26" s="123" t="s">
        <v>784</v>
      </c>
      <c r="AM26" s="123"/>
      <c r="AN26" s="123"/>
      <c r="AO26" s="123"/>
      <c r="AP26" s="119"/>
      <c r="AQ26" s="119"/>
      <c r="AR26" s="119"/>
      <c r="AS26" s="119"/>
      <c r="AT26" s="119"/>
      <c r="AU26" s="119"/>
      <c r="AV26" s="119"/>
      <c r="AW26" s="119"/>
      <c r="AX26" s="119"/>
      <c r="AY26" s="119"/>
      <c r="AZ26" s="119"/>
      <c r="BA26" s="119"/>
      <c r="BB26" s="119" t="s">
        <v>919</v>
      </c>
      <c r="BC26" s="119" t="s">
        <v>920</v>
      </c>
      <c r="BD26" s="119"/>
      <c r="BE26" s="119"/>
      <c r="BF26" s="119"/>
      <c r="BG26" s="119">
        <f>sum(BG18:BG25)</f>
        <v>0</v>
      </c>
      <c r="BH26" s="119"/>
      <c r="BI26" s="119"/>
      <c r="BJ26" s="119"/>
      <c r="BK26" s="119"/>
      <c r="BL26" s="88"/>
      <c r="BM26" s="119"/>
      <c r="BN26" s="119"/>
    </row>
    <row r="27" ht="14.25" customHeight="1">
      <c r="A27" s="119" t="s">
        <v>140</v>
      </c>
      <c r="B27" s="119" t="s">
        <v>142</v>
      </c>
      <c r="C27" s="120" t="s">
        <v>141</v>
      </c>
      <c r="D27" s="119" t="s">
        <v>767</v>
      </c>
      <c r="E27" s="113"/>
      <c r="F27" s="119" t="s">
        <v>769</v>
      </c>
      <c r="G27" s="119" t="s">
        <v>860</v>
      </c>
      <c r="H27" s="119" t="s">
        <v>775</v>
      </c>
      <c r="I27" s="119" t="s">
        <v>785</v>
      </c>
      <c r="J27" s="119" t="s">
        <v>786</v>
      </c>
      <c r="K27" s="130" t="s">
        <v>921</v>
      </c>
      <c r="L27" s="119" t="s">
        <v>775</v>
      </c>
      <c r="M27" s="119"/>
      <c r="N27" s="119" t="s">
        <v>775</v>
      </c>
      <c r="O27" s="119" t="s">
        <v>922</v>
      </c>
      <c r="P27" s="119" t="s">
        <v>875</v>
      </c>
      <c r="Q27" s="119" t="s">
        <v>775</v>
      </c>
      <c r="R27" s="119" t="s">
        <v>775</v>
      </c>
      <c r="S27" s="119" t="s">
        <v>775</v>
      </c>
      <c r="T27" s="121" t="s">
        <v>923</v>
      </c>
      <c r="U27" s="121" t="s">
        <v>924</v>
      </c>
      <c r="V27" s="121"/>
      <c r="W27" s="122" t="s">
        <v>775</v>
      </c>
      <c r="X27" s="122" t="s">
        <v>775</v>
      </c>
      <c r="Y27" s="122" t="s">
        <v>775</v>
      </c>
      <c r="Z27" s="123" t="s">
        <v>775</v>
      </c>
      <c r="AA27" s="123" t="s">
        <v>775</v>
      </c>
      <c r="AB27" s="123" t="s">
        <v>775</v>
      </c>
      <c r="AC27" s="123" t="s">
        <v>775</v>
      </c>
      <c r="AD27" s="123" t="s">
        <v>775</v>
      </c>
      <c r="AE27" s="123" t="s">
        <v>775</v>
      </c>
      <c r="AF27" s="123" t="s">
        <v>775</v>
      </c>
      <c r="AG27" s="123" t="s">
        <v>775</v>
      </c>
      <c r="AH27" s="123" t="s">
        <v>775</v>
      </c>
      <c r="AI27" s="123" t="s">
        <v>775</v>
      </c>
      <c r="AJ27" s="123" t="s">
        <v>775</v>
      </c>
      <c r="AK27" s="123" t="s">
        <v>775</v>
      </c>
      <c r="AL27" s="123" t="s">
        <v>775</v>
      </c>
      <c r="AM27" s="123"/>
      <c r="AN27" s="123"/>
      <c r="AO27" s="123"/>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t="s">
        <v>817</v>
      </c>
      <c r="BM27" s="119"/>
      <c r="BN27" s="119"/>
    </row>
    <row r="28" ht="14.25" customHeight="1">
      <c r="A28" s="119" t="s">
        <v>98</v>
      </c>
      <c r="B28" s="119" t="s">
        <v>100</v>
      </c>
      <c r="C28" s="120" t="s">
        <v>99</v>
      </c>
      <c r="D28" s="119" t="s">
        <v>767</v>
      </c>
      <c r="E28" s="113"/>
      <c r="F28" s="119" t="s">
        <v>769</v>
      </c>
      <c r="G28" s="119" t="s">
        <v>860</v>
      </c>
      <c r="H28" s="119" t="s">
        <v>775</v>
      </c>
      <c r="I28" s="119" t="s">
        <v>785</v>
      </c>
      <c r="J28" s="119" t="s">
        <v>786</v>
      </c>
      <c r="K28" s="119" t="s">
        <v>846</v>
      </c>
      <c r="L28" s="119" t="s">
        <v>775</v>
      </c>
      <c r="M28" s="119"/>
      <c r="N28" s="119" t="s">
        <v>775</v>
      </c>
      <c r="O28" s="119" t="s">
        <v>925</v>
      </c>
      <c r="P28" s="119" t="s">
        <v>926</v>
      </c>
      <c r="Q28" s="119" t="s">
        <v>775</v>
      </c>
      <c r="R28" s="119" t="s">
        <v>775</v>
      </c>
      <c r="S28" s="119" t="s">
        <v>775</v>
      </c>
      <c r="T28" s="121" t="s">
        <v>927</v>
      </c>
      <c r="U28" s="121" t="s">
        <v>928</v>
      </c>
      <c r="V28" s="121"/>
      <c r="W28" s="122" t="s">
        <v>775</v>
      </c>
      <c r="X28" s="122" t="s">
        <v>775</v>
      </c>
      <c r="Y28" s="122" t="s">
        <v>775</v>
      </c>
      <c r="Z28" s="123" t="s">
        <v>775</v>
      </c>
      <c r="AA28" s="123" t="s">
        <v>775</v>
      </c>
      <c r="AB28" s="123" t="s">
        <v>775</v>
      </c>
      <c r="AC28" s="123" t="s">
        <v>775</v>
      </c>
      <c r="AD28" s="123" t="s">
        <v>775</v>
      </c>
      <c r="AE28" s="123" t="s">
        <v>775</v>
      </c>
      <c r="AF28" s="123" t="s">
        <v>775</v>
      </c>
      <c r="AG28" s="123" t="s">
        <v>775</v>
      </c>
      <c r="AH28" s="123" t="s">
        <v>775</v>
      </c>
      <c r="AI28" s="123" t="s">
        <v>775</v>
      </c>
      <c r="AJ28" s="123" t="s">
        <v>775</v>
      </c>
      <c r="AK28" s="123" t="s">
        <v>775</v>
      </c>
      <c r="AL28" s="123" t="s">
        <v>775</v>
      </c>
      <c r="AM28" s="123"/>
      <c r="AN28" s="123"/>
      <c r="AO28" s="123"/>
      <c r="AP28" s="119"/>
      <c r="AQ28" s="119"/>
      <c r="AR28" s="119"/>
      <c r="AS28" s="119"/>
      <c r="AT28" s="119"/>
      <c r="AU28" s="119"/>
      <c r="AV28" s="119"/>
      <c r="AW28" s="119"/>
      <c r="AX28" s="119"/>
      <c r="AY28" s="119"/>
      <c r="AZ28" s="119"/>
      <c r="BA28" s="119" t="s">
        <v>929</v>
      </c>
      <c r="BB28" s="119" t="s">
        <v>930</v>
      </c>
      <c r="BC28" s="119"/>
      <c r="BD28" s="119"/>
      <c r="BE28" s="119"/>
      <c r="BF28" s="119"/>
      <c r="BG28" s="119"/>
      <c r="BH28" s="119"/>
      <c r="BI28" s="119"/>
      <c r="BJ28" s="119"/>
      <c r="BK28" s="119"/>
      <c r="BL28" s="119" t="s">
        <v>833</v>
      </c>
      <c r="BM28" s="119"/>
      <c r="BN28" s="119"/>
    </row>
    <row r="29" ht="14.25" customHeight="1">
      <c r="A29" s="119" t="s">
        <v>143</v>
      </c>
      <c r="B29" s="119" t="s">
        <v>145</v>
      </c>
      <c r="C29" s="120" t="s">
        <v>144</v>
      </c>
      <c r="D29" s="119" t="s">
        <v>767</v>
      </c>
      <c r="E29" s="113"/>
      <c r="F29" s="119" t="s">
        <v>769</v>
      </c>
      <c r="G29" s="119" t="s">
        <v>860</v>
      </c>
      <c r="H29" s="119" t="s">
        <v>775</v>
      </c>
      <c r="I29" s="119" t="s">
        <v>785</v>
      </c>
      <c r="J29" s="119" t="s">
        <v>786</v>
      </c>
      <c r="K29" s="119" t="s">
        <v>846</v>
      </c>
      <c r="L29" s="119" t="s">
        <v>775</v>
      </c>
      <c r="M29" s="119"/>
      <c r="N29" s="119" t="s">
        <v>775</v>
      </c>
      <c r="O29" s="119" t="s">
        <v>925</v>
      </c>
      <c r="P29" s="119" t="s">
        <v>926</v>
      </c>
      <c r="Q29" s="119" t="s">
        <v>775</v>
      </c>
      <c r="R29" s="119" t="s">
        <v>775</v>
      </c>
      <c r="S29" s="119" t="s">
        <v>775</v>
      </c>
      <c r="T29" s="121" t="s">
        <v>931</v>
      </c>
      <c r="U29" s="121" t="s">
        <v>932</v>
      </c>
      <c r="V29" s="121"/>
      <c r="W29" s="122" t="s">
        <v>775</v>
      </c>
      <c r="X29" s="122" t="s">
        <v>775</v>
      </c>
      <c r="Y29" s="122" t="s">
        <v>775</v>
      </c>
      <c r="Z29" s="123" t="s">
        <v>775</v>
      </c>
      <c r="AA29" s="123" t="s">
        <v>775</v>
      </c>
      <c r="AB29" s="123" t="s">
        <v>775</v>
      </c>
      <c r="AC29" s="123" t="s">
        <v>775</v>
      </c>
      <c r="AD29" s="123" t="s">
        <v>775</v>
      </c>
      <c r="AE29" s="123" t="s">
        <v>775</v>
      </c>
      <c r="AF29" s="123" t="s">
        <v>775</v>
      </c>
      <c r="AG29" s="123" t="s">
        <v>775</v>
      </c>
      <c r="AH29" s="123" t="s">
        <v>775</v>
      </c>
      <c r="AI29" s="123" t="s">
        <v>775</v>
      </c>
      <c r="AJ29" s="123" t="s">
        <v>775</v>
      </c>
      <c r="AK29" s="123" t="s">
        <v>775</v>
      </c>
      <c r="AL29" s="123" t="s">
        <v>775</v>
      </c>
      <c r="AM29" s="123"/>
      <c r="AN29" s="123"/>
      <c r="AO29" s="123"/>
      <c r="AP29" s="119"/>
      <c r="AQ29" s="119"/>
      <c r="AR29" s="119"/>
      <c r="AS29" s="119"/>
      <c r="AT29" s="119"/>
      <c r="AU29" s="119"/>
      <c r="AV29" s="119"/>
      <c r="AW29" s="119"/>
      <c r="AX29" s="119"/>
      <c r="AY29" s="119"/>
      <c r="AZ29" s="119"/>
      <c r="BA29" s="119"/>
      <c r="BB29" s="119" t="s">
        <v>933</v>
      </c>
      <c r="BC29" s="119"/>
      <c r="BD29" s="119"/>
      <c r="BE29" s="119"/>
      <c r="BF29" s="119"/>
      <c r="BG29" s="119"/>
      <c r="BH29" s="119"/>
      <c r="BI29" s="119"/>
      <c r="BJ29" s="119"/>
      <c r="BK29" s="119"/>
      <c r="BL29" s="119" t="s">
        <v>813</v>
      </c>
      <c r="BM29" s="119"/>
      <c r="BN29" s="119"/>
    </row>
    <row r="30" ht="14.25" customHeight="1">
      <c r="A30" s="119" t="s">
        <v>368</v>
      </c>
      <c r="B30" s="119" t="s">
        <v>370</v>
      </c>
      <c r="C30" s="120" t="s">
        <v>369</v>
      </c>
      <c r="D30" s="119" t="s">
        <v>767</v>
      </c>
      <c r="E30" s="113" t="s">
        <v>768</v>
      </c>
      <c r="F30" s="119" t="s">
        <v>769</v>
      </c>
      <c r="G30" s="119" t="s">
        <v>770</v>
      </c>
      <c r="H30" s="119" t="s">
        <v>771</v>
      </c>
      <c r="I30" s="119" t="s">
        <v>772</v>
      </c>
      <c r="J30" s="119" t="s">
        <v>773</v>
      </c>
      <c r="K30" s="119" t="s">
        <v>774</v>
      </c>
      <c r="L30" s="119" t="s">
        <v>775</v>
      </c>
      <c r="M30" s="131" t="s">
        <v>776</v>
      </c>
      <c r="N30" s="119" t="s">
        <v>876</v>
      </c>
      <c r="O30" s="119" t="s">
        <v>882</v>
      </c>
      <c r="P30" s="119" t="s">
        <v>934</v>
      </c>
      <c r="Q30" s="119" t="s">
        <v>775</v>
      </c>
      <c r="R30" s="119" t="s">
        <v>775</v>
      </c>
      <c r="S30" s="119" t="s">
        <v>775</v>
      </c>
      <c r="T30" s="121" t="s">
        <v>935</v>
      </c>
      <c r="U30" s="121" t="s">
        <v>936</v>
      </c>
      <c r="V30" s="121"/>
      <c r="W30" s="122" t="s">
        <v>775</v>
      </c>
      <c r="X30" s="122" t="s">
        <v>783</v>
      </c>
      <c r="Y30" s="122" t="s">
        <v>775</v>
      </c>
      <c r="Z30" s="123" t="s">
        <v>783</v>
      </c>
      <c r="AA30" s="123" t="s">
        <v>783</v>
      </c>
      <c r="AB30" s="123" t="s">
        <v>775</v>
      </c>
      <c r="AC30" s="123" t="s">
        <v>775</v>
      </c>
      <c r="AD30" s="123" t="s">
        <v>783</v>
      </c>
      <c r="AE30" s="123" t="s">
        <v>775</v>
      </c>
      <c r="AF30" s="123" t="s">
        <v>775</v>
      </c>
      <c r="AG30" s="123" t="s">
        <v>783</v>
      </c>
      <c r="AH30" s="123" t="s">
        <v>783</v>
      </c>
      <c r="AI30" s="123" t="s">
        <v>775</v>
      </c>
      <c r="AJ30" s="123" t="s">
        <v>775</v>
      </c>
      <c r="AK30" s="123" t="s">
        <v>783</v>
      </c>
      <c r="AL30" s="123" t="s">
        <v>783</v>
      </c>
      <c r="AM30" s="123"/>
      <c r="AN30" s="123"/>
      <c r="AO30" s="123"/>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88"/>
      <c r="BM30" s="119"/>
      <c r="BN30" s="119"/>
    </row>
    <row r="31" ht="14.25" customHeight="1">
      <c r="A31" s="119" t="s">
        <v>158</v>
      </c>
      <c r="B31" s="119" t="s">
        <v>160</v>
      </c>
      <c r="C31" s="120" t="s">
        <v>159</v>
      </c>
      <c r="D31" s="119" t="s">
        <v>767</v>
      </c>
      <c r="E31" s="113"/>
      <c r="F31" s="119" t="s">
        <v>769</v>
      </c>
      <c r="G31" s="119" t="s">
        <v>860</v>
      </c>
      <c r="H31" s="119" t="s">
        <v>775</v>
      </c>
      <c r="I31" s="119" t="s">
        <v>785</v>
      </c>
      <c r="J31" s="119" t="s">
        <v>786</v>
      </c>
      <c r="K31" s="119" t="s">
        <v>921</v>
      </c>
      <c r="L31" s="119" t="s">
        <v>775</v>
      </c>
      <c r="M31" s="119"/>
      <c r="N31" s="119" t="s">
        <v>775</v>
      </c>
      <c r="O31" s="119" t="s">
        <v>937</v>
      </c>
      <c r="P31" s="119" t="s">
        <v>938</v>
      </c>
      <c r="Q31" s="119" t="s">
        <v>775</v>
      </c>
      <c r="R31" s="119" t="s">
        <v>775</v>
      </c>
      <c r="S31" s="119" t="s">
        <v>775</v>
      </c>
      <c r="T31" s="121" t="s">
        <v>939</v>
      </c>
      <c r="U31" s="121" t="s">
        <v>940</v>
      </c>
      <c r="V31" s="121"/>
      <c r="W31" s="122" t="s">
        <v>775</v>
      </c>
      <c r="X31" s="122" t="s">
        <v>775</v>
      </c>
      <c r="Y31" s="122" t="s">
        <v>775</v>
      </c>
      <c r="Z31" s="123" t="s">
        <v>775</v>
      </c>
      <c r="AA31" s="123" t="s">
        <v>775</v>
      </c>
      <c r="AB31" s="123" t="s">
        <v>775</v>
      </c>
      <c r="AC31" s="123" t="s">
        <v>775</v>
      </c>
      <c r="AD31" s="123" t="s">
        <v>775</v>
      </c>
      <c r="AE31" s="123" t="s">
        <v>775</v>
      </c>
      <c r="AF31" s="123" t="s">
        <v>775</v>
      </c>
      <c r="AG31" s="123" t="s">
        <v>775</v>
      </c>
      <c r="AH31" s="123" t="s">
        <v>775</v>
      </c>
      <c r="AI31" s="123" t="s">
        <v>775</v>
      </c>
      <c r="AJ31" s="123" t="s">
        <v>775</v>
      </c>
      <c r="AK31" s="123" t="s">
        <v>775</v>
      </c>
      <c r="AL31" s="123" t="s">
        <v>775</v>
      </c>
      <c r="AM31" s="123"/>
      <c r="AN31" s="123"/>
      <c r="AO31" s="123"/>
      <c r="AP31" s="119"/>
      <c r="AQ31" s="119"/>
      <c r="AR31" s="119"/>
      <c r="AS31" s="119"/>
      <c r="AT31" s="119"/>
      <c r="AU31" s="119"/>
      <c r="AV31" s="119"/>
      <c r="AW31" s="119"/>
      <c r="AX31" s="119"/>
      <c r="AY31" s="119"/>
      <c r="AZ31" s="119" t="s">
        <v>806</v>
      </c>
      <c r="BA31" s="119"/>
      <c r="BB31" s="119"/>
      <c r="BC31" s="119"/>
      <c r="BD31" s="119"/>
      <c r="BE31" s="119"/>
      <c r="BF31" s="119" t="s">
        <v>862</v>
      </c>
      <c r="BG31" s="119">
        <f>countif(tax.class,concatenate("*",BF31,"*"))</f>
        <v>5</v>
      </c>
      <c r="BH31" s="124" t="str">
        <f>BG31/BG33</f>
        <v>#DIV/0!</v>
      </c>
      <c r="BI31" s="124"/>
      <c r="BJ31" s="124"/>
      <c r="BK31" s="124"/>
      <c r="BL31" s="119" t="s">
        <v>864</v>
      </c>
      <c r="BM31" s="124"/>
      <c r="BN31" s="119"/>
    </row>
    <row r="32" ht="14.25" customHeight="1">
      <c r="A32" s="119" t="s">
        <v>227</v>
      </c>
      <c r="B32" s="119" t="s">
        <v>229</v>
      </c>
      <c r="C32" s="120" t="s">
        <v>228</v>
      </c>
      <c r="D32" s="119" t="s">
        <v>767</v>
      </c>
      <c r="E32" s="113" t="s">
        <v>768</v>
      </c>
      <c r="F32" s="119" t="s">
        <v>769</v>
      </c>
      <c r="G32" s="119" t="s">
        <v>770</v>
      </c>
      <c r="H32" s="119" t="s">
        <v>771</v>
      </c>
      <c r="I32" s="119" t="s">
        <v>772</v>
      </c>
      <c r="J32" s="119" t="s">
        <v>773</v>
      </c>
      <c r="K32" s="119" t="s">
        <v>774</v>
      </c>
      <c r="L32" s="119" t="s">
        <v>775</v>
      </c>
      <c r="M32" s="119" t="s">
        <v>776</v>
      </c>
      <c r="N32" s="119" t="s">
        <v>804</v>
      </c>
      <c r="O32" s="119" t="s">
        <v>941</v>
      </c>
      <c r="P32" s="119" t="s">
        <v>942</v>
      </c>
      <c r="Q32" s="119" t="s">
        <v>775</v>
      </c>
      <c r="R32" s="119" t="s">
        <v>943</v>
      </c>
      <c r="S32" s="119" t="s">
        <v>775</v>
      </c>
      <c r="T32" s="121" t="s">
        <v>944</v>
      </c>
      <c r="U32" s="121" t="s">
        <v>945</v>
      </c>
      <c r="V32" s="121"/>
      <c r="W32" s="122" t="s">
        <v>775</v>
      </c>
      <c r="X32" s="122" t="s">
        <v>783</v>
      </c>
      <c r="Y32" s="122" t="s">
        <v>775</v>
      </c>
      <c r="Z32" s="123" t="s">
        <v>784</v>
      </c>
      <c r="AA32" s="123" t="s">
        <v>775</v>
      </c>
      <c r="AB32" s="123" t="s">
        <v>775</v>
      </c>
      <c r="AC32" s="123" t="s">
        <v>775</v>
      </c>
      <c r="AD32" s="123" t="s">
        <v>783</v>
      </c>
      <c r="AE32" s="123" t="s">
        <v>775</v>
      </c>
      <c r="AF32" s="123" t="s">
        <v>775</v>
      </c>
      <c r="AG32" s="123" t="s">
        <v>783</v>
      </c>
      <c r="AH32" s="123" t="s">
        <v>783</v>
      </c>
      <c r="AI32" s="123" t="s">
        <v>775</v>
      </c>
      <c r="AJ32" s="123" t="s">
        <v>775</v>
      </c>
      <c r="AK32" s="123" t="s">
        <v>783</v>
      </c>
      <c r="AL32" s="123" t="s">
        <v>803</v>
      </c>
      <c r="AM32" s="123"/>
      <c r="AN32" s="123"/>
      <c r="AO32" s="123"/>
      <c r="AP32" s="119"/>
      <c r="AQ32" s="119"/>
      <c r="AR32" s="119"/>
      <c r="AS32" s="119"/>
      <c r="AT32" s="119"/>
      <c r="AU32" s="119"/>
      <c r="AV32" s="119"/>
      <c r="AW32" s="119"/>
      <c r="AX32" s="119"/>
      <c r="AY32" s="119"/>
      <c r="AZ32" s="119"/>
      <c r="BA32" s="119"/>
      <c r="BB32" s="119" t="s">
        <v>946</v>
      </c>
      <c r="BC32" s="119"/>
      <c r="BD32" s="119"/>
      <c r="BE32" s="119"/>
      <c r="BF32" s="119"/>
      <c r="BG32" s="119"/>
      <c r="BH32" s="119"/>
      <c r="BI32" s="119"/>
      <c r="BJ32" s="119"/>
      <c r="BK32" s="119"/>
      <c r="BL32" s="88"/>
      <c r="BM32" s="119"/>
      <c r="BN32" s="119"/>
    </row>
    <row r="33" ht="14.25" customHeight="1">
      <c r="A33" s="119" t="s">
        <v>161</v>
      </c>
      <c r="B33" s="119" t="s">
        <v>163</v>
      </c>
      <c r="C33" s="120" t="s">
        <v>162</v>
      </c>
      <c r="D33" s="119" t="s">
        <v>767</v>
      </c>
      <c r="E33" s="113" t="s">
        <v>768</v>
      </c>
      <c r="F33" s="119" t="s">
        <v>769</v>
      </c>
      <c r="G33" s="119" t="s">
        <v>770</v>
      </c>
      <c r="H33" s="119" t="s">
        <v>771</v>
      </c>
      <c r="I33" s="119" t="s">
        <v>772</v>
      </c>
      <c r="J33" s="119" t="s">
        <v>773</v>
      </c>
      <c r="K33" s="119" t="s">
        <v>774</v>
      </c>
      <c r="L33" s="126" t="s">
        <v>775</v>
      </c>
      <c r="M33" s="119" t="s">
        <v>776</v>
      </c>
      <c r="N33" s="119" t="s">
        <v>876</v>
      </c>
      <c r="O33" s="119" t="s">
        <v>947</v>
      </c>
      <c r="P33" s="119" t="s">
        <v>825</v>
      </c>
      <c r="Q33" s="119" t="s">
        <v>775</v>
      </c>
      <c r="R33" s="119" t="s">
        <v>948</v>
      </c>
      <c r="S33" s="119" t="s">
        <v>775</v>
      </c>
      <c r="T33" s="125" t="s">
        <v>949</v>
      </c>
      <c r="U33" s="121" t="s">
        <v>950</v>
      </c>
      <c r="V33" s="121"/>
      <c r="W33" s="122" t="s">
        <v>951</v>
      </c>
      <c r="X33" s="122" t="s">
        <v>783</v>
      </c>
      <c r="Y33" s="122" t="s">
        <v>782</v>
      </c>
      <c r="Z33" s="123" t="s">
        <v>775</v>
      </c>
      <c r="AA33" s="123" t="s">
        <v>782</v>
      </c>
      <c r="AB33" s="123" t="s">
        <v>782</v>
      </c>
      <c r="AC33" s="123" t="s">
        <v>775</v>
      </c>
      <c r="AD33" s="123" t="s">
        <v>783</v>
      </c>
      <c r="AE33" s="123" t="s">
        <v>775</v>
      </c>
      <c r="AF33" s="123" t="s">
        <v>775</v>
      </c>
      <c r="AG33" s="123" t="s">
        <v>783</v>
      </c>
      <c r="AH33" s="123" t="s">
        <v>784</v>
      </c>
      <c r="AI33" s="123" t="s">
        <v>782</v>
      </c>
      <c r="AJ33" s="123" t="s">
        <v>775</v>
      </c>
      <c r="AK33" s="123" t="s">
        <v>784</v>
      </c>
      <c r="AL33" s="123" t="s">
        <v>784</v>
      </c>
      <c r="AM33" s="123"/>
      <c r="AN33" s="123"/>
      <c r="AO33" s="123"/>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88"/>
      <c r="BM33" s="119"/>
      <c r="BN33" s="119"/>
    </row>
    <row r="34" ht="14.25" customHeight="1">
      <c r="A34" s="119" t="s">
        <v>164</v>
      </c>
      <c r="B34" s="119" t="s">
        <v>166</v>
      </c>
      <c r="C34" s="120" t="s">
        <v>165</v>
      </c>
      <c r="D34" s="119" t="s">
        <v>767</v>
      </c>
      <c r="E34" s="113" t="s">
        <v>768</v>
      </c>
      <c r="F34" s="119" t="s">
        <v>769</v>
      </c>
      <c r="G34" s="119" t="s">
        <v>770</v>
      </c>
      <c r="H34" s="119" t="s">
        <v>771</v>
      </c>
      <c r="I34" s="119" t="s">
        <v>772</v>
      </c>
      <c r="J34" s="119" t="s">
        <v>773</v>
      </c>
      <c r="K34" s="119" t="s">
        <v>774</v>
      </c>
      <c r="L34" s="126" t="s">
        <v>775</v>
      </c>
      <c r="M34" s="119" t="s">
        <v>776</v>
      </c>
      <c r="N34" s="119" t="s">
        <v>876</v>
      </c>
      <c r="O34" s="119" t="s">
        <v>947</v>
      </c>
      <c r="P34" s="119" t="s">
        <v>825</v>
      </c>
      <c r="Q34" s="119" t="s">
        <v>775</v>
      </c>
      <c r="R34" s="119" t="s">
        <v>948</v>
      </c>
      <c r="S34" s="119" t="s">
        <v>775</v>
      </c>
      <c r="T34" s="125" t="s">
        <v>949</v>
      </c>
      <c r="U34" s="121" t="s">
        <v>913</v>
      </c>
      <c r="V34" s="121"/>
      <c r="W34" s="122" t="s">
        <v>951</v>
      </c>
      <c r="X34" s="122" t="s">
        <v>783</v>
      </c>
      <c r="Y34" s="122" t="s">
        <v>782</v>
      </c>
      <c r="Z34" s="123" t="s">
        <v>775</v>
      </c>
      <c r="AA34" s="123" t="s">
        <v>775</v>
      </c>
      <c r="AB34" s="123" t="s">
        <v>775</v>
      </c>
      <c r="AC34" s="123" t="s">
        <v>775</v>
      </c>
      <c r="AD34" s="123" t="s">
        <v>783</v>
      </c>
      <c r="AE34" s="123" t="s">
        <v>775</v>
      </c>
      <c r="AF34" s="123" t="s">
        <v>775</v>
      </c>
      <c r="AG34" s="123" t="s">
        <v>783</v>
      </c>
      <c r="AH34" s="123" t="s">
        <v>784</v>
      </c>
      <c r="AI34" s="123" t="s">
        <v>775</v>
      </c>
      <c r="AJ34" s="123" t="s">
        <v>775</v>
      </c>
      <c r="AK34" s="123" t="s">
        <v>783</v>
      </c>
      <c r="AL34" s="123" t="s">
        <v>784</v>
      </c>
      <c r="AM34" s="123"/>
      <c r="AN34" s="123"/>
      <c r="AO34" s="123"/>
      <c r="AP34" s="119"/>
      <c r="AQ34" s="119"/>
      <c r="AR34" s="119"/>
      <c r="AS34" s="119"/>
      <c r="AT34" s="119"/>
      <c r="AU34" s="119"/>
      <c r="AV34" s="119"/>
      <c r="AW34" s="119"/>
      <c r="AX34" s="119"/>
      <c r="AY34" s="119"/>
      <c r="AZ34" s="119" t="s">
        <v>906</v>
      </c>
      <c r="BA34" s="119"/>
      <c r="BB34" s="119"/>
      <c r="BC34" s="119"/>
      <c r="BD34" s="119"/>
      <c r="BE34" s="119"/>
      <c r="BF34" s="119"/>
      <c r="BG34" s="119"/>
      <c r="BH34" s="119"/>
      <c r="BI34" s="119"/>
      <c r="BJ34" s="119"/>
      <c r="BK34" s="119"/>
      <c r="BL34" s="88"/>
      <c r="BM34" s="119"/>
      <c r="BN34" s="119"/>
    </row>
    <row r="35" ht="14.25" customHeight="1">
      <c r="A35" s="119" t="s">
        <v>167</v>
      </c>
      <c r="B35" s="119" t="s">
        <v>169</v>
      </c>
      <c r="C35" s="120" t="s">
        <v>168</v>
      </c>
      <c r="D35" s="119" t="s">
        <v>767</v>
      </c>
      <c r="E35" s="113" t="s">
        <v>768</v>
      </c>
      <c r="F35" s="119" t="s">
        <v>769</v>
      </c>
      <c r="G35" s="119" t="s">
        <v>770</v>
      </c>
      <c r="H35" s="119" t="s">
        <v>771</v>
      </c>
      <c r="I35" s="119" t="s">
        <v>772</v>
      </c>
      <c r="J35" s="119" t="s">
        <v>773</v>
      </c>
      <c r="K35" s="119" t="s">
        <v>774</v>
      </c>
      <c r="L35" s="126" t="s">
        <v>775</v>
      </c>
      <c r="M35" s="119" t="s">
        <v>776</v>
      </c>
      <c r="N35" s="119" t="s">
        <v>876</v>
      </c>
      <c r="O35" s="119" t="s">
        <v>947</v>
      </c>
      <c r="P35" s="119" t="s">
        <v>825</v>
      </c>
      <c r="Q35" s="119" t="s">
        <v>775</v>
      </c>
      <c r="R35" s="119" t="s">
        <v>952</v>
      </c>
      <c r="S35" s="119" t="s">
        <v>775</v>
      </c>
      <c r="T35" s="121" t="s">
        <v>953</v>
      </c>
      <c r="U35" s="121" t="s">
        <v>954</v>
      </c>
      <c r="V35" s="121"/>
      <c r="W35" s="122" t="s">
        <v>775</v>
      </c>
      <c r="X35" s="122" t="s">
        <v>783</v>
      </c>
      <c r="Y35" s="122" t="s">
        <v>775</v>
      </c>
      <c r="Z35" s="123" t="s">
        <v>775</v>
      </c>
      <c r="AA35" s="123" t="s">
        <v>775</v>
      </c>
      <c r="AB35" s="123" t="s">
        <v>775</v>
      </c>
      <c r="AC35" s="123" t="s">
        <v>775</v>
      </c>
      <c r="AD35" s="123" t="s">
        <v>783</v>
      </c>
      <c r="AE35" s="123" t="s">
        <v>775</v>
      </c>
      <c r="AF35" s="123" t="s">
        <v>775</v>
      </c>
      <c r="AG35" s="123" t="s">
        <v>783</v>
      </c>
      <c r="AH35" s="123" t="s">
        <v>784</v>
      </c>
      <c r="AI35" s="123" t="s">
        <v>775</v>
      </c>
      <c r="AJ35" s="123" t="s">
        <v>775</v>
      </c>
      <c r="AK35" s="123" t="s">
        <v>783</v>
      </c>
      <c r="AL35" s="123" t="s">
        <v>784</v>
      </c>
      <c r="AM35" s="123"/>
      <c r="AN35" s="123"/>
      <c r="AO35" s="123"/>
      <c r="AP35" s="119"/>
      <c r="AQ35" s="119"/>
      <c r="AR35" s="119"/>
      <c r="AS35" s="119"/>
      <c r="AT35" s="119"/>
      <c r="AU35" s="119"/>
      <c r="AV35" s="119"/>
      <c r="AW35" s="119"/>
      <c r="AX35" s="119"/>
      <c r="AY35" s="119" t="s">
        <v>805</v>
      </c>
      <c r="AZ35" s="119" t="s">
        <v>878</v>
      </c>
      <c r="BA35" s="119"/>
      <c r="BB35" s="119"/>
      <c r="BC35" s="119"/>
      <c r="BD35" s="119"/>
      <c r="BE35" s="119"/>
      <c r="BF35" s="119"/>
      <c r="BG35" s="119"/>
      <c r="BH35" s="119"/>
      <c r="BI35" s="119"/>
      <c r="BJ35" s="119"/>
      <c r="BK35" s="119"/>
      <c r="BL35" s="88"/>
      <c r="BM35" s="119"/>
      <c r="BN35" s="119"/>
    </row>
    <row r="36" ht="14.25" customHeight="1">
      <c r="A36" s="119" t="s">
        <v>170</v>
      </c>
      <c r="B36" s="119" t="s">
        <v>172</v>
      </c>
      <c r="C36" s="120" t="s">
        <v>171</v>
      </c>
      <c r="D36" s="119" t="s">
        <v>767</v>
      </c>
      <c r="E36" s="113" t="s">
        <v>768</v>
      </c>
      <c r="F36" s="119" t="s">
        <v>769</v>
      </c>
      <c r="G36" s="119" t="s">
        <v>770</v>
      </c>
      <c r="H36" s="119" t="s">
        <v>771</v>
      </c>
      <c r="I36" s="119" t="s">
        <v>772</v>
      </c>
      <c r="J36" s="119" t="s">
        <v>773</v>
      </c>
      <c r="K36" s="119" t="s">
        <v>774</v>
      </c>
      <c r="L36" s="126" t="s">
        <v>775</v>
      </c>
      <c r="M36" s="119" t="s">
        <v>776</v>
      </c>
      <c r="N36" s="119" t="s">
        <v>876</v>
      </c>
      <c r="O36" s="119" t="s">
        <v>947</v>
      </c>
      <c r="P36" s="119" t="s">
        <v>825</v>
      </c>
      <c r="Q36" s="119" t="s">
        <v>775</v>
      </c>
      <c r="R36" s="119" t="s">
        <v>952</v>
      </c>
      <c r="S36" s="119" t="s">
        <v>775</v>
      </c>
      <c r="T36" s="121" t="s">
        <v>953</v>
      </c>
      <c r="U36" s="121" t="s">
        <v>955</v>
      </c>
      <c r="V36" s="121"/>
      <c r="W36" s="122" t="s">
        <v>782</v>
      </c>
      <c r="X36" s="122" t="s">
        <v>783</v>
      </c>
      <c r="Y36" s="122" t="s">
        <v>775</v>
      </c>
      <c r="Z36" s="123" t="s">
        <v>775</v>
      </c>
      <c r="AA36" s="123" t="s">
        <v>775</v>
      </c>
      <c r="AB36" s="123" t="s">
        <v>775</v>
      </c>
      <c r="AC36" s="123" t="s">
        <v>775</v>
      </c>
      <c r="AD36" s="123" t="s">
        <v>783</v>
      </c>
      <c r="AE36" s="123" t="s">
        <v>775</v>
      </c>
      <c r="AF36" s="123" t="s">
        <v>775</v>
      </c>
      <c r="AG36" s="123" t="s">
        <v>783</v>
      </c>
      <c r="AH36" s="123" t="s">
        <v>783</v>
      </c>
      <c r="AI36" s="123" t="s">
        <v>775</v>
      </c>
      <c r="AJ36" s="123" t="s">
        <v>775</v>
      </c>
      <c r="AK36" s="123" t="s">
        <v>783</v>
      </c>
      <c r="AL36" s="123" t="s">
        <v>783</v>
      </c>
      <c r="AM36" s="123"/>
      <c r="AN36" s="123"/>
      <c r="AO36" s="123"/>
      <c r="AP36" s="119"/>
      <c r="AQ36" s="119"/>
      <c r="AR36" s="119"/>
      <c r="AS36" s="119"/>
      <c r="AT36" s="119"/>
      <c r="AU36" s="119"/>
      <c r="AV36" s="119"/>
      <c r="AW36" s="119"/>
      <c r="AX36" s="119"/>
      <c r="AY36" s="119" t="s">
        <v>863</v>
      </c>
      <c r="AZ36" s="119" t="s">
        <v>934</v>
      </c>
      <c r="BA36" s="119" t="s">
        <v>807</v>
      </c>
      <c r="BB36" s="119" t="s">
        <v>948</v>
      </c>
      <c r="BC36" s="119"/>
      <c r="BD36" s="119"/>
      <c r="BE36" s="119"/>
      <c r="BF36" s="119"/>
      <c r="BG36" s="119"/>
      <c r="BH36" s="119"/>
      <c r="BI36" s="119"/>
      <c r="BJ36" s="119"/>
      <c r="BK36" s="119"/>
      <c r="BL36" s="88"/>
      <c r="BM36" s="119"/>
      <c r="BN36" s="119"/>
    </row>
    <row r="37" ht="14.25" customHeight="1">
      <c r="A37" s="119" t="s">
        <v>173</v>
      </c>
      <c r="B37" s="119" t="s">
        <v>175</v>
      </c>
      <c r="C37" s="120" t="s">
        <v>956</v>
      </c>
      <c r="D37" s="119" t="s">
        <v>767</v>
      </c>
      <c r="E37" s="113" t="s">
        <v>768</v>
      </c>
      <c r="F37" s="119" t="s">
        <v>769</v>
      </c>
      <c r="G37" s="119" t="s">
        <v>770</v>
      </c>
      <c r="H37" s="119" t="s">
        <v>771</v>
      </c>
      <c r="I37" s="119" t="s">
        <v>772</v>
      </c>
      <c r="J37" s="119" t="s">
        <v>773</v>
      </c>
      <c r="K37" s="119" t="s">
        <v>774</v>
      </c>
      <c r="L37" s="126" t="s">
        <v>775</v>
      </c>
      <c r="M37" s="119" t="s">
        <v>776</v>
      </c>
      <c r="N37" s="119" t="s">
        <v>876</v>
      </c>
      <c r="O37" s="119" t="s">
        <v>947</v>
      </c>
      <c r="P37" s="119" t="s">
        <v>825</v>
      </c>
      <c r="Q37" s="119" t="s">
        <v>775</v>
      </c>
      <c r="R37" s="119" t="s">
        <v>952</v>
      </c>
      <c r="S37" s="119" t="s">
        <v>775</v>
      </c>
      <c r="T37" s="121" t="s">
        <v>953</v>
      </c>
      <c r="U37" s="121" t="s">
        <v>957</v>
      </c>
      <c r="V37" s="121" t="s">
        <v>957</v>
      </c>
      <c r="W37" s="122" t="s">
        <v>782</v>
      </c>
      <c r="X37" s="122" t="s">
        <v>783</v>
      </c>
      <c r="Y37" s="122" t="s">
        <v>782</v>
      </c>
      <c r="Z37" s="123" t="s">
        <v>775</v>
      </c>
      <c r="AA37" s="123" t="s">
        <v>775</v>
      </c>
      <c r="AB37" s="123" t="s">
        <v>775</v>
      </c>
      <c r="AC37" s="123" t="s">
        <v>775</v>
      </c>
      <c r="AD37" s="123" t="s">
        <v>783</v>
      </c>
      <c r="AE37" s="123" t="s">
        <v>775</v>
      </c>
      <c r="AF37" s="123" t="s">
        <v>775</v>
      </c>
      <c r="AG37" s="123" t="s">
        <v>783</v>
      </c>
      <c r="AH37" s="123" t="s">
        <v>784</v>
      </c>
      <c r="AI37" s="123" t="s">
        <v>782</v>
      </c>
      <c r="AJ37" s="123" t="s">
        <v>775</v>
      </c>
      <c r="AK37" s="123" t="s">
        <v>783</v>
      </c>
      <c r="AL37" s="123" t="s">
        <v>784</v>
      </c>
      <c r="AM37" s="123"/>
      <c r="AN37" s="123"/>
      <c r="AO37" s="123"/>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88"/>
      <c r="BM37" s="119"/>
      <c r="BN37" s="119"/>
    </row>
    <row r="38" ht="14.25" customHeight="1">
      <c r="A38" s="119" t="s">
        <v>259</v>
      </c>
      <c r="B38" s="119" t="s">
        <v>261</v>
      </c>
      <c r="C38" s="120" t="s">
        <v>260</v>
      </c>
      <c r="D38" s="119" t="s">
        <v>767</v>
      </c>
      <c r="E38" s="113" t="s">
        <v>768</v>
      </c>
      <c r="F38" s="119" t="s">
        <v>769</v>
      </c>
      <c r="G38" s="119" t="s">
        <v>770</v>
      </c>
      <c r="H38" s="119" t="s">
        <v>771</v>
      </c>
      <c r="I38" s="119" t="s">
        <v>772</v>
      </c>
      <c r="J38" s="119" t="s">
        <v>773</v>
      </c>
      <c r="K38" s="119" t="s">
        <v>774</v>
      </c>
      <c r="L38" s="119" t="s">
        <v>775</v>
      </c>
      <c r="M38" s="119" t="s">
        <v>776</v>
      </c>
      <c r="N38" s="119" t="s">
        <v>876</v>
      </c>
      <c r="O38" s="119" t="s">
        <v>947</v>
      </c>
      <c r="P38" s="119" t="s">
        <v>825</v>
      </c>
      <c r="Q38" s="119" t="s">
        <v>775</v>
      </c>
      <c r="R38" s="119" t="s">
        <v>958</v>
      </c>
      <c r="S38" s="119" t="s">
        <v>775</v>
      </c>
      <c r="T38" s="125" t="s">
        <v>959</v>
      </c>
      <c r="U38" s="121" t="s">
        <v>960</v>
      </c>
      <c r="V38" s="121"/>
      <c r="W38" s="122" t="s">
        <v>775</v>
      </c>
      <c r="X38" s="122" t="s">
        <v>783</v>
      </c>
      <c r="Y38" s="122" t="s">
        <v>782</v>
      </c>
      <c r="Z38" s="123" t="s">
        <v>951</v>
      </c>
      <c r="AA38" s="123" t="s">
        <v>782</v>
      </c>
      <c r="AB38" s="123" t="s">
        <v>775</v>
      </c>
      <c r="AC38" s="123" t="s">
        <v>775</v>
      </c>
      <c r="AD38" s="123" t="s">
        <v>775</v>
      </c>
      <c r="AE38" s="123" t="s">
        <v>775</v>
      </c>
      <c r="AF38" s="123" t="s">
        <v>775</v>
      </c>
      <c r="AG38" s="123" t="s">
        <v>783</v>
      </c>
      <c r="AH38" s="123" t="s">
        <v>784</v>
      </c>
      <c r="AI38" s="123" t="s">
        <v>951</v>
      </c>
      <c r="AJ38" s="123" t="s">
        <v>775</v>
      </c>
      <c r="AK38" s="123" t="s">
        <v>784</v>
      </c>
      <c r="AL38" s="123" t="s">
        <v>782</v>
      </c>
      <c r="AM38" s="123"/>
      <c r="AN38" s="123"/>
      <c r="AO38" s="123"/>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88"/>
      <c r="BM38" s="119"/>
      <c r="BN38" s="119"/>
    </row>
    <row r="39" ht="14.25" customHeight="1">
      <c r="A39" s="119" t="s">
        <v>176</v>
      </c>
      <c r="B39" s="119" t="s">
        <v>178</v>
      </c>
      <c r="C39" s="120" t="s">
        <v>177</v>
      </c>
      <c r="D39" s="119" t="s">
        <v>767</v>
      </c>
      <c r="E39" s="113"/>
      <c r="F39" s="119" t="s">
        <v>903</v>
      </c>
      <c r="G39" s="130" t="s">
        <v>961</v>
      </c>
      <c r="H39" s="119" t="s">
        <v>775</v>
      </c>
      <c r="I39" s="119" t="s">
        <v>962</v>
      </c>
      <c r="J39" s="119" t="s">
        <v>963</v>
      </c>
      <c r="K39" s="119" t="s">
        <v>868</v>
      </c>
      <c r="L39" s="119" t="s">
        <v>775</v>
      </c>
      <c r="M39" s="119"/>
      <c r="N39" s="119" t="s">
        <v>775</v>
      </c>
      <c r="O39" s="119" t="s">
        <v>964</v>
      </c>
      <c r="P39" s="119" t="s">
        <v>831</v>
      </c>
      <c r="Q39" s="119" t="s">
        <v>775</v>
      </c>
      <c r="R39" s="119" t="s">
        <v>775</v>
      </c>
      <c r="S39" s="119" t="s">
        <v>775</v>
      </c>
      <c r="T39" s="121" t="s">
        <v>965</v>
      </c>
      <c r="U39" s="121" t="s">
        <v>966</v>
      </c>
      <c r="V39" s="121"/>
      <c r="W39" s="122" t="s">
        <v>775</v>
      </c>
      <c r="X39" s="122" t="s">
        <v>775</v>
      </c>
      <c r="Y39" s="122" t="s">
        <v>775</v>
      </c>
      <c r="Z39" s="123" t="s">
        <v>775</v>
      </c>
      <c r="AA39" s="123" t="s">
        <v>775</v>
      </c>
      <c r="AB39" s="123" t="s">
        <v>775</v>
      </c>
      <c r="AC39" s="123" t="s">
        <v>775</v>
      </c>
      <c r="AD39" s="123" t="s">
        <v>775</v>
      </c>
      <c r="AE39" s="123" t="s">
        <v>775</v>
      </c>
      <c r="AF39" s="123" t="s">
        <v>775</v>
      </c>
      <c r="AG39" s="123" t="s">
        <v>775</v>
      </c>
      <c r="AH39" s="123" t="s">
        <v>775</v>
      </c>
      <c r="AI39" s="123" t="s">
        <v>775</v>
      </c>
      <c r="AJ39" s="123" t="s">
        <v>775</v>
      </c>
      <c r="AK39" s="123" t="s">
        <v>775</v>
      </c>
      <c r="AL39" s="123" t="s">
        <v>775</v>
      </c>
      <c r="AM39" s="123"/>
      <c r="AN39" s="123"/>
      <c r="AO39" s="123"/>
      <c r="AP39" s="119"/>
      <c r="AQ39" s="119"/>
      <c r="AR39" s="119"/>
      <c r="AS39" s="119"/>
      <c r="AT39" s="119"/>
      <c r="AU39" s="119"/>
      <c r="AV39" s="119"/>
      <c r="AW39" s="119"/>
      <c r="AX39" s="119"/>
      <c r="AY39" s="119"/>
      <c r="AZ39" s="119" t="s">
        <v>817</v>
      </c>
      <c r="BA39" s="119"/>
      <c r="BB39" s="119"/>
      <c r="BC39" s="119"/>
      <c r="BD39" s="119"/>
      <c r="BE39" s="119"/>
      <c r="BF39" s="119"/>
      <c r="BG39" s="119"/>
      <c r="BH39" s="119"/>
      <c r="BI39" s="119"/>
      <c r="BJ39" s="119"/>
      <c r="BK39" s="119"/>
      <c r="BL39" s="119" t="s">
        <v>779</v>
      </c>
      <c r="BM39" s="119"/>
      <c r="BN39" s="119"/>
    </row>
    <row r="40" ht="14.25" customHeight="1">
      <c r="A40" s="119" t="s">
        <v>203</v>
      </c>
      <c r="B40" s="119" t="s">
        <v>205</v>
      </c>
      <c r="C40" s="120" t="s">
        <v>204</v>
      </c>
      <c r="D40" s="119" t="s">
        <v>767</v>
      </c>
      <c r="E40" s="113"/>
      <c r="F40" s="119" t="s">
        <v>903</v>
      </c>
      <c r="G40" s="119" t="s">
        <v>961</v>
      </c>
      <c r="H40" s="119" t="s">
        <v>775</v>
      </c>
      <c r="I40" s="119" t="s">
        <v>962</v>
      </c>
      <c r="J40" s="119" t="s">
        <v>963</v>
      </c>
      <c r="K40" s="119" t="s">
        <v>868</v>
      </c>
      <c r="L40" s="119" t="s">
        <v>775</v>
      </c>
      <c r="M40" s="119"/>
      <c r="N40" s="119" t="s">
        <v>775</v>
      </c>
      <c r="O40" s="119" t="s">
        <v>964</v>
      </c>
      <c r="P40" s="119" t="s">
        <v>831</v>
      </c>
      <c r="Q40" s="119" t="s">
        <v>775</v>
      </c>
      <c r="R40" s="119" t="s">
        <v>775</v>
      </c>
      <c r="S40" s="119" t="s">
        <v>775</v>
      </c>
      <c r="T40" s="121" t="s">
        <v>967</v>
      </c>
      <c r="U40" s="121" t="s">
        <v>968</v>
      </c>
      <c r="V40" s="121"/>
      <c r="W40" s="122" t="s">
        <v>775</v>
      </c>
      <c r="X40" s="122" t="s">
        <v>775</v>
      </c>
      <c r="Y40" s="122" t="s">
        <v>775</v>
      </c>
      <c r="Z40" s="123" t="s">
        <v>775</v>
      </c>
      <c r="AA40" s="123" t="s">
        <v>775</v>
      </c>
      <c r="AB40" s="123" t="s">
        <v>775</v>
      </c>
      <c r="AC40" s="123" t="s">
        <v>775</v>
      </c>
      <c r="AD40" s="123" t="s">
        <v>775</v>
      </c>
      <c r="AE40" s="123" t="s">
        <v>775</v>
      </c>
      <c r="AF40" s="123" t="s">
        <v>775</v>
      </c>
      <c r="AG40" s="123" t="s">
        <v>775</v>
      </c>
      <c r="AH40" s="123" t="s">
        <v>775</v>
      </c>
      <c r="AI40" s="123" t="s">
        <v>775</v>
      </c>
      <c r="AJ40" s="123" t="s">
        <v>775</v>
      </c>
      <c r="AK40" s="123" t="s">
        <v>775</v>
      </c>
      <c r="AL40" s="123" t="s">
        <v>775</v>
      </c>
      <c r="AM40" s="123"/>
      <c r="AN40" s="123"/>
      <c r="AO40" s="123"/>
      <c r="AP40" s="119"/>
      <c r="AQ40" s="119"/>
      <c r="AR40" s="119"/>
      <c r="AS40" s="119"/>
      <c r="AT40" s="119"/>
      <c r="AU40" s="119"/>
      <c r="AV40" s="119"/>
      <c r="AW40" s="119"/>
      <c r="AX40" s="119"/>
      <c r="AY40" s="119"/>
      <c r="AZ40" s="119"/>
      <c r="BA40" s="119"/>
      <c r="BB40" s="119"/>
      <c r="BC40" s="119"/>
      <c r="BD40" s="119"/>
      <c r="BE40" s="119"/>
      <c r="BF40" s="119" t="s">
        <v>921</v>
      </c>
      <c r="BG40" s="119">
        <f>countif(tax.class,concatenate("*",BF40,"*"))</f>
        <v>4</v>
      </c>
      <c r="BH40" s="124" t="str">
        <f>BG40/BG46</f>
        <v>#DIV/0!</v>
      </c>
      <c r="BI40" s="129" t="s">
        <v>969</v>
      </c>
      <c r="BJ40" s="124" t="str">
        <f>BH39</f>
        <v/>
      </c>
      <c r="BK40" s="124"/>
      <c r="BL40" s="119" t="s">
        <v>790</v>
      </c>
      <c r="BM40" s="124"/>
      <c r="BN40" s="119"/>
    </row>
    <row r="41" ht="14.25" customHeight="1">
      <c r="A41" s="119" t="s">
        <v>224</v>
      </c>
      <c r="B41" s="119" t="s">
        <v>226</v>
      </c>
      <c r="C41" s="120" t="s">
        <v>225</v>
      </c>
      <c r="D41" s="119" t="s">
        <v>767</v>
      </c>
      <c r="E41" s="113" t="s">
        <v>768</v>
      </c>
      <c r="F41" s="119" t="s">
        <v>769</v>
      </c>
      <c r="G41" s="119" t="s">
        <v>770</v>
      </c>
      <c r="H41" s="119" t="s">
        <v>771</v>
      </c>
      <c r="I41" s="119" t="s">
        <v>772</v>
      </c>
      <c r="J41" s="119" t="s">
        <v>773</v>
      </c>
      <c r="K41" s="119" t="s">
        <v>774</v>
      </c>
      <c r="L41" s="119" t="s">
        <v>775</v>
      </c>
      <c r="M41" s="119" t="s">
        <v>776</v>
      </c>
      <c r="N41" s="119" t="s">
        <v>876</v>
      </c>
      <c r="O41" s="119" t="s">
        <v>970</v>
      </c>
      <c r="P41" s="119" t="s">
        <v>838</v>
      </c>
      <c r="Q41" s="119" t="s">
        <v>971</v>
      </c>
      <c r="R41" s="119" t="s">
        <v>972</v>
      </c>
      <c r="S41" s="119" t="s">
        <v>775</v>
      </c>
      <c r="T41" s="121" t="s">
        <v>973</v>
      </c>
      <c r="U41" s="121" t="s">
        <v>974</v>
      </c>
      <c r="V41" s="121"/>
      <c r="W41" s="122" t="s">
        <v>783</v>
      </c>
      <c r="X41" s="122" t="s">
        <v>783</v>
      </c>
      <c r="Y41" s="122" t="s">
        <v>783</v>
      </c>
      <c r="Z41" s="123" t="s">
        <v>783</v>
      </c>
      <c r="AA41" s="123" t="s">
        <v>783</v>
      </c>
      <c r="AB41" s="123" t="s">
        <v>783</v>
      </c>
      <c r="AC41" s="123" t="s">
        <v>775</v>
      </c>
      <c r="AD41" s="123" t="s">
        <v>783</v>
      </c>
      <c r="AE41" s="123" t="s">
        <v>783</v>
      </c>
      <c r="AF41" s="123" t="s">
        <v>775</v>
      </c>
      <c r="AG41" s="123" t="s">
        <v>783</v>
      </c>
      <c r="AH41" s="123" t="s">
        <v>783</v>
      </c>
      <c r="AI41" s="123" t="s">
        <v>783</v>
      </c>
      <c r="AJ41" s="123" t="s">
        <v>783</v>
      </c>
      <c r="AK41" s="123" t="s">
        <v>783</v>
      </c>
      <c r="AL41" s="123" t="s">
        <v>783</v>
      </c>
      <c r="AM41" s="123"/>
      <c r="AN41" s="123"/>
      <c r="AO41" s="123"/>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88"/>
      <c r="BM41" s="119"/>
      <c r="BN41" s="119"/>
    </row>
    <row r="42" ht="14.25" customHeight="1">
      <c r="A42" s="119" t="s">
        <v>230</v>
      </c>
      <c r="B42" s="119" t="s">
        <v>232</v>
      </c>
      <c r="C42" s="120" t="s">
        <v>231</v>
      </c>
      <c r="D42" s="119" t="s">
        <v>767</v>
      </c>
      <c r="E42" s="113" t="s">
        <v>768</v>
      </c>
      <c r="F42" s="119" t="s">
        <v>769</v>
      </c>
      <c r="G42" s="119" t="s">
        <v>770</v>
      </c>
      <c r="H42" s="119" t="s">
        <v>771</v>
      </c>
      <c r="I42" s="119" t="s">
        <v>772</v>
      </c>
      <c r="J42" s="119" t="s">
        <v>773</v>
      </c>
      <c r="K42" s="119" t="s">
        <v>774</v>
      </c>
      <c r="L42" s="119" t="s">
        <v>775</v>
      </c>
      <c r="M42" s="119" t="s">
        <v>776</v>
      </c>
      <c r="N42" s="119" t="s">
        <v>876</v>
      </c>
      <c r="O42" s="119" t="s">
        <v>970</v>
      </c>
      <c r="P42" s="119" t="s">
        <v>838</v>
      </c>
      <c r="Q42" s="119" t="s">
        <v>971</v>
      </c>
      <c r="R42" s="119" t="s">
        <v>975</v>
      </c>
      <c r="S42" s="119" t="s">
        <v>775</v>
      </c>
      <c r="T42" s="125" t="s">
        <v>976</v>
      </c>
      <c r="U42" s="121" t="s">
        <v>977</v>
      </c>
      <c r="V42" s="121"/>
      <c r="W42" s="122" t="s">
        <v>784</v>
      </c>
      <c r="X42" s="122" t="s">
        <v>783</v>
      </c>
      <c r="Y42" s="122" t="s">
        <v>784</v>
      </c>
      <c r="Z42" s="123" t="s">
        <v>783</v>
      </c>
      <c r="AA42" s="123" t="s">
        <v>783</v>
      </c>
      <c r="AB42" s="123" t="s">
        <v>783</v>
      </c>
      <c r="AC42" s="123" t="s">
        <v>775</v>
      </c>
      <c r="AD42" s="123" t="s">
        <v>783</v>
      </c>
      <c r="AE42" s="123" t="s">
        <v>783</v>
      </c>
      <c r="AF42" s="123" t="s">
        <v>775</v>
      </c>
      <c r="AG42" s="123" t="s">
        <v>783</v>
      </c>
      <c r="AH42" s="123" t="s">
        <v>783</v>
      </c>
      <c r="AI42" s="123" t="s">
        <v>783</v>
      </c>
      <c r="AJ42" s="123" t="s">
        <v>783</v>
      </c>
      <c r="AK42" s="123" t="s">
        <v>783</v>
      </c>
      <c r="AL42" s="123" t="s">
        <v>784</v>
      </c>
      <c r="AM42" s="123"/>
      <c r="AN42" s="123"/>
      <c r="AO42" s="123"/>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88"/>
      <c r="BM42" s="119"/>
      <c r="BN42" s="119"/>
    </row>
    <row r="43" ht="14.25" customHeight="1">
      <c r="A43" s="119" t="s">
        <v>248</v>
      </c>
      <c r="B43" s="119" t="s">
        <v>250</v>
      </c>
      <c r="C43" s="120" t="s">
        <v>249</v>
      </c>
      <c r="D43" s="119" t="s">
        <v>767</v>
      </c>
      <c r="E43" s="113" t="s">
        <v>768</v>
      </c>
      <c r="F43" s="119" t="s">
        <v>769</v>
      </c>
      <c r="G43" s="119" t="s">
        <v>770</v>
      </c>
      <c r="H43" s="119" t="s">
        <v>771</v>
      </c>
      <c r="I43" s="119" t="s">
        <v>772</v>
      </c>
      <c r="J43" s="119" t="s">
        <v>773</v>
      </c>
      <c r="K43" s="119" t="s">
        <v>774</v>
      </c>
      <c r="L43" s="119" t="s">
        <v>775</v>
      </c>
      <c r="M43" s="119" t="s">
        <v>776</v>
      </c>
      <c r="N43" s="119" t="s">
        <v>876</v>
      </c>
      <c r="O43" s="119" t="s">
        <v>970</v>
      </c>
      <c r="P43" s="119" t="s">
        <v>838</v>
      </c>
      <c r="Q43" s="119" t="s">
        <v>971</v>
      </c>
      <c r="R43" s="119" t="s">
        <v>887</v>
      </c>
      <c r="S43" s="119" t="s">
        <v>775</v>
      </c>
      <c r="T43" s="121" t="s">
        <v>978</v>
      </c>
      <c r="U43" s="121" t="s">
        <v>979</v>
      </c>
      <c r="V43" s="121"/>
      <c r="W43" s="122" t="s">
        <v>783</v>
      </c>
      <c r="X43" s="122" t="s">
        <v>783</v>
      </c>
      <c r="Y43" s="122" t="s">
        <v>784</v>
      </c>
      <c r="Z43" s="123" t="s">
        <v>783</v>
      </c>
      <c r="AA43" s="123" t="s">
        <v>783</v>
      </c>
      <c r="AB43" s="123" t="s">
        <v>783</v>
      </c>
      <c r="AC43" s="123" t="s">
        <v>775</v>
      </c>
      <c r="AD43" s="123" t="s">
        <v>783</v>
      </c>
      <c r="AE43" s="123" t="s">
        <v>784</v>
      </c>
      <c r="AF43" s="123" t="s">
        <v>775</v>
      </c>
      <c r="AG43" s="123" t="s">
        <v>783</v>
      </c>
      <c r="AH43" s="123" t="s">
        <v>783</v>
      </c>
      <c r="AI43" s="123" t="s">
        <v>783</v>
      </c>
      <c r="AJ43" s="123" t="s">
        <v>783</v>
      </c>
      <c r="AK43" s="123" t="s">
        <v>783</v>
      </c>
      <c r="AL43" s="123" t="s">
        <v>803</v>
      </c>
      <c r="AM43" s="123"/>
      <c r="AN43" s="123"/>
      <c r="AO43" s="123"/>
      <c r="AP43" s="119"/>
      <c r="AQ43" s="119"/>
      <c r="AR43" s="119"/>
      <c r="AS43" s="119"/>
      <c r="AT43" s="119"/>
      <c r="AU43" s="119"/>
      <c r="AV43" s="119"/>
      <c r="AW43" s="119"/>
      <c r="AX43" s="119"/>
      <c r="AY43" s="119" t="s">
        <v>980</v>
      </c>
      <c r="AZ43" s="119" t="s">
        <v>981</v>
      </c>
      <c r="BA43" s="119" t="s">
        <v>982</v>
      </c>
      <c r="BB43" s="119" t="s">
        <v>952</v>
      </c>
      <c r="BC43" s="119"/>
      <c r="BD43" s="119"/>
      <c r="BE43" s="119"/>
      <c r="BF43" s="119"/>
      <c r="BG43" s="119"/>
      <c r="BH43" s="119"/>
      <c r="BI43" s="119"/>
      <c r="BJ43" s="119"/>
      <c r="BK43" s="119"/>
      <c r="BL43" s="88"/>
      <c r="BM43" s="119"/>
      <c r="BN43" s="119"/>
    </row>
    <row r="44" ht="14.25" customHeight="1">
      <c r="A44" s="119" t="s">
        <v>338</v>
      </c>
      <c r="B44" s="119" t="s">
        <v>340</v>
      </c>
      <c r="C44" s="120" t="s">
        <v>339</v>
      </c>
      <c r="D44" s="119" t="s">
        <v>767</v>
      </c>
      <c r="E44" s="113" t="s">
        <v>768</v>
      </c>
      <c r="F44" s="119" t="s">
        <v>769</v>
      </c>
      <c r="G44" s="119" t="s">
        <v>770</v>
      </c>
      <c r="H44" s="119" t="s">
        <v>771</v>
      </c>
      <c r="I44" s="119" t="s">
        <v>772</v>
      </c>
      <c r="J44" s="119" t="s">
        <v>773</v>
      </c>
      <c r="K44" s="119" t="s">
        <v>774</v>
      </c>
      <c r="L44" s="119" t="s">
        <v>775</v>
      </c>
      <c r="M44" s="119" t="s">
        <v>776</v>
      </c>
      <c r="N44" s="119" t="s">
        <v>876</v>
      </c>
      <c r="O44" s="119" t="s">
        <v>970</v>
      </c>
      <c r="P44" s="119" t="s">
        <v>838</v>
      </c>
      <c r="Q44" s="119" t="s">
        <v>899</v>
      </c>
      <c r="R44" s="119" t="s">
        <v>900</v>
      </c>
      <c r="S44" s="119" t="s">
        <v>775</v>
      </c>
      <c r="T44" s="121" t="s">
        <v>983</v>
      </c>
      <c r="U44" s="121" t="s">
        <v>984</v>
      </c>
      <c r="V44" s="121"/>
      <c r="W44" s="122" t="s">
        <v>784</v>
      </c>
      <c r="X44" s="122" t="s">
        <v>783</v>
      </c>
      <c r="Y44" s="122" t="s">
        <v>783</v>
      </c>
      <c r="Z44" s="123" t="s">
        <v>783</v>
      </c>
      <c r="AA44" s="123" t="s">
        <v>784</v>
      </c>
      <c r="AB44" s="123" t="s">
        <v>775</v>
      </c>
      <c r="AC44" s="123" t="s">
        <v>775</v>
      </c>
      <c r="AD44" s="123" t="s">
        <v>783</v>
      </c>
      <c r="AE44" s="123" t="s">
        <v>775</v>
      </c>
      <c r="AF44" s="123" t="s">
        <v>775</v>
      </c>
      <c r="AG44" s="123" t="s">
        <v>783</v>
      </c>
      <c r="AH44" s="123" t="s">
        <v>784</v>
      </c>
      <c r="AI44" s="123" t="s">
        <v>783</v>
      </c>
      <c r="AJ44" s="123" t="s">
        <v>775</v>
      </c>
      <c r="AK44" s="123" t="s">
        <v>803</v>
      </c>
      <c r="AL44" s="123" t="s">
        <v>784</v>
      </c>
      <c r="AM44" s="123"/>
      <c r="AN44" s="123"/>
      <c r="AO44" s="123"/>
      <c r="AP44" s="119"/>
      <c r="AQ44" s="119"/>
      <c r="AR44" s="119"/>
      <c r="AS44" s="119"/>
      <c r="AT44" s="119"/>
      <c r="AU44" s="119"/>
      <c r="AV44" s="119"/>
      <c r="AW44" s="119"/>
      <c r="AX44" s="119"/>
      <c r="AY44" s="119" t="s">
        <v>985</v>
      </c>
      <c r="AZ44" s="119" t="s">
        <v>986</v>
      </c>
      <c r="BA44" s="119" t="s">
        <v>818</v>
      </c>
      <c r="BB44" s="119" t="s">
        <v>842</v>
      </c>
      <c r="BC44" s="119"/>
      <c r="BD44" s="119"/>
      <c r="BE44" s="119"/>
      <c r="BF44" s="119"/>
      <c r="BG44" s="119"/>
      <c r="BH44" s="119"/>
      <c r="BI44" s="119"/>
      <c r="BJ44" s="119"/>
      <c r="BK44" s="119"/>
      <c r="BL44" s="88"/>
      <c r="BM44" s="119"/>
      <c r="BN44" s="119"/>
    </row>
    <row r="45" ht="14.25" customHeight="1">
      <c r="A45" s="119" t="s">
        <v>87</v>
      </c>
      <c r="B45" s="119" t="s">
        <v>89</v>
      </c>
      <c r="C45" s="120" t="s">
        <v>88</v>
      </c>
      <c r="D45" s="119" t="s">
        <v>767</v>
      </c>
      <c r="E45" s="113" t="s">
        <v>768</v>
      </c>
      <c r="F45" s="119" t="s">
        <v>769</v>
      </c>
      <c r="G45" s="119" t="s">
        <v>770</v>
      </c>
      <c r="H45" s="119" t="s">
        <v>771</v>
      </c>
      <c r="I45" s="119" t="s">
        <v>772</v>
      </c>
      <c r="J45" s="119" t="s">
        <v>773</v>
      </c>
      <c r="K45" s="119" t="s">
        <v>774</v>
      </c>
      <c r="L45" s="119" t="s">
        <v>775</v>
      </c>
      <c r="M45" s="119" t="s">
        <v>776</v>
      </c>
      <c r="N45" s="119" t="s">
        <v>876</v>
      </c>
      <c r="O45" s="119" t="s">
        <v>987</v>
      </c>
      <c r="P45" s="119" t="s">
        <v>981</v>
      </c>
      <c r="Q45" s="119" t="s">
        <v>904</v>
      </c>
      <c r="R45" s="119" t="s">
        <v>792</v>
      </c>
      <c r="S45" s="119" t="s">
        <v>775</v>
      </c>
      <c r="T45" s="125" t="s">
        <v>988</v>
      </c>
      <c r="U45" s="121" t="s">
        <v>989</v>
      </c>
      <c r="V45" s="121"/>
      <c r="W45" s="122" t="s">
        <v>783</v>
      </c>
      <c r="X45" s="122" t="s">
        <v>783</v>
      </c>
      <c r="Y45" s="122" t="s">
        <v>783</v>
      </c>
      <c r="Z45" s="123" t="s">
        <v>783</v>
      </c>
      <c r="AA45" s="123" t="s">
        <v>783</v>
      </c>
      <c r="AB45" s="123" t="s">
        <v>775</v>
      </c>
      <c r="AC45" s="123" t="s">
        <v>775</v>
      </c>
      <c r="AD45" s="123" t="s">
        <v>783</v>
      </c>
      <c r="AE45" s="123" t="s">
        <v>775</v>
      </c>
      <c r="AF45" s="123" t="s">
        <v>775</v>
      </c>
      <c r="AG45" s="123" t="s">
        <v>783</v>
      </c>
      <c r="AH45" s="123" t="s">
        <v>783</v>
      </c>
      <c r="AI45" s="123" t="s">
        <v>783</v>
      </c>
      <c r="AJ45" s="123" t="s">
        <v>775</v>
      </c>
      <c r="AK45" s="123" t="s">
        <v>783</v>
      </c>
      <c r="AL45" s="123" t="s">
        <v>783</v>
      </c>
      <c r="AM45" s="123"/>
      <c r="AN45" s="123"/>
      <c r="AO45" s="123"/>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88"/>
      <c r="BM45" s="119"/>
      <c r="BN45" s="119"/>
    </row>
    <row r="46" ht="14.25" customHeight="1">
      <c r="A46" s="119" t="s">
        <v>91</v>
      </c>
      <c r="B46" s="119" t="s">
        <v>89</v>
      </c>
      <c r="C46" s="120" t="s">
        <v>92</v>
      </c>
      <c r="D46" s="119" t="s">
        <v>767</v>
      </c>
      <c r="E46" s="113" t="s">
        <v>768</v>
      </c>
      <c r="F46" s="119" t="s">
        <v>769</v>
      </c>
      <c r="G46" s="119" t="s">
        <v>770</v>
      </c>
      <c r="H46" s="119" t="s">
        <v>771</v>
      </c>
      <c r="I46" s="119" t="s">
        <v>772</v>
      </c>
      <c r="J46" s="119" t="s">
        <v>773</v>
      </c>
      <c r="K46" s="119" t="s">
        <v>774</v>
      </c>
      <c r="L46" s="119" t="s">
        <v>775</v>
      </c>
      <c r="M46" s="119" t="s">
        <v>776</v>
      </c>
      <c r="N46" s="119" t="s">
        <v>876</v>
      </c>
      <c r="O46" s="119" t="s">
        <v>987</v>
      </c>
      <c r="P46" s="119" t="s">
        <v>981</v>
      </c>
      <c r="Q46" s="119" t="s">
        <v>904</v>
      </c>
      <c r="R46" s="119" t="s">
        <v>792</v>
      </c>
      <c r="S46" s="119" t="s">
        <v>775</v>
      </c>
      <c r="T46" s="125" t="s">
        <v>988</v>
      </c>
      <c r="U46" s="121" t="s">
        <v>990</v>
      </c>
      <c r="V46" s="121"/>
      <c r="W46" s="122" t="s">
        <v>783</v>
      </c>
      <c r="X46" s="122" t="s">
        <v>783</v>
      </c>
      <c r="Y46" s="122" t="s">
        <v>775</v>
      </c>
      <c r="Z46" s="123" t="s">
        <v>775</v>
      </c>
      <c r="AA46" s="123" t="s">
        <v>775</v>
      </c>
      <c r="AB46" s="123" t="s">
        <v>775</v>
      </c>
      <c r="AC46" s="123" t="s">
        <v>775</v>
      </c>
      <c r="AD46" s="123" t="s">
        <v>783</v>
      </c>
      <c r="AE46" s="123" t="s">
        <v>775</v>
      </c>
      <c r="AF46" s="123" t="s">
        <v>775</v>
      </c>
      <c r="AG46" s="123" t="s">
        <v>783</v>
      </c>
      <c r="AH46" s="123" t="s">
        <v>783</v>
      </c>
      <c r="AI46" s="123" t="s">
        <v>783</v>
      </c>
      <c r="AJ46" s="123" t="s">
        <v>775</v>
      </c>
      <c r="AK46" s="123" t="s">
        <v>783</v>
      </c>
      <c r="AL46" s="123" t="s">
        <v>783</v>
      </c>
      <c r="AM46" s="123"/>
      <c r="AN46" s="123"/>
      <c r="AO46" s="123"/>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88"/>
      <c r="BM46" s="119"/>
      <c r="BN46" s="119"/>
    </row>
    <row r="47" ht="14.25" customHeight="1">
      <c r="A47" s="119" t="s">
        <v>122</v>
      </c>
      <c r="B47" s="119" t="s">
        <v>124</v>
      </c>
      <c r="C47" s="120" t="s">
        <v>123</v>
      </c>
      <c r="D47" s="119" t="s">
        <v>767</v>
      </c>
      <c r="E47" s="113" t="s">
        <v>768</v>
      </c>
      <c r="F47" s="119" t="s">
        <v>769</v>
      </c>
      <c r="G47" s="119" t="s">
        <v>770</v>
      </c>
      <c r="H47" s="119" t="s">
        <v>771</v>
      </c>
      <c r="I47" s="119" t="s">
        <v>772</v>
      </c>
      <c r="J47" s="119" t="s">
        <v>773</v>
      </c>
      <c r="K47" s="119" t="s">
        <v>774</v>
      </c>
      <c r="L47" s="119" t="s">
        <v>775</v>
      </c>
      <c r="M47" s="119" t="s">
        <v>776</v>
      </c>
      <c r="N47" s="119" t="s">
        <v>876</v>
      </c>
      <c r="O47" s="119" t="s">
        <v>987</v>
      </c>
      <c r="P47" s="119" t="s">
        <v>981</v>
      </c>
      <c r="Q47" s="119" t="s">
        <v>904</v>
      </c>
      <c r="R47" s="119" t="s">
        <v>991</v>
      </c>
      <c r="S47" s="119" t="s">
        <v>775</v>
      </c>
      <c r="T47" s="121" t="s">
        <v>992</v>
      </c>
      <c r="U47" s="121" t="s">
        <v>993</v>
      </c>
      <c r="V47" s="121"/>
      <c r="W47" s="122" t="s">
        <v>784</v>
      </c>
      <c r="X47" s="122" t="s">
        <v>783</v>
      </c>
      <c r="Y47" s="122" t="s">
        <v>775</v>
      </c>
      <c r="Z47" s="123" t="s">
        <v>775</v>
      </c>
      <c r="AA47" s="123" t="s">
        <v>775</v>
      </c>
      <c r="AB47" s="123" t="s">
        <v>775</v>
      </c>
      <c r="AC47" s="123" t="s">
        <v>775</v>
      </c>
      <c r="AD47" s="123" t="s">
        <v>783</v>
      </c>
      <c r="AE47" s="123" t="s">
        <v>775</v>
      </c>
      <c r="AF47" s="123" t="s">
        <v>784</v>
      </c>
      <c r="AG47" s="123" t="s">
        <v>783</v>
      </c>
      <c r="AH47" s="123" t="s">
        <v>775</v>
      </c>
      <c r="AI47" s="123" t="s">
        <v>784</v>
      </c>
      <c r="AJ47" s="123" t="s">
        <v>775</v>
      </c>
      <c r="AK47" s="123" t="s">
        <v>784</v>
      </c>
      <c r="AL47" s="123" t="s">
        <v>782</v>
      </c>
      <c r="AM47" s="123"/>
      <c r="AN47" s="123"/>
      <c r="AO47" s="123"/>
      <c r="AP47" s="119"/>
      <c r="AQ47" s="119"/>
      <c r="AR47" s="119"/>
      <c r="AS47" s="119"/>
      <c r="AT47" s="119"/>
      <c r="AU47" s="119"/>
      <c r="AV47" s="119"/>
      <c r="AW47" s="119"/>
      <c r="AX47" s="119"/>
      <c r="AY47" s="119" t="s">
        <v>964</v>
      </c>
      <c r="AZ47" s="119" t="s">
        <v>875</v>
      </c>
      <c r="BA47" s="119"/>
      <c r="BB47" s="119"/>
      <c r="BC47" s="119"/>
      <c r="BD47" s="119"/>
      <c r="BE47" s="119"/>
      <c r="BF47" s="119"/>
      <c r="BG47" s="119"/>
      <c r="BH47" s="119"/>
      <c r="BI47" s="119"/>
      <c r="BJ47" s="119"/>
      <c r="BK47" s="119"/>
      <c r="BL47" s="88"/>
      <c r="BM47" s="119"/>
      <c r="BN47" s="119"/>
    </row>
    <row r="48" ht="14.25" customHeight="1">
      <c r="A48" s="119" t="s">
        <v>149</v>
      </c>
      <c r="B48" s="119" t="s">
        <v>151</v>
      </c>
      <c r="C48" s="120" t="s">
        <v>150</v>
      </c>
      <c r="D48" s="119" t="s">
        <v>767</v>
      </c>
      <c r="E48" s="113" t="s">
        <v>768</v>
      </c>
      <c r="F48" s="119" t="s">
        <v>769</v>
      </c>
      <c r="G48" s="119" t="s">
        <v>770</v>
      </c>
      <c r="H48" s="119" t="s">
        <v>771</v>
      </c>
      <c r="I48" s="119" t="s">
        <v>772</v>
      </c>
      <c r="J48" s="119" t="s">
        <v>773</v>
      </c>
      <c r="K48" s="119" t="s">
        <v>774</v>
      </c>
      <c r="L48" s="119" t="s">
        <v>775</v>
      </c>
      <c r="M48" s="119" t="s">
        <v>776</v>
      </c>
      <c r="N48" s="119" t="s">
        <v>876</v>
      </c>
      <c r="O48" s="119" t="s">
        <v>987</v>
      </c>
      <c r="P48" s="119" t="s">
        <v>981</v>
      </c>
      <c r="Q48" s="119" t="s">
        <v>904</v>
      </c>
      <c r="R48" s="119" t="s">
        <v>994</v>
      </c>
      <c r="S48" s="119" t="s">
        <v>775</v>
      </c>
      <c r="T48" s="121" t="s">
        <v>995</v>
      </c>
      <c r="U48" s="121" t="s">
        <v>996</v>
      </c>
      <c r="V48" s="121"/>
      <c r="W48" s="122" t="s">
        <v>783</v>
      </c>
      <c r="X48" s="122" t="s">
        <v>783</v>
      </c>
      <c r="Y48" s="122" t="s">
        <v>784</v>
      </c>
      <c r="Z48" s="123" t="s">
        <v>783</v>
      </c>
      <c r="AA48" s="123" t="s">
        <v>783</v>
      </c>
      <c r="AB48" s="123" t="s">
        <v>783</v>
      </c>
      <c r="AC48" s="123" t="s">
        <v>775</v>
      </c>
      <c r="AD48" s="123" t="s">
        <v>783</v>
      </c>
      <c r="AE48" s="123" t="s">
        <v>783</v>
      </c>
      <c r="AF48" s="123" t="s">
        <v>784</v>
      </c>
      <c r="AG48" s="123" t="s">
        <v>784</v>
      </c>
      <c r="AH48" s="123" t="s">
        <v>784</v>
      </c>
      <c r="AI48" s="123" t="s">
        <v>783</v>
      </c>
      <c r="AJ48" s="123" t="s">
        <v>783</v>
      </c>
      <c r="AK48" s="123" t="s">
        <v>783</v>
      </c>
      <c r="AL48" s="123" t="s">
        <v>784</v>
      </c>
      <c r="AM48" s="123"/>
      <c r="AN48" s="123"/>
      <c r="AO48" s="123"/>
      <c r="AP48" s="119"/>
      <c r="AQ48" s="119"/>
      <c r="AR48" s="119"/>
      <c r="AS48" s="119"/>
      <c r="AT48" s="119"/>
      <c r="AU48" s="119" t="s">
        <v>861</v>
      </c>
      <c r="AV48" s="119" t="s">
        <v>852</v>
      </c>
      <c r="AW48" s="119"/>
      <c r="AX48" s="119"/>
      <c r="AY48" s="119" t="s">
        <v>987</v>
      </c>
      <c r="AZ48" s="119" t="s">
        <v>870</v>
      </c>
      <c r="BA48" s="119" t="s">
        <v>795</v>
      </c>
      <c r="BB48" s="119" t="s">
        <v>916</v>
      </c>
      <c r="BC48" s="119" t="s">
        <v>820</v>
      </c>
      <c r="BD48" s="119"/>
      <c r="BE48" s="119"/>
      <c r="BF48" s="119"/>
      <c r="BG48" s="119"/>
      <c r="BH48" s="119"/>
      <c r="BI48" s="119"/>
      <c r="BJ48" s="119"/>
      <c r="BK48" s="119"/>
      <c r="BL48" s="88"/>
      <c r="BM48" s="119"/>
      <c r="BN48" s="119"/>
    </row>
    <row r="49" ht="14.25" customHeight="1">
      <c r="A49" s="119" t="s">
        <v>206</v>
      </c>
      <c r="B49" s="119" t="s">
        <v>208</v>
      </c>
      <c r="C49" s="120" t="s">
        <v>207</v>
      </c>
      <c r="D49" s="119" t="s">
        <v>767</v>
      </c>
      <c r="E49" s="113" t="s">
        <v>768</v>
      </c>
      <c r="F49" s="119" t="s">
        <v>769</v>
      </c>
      <c r="G49" s="119" t="s">
        <v>770</v>
      </c>
      <c r="H49" s="119" t="s">
        <v>771</v>
      </c>
      <c r="I49" s="119" t="s">
        <v>772</v>
      </c>
      <c r="J49" s="119" t="s">
        <v>773</v>
      </c>
      <c r="K49" s="119" t="s">
        <v>774</v>
      </c>
      <c r="L49" s="119" t="s">
        <v>775</v>
      </c>
      <c r="M49" s="119" t="s">
        <v>776</v>
      </c>
      <c r="N49" s="119" t="s">
        <v>876</v>
      </c>
      <c r="O49" s="119" t="s">
        <v>987</v>
      </c>
      <c r="P49" s="119" t="s">
        <v>981</v>
      </c>
      <c r="Q49" s="119" t="s">
        <v>904</v>
      </c>
      <c r="R49" s="119" t="s">
        <v>991</v>
      </c>
      <c r="S49" s="119" t="s">
        <v>775</v>
      </c>
      <c r="T49" s="121" t="s">
        <v>997</v>
      </c>
      <c r="U49" s="121" t="s">
        <v>998</v>
      </c>
      <c r="V49" s="121"/>
      <c r="W49" s="122" t="s">
        <v>784</v>
      </c>
      <c r="X49" s="122" t="s">
        <v>783</v>
      </c>
      <c r="Y49" s="122" t="s">
        <v>784</v>
      </c>
      <c r="Z49" s="123" t="s">
        <v>784</v>
      </c>
      <c r="AA49" s="123" t="s">
        <v>784</v>
      </c>
      <c r="AB49" s="123" t="s">
        <v>783</v>
      </c>
      <c r="AC49" s="123" t="s">
        <v>775</v>
      </c>
      <c r="AD49" s="123" t="s">
        <v>783</v>
      </c>
      <c r="AE49" s="123" t="s">
        <v>783</v>
      </c>
      <c r="AF49" s="123" t="s">
        <v>784</v>
      </c>
      <c r="AG49" s="123" t="s">
        <v>784</v>
      </c>
      <c r="AH49" s="123" t="s">
        <v>784</v>
      </c>
      <c r="AI49" s="123" t="s">
        <v>803</v>
      </c>
      <c r="AJ49" s="123" t="s">
        <v>783</v>
      </c>
      <c r="AK49" s="123" t="s">
        <v>784</v>
      </c>
      <c r="AL49" s="123" t="s">
        <v>784</v>
      </c>
      <c r="AM49" s="123"/>
      <c r="AN49" s="123"/>
      <c r="AO49" s="123"/>
      <c r="AP49" s="119"/>
      <c r="AQ49" s="119"/>
      <c r="AR49" s="119"/>
      <c r="AS49" s="119"/>
      <c r="AT49" s="119"/>
      <c r="AU49" s="119"/>
      <c r="AV49" s="119"/>
      <c r="AW49" s="119"/>
      <c r="AX49" s="119"/>
      <c r="AY49" s="119" t="s">
        <v>970</v>
      </c>
      <c r="AZ49" s="119" t="s">
        <v>838</v>
      </c>
      <c r="BA49" s="119" t="s">
        <v>971</v>
      </c>
      <c r="BB49" s="119" t="s">
        <v>972</v>
      </c>
      <c r="BC49" s="119"/>
      <c r="BD49" s="119"/>
      <c r="BE49" s="119"/>
      <c r="BF49" s="119"/>
      <c r="BG49" s="119"/>
      <c r="BH49" s="119"/>
      <c r="BI49" s="119"/>
      <c r="BJ49" s="119"/>
      <c r="BK49" s="119"/>
      <c r="BL49" s="88"/>
      <c r="BM49" s="119"/>
      <c r="BN49" s="119"/>
    </row>
    <row r="50" ht="14.25" customHeight="1">
      <c r="A50" s="119" t="s">
        <v>209</v>
      </c>
      <c r="B50" s="119" t="s">
        <v>211</v>
      </c>
      <c r="C50" s="120" t="s">
        <v>210</v>
      </c>
      <c r="D50" s="119" t="s">
        <v>767</v>
      </c>
      <c r="E50" s="113" t="s">
        <v>768</v>
      </c>
      <c r="F50" s="119" t="s">
        <v>769</v>
      </c>
      <c r="G50" s="119" t="s">
        <v>770</v>
      </c>
      <c r="H50" s="119" t="s">
        <v>771</v>
      </c>
      <c r="I50" s="119" t="s">
        <v>772</v>
      </c>
      <c r="J50" s="119" t="s">
        <v>773</v>
      </c>
      <c r="K50" s="119" t="s">
        <v>774</v>
      </c>
      <c r="L50" s="119" t="s">
        <v>775</v>
      </c>
      <c r="M50" s="119" t="s">
        <v>776</v>
      </c>
      <c r="N50" s="119" t="s">
        <v>876</v>
      </c>
      <c r="O50" s="119" t="s">
        <v>987</v>
      </c>
      <c r="P50" s="119" t="s">
        <v>981</v>
      </c>
      <c r="Q50" s="119" t="s">
        <v>904</v>
      </c>
      <c r="R50" s="119" t="s">
        <v>991</v>
      </c>
      <c r="S50" s="119" t="s">
        <v>775</v>
      </c>
      <c r="T50" s="121" t="s">
        <v>997</v>
      </c>
      <c r="U50" s="121" t="s">
        <v>999</v>
      </c>
      <c r="V50" s="121"/>
      <c r="W50" s="122" t="s">
        <v>783</v>
      </c>
      <c r="X50" s="122" t="s">
        <v>784</v>
      </c>
      <c r="Y50" s="122" t="s">
        <v>783</v>
      </c>
      <c r="Z50" s="123" t="s">
        <v>783</v>
      </c>
      <c r="AA50" s="123" t="s">
        <v>783</v>
      </c>
      <c r="AB50" s="123" t="s">
        <v>783</v>
      </c>
      <c r="AC50" s="123" t="s">
        <v>775</v>
      </c>
      <c r="AD50" s="123" t="s">
        <v>784</v>
      </c>
      <c r="AE50" s="123" t="s">
        <v>783</v>
      </c>
      <c r="AF50" s="123" t="s">
        <v>783</v>
      </c>
      <c r="AG50" s="123" t="s">
        <v>783</v>
      </c>
      <c r="AH50" s="123" t="s">
        <v>783</v>
      </c>
      <c r="AI50" s="123" t="s">
        <v>783</v>
      </c>
      <c r="AJ50" s="123" t="s">
        <v>783</v>
      </c>
      <c r="AK50" s="123" t="s">
        <v>783</v>
      </c>
      <c r="AL50" s="123" t="s">
        <v>783</v>
      </c>
      <c r="AM50" s="123"/>
      <c r="AN50" s="123"/>
      <c r="AO50" s="123"/>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88"/>
      <c r="BM50" s="119"/>
      <c r="BN50" s="119"/>
    </row>
    <row r="51" ht="14.25" customHeight="1">
      <c r="A51" s="119" t="s">
        <v>239</v>
      </c>
      <c r="B51" s="119" t="s">
        <v>241</v>
      </c>
      <c r="C51" s="120" t="s">
        <v>240</v>
      </c>
      <c r="D51" s="119" t="s">
        <v>767</v>
      </c>
      <c r="E51" s="113" t="s">
        <v>768</v>
      </c>
      <c r="F51" s="119" t="s">
        <v>769</v>
      </c>
      <c r="G51" s="119" t="s">
        <v>770</v>
      </c>
      <c r="H51" s="119" t="s">
        <v>771</v>
      </c>
      <c r="I51" s="119" t="s">
        <v>772</v>
      </c>
      <c r="J51" s="119" t="s">
        <v>773</v>
      </c>
      <c r="K51" s="119" t="s">
        <v>774</v>
      </c>
      <c r="L51" s="119" t="s">
        <v>775</v>
      </c>
      <c r="M51" s="119" t="s">
        <v>776</v>
      </c>
      <c r="N51" s="119" t="s">
        <v>876</v>
      </c>
      <c r="O51" s="119" t="s">
        <v>987</v>
      </c>
      <c r="P51" s="119" t="s">
        <v>981</v>
      </c>
      <c r="Q51" s="119" t="s">
        <v>904</v>
      </c>
      <c r="R51" s="119" t="s">
        <v>946</v>
      </c>
      <c r="S51" s="119" t="s">
        <v>775</v>
      </c>
      <c r="T51" s="125" t="s">
        <v>1000</v>
      </c>
      <c r="U51" s="121" t="s">
        <v>1001</v>
      </c>
      <c r="V51" s="121"/>
      <c r="W51" s="122" t="s">
        <v>775</v>
      </c>
      <c r="X51" s="122" t="s">
        <v>783</v>
      </c>
      <c r="Y51" s="122" t="s">
        <v>803</v>
      </c>
      <c r="Z51" s="123" t="s">
        <v>784</v>
      </c>
      <c r="AA51" s="123" t="s">
        <v>803</v>
      </c>
      <c r="AB51" s="123" t="s">
        <v>803</v>
      </c>
      <c r="AC51" s="123" t="s">
        <v>775</v>
      </c>
      <c r="AD51" s="123" t="s">
        <v>783</v>
      </c>
      <c r="AE51" s="123" t="s">
        <v>803</v>
      </c>
      <c r="AF51" s="123" t="s">
        <v>775</v>
      </c>
      <c r="AG51" s="123" t="s">
        <v>783</v>
      </c>
      <c r="AH51" s="123" t="s">
        <v>784</v>
      </c>
      <c r="AI51" s="123" t="s">
        <v>775</v>
      </c>
      <c r="AJ51" s="123" t="s">
        <v>784</v>
      </c>
      <c r="AK51" s="123" t="s">
        <v>783</v>
      </c>
      <c r="AL51" s="123" t="s">
        <v>784</v>
      </c>
      <c r="AM51" s="123"/>
      <c r="AN51" s="123"/>
      <c r="AO51" s="123"/>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88"/>
      <c r="BM51" s="119"/>
      <c r="BN51" s="119"/>
    </row>
    <row r="52" ht="14.25" customHeight="1">
      <c r="A52" s="119" t="s">
        <v>242</v>
      </c>
      <c r="B52" s="119" t="s">
        <v>244</v>
      </c>
      <c r="C52" s="120" t="s">
        <v>243</v>
      </c>
      <c r="D52" s="119" t="s">
        <v>767</v>
      </c>
      <c r="E52" s="113" t="s">
        <v>768</v>
      </c>
      <c r="F52" s="119" t="s">
        <v>769</v>
      </c>
      <c r="G52" s="119" t="s">
        <v>770</v>
      </c>
      <c r="H52" s="119" t="s">
        <v>771</v>
      </c>
      <c r="I52" s="119" t="s">
        <v>772</v>
      </c>
      <c r="J52" s="119" t="s">
        <v>773</v>
      </c>
      <c r="K52" s="119" t="s">
        <v>774</v>
      </c>
      <c r="L52" s="119" t="s">
        <v>775</v>
      </c>
      <c r="M52" s="119" t="s">
        <v>776</v>
      </c>
      <c r="N52" s="119" t="s">
        <v>876</v>
      </c>
      <c r="O52" s="119" t="s">
        <v>987</v>
      </c>
      <c r="P52" s="119" t="s">
        <v>981</v>
      </c>
      <c r="Q52" s="119" t="s">
        <v>904</v>
      </c>
      <c r="R52" s="119" t="s">
        <v>1002</v>
      </c>
      <c r="S52" s="119" t="s">
        <v>775</v>
      </c>
      <c r="T52" s="125" t="s">
        <v>1003</v>
      </c>
      <c r="U52" s="121" t="s">
        <v>1004</v>
      </c>
      <c r="V52" s="121"/>
      <c r="W52" s="122" t="s">
        <v>784</v>
      </c>
      <c r="X52" s="122" t="s">
        <v>783</v>
      </c>
      <c r="Y52" s="122" t="s">
        <v>784</v>
      </c>
      <c r="Z52" s="123" t="s">
        <v>803</v>
      </c>
      <c r="AA52" s="123" t="s">
        <v>784</v>
      </c>
      <c r="AB52" s="123" t="s">
        <v>783</v>
      </c>
      <c r="AC52" s="123" t="s">
        <v>775</v>
      </c>
      <c r="AD52" s="123" t="s">
        <v>783</v>
      </c>
      <c r="AE52" s="123" t="s">
        <v>783</v>
      </c>
      <c r="AF52" s="123" t="s">
        <v>784</v>
      </c>
      <c r="AG52" s="123" t="s">
        <v>783</v>
      </c>
      <c r="AH52" s="123" t="s">
        <v>784</v>
      </c>
      <c r="AI52" s="123" t="s">
        <v>784</v>
      </c>
      <c r="AJ52" s="123" t="s">
        <v>783</v>
      </c>
      <c r="AK52" s="123" t="s">
        <v>783</v>
      </c>
      <c r="AL52" s="123" t="s">
        <v>784</v>
      </c>
      <c r="AM52" s="123"/>
      <c r="AN52" s="123"/>
      <c r="AO52" s="123"/>
      <c r="AP52" s="119"/>
      <c r="AQ52" s="119"/>
      <c r="AR52" s="119"/>
      <c r="AS52" s="119"/>
      <c r="AT52" s="119"/>
      <c r="AU52" s="119"/>
      <c r="AV52" s="119"/>
      <c r="AW52" s="119"/>
      <c r="AX52" s="119"/>
      <c r="AY52" s="119" t="s">
        <v>1005</v>
      </c>
      <c r="AZ52" s="119" t="s">
        <v>1006</v>
      </c>
      <c r="BA52" s="119"/>
      <c r="BB52" s="119" t="s">
        <v>1007</v>
      </c>
      <c r="BC52" s="119"/>
      <c r="BD52" s="119"/>
      <c r="BE52" s="119"/>
      <c r="BF52" s="119"/>
      <c r="BG52" s="119"/>
      <c r="BH52" s="119"/>
      <c r="BI52" s="119"/>
      <c r="BJ52" s="119"/>
      <c r="BK52" s="119"/>
      <c r="BL52" s="88"/>
      <c r="BM52" s="119"/>
      <c r="BN52" s="119"/>
    </row>
    <row r="53" ht="14.25" customHeight="1">
      <c r="A53" s="119" t="s">
        <v>251</v>
      </c>
      <c r="B53" s="119" t="s">
        <v>253</v>
      </c>
      <c r="C53" s="120" t="s">
        <v>252</v>
      </c>
      <c r="D53" s="119" t="s">
        <v>767</v>
      </c>
      <c r="E53" s="113" t="s">
        <v>768</v>
      </c>
      <c r="F53" s="119" t="s">
        <v>769</v>
      </c>
      <c r="G53" s="119" t="s">
        <v>770</v>
      </c>
      <c r="H53" s="119" t="s">
        <v>771</v>
      </c>
      <c r="I53" s="119" t="s">
        <v>772</v>
      </c>
      <c r="J53" s="119" t="s">
        <v>773</v>
      </c>
      <c r="K53" s="119" t="s">
        <v>774</v>
      </c>
      <c r="L53" s="119" t="s">
        <v>775</v>
      </c>
      <c r="M53" s="119" t="s">
        <v>776</v>
      </c>
      <c r="N53" s="119" t="s">
        <v>876</v>
      </c>
      <c r="O53" s="119" t="s">
        <v>987</v>
      </c>
      <c r="P53" s="119" t="s">
        <v>981</v>
      </c>
      <c r="Q53" s="119" t="s">
        <v>904</v>
      </c>
      <c r="R53" s="119" t="s">
        <v>1008</v>
      </c>
      <c r="S53" s="119" t="s">
        <v>775</v>
      </c>
      <c r="T53" s="121" t="s">
        <v>1009</v>
      </c>
      <c r="U53" s="121" t="s">
        <v>1010</v>
      </c>
      <c r="V53" s="121"/>
      <c r="W53" s="122" t="s">
        <v>784</v>
      </c>
      <c r="X53" s="122" t="s">
        <v>783</v>
      </c>
      <c r="Y53" s="122" t="s">
        <v>784</v>
      </c>
      <c r="Z53" s="123" t="s">
        <v>784</v>
      </c>
      <c r="AA53" s="123" t="s">
        <v>784</v>
      </c>
      <c r="AB53" s="123" t="s">
        <v>783</v>
      </c>
      <c r="AC53" s="123" t="s">
        <v>775</v>
      </c>
      <c r="AD53" s="123" t="s">
        <v>783</v>
      </c>
      <c r="AE53" s="123" t="s">
        <v>784</v>
      </c>
      <c r="AF53" s="123" t="s">
        <v>782</v>
      </c>
      <c r="AG53" s="123" t="s">
        <v>784</v>
      </c>
      <c r="AH53" s="123" t="s">
        <v>784</v>
      </c>
      <c r="AI53" s="123" t="s">
        <v>784</v>
      </c>
      <c r="AJ53" s="123" t="s">
        <v>784</v>
      </c>
      <c r="AK53" s="123" t="s">
        <v>784</v>
      </c>
      <c r="AL53" s="123" t="s">
        <v>784</v>
      </c>
      <c r="AM53" s="123"/>
      <c r="AN53" s="123"/>
      <c r="AO53" s="123"/>
      <c r="AP53" s="119"/>
      <c r="AQ53" s="119"/>
      <c r="AR53" s="119"/>
      <c r="AS53" s="119"/>
      <c r="AT53" s="119"/>
      <c r="AU53" s="119"/>
      <c r="AV53" s="119"/>
      <c r="AW53" s="119"/>
      <c r="AX53" s="119"/>
      <c r="AY53" s="119"/>
      <c r="AZ53" s="119" t="s">
        <v>859</v>
      </c>
      <c r="BA53" s="119"/>
      <c r="BB53" s="119"/>
      <c r="BC53" s="119"/>
      <c r="BD53" s="119"/>
      <c r="BE53" s="119"/>
      <c r="BF53" s="119"/>
      <c r="BG53" s="119"/>
      <c r="BH53" s="119"/>
      <c r="BI53" s="119"/>
      <c r="BJ53" s="119"/>
      <c r="BK53" s="119"/>
      <c r="BL53" s="88"/>
      <c r="BM53" s="119"/>
      <c r="BN53" s="119"/>
    </row>
    <row r="54" ht="14.25" customHeight="1">
      <c r="A54" s="119" t="s">
        <v>305</v>
      </c>
      <c r="B54" s="119" t="s">
        <v>307</v>
      </c>
      <c r="C54" s="120" t="s">
        <v>306</v>
      </c>
      <c r="D54" s="119" t="s">
        <v>767</v>
      </c>
      <c r="E54" s="113" t="s">
        <v>768</v>
      </c>
      <c r="F54" s="119" t="s">
        <v>769</v>
      </c>
      <c r="G54" s="119" t="s">
        <v>770</v>
      </c>
      <c r="H54" s="119" t="s">
        <v>771</v>
      </c>
      <c r="I54" s="119" t="s">
        <v>772</v>
      </c>
      <c r="J54" s="119" t="s">
        <v>773</v>
      </c>
      <c r="K54" s="119" t="s">
        <v>774</v>
      </c>
      <c r="L54" s="119" t="s">
        <v>775</v>
      </c>
      <c r="M54" s="119" t="s">
        <v>776</v>
      </c>
      <c r="N54" s="119" t="s">
        <v>876</v>
      </c>
      <c r="O54" s="119" t="s">
        <v>987</v>
      </c>
      <c r="P54" s="119" t="s">
        <v>981</v>
      </c>
      <c r="Q54" s="119" t="s">
        <v>904</v>
      </c>
      <c r="R54" s="119" t="s">
        <v>991</v>
      </c>
      <c r="S54" s="119" t="s">
        <v>775</v>
      </c>
      <c r="T54" s="121" t="s">
        <v>1011</v>
      </c>
      <c r="U54" s="121" t="s">
        <v>781</v>
      </c>
      <c r="V54" s="121"/>
      <c r="W54" s="122" t="s">
        <v>784</v>
      </c>
      <c r="X54" s="122" t="s">
        <v>783</v>
      </c>
      <c r="Y54" s="122" t="s">
        <v>784</v>
      </c>
      <c r="Z54" s="123" t="s">
        <v>784</v>
      </c>
      <c r="AA54" s="123" t="s">
        <v>784</v>
      </c>
      <c r="AB54" s="123" t="s">
        <v>784</v>
      </c>
      <c r="AC54" s="123" t="s">
        <v>775</v>
      </c>
      <c r="AD54" s="123" t="s">
        <v>783</v>
      </c>
      <c r="AE54" s="123" t="s">
        <v>784</v>
      </c>
      <c r="AF54" s="123" t="s">
        <v>784</v>
      </c>
      <c r="AG54" s="123" t="s">
        <v>783</v>
      </c>
      <c r="AH54" s="123" t="s">
        <v>784</v>
      </c>
      <c r="AI54" s="123" t="s">
        <v>784</v>
      </c>
      <c r="AJ54" s="123" t="s">
        <v>784</v>
      </c>
      <c r="AK54" s="123" t="s">
        <v>784</v>
      </c>
      <c r="AL54" s="123" t="s">
        <v>784</v>
      </c>
      <c r="AM54" s="123"/>
      <c r="AN54" s="123"/>
      <c r="AO54" s="123"/>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88"/>
      <c r="BM54" s="119"/>
      <c r="BN54" s="119"/>
    </row>
    <row r="55" ht="14.25" customHeight="1">
      <c r="A55" s="119" t="s">
        <v>374</v>
      </c>
      <c r="B55" s="119" t="s">
        <v>376</v>
      </c>
      <c r="C55" s="120" t="s">
        <v>375</v>
      </c>
      <c r="D55" s="119" t="s">
        <v>767</v>
      </c>
      <c r="E55" s="113" t="s">
        <v>768</v>
      </c>
      <c r="F55" s="119" t="s">
        <v>769</v>
      </c>
      <c r="G55" s="119" t="s">
        <v>770</v>
      </c>
      <c r="H55" s="119" t="s">
        <v>771</v>
      </c>
      <c r="I55" s="119" t="s">
        <v>772</v>
      </c>
      <c r="J55" s="119" t="s">
        <v>773</v>
      </c>
      <c r="K55" s="119" t="s">
        <v>774</v>
      </c>
      <c r="L55" s="119" t="s">
        <v>775</v>
      </c>
      <c r="M55" s="119" t="s">
        <v>776</v>
      </c>
      <c r="N55" s="119" t="s">
        <v>876</v>
      </c>
      <c r="O55" s="119" t="s">
        <v>987</v>
      </c>
      <c r="P55" s="119" t="s">
        <v>981</v>
      </c>
      <c r="Q55" s="119" t="s">
        <v>904</v>
      </c>
      <c r="R55" s="119" t="s">
        <v>991</v>
      </c>
      <c r="S55" s="119" t="s">
        <v>775</v>
      </c>
      <c r="T55" s="121" t="s">
        <v>1012</v>
      </c>
      <c r="U55" s="121" t="s">
        <v>1013</v>
      </c>
      <c r="V55" s="121"/>
      <c r="W55" s="122" t="s">
        <v>783</v>
      </c>
      <c r="X55" s="122" t="s">
        <v>783</v>
      </c>
      <c r="Y55" s="122" t="s">
        <v>784</v>
      </c>
      <c r="Z55" s="123" t="s">
        <v>784</v>
      </c>
      <c r="AA55" s="123" t="s">
        <v>784</v>
      </c>
      <c r="AB55" s="123" t="s">
        <v>783</v>
      </c>
      <c r="AC55" s="123" t="s">
        <v>775</v>
      </c>
      <c r="AD55" s="123" t="s">
        <v>783</v>
      </c>
      <c r="AE55" s="123" t="s">
        <v>784</v>
      </c>
      <c r="AF55" s="123" t="s">
        <v>784</v>
      </c>
      <c r="AG55" s="123" t="s">
        <v>783</v>
      </c>
      <c r="AH55" s="123" t="s">
        <v>803</v>
      </c>
      <c r="AI55" s="123" t="s">
        <v>783</v>
      </c>
      <c r="AJ55" s="123" t="s">
        <v>783</v>
      </c>
      <c r="AK55" s="123" t="s">
        <v>784</v>
      </c>
      <c r="AL55" s="123" t="s">
        <v>784</v>
      </c>
      <c r="AM55" s="123"/>
      <c r="AN55" s="123"/>
      <c r="AO55" s="123"/>
      <c r="AP55" s="119"/>
      <c r="AQ55" s="119"/>
      <c r="AR55" s="119"/>
      <c r="AS55" s="119"/>
      <c r="AT55" s="119"/>
      <c r="AU55" s="119"/>
      <c r="AV55" s="119"/>
      <c r="AW55" s="119"/>
      <c r="AX55" s="119"/>
      <c r="AY55" s="119"/>
      <c r="AZ55" s="119"/>
      <c r="BA55" s="119" t="s">
        <v>1014</v>
      </c>
      <c r="BB55" s="119" t="s">
        <v>1015</v>
      </c>
      <c r="BC55" s="119" t="s">
        <v>1016</v>
      </c>
      <c r="BD55" s="119"/>
      <c r="BE55" s="119"/>
      <c r="BF55" s="119"/>
      <c r="BG55" s="119"/>
      <c r="BH55" s="119"/>
      <c r="BI55" s="119"/>
      <c r="BJ55" s="119"/>
      <c r="BK55" s="119"/>
      <c r="BL55" s="88"/>
      <c r="BM55" s="119"/>
      <c r="BN55" s="119"/>
    </row>
    <row r="56" ht="14.25" customHeight="1">
      <c r="A56" s="119" t="s">
        <v>377</v>
      </c>
      <c r="B56" s="119" t="s">
        <v>379</v>
      </c>
      <c r="C56" s="120" t="s">
        <v>378</v>
      </c>
      <c r="D56" s="119" t="s">
        <v>767</v>
      </c>
      <c r="E56" s="113" t="s">
        <v>768</v>
      </c>
      <c r="F56" s="119" t="s">
        <v>769</v>
      </c>
      <c r="G56" s="119" t="s">
        <v>770</v>
      </c>
      <c r="H56" s="119" t="s">
        <v>771</v>
      </c>
      <c r="I56" s="119" t="s">
        <v>772</v>
      </c>
      <c r="J56" s="119" t="s">
        <v>773</v>
      </c>
      <c r="K56" s="119" t="s">
        <v>774</v>
      </c>
      <c r="L56" s="119" t="s">
        <v>775</v>
      </c>
      <c r="M56" s="119" t="s">
        <v>776</v>
      </c>
      <c r="N56" s="119" t="s">
        <v>876</v>
      </c>
      <c r="O56" s="119" t="s">
        <v>987</v>
      </c>
      <c r="P56" s="119" t="s">
        <v>981</v>
      </c>
      <c r="Q56" s="119" t="s">
        <v>904</v>
      </c>
      <c r="R56" s="119" t="s">
        <v>991</v>
      </c>
      <c r="S56" s="119" t="s">
        <v>775</v>
      </c>
      <c r="T56" s="121" t="s">
        <v>1012</v>
      </c>
      <c r="U56" s="121" t="s">
        <v>1017</v>
      </c>
      <c r="V56" s="121"/>
      <c r="W56" s="122" t="s">
        <v>951</v>
      </c>
      <c r="X56" s="122" t="s">
        <v>783</v>
      </c>
      <c r="Y56" s="122" t="s">
        <v>784</v>
      </c>
      <c r="Z56" s="123" t="s">
        <v>783</v>
      </c>
      <c r="AA56" s="123" t="s">
        <v>784</v>
      </c>
      <c r="AB56" s="123" t="s">
        <v>783</v>
      </c>
      <c r="AC56" s="123" t="s">
        <v>775</v>
      </c>
      <c r="AD56" s="123" t="s">
        <v>784</v>
      </c>
      <c r="AE56" s="123" t="s">
        <v>784</v>
      </c>
      <c r="AF56" s="123" t="s">
        <v>784</v>
      </c>
      <c r="AG56" s="123" t="s">
        <v>783</v>
      </c>
      <c r="AH56" s="123" t="s">
        <v>784</v>
      </c>
      <c r="AI56" s="123" t="s">
        <v>775</v>
      </c>
      <c r="AJ56" s="123" t="s">
        <v>784</v>
      </c>
      <c r="AK56" s="123" t="s">
        <v>784</v>
      </c>
      <c r="AL56" s="123" t="s">
        <v>784</v>
      </c>
      <c r="AM56" s="123"/>
      <c r="AN56" s="123"/>
      <c r="AO56" s="123"/>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88"/>
      <c r="BM56" s="119"/>
      <c r="BN56" s="119"/>
    </row>
    <row r="57" ht="14.25" customHeight="1">
      <c r="A57" s="119" t="s">
        <v>380</v>
      </c>
      <c r="B57" s="119" t="s">
        <v>382</v>
      </c>
      <c r="C57" s="120" t="s">
        <v>381</v>
      </c>
      <c r="D57" s="119" t="s">
        <v>767</v>
      </c>
      <c r="E57" s="113" t="s">
        <v>768</v>
      </c>
      <c r="F57" s="119" t="s">
        <v>769</v>
      </c>
      <c r="G57" s="119" t="s">
        <v>770</v>
      </c>
      <c r="H57" s="119" t="s">
        <v>771</v>
      </c>
      <c r="I57" s="119" t="s">
        <v>772</v>
      </c>
      <c r="J57" s="119" t="s">
        <v>773</v>
      </c>
      <c r="K57" s="119" t="s">
        <v>774</v>
      </c>
      <c r="L57" s="119" t="s">
        <v>775</v>
      </c>
      <c r="M57" s="119" t="s">
        <v>776</v>
      </c>
      <c r="N57" s="119" t="s">
        <v>876</v>
      </c>
      <c r="O57" s="119" t="s">
        <v>987</v>
      </c>
      <c r="P57" s="119" t="s">
        <v>981</v>
      </c>
      <c r="Q57" s="119" t="s">
        <v>904</v>
      </c>
      <c r="R57" s="119" t="s">
        <v>991</v>
      </c>
      <c r="S57" s="119" t="s">
        <v>775</v>
      </c>
      <c r="T57" s="121" t="s">
        <v>1012</v>
      </c>
      <c r="U57" s="121" t="s">
        <v>1018</v>
      </c>
      <c r="V57" s="121"/>
      <c r="W57" s="122" t="s">
        <v>783</v>
      </c>
      <c r="X57" s="122" t="s">
        <v>783</v>
      </c>
      <c r="Y57" s="122" t="s">
        <v>783</v>
      </c>
      <c r="Z57" s="123" t="s">
        <v>784</v>
      </c>
      <c r="AA57" s="123" t="s">
        <v>783</v>
      </c>
      <c r="AB57" s="123" t="s">
        <v>783</v>
      </c>
      <c r="AC57" s="123" t="s">
        <v>775</v>
      </c>
      <c r="AD57" s="123" t="s">
        <v>783</v>
      </c>
      <c r="AE57" s="123" t="s">
        <v>783</v>
      </c>
      <c r="AF57" s="123" t="s">
        <v>784</v>
      </c>
      <c r="AG57" s="123" t="s">
        <v>775</v>
      </c>
      <c r="AH57" s="123" t="s">
        <v>784</v>
      </c>
      <c r="AI57" s="123" t="s">
        <v>783</v>
      </c>
      <c r="AJ57" s="123" t="s">
        <v>784</v>
      </c>
      <c r="AK57" s="123" t="s">
        <v>783</v>
      </c>
      <c r="AL57" s="123" t="s">
        <v>784</v>
      </c>
      <c r="AM57" s="123"/>
      <c r="AN57" s="123"/>
      <c r="AO57" s="123"/>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88"/>
      <c r="BM57" s="119"/>
      <c r="BN57" s="119"/>
    </row>
    <row r="58" ht="14.25" customHeight="1">
      <c r="A58" s="119" t="s">
        <v>332</v>
      </c>
      <c r="B58" s="132" t="s">
        <v>334</v>
      </c>
      <c r="C58" s="120" t="s">
        <v>333</v>
      </c>
      <c r="D58" s="119" t="s">
        <v>767</v>
      </c>
      <c r="E58" s="113" t="s">
        <v>768</v>
      </c>
      <c r="F58" s="119" t="s">
        <v>769</v>
      </c>
      <c r="G58" s="119" t="s">
        <v>770</v>
      </c>
      <c r="H58" s="119" t="s">
        <v>771</v>
      </c>
      <c r="I58" s="119" t="s">
        <v>772</v>
      </c>
      <c r="J58" s="119" t="s">
        <v>773</v>
      </c>
      <c r="K58" s="119" t="s">
        <v>774</v>
      </c>
      <c r="L58" s="119" t="s">
        <v>775</v>
      </c>
      <c r="M58" s="119" t="s">
        <v>776</v>
      </c>
      <c r="N58" s="119" t="s">
        <v>876</v>
      </c>
      <c r="O58" s="119" t="s">
        <v>1019</v>
      </c>
      <c r="P58" s="119" t="s">
        <v>1020</v>
      </c>
      <c r="Q58" s="119" t="s">
        <v>775</v>
      </c>
      <c r="R58" s="119" t="s">
        <v>775</v>
      </c>
      <c r="S58" s="119" t="s">
        <v>775</v>
      </c>
      <c r="T58" s="125" t="s">
        <v>1021</v>
      </c>
      <c r="U58" s="121" t="s">
        <v>1022</v>
      </c>
      <c r="V58" s="121"/>
      <c r="W58" s="122" t="s">
        <v>775</v>
      </c>
      <c r="X58" s="122" t="s">
        <v>783</v>
      </c>
      <c r="Y58" s="122" t="s">
        <v>783</v>
      </c>
      <c r="Z58" s="123" t="s">
        <v>783</v>
      </c>
      <c r="AA58" s="123" t="s">
        <v>783</v>
      </c>
      <c r="AB58" s="123" t="s">
        <v>783</v>
      </c>
      <c r="AC58" s="123" t="s">
        <v>775</v>
      </c>
      <c r="AD58" s="123" t="s">
        <v>783</v>
      </c>
      <c r="AE58" s="123" t="s">
        <v>783</v>
      </c>
      <c r="AF58" s="123" t="s">
        <v>775</v>
      </c>
      <c r="AG58" s="123" t="s">
        <v>783</v>
      </c>
      <c r="AH58" s="123" t="s">
        <v>803</v>
      </c>
      <c r="AI58" s="123" t="s">
        <v>775</v>
      </c>
      <c r="AJ58" s="123" t="s">
        <v>783</v>
      </c>
      <c r="AK58" s="123" t="s">
        <v>783</v>
      </c>
      <c r="AL58" s="123" t="s">
        <v>784</v>
      </c>
      <c r="AM58" s="123"/>
      <c r="AN58" s="123"/>
      <c r="AO58" s="123"/>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88"/>
      <c r="BM58" s="119"/>
      <c r="BN58" s="119"/>
    </row>
    <row r="59" ht="14.25" customHeight="1">
      <c r="A59" s="119" t="s">
        <v>311</v>
      </c>
      <c r="B59" s="119" t="s">
        <v>313</v>
      </c>
      <c r="C59" s="133" t="s">
        <v>312</v>
      </c>
      <c r="D59" s="119" t="s">
        <v>767</v>
      </c>
      <c r="E59" s="113" t="s">
        <v>1023</v>
      </c>
      <c r="F59" s="119" t="s">
        <v>769</v>
      </c>
      <c r="G59" s="119" t="s">
        <v>770</v>
      </c>
      <c r="H59" s="119" t="s">
        <v>771</v>
      </c>
      <c r="I59" s="119" t="s">
        <v>1024</v>
      </c>
      <c r="J59" s="130" t="s">
        <v>1025</v>
      </c>
      <c r="K59" s="119" t="s">
        <v>1026</v>
      </c>
      <c r="L59" s="119" t="s">
        <v>1027</v>
      </c>
      <c r="M59" s="119"/>
      <c r="N59" s="119" t="s">
        <v>775</v>
      </c>
      <c r="O59" s="119" t="s">
        <v>1028</v>
      </c>
      <c r="P59" s="119" t="s">
        <v>1029</v>
      </c>
      <c r="Q59" s="119" t="s">
        <v>775</v>
      </c>
      <c r="R59" s="119" t="s">
        <v>775</v>
      </c>
      <c r="S59" s="119" t="s">
        <v>775</v>
      </c>
      <c r="T59" s="121" t="s">
        <v>1030</v>
      </c>
      <c r="U59" s="121" t="s">
        <v>1031</v>
      </c>
      <c r="V59" s="121"/>
      <c r="W59" s="122" t="s">
        <v>775</v>
      </c>
      <c r="X59" s="122" t="s">
        <v>783</v>
      </c>
      <c r="Y59" s="122" t="s">
        <v>775</v>
      </c>
      <c r="Z59" s="123" t="s">
        <v>775</v>
      </c>
      <c r="AA59" s="123" t="s">
        <v>775</v>
      </c>
      <c r="AB59" s="123" t="s">
        <v>775</v>
      </c>
      <c r="AC59" s="123" t="s">
        <v>775</v>
      </c>
      <c r="AD59" s="123" t="s">
        <v>783</v>
      </c>
      <c r="AE59" s="123" t="s">
        <v>775</v>
      </c>
      <c r="AF59" s="123" t="s">
        <v>775</v>
      </c>
      <c r="AG59" s="123" t="s">
        <v>783</v>
      </c>
      <c r="AH59" s="123" t="s">
        <v>775</v>
      </c>
      <c r="AI59" s="123" t="s">
        <v>775</v>
      </c>
      <c r="AJ59" s="123" t="s">
        <v>775</v>
      </c>
      <c r="AK59" s="123" t="s">
        <v>783</v>
      </c>
      <c r="AL59" s="123" t="s">
        <v>775</v>
      </c>
      <c r="AM59" s="123"/>
      <c r="AN59" s="123"/>
      <c r="AO59" s="123"/>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t="s">
        <v>938</v>
      </c>
      <c r="BM59" s="119"/>
      <c r="BN59" s="119"/>
    </row>
    <row r="60" ht="14.25" customHeight="1">
      <c r="A60" s="119" t="s">
        <v>146</v>
      </c>
      <c r="B60" s="119" t="s">
        <v>148</v>
      </c>
      <c r="C60" s="120" t="s">
        <v>147</v>
      </c>
      <c r="D60" s="119" t="s">
        <v>767</v>
      </c>
      <c r="E60" s="113"/>
      <c r="F60" s="119" t="s">
        <v>903</v>
      </c>
      <c r="G60" s="119" t="s">
        <v>961</v>
      </c>
      <c r="H60" s="119" t="s">
        <v>775</v>
      </c>
      <c r="I60" s="119" t="s">
        <v>962</v>
      </c>
      <c r="J60" s="119" t="s">
        <v>963</v>
      </c>
      <c r="K60" s="119" t="s">
        <v>852</v>
      </c>
      <c r="L60" s="119" t="s">
        <v>787</v>
      </c>
      <c r="M60" s="119"/>
      <c r="N60" s="119" t="s">
        <v>775</v>
      </c>
      <c r="O60" s="119" t="s">
        <v>1032</v>
      </c>
      <c r="P60" s="119" t="s">
        <v>1033</v>
      </c>
      <c r="Q60" s="119" t="s">
        <v>775</v>
      </c>
      <c r="R60" s="119" t="s">
        <v>775</v>
      </c>
      <c r="S60" s="119" t="s">
        <v>775</v>
      </c>
      <c r="T60" s="121" t="s">
        <v>1034</v>
      </c>
      <c r="U60" s="121" t="s">
        <v>1035</v>
      </c>
      <c r="V60" s="121"/>
      <c r="W60" s="122" t="s">
        <v>775</v>
      </c>
      <c r="X60" s="122" t="s">
        <v>775</v>
      </c>
      <c r="Y60" s="122" t="s">
        <v>775</v>
      </c>
      <c r="Z60" s="123" t="s">
        <v>775</v>
      </c>
      <c r="AA60" s="123" t="s">
        <v>775</v>
      </c>
      <c r="AB60" s="123" t="s">
        <v>775</v>
      </c>
      <c r="AC60" s="123" t="s">
        <v>775</v>
      </c>
      <c r="AD60" s="123" t="s">
        <v>775</v>
      </c>
      <c r="AE60" s="123" t="s">
        <v>775</v>
      </c>
      <c r="AF60" s="123" t="s">
        <v>782</v>
      </c>
      <c r="AG60" s="123" t="s">
        <v>775</v>
      </c>
      <c r="AH60" s="123" t="s">
        <v>775</v>
      </c>
      <c r="AI60" s="123" t="s">
        <v>775</v>
      </c>
      <c r="AJ60" s="123" t="s">
        <v>775</v>
      </c>
      <c r="AK60" s="123" t="s">
        <v>775</v>
      </c>
      <c r="AL60" s="123" t="s">
        <v>775</v>
      </c>
      <c r="AM60" s="123"/>
      <c r="AN60" s="123"/>
      <c r="AO60" s="123"/>
      <c r="AP60" s="119"/>
      <c r="AQ60" s="119"/>
      <c r="AR60" s="119"/>
      <c r="AS60" s="119"/>
      <c r="AT60" s="119"/>
      <c r="AU60" s="119" t="s">
        <v>1036</v>
      </c>
      <c r="AV60" s="119"/>
      <c r="AW60" s="119" t="s">
        <v>826</v>
      </c>
      <c r="AX60" s="119" t="s">
        <v>1037</v>
      </c>
      <c r="AY60" s="119" t="s">
        <v>1038</v>
      </c>
      <c r="AZ60" s="119" t="s">
        <v>1039</v>
      </c>
      <c r="BA60" s="119"/>
      <c r="BB60" s="119"/>
      <c r="BC60" s="119"/>
      <c r="BD60" s="119"/>
      <c r="BE60" s="119"/>
      <c r="BF60" s="119"/>
      <c r="BG60" s="119"/>
      <c r="BH60" s="119"/>
      <c r="BI60" s="119"/>
      <c r="BJ60" s="119"/>
      <c r="BK60" s="119"/>
      <c r="BL60" s="119" t="s">
        <v>806</v>
      </c>
      <c r="BM60" s="119"/>
      <c r="BN60" s="119"/>
    </row>
    <row r="61" ht="14.25" customHeight="1">
      <c r="A61" s="119" t="s">
        <v>233</v>
      </c>
      <c r="B61" s="119" t="s">
        <v>235</v>
      </c>
      <c r="C61" s="120" t="s">
        <v>234</v>
      </c>
      <c r="D61" s="119" t="s">
        <v>767</v>
      </c>
      <c r="E61" s="113" t="s">
        <v>768</v>
      </c>
      <c r="F61" s="119" t="s">
        <v>769</v>
      </c>
      <c r="G61" s="119" t="s">
        <v>770</v>
      </c>
      <c r="H61" s="119" t="s">
        <v>771</v>
      </c>
      <c r="I61" s="119" t="s">
        <v>772</v>
      </c>
      <c r="J61" s="119" t="s">
        <v>773</v>
      </c>
      <c r="K61" s="119" t="s">
        <v>774</v>
      </c>
      <c r="L61" s="119" t="s">
        <v>775</v>
      </c>
      <c r="M61" s="119" t="s">
        <v>776</v>
      </c>
      <c r="N61" s="119" t="s">
        <v>876</v>
      </c>
      <c r="O61" s="119" t="s">
        <v>1019</v>
      </c>
      <c r="P61" s="119" t="s">
        <v>1040</v>
      </c>
      <c r="Q61" s="119" t="s">
        <v>775</v>
      </c>
      <c r="R61" s="119" t="s">
        <v>775</v>
      </c>
      <c r="S61" s="119" t="s">
        <v>775</v>
      </c>
      <c r="T61" s="121" t="s">
        <v>1041</v>
      </c>
      <c r="U61" s="121" t="s">
        <v>1042</v>
      </c>
      <c r="V61" s="121"/>
      <c r="W61" s="122" t="s">
        <v>782</v>
      </c>
      <c r="X61" s="122" t="s">
        <v>783</v>
      </c>
      <c r="Y61" s="122" t="s">
        <v>784</v>
      </c>
      <c r="Z61" s="123" t="s">
        <v>784</v>
      </c>
      <c r="AA61" s="123" t="s">
        <v>784</v>
      </c>
      <c r="AB61" s="123" t="s">
        <v>783</v>
      </c>
      <c r="AC61" s="123" t="s">
        <v>775</v>
      </c>
      <c r="AD61" s="123" t="s">
        <v>783</v>
      </c>
      <c r="AE61" s="123" t="s">
        <v>784</v>
      </c>
      <c r="AF61" s="123" t="s">
        <v>775</v>
      </c>
      <c r="AG61" s="123" t="s">
        <v>783</v>
      </c>
      <c r="AH61" s="123" t="s">
        <v>784</v>
      </c>
      <c r="AI61" s="123" t="s">
        <v>775</v>
      </c>
      <c r="AJ61" s="123" t="s">
        <v>784</v>
      </c>
      <c r="AK61" s="123" t="s">
        <v>784</v>
      </c>
      <c r="AL61" s="123" t="s">
        <v>784</v>
      </c>
      <c r="AM61" s="123"/>
      <c r="AN61" s="123"/>
      <c r="AO61" s="123"/>
      <c r="AP61" s="119"/>
      <c r="AQ61" s="119"/>
      <c r="AR61" s="119"/>
      <c r="AS61" s="119"/>
      <c r="AT61" s="119"/>
      <c r="AU61" s="119"/>
      <c r="AV61" s="119"/>
      <c r="AW61" s="119"/>
      <c r="AX61" s="119"/>
      <c r="AY61" s="119" t="s">
        <v>1043</v>
      </c>
      <c r="AZ61" s="119"/>
      <c r="BA61" s="119" t="s">
        <v>1044</v>
      </c>
      <c r="BB61" s="119" t="s">
        <v>796</v>
      </c>
      <c r="BC61" s="119"/>
      <c r="BD61" s="119"/>
      <c r="BE61" s="119"/>
      <c r="BF61" s="119"/>
      <c r="BG61" s="119"/>
      <c r="BH61" s="119"/>
      <c r="BI61" s="119"/>
      <c r="BJ61" s="119"/>
      <c r="BK61" s="119"/>
      <c r="BL61" s="88"/>
      <c r="BM61" s="119"/>
      <c r="BN61" s="119"/>
    </row>
    <row r="62" ht="14.25" customHeight="1">
      <c r="A62" s="119" t="s">
        <v>212</v>
      </c>
      <c r="B62" s="119" t="s">
        <v>214</v>
      </c>
      <c r="C62" s="120" t="s">
        <v>213</v>
      </c>
      <c r="D62" s="119" t="s">
        <v>767</v>
      </c>
      <c r="E62" s="113" t="s">
        <v>768</v>
      </c>
      <c r="F62" s="119" t="s">
        <v>769</v>
      </c>
      <c r="G62" s="119" t="s">
        <v>770</v>
      </c>
      <c r="H62" s="119" t="s">
        <v>771</v>
      </c>
      <c r="I62" s="119" t="s">
        <v>772</v>
      </c>
      <c r="J62" s="119" t="s">
        <v>773</v>
      </c>
      <c r="K62" s="119" t="s">
        <v>774</v>
      </c>
      <c r="L62" s="119" t="s">
        <v>775</v>
      </c>
      <c r="M62" s="119" t="s">
        <v>776</v>
      </c>
      <c r="N62" s="119" t="s">
        <v>876</v>
      </c>
      <c r="O62" s="119" t="s">
        <v>877</v>
      </c>
      <c r="P62" s="119" t="s">
        <v>986</v>
      </c>
      <c r="Q62" s="119" t="s">
        <v>775</v>
      </c>
      <c r="R62" s="119" t="s">
        <v>775</v>
      </c>
      <c r="S62" s="119" t="s">
        <v>775</v>
      </c>
      <c r="T62" s="125" t="s">
        <v>1045</v>
      </c>
      <c r="U62" s="121" t="s">
        <v>1046</v>
      </c>
      <c r="V62" s="121"/>
      <c r="W62" s="122" t="s">
        <v>783</v>
      </c>
      <c r="X62" s="122" t="s">
        <v>783</v>
      </c>
      <c r="Y62" s="122" t="s">
        <v>783</v>
      </c>
      <c r="Z62" s="123" t="s">
        <v>783</v>
      </c>
      <c r="AA62" s="123" t="s">
        <v>783</v>
      </c>
      <c r="AB62" s="123" t="s">
        <v>783</v>
      </c>
      <c r="AC62" s="123" t="s">
        <v>775</v>
      </c>
      <c r="AD62" s="123" t="s">
        <v>783</v>
      </c>
      <c r="AE62" s="123" t="s">
        <v>783</v>
      </c>
      <c r="AF62" s="123" t="s">
        <v>775</v>
      </c>
      <c r="AG62" s="123" t="s">
        <v>783</v>
      </c>
      <c r="AH62" s="123" t="s">
        <v>783</v>
      </c>
      <c r="AI62" s="123" t="s">
        <v>783</v>
      </c>
      <c r="AJ62" s="123" t="s">
        <v>783</v>
      </c>
      <c r="AK62" s="123" t="s">
        <v>783</v>
      </c>
      <c r="AL62" s="123" t="s">
        <v>803</v>
      </c>
      <c r="AM62" s="123"/>
      <c r="AN62" s="123"/>
      <c r="AO62" s="123"/>
      <c r="AP62" s="119"/>
      <c r="AQ62" s="119"/>
      <c r="AR62" s="119"/>
      <c r="AS62" s="119"/>
      <c r="AT62" s="119"/>
      <c r="AU62" s="119"/>
      <c r="AV62" s="119"/>
      <c r="AW62" s="119"/>
      <c r="AX62" s="119"/>
      <c r="AY62" s="119"/>
      <c r="AZ62" s="119"/>
      <c r="BA62" s="119"/>
      <c r="BB62" s="119" t="s">
        <v>1047</v>
      </c>
      <c r="BC62" s="119"/>
      <c r="BD62" s="119"/>
      <c r="BE62" s="119"/>
      <c r="BF62" s="119"/>
      <c r="BG62" s="119"/>
      <c r="BH62" s="119"/>
      <c r="BI62" s="119"/>
      <c r="BJ62" s="119"/>
      <c r="BK62" s="119"/>
      <c r="BL62" s="88"/>
      <c r="BM62" s="119"/>
      <c r="BN62" s="119"/>
    </row>
    <row r="63" ht="14.25" customHeight="1">
      <c r="A63" s="119" t="s">
        <v>215</v>
      </c>
      <c r="B63" s="119" t="s">
        <v>217</v>
      </c>
      <c r="C63" s="120" t="s">
        <v>216</v>
      </c>
      <c r="D63" s="119" t="s">
        <v>767</v>
      </c>
      <c r="E63" s="113" t="s">
        <v>768</v>
      </c>
      <c r="F63" s="119" t="s">
        <v>769</v>
      </c>
      <c r="G63" s="119" t="s">
        <v>770</v>
      </c>
      <c r="H63" s="119" t="s">
        <v>771</v>
      </c>
      <c r="I63" s="119" t="s">
        <v>772</v>
      </c>
      <c r="J63" s="119" t="s">
        <v>773</v>
      </c>
      <c r="K63" s="119" t="s">
        <v>774</v>
      </c>
      <c r="L63" s="119" t="s">
        <v>775</v>
      </c>
      <c r="M63" s="119" t="s">
        <v>776</v>
      </c>
      <c r="N63" s="119" t="s">
        <v>876</v>
      </c>
      <c r="O63" s="119" t="s">
        <v>877</v>
      </c>
      <c r="P63" s="119" t="s">
        <v>986</v>
      </c>
      <c r="Q63" s="119" t="s">
        <v>1048</v>
      </c>
      <c r="R63" s="119" t="s">
        <v>775</v>
      </c>
      <c r="S63" s="119" t="s">
        <v>775</v>
      </c>
      <c r="T63" s="121" t="s">
        <v>1045</v>
      </c>
      <c r="U63" s="121" t="s">
        <v>1049</v>
      </c>
      <c r="V63" s="121"/>
      <c r="W63" s="122" t="s">
        <v>783</v>
      </c>
      <c r="X63" s="122" t="s">
        <v>783</v>
      </c>
      <c r="Y63" s="122" t="s">
        <v>784</v>
      </c>
      <c r="Z63" s="123" t="s">
        <v>784</v>
      </c>
      <c r="AA63" s="123" t="s">
        <v>784</v>
      </c>
      <c r="AB63" s="123" t="s">
        <v>784</v>
      </c>
      <c r="AC63" s="123" t="s">
        <v>775</v>
      </c>
      <c r="AD63" s="123" t="s">
        <v>784</v>
      </c>
      <c r="AE63" s="123" t="s">
        <v>784</v>
      </c>
      <c r="AF63" s="123" t="s">
        <v>782</v>
      </c>
      <c r="AG63" s="123" t="s">
        <v>783</v>
      </c>
      <c r="AH63" s="123" t="s">
        <v>784</v>
      </c>
      <c r="AI63" s="123" t="s">
        <v>783</v>
      </c>
      <c r="AJ63" s="123" t="s">
        <v>784</v>
      </c>
      <c r="AK63" s="123" t="s">
        <v>784</v>
      </c>
      <c r="AL63" s="123" t="s">
        <v>784</v>
      </c>
      <c r="AM63" s="123"/>
      <c r="AN63" s="123"/>
      <c r="AO63" s="123"/>
      <c r="AP63" s="119"/>
      <c r="AQ63" s="119"/>
      <c r="AR63" s="119"/>
      <c r="AS63" s="119"/>
      <c r="AT63" s="119"/>
      <c r="AU63" s="119" t="s">
        <v>1050</v>
      </c>
      <c r="AV63" s="119" t="s">
        <v>921</v>
      </c>
      <c r="AW63" s="119"/>
      <c r="AX63" s="119" t="s">
        <v>804</v>
      </c>
      <c r="AY63" s="119" t="s">
        <v>925</v>
      </c>
      <c r="AZ63" s="119" t="s">
        <v>883</v>
      </c>
      <c r="BA63" s="119" t="s">
        <v>1051</v>
      </c>
      <c r="BB63" s="119" t="s">
        <v>1052</v>
      </c>
      <c r="BC63" s="119" t="s">
        <v>1053</v>
      </c>
      <c r="BD63" s="119"/>
      <c r="BE63" s="119"/>
      <c r="BF63" s="119"/>
      <c r="BG63" s="119"/>
      <c r="BH63" s="119"/>
      <c r="BI63" s="119"/>
      <c r="BJ63" s="119"/>
      <c r="BK63" s="119"/>
      <c r="BL63" s="88"/>
      <c r="BM63" s="119"/>
      <c r="BN63" s="119"/>
    </row>
    <row r="64" ht="14.25" customHeight="1">
      <c r="A64" s="119" t="s">
        <v>218</v>
      </c>
      <c r="B64" s="119" t="s">
        <v>220</v>
      </c>
      <c r="C64" s="120" t="s">
        <v>219</v>
      </c>
      <c r="D64" s="119" t="s">
        <v>767</v>
      </c>
      <c r="E64" s="113" t="s">
        <v>768</v>
      </c>
      <c r="F64" s="119" t="s">
        <v>769</v>
      </c>
      <c r="G64" s="119" t="s">
        <v>770</v>
      </c>
      <c r="H64" s="119" t="s">
        <v>771</v>
      </c>
      <c r="I64" s="119" t="s">
        <v>772</v>
      </c>
      <c r="J64" s="119" t="s">
        <v>773</v>
      </c>
      <c r="K64" s="119" t="s">
        <v>774</v>
      </c>
      <c r="L64" s="119" t="s">
        <v>775</v>
      </c>
      <c r="M64" s="119" t="s">
        <v>776</v>
      </c>
      <c r="N64" s="119" t="s">
        <v>876</v>
      </c>
      <c r="O64" s="119" t="s">
        <v>877</v>
      </c>
      <c r="P64" s="119" t="s">
        <v>986</v>
      </c>
      <c r="Q64" s="119" t="s">
        <v>1048</v>
      </c>
      <c r="R64" s="119" t="s">
        <v>775</v>
      </c>
      <c r="S64" s="119" t="s">
        <v>775</v>
      </c>
      <c r="T64" s="121" t="s">
        <v>1045</v>
      </c>
      <c r="U64" s="121" t="s">
        <v>1054</v>
      </c>
      <c r="V64" s="121"/>
      <c r="W64" s="122" t="s">
        <v>783</v>
      </c>
      <c r="X64" s="122" t="s">
        <v>783</v>
      </c>
      <c r="Y64" s="122" t="s">
        <v>783</v>
      </c>
      <c r="Z64" s="123" t="s">
        <v>783</v>
      </c>
      <c r="AA64" s="123" t="s">
        <v>783</v>
      </c>
      <c r="AB64" s="123" t="s">
        <v>783</v>
      </c>
      <c r="AC64" s="123" t="s">
        <v>775</v>
      </c>
      <c r="AD64" s="123" t="s">
        <v>783</v>
      </c>
      <c r="AE64" s="123" t="s">
        <v>783</v>
      </c>
      <c r="AF64" s="123" t="s">
        <v>775</v>
      </c>
      <c r="AG64" s="123" t="s">
        <v>783</v>
      </c>
      <c r="AH64" s="123" t="s">
        <v>783</v>
      </c>
      <c r="AI64" s="123" t="s">
        <v>783</v>
      </c>
      <c r="AJ64" s="123" t="s">
        <v>783</v>
      </c>
      <c r="AK64" s="123" t="s">
        <v>783</v>
      </c>
      <c r="AL64" s="123" t="s">
        <v>783</v>
      </c>
      <c r="AM64" s="123"/>
      <c r="AN64" s="123"/>
      <c r="AO64" s="123"/>
      <c r="AP64" s="119"/>
      <c r="AQ64" s="119"/>
      <c r="AR64" s="119"/>
      <c r="AS64" s="119"/>
      <c r="AT64" s="119"/>
      <c r="AU64" s="119"/>
      <c r="AV64" s="119"/>
      <c r="AW64" s="119"/>
      <c r="AX64" s="119"/>
      <c r="AY64" s="119"/>
      <c r="AZ64" s="119"/>
      <c r="BA64" s="119"/>
      <c r="BB64" s="119" t="s">
        <v>1008</v>
      </c>
      <c r="BC64" s="119"/>
      <c r="BD64" s="119"/>
      <c r="BE64" s="119"/>
      <c r="BF64" s="127" t="s">
        <v>774</v>
      </c>
      <c r="BG64" s="119">
        <f>countif(tax.class,concatenate("*",BF64,"*"))</f>
        <v>90</v>
      </c>
      <c r="BH64" s="124" t="str">
        <f>BG64/BG67</f>
        <v>#DIV/0!</v>
      </c>
      <c r="BI64" s="128"/>
      <c r="BJ64" s="128"/>
      <c r="BK64" s="124"/>
      <c r="BL64" s="88"/>
      <c r="BM64" s="124"/>
      <c r="BN64" s="119"/>
    </row>
    <row r="65" ht="14.25" customHeight="1">
      <c r="A65" s="119" t="s">
        <v>371</v>
      </c>
      <c r="B65" s="119" t="s">
        <v>373</v>
      </c>
      <c r="C65" s="120" t="s">
        <v>372</v>
      </c>
      <c r="D65" s="119" t="s">
        <v>767</v>
      </c>
      <c r="E65" s="113" t="s">
        <v>768</v>
      </c>
      <c r="F65" s="119" t="s">
        <v>769</v>
      </c>
      <c r="G65" s="119" t="s">
        <v>770</v>
      </c>
      <c r="H65" s="119" t="s">
        <v>771</v>
      </c>
      <c r="I65" s="119" t="s">
        <v>772</v>
      </c>
      <c r="J65" s="119" t="s">
        <v>773</v>
      </c>
      <c r="K65" s="119" t="s">
        <v>774</v>
      </c>
      <c r="L65" s="119" t="s">
        <v>775</v>
      </c>
      <c r="M65" s="119" t="s">
        <v>776</v>
      </c>
      <c r="N65" s="119" t="s">
        <v>876</v>
      </c>
      <c r="O65" s="119" t="s">
        <v>877</v>
      </c>
      <c r="P65" s="119" t="s">
        <v>986</v>
      </c>
      <c r="Q65" s="119" t="s">
        <v>1044</v>
      </c>
      <c r="R65" s="119" t="s">
        <v>775</v>
      </c>
      <c r="S65" s="119" t="s">
        <v>775</v>
      </c>
      <c r="T65" s="121" t="s">
        <v>1055</v>
      </c>
      <c r="U65" s="121" t="s">
        <v>1056</v>
      </c>
      <c r="V65" s="121"/>
      <c r="W65" s="122" t="s">
        <v>784</v>
      </c>
      <c r="X65" s="122" t="s">
        <v>783</v>
      </c>
      <c r="Y65" s="122" t="s">
        <v>784</v>
      </c>
      <c r="Z65" s="123" t="s">
        <v>784</v>
      </c>
      <c r="AA65" s="123" t="s">
        <v>784</v>
      </c>
      <c r="AB65" s="123" t="s">
        <v>784</v>
      </c>
      <c r="AC65" s="123" t="s">
        <v>775</v>
      </c>
      <c r="AD65" s="123" t="s">
        <v>784</v>
      </c>
      <c r="AE65" s="123" t="s">
        <v>784</v>
      </c>
      <c r="AF65" s="123" t="s">
        <v>775</v>
      </c>
      <c r="AG65" s="123" t="s">
        <v>783</v>
      </c>
      <c r="AH65" s="123" t="s">
        <v>784</v>
      </c>
      <c r="AI65" s="123" t="s">
        <v>784</v>
      </c>
      <c r="AJ65" s="123" t="s">
        <v>783</v>
      </c>
      <c r="AK65" s="123" t="s">
        <v>784</v>
      </c>
      <c r="AL65" s="123" t="s">
        <v>784</v>
      </c>
      <c r="AM65" s="123"/>
      <c r="AN65" s="123"/>
      <c r="AO65" s="123"/>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88"/>
      <c r="BM65" s="119"/>
      <c r="BN65" s="119"/>
    </row>
    <row r="66" ht="14.25" customHeight="1">
      <c r="A66" s="119" t="s">
        <v>254</v>
      </c>
      <c r="B66" s="119" t="s">
        <v>256</v>
      </c>
      <c r="C66" s="120" t="s">
        <v>255</v>
      </c>
      <c r="D66" s="119" t="s">
        <v>767</v>
      </c>
      <c r="E66" s="113"/>
      <c r="F66" s="119" t="s">
        <v>769</v>
      </c>
      <c r="G66" s="119" t="s">
        <v>860</v>
      </c>
      <c r="H66" s="119" t="s">
        <v>775</v>
      </c>
      <c r="I66" s="119" t="s">
        <v>785</v>
      </c>
      <c r="J66" s="119" t="s">
        <v>861</v>
      </c>
      <c r="K66" s="119" t="s">
        <v>862</v>
      </c>
      <c r="L66" s="119" t="s">
        <v>775</v>
      </c>
      <c r="M66" s="119"/>
      <c r="N66" s="119" t="s">
        <v>775</v>
      </c>
      <c r="O66" s="119" t="s">
        <v>863</v>
      </c>
      <c r="P66" s="119" t="s">
        <v>886</v>
      </c>
      <c r="Q66" s="119" t="s">
        <v>775</v>
      </c>
      <c r="R66" s="119" t="s">
        <v>775</v>
      </c>
      <c r="S66" s="119" t="s">
        <v>775</v>
      </c>
      <c r="T66" s="121" t="s">
        <v>1057</v>
      </c>
      <c r="U66" s="121" t="s">
        <v>1058</v>
      </c>
      <c r="V66" s="121"/>
      <c r="W66" s="122" t="s">
        <v>775</v>
      </c>
      <c r="X66" s="122" t="s">
        <v>775</v>
      </c>
      <c r="Y66" s="122" t="s">
        <v>775</v>
      </c>
      <c r="Z66" s="123" t="s">
        <v>775</v>
      </c>
      <c r="AA66" s="123" t="s">
        <v>775</v>
      </c>
      <c r="AB66" s="123" t="s">
        <v>775</v>
      </c>
      <c r="AC66" s="123" t="s">
        <v>775</v>
      </c>
      <c r="AD66" s="123" t="s">
        <v>775</v>
      </c>
      <c r="AE66" s="123" t="s">
        <v>775</v>
      </c>
      <c r="AF66" s="123" t="s">
        <v>775</v>
      </c>
      <c r="AG66" s="123" t="s">
        <v>775</v>
      </c>
      <c r="AH66" s="123" t="s">
        <v>775</v>
      </c>
      <c r="AI66" s="123" t="s">
        <v>775</v>
      </c>
      <c r="AJ66" s="123" t="s">
        <v>775</v>
      </c>
      <c r="AK66" s="123" t="s">
        <v>775</v>
      </c>
      <c r="AL66" s="123" t="s">
        <v>775</v>
      </c>
      <c r="AM66" s="123"/>
      <c r="AN66" s="123"/>
      <c r="AO66" s="123"/>
      <c r="AP66" s="119"/>
      <c r="AQ66" s="119"/>
      <c r="AR66" s="119"/>
      <c r="AS66" s="119"/>
      <c r="AT66" s="119"/>
      <c r="AU66" s="119"/>
      <c r="AV66" s="119"/>
      <c r="AW66" s="119"/>
      <c r="AX66" s="119"/>
      <c r="AY66" s="119" t="s">
        <v>941</v>
      </c>
      <c r="AZ66" s="119" t="s">
        <v>881</v>
      </c>
      <c r="BA66" s="119" t="s">
        <v>1059</v>
      </c>
      <c r="BB66" s="119" t="s">
        <v>1060</v>
      </c>
      <c r="BC66" s="119"/>
      <c r="BD66" s="119"/>
      <c r="BE66" s="119"/>
      <c r="BF66" s="119"/>
      <c r="BG66" s="119"/>
      <c r="BH66" s="119"/>
      <c r="BI66" s="119"/>
      <c r="BJ66" s="119"/>
      <c r="BK66" s="119"/>
      <c r="BL66" s="119" t="s">
        <v>926</v>
      </c>
      <c r="BM66" s="119"/>
      <c r="BN66" s="119"/>
    </row>
    <row r="67" ht="14.25" customHeight="1">
      <c r="A67" s="119" t="s">
        <v>257</v>
      </c>
      <c r="B67" s="119" t="s">
        <v>256</v>
      </c>
      <c r="C67" s="120" t="s">
        <v>258</v>
      </c>
      <c r="D67" s="119" t="s">
        <v>767</v>
      </c>
      <c r="E67" s="113"/>
      <c r="F67" s="119" t="s">
        <v>769</v>
      </c>
      <c r="G67" s="119" t="s">
        <v>860</v>
      </c>
      <c r="H67" s="119" t="s">
        <v>775</v>
      </c>
      <c r="I67" s="119" t="s">
        <v>785</v>
      </c>
      <c r="J67" s="119" t="s">
        <v>861</v>
      </c>
      <c r="K67" s="119" t="s">
        <v>862</v>
      </c>
      <c r="L67" s="119" t="s">
        <v>775</v>
      </c>
      <c r="M67" s="119"/>
      <c r="N67" s="119" t="s">
        <v>775</v>
      </c>
      <c r="O67" s="119" t="s">
        <v>863</v>
      </c>
      <c r="P67" s="119" t="s">
        <v>886</v>
      </c>
      <c r="Q67" s="119" t="s">
        <v>775</v>
      </c>
      <c r="R67" s="119" t="s">
        <v>775</v>
      </c>
      <c r="S67" s="119" t="s">
        <v>775</v>
      </c>
      <c r="T67" s="121" t="s">
        <v>1057</v>
      </c>
      <c r="U67" s="121" t="s">
        <v>1061</v>
      </c>
      <c r="V67" s="121"/>
      <c r="W67" s="122" t="s">
        <v>775</v>
      </c>
      <c r="X67" s="122" t="s">
        <v>775</v>
      </c>
      <c r="Y67" s="122" t="s">
        <v>775</v>
      </c>
      <c r="Z67" s="123" t="s">
        <v>775</v>
      </c>
      <c r="AA67" s="123" t="s">
        <v>775</v>
      </c>
      <c r="AB67" s="123" t="s">
        <v>775</v>
      </c>
      <c r="AC67" s="123" t="s">
        <v>775</v>
      </c>
      <c r="AD67" s="123" t="s">
        <v>775</v>
      </c>
      <c r="AE67" s="123" t="s">
        <v>775</v>
      </c>
      <c r="AF67" s="123" t="s">
        <v>775</v>
      </c>
      <c r="AG67" s="123" t="s">
        <v>775</v>
      </c>
      <c r="AH67" s="123" t="s">
        <v>775</v>
      </c>
      <c r="AI67" s="123" t="s">
        <v>775</v>
      </c>
      <c r="AJ67" s="123" t="s">
        <v>775</v>
      </c>
      <c r="AK67" s="123" t="s">
        <v>775</v>
      </c>
      <c r="AL67" s="123" t="s">
        <v>775</v>
      </c>
      <c r="AM67" s="123"/>
      <c r="AN67" s="123"/>
      <c r="AO67" s="123"/>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t="s">
        <v>934</v>
      </c>
      <c r="BM67" s="119"/>
      <c r="BN67" s="119"/>
    </row>
    <row r="68" ht="14.25" customHeight="1">
      <c r="A68" s="119" t="s">
        <v>264</v>
      </c>
      <c r="B68" s="119" t="s">
        <v>266</v>
      </c>
      <c r="C68" s="120" t="s">
        <v>265</v>
      </c>
      <c r="D68" s="119" t="s">
        <v>767</v>
      </c>
      <c r="E68" s="113" t="s">
        <v>768</v>
      </c>
      <c r="F68" s="119" t="s">
        <v>769</v>
      </c>
      <c r="G68" s="119" t="s">
        <v>770</v>
      </c>
      <c r="H68" s="119" t="s">
        <v>771</v>
      </c>
      <c r="I68" s="119" t="s">
        <v>772</v>
      </c>
      <c r="J68" s="119" t="s">
        <v>773</v>
      </c>
      <c r="K68" s="119" t="s">
        <v>774</v>
      </c>
      <c r="L68" s="119" t="s">
        <v>775</v>
      </c>
      <c r="M68" s="119" t="s">
        <v>815</v>
      </c>
      <c r="N68" s="119" t="s">
        <v>1037</v>
      </c>
      <c r="O68" s="119" t="s">
        <v>1038</v>
      </c>
      <c r="P68" s="119" t="s">
        <v>1039</v>
      </c>
      <c r="Q68" s="119" t="s">
        <v>775</v>
      </c>
      <c r="R68" s="119" t="s">
        <v>775</v>
      </c>
      <c r="S68" s="119" t="s">
        <v>775</v>
      </c>
      <c r="T68" s="121" t="s">
        <v>1062</v>
      </c>
      <c r="U68" s="121" t="s">
        <v>1063</v>
      </c>
      <c r="V68" s="121"/>
      <c r="W68" s="122" t="s">
        <v>775</v>
      </c>
      <c r="X68" s="122" t="s">
        <v>783</v>
      </c>
      <c r="Y68" s="122" t="s">
        <v>784</v>
      </c>
      <c r="Z68" s="123" t="s">
        <v>783</v>
      </c>
      <c r="AA68" s="123" t="s">
        <v>784</v>
      </c>
      <c r="AB68" s="123" t="s">
        <v>783</v>
      </c>
      <c r="AC68" s="123" t="s">
        <v>775</v>
      </c>
      <c r="AD68" s="123" t="s">
        <v>783</v>
      </c>
      <c r="AE68" s="123" t="s">
        <v>783</v>
      </c>
      <c r="AF68" s="123" t="s">
        <v>775</v>
      </c>
      <c r="AG68" s="123" t="s">
        <v>783</v>
      </c>
      <c r="AH68" s="123" t="s">
        <v>784</v>
      </c>
      <c r="AI68" s="123" t="s">
        <v>775</v>
      </c>
      <c r="AJ68" s="123" t="s">
        <v>783</v>
      </c>
      <c r="AK68" s="123" t="s">
        <v>784</v>
      </c>
      <c r="AL68" s="123" t="s">
        <v>784</v>
      </c>
      <c r="AM68" s="123"/>
      <c r="AN68" s="123"/>
      <c r="AO68" s="123"/>
      <c r="AP68" s="119"/>
      <c r="AQ68" s="119"/>
      <c r="AR68" s="119"/>
      <c r="AS68" s="119"/>
      <c r="AT68" s="119"/>
      <c r="AU68" s="119"/>
      <c r="AV68" s="119" t="s">
        <v>1064</v>
      </c>
      <c r="AW68" s="119"/>
      <c r="AX68" s="119"/>
      <c r="AY68" s="119" t="s">
        <v>1065</v>
      </c>
      <c r="AZ68" s="119" t="s">
        <v>893</v>
      </c>
      <c r="BA68" s="119"/>
      <c r="BB68" s="119"/>
      <c r="BC68" s="119"/>
      <c r="BD68" s="119"/>
      <c r="BE68" s="119"/>
      <c r="BF68" s="119"/>
      <c r="BG68" s="119"/>
      <c r="BH68" s="119"/>
      <c r="BI68" s="119"/>
      <c r="BJ68" s="119"/>
      <c r="BK68" s="119"/>
      <c r="BL68" s="119" t="s">
        <v>981</v>
      </c>
      <c r="BM68" s="119"/>
      <c r="BN68" s="119"/>
    </row>
    <row r="69" ht="14.25" customHeight="1">
      <c r="A69" s="119" t="s">
        <v>194</v>
      </c>
      <c r="B69" s="119" t="s">
        <v>196</v>
      </c>
      <c r="C69" s="120" t="s">
        <v>195</v>
      </c>
      <c r="D69" s="119" t="s">
        <v>767</v>
      </c>
      <c r="E69" s="113" t="s">
        <v>768</v>
      </c>
      <c r="F69" s="119" t="s">
        <v>769</v>
      </c>
      <c r="G69" s="119" t="s">
        <v>770</v>
      </c>
      <c r="H69" s="119" t="s">
        <v>771</v>
      </c>
      <c r="I69" s="119" t="s">
        <v>772</v>
      </c>
      <c r="J69" s="119" t="s">
        <v>773</v>
      </c>
      <c r="K69" s="119" t="s">
        <v>774</v>
      </c>
      <c r="L69" s="119" t="s">
        <v>775</v>
      </c>
      <c r="M69" s="119" t="s">
        <v>776</v>
      </c>
      <c r="N69" s="119" t="s">
        <v>876</v>
      </c>
      <c r="O69" s="119" t="s">
        <v>877</v>
      </c>
      <c r="P69" s="119" t="s">
        <v>867</v>
      </c>
      <c r="Q69" s="119" t="s">
        <v>892</v>
      </c>
      <c r="R69" s="119" t="s">
        <v>1066</v>
      </c>
      <c r="S69" s="119" t="s">
        <v>775</v>
      </c>
      <c r="T69" s="121" t="s">
        <v>1067</v>
      </c>
      <c r="U69" s="121" t="s">
        <v>1068</v>
      </c>
      <c r="V69" s="121"/>
      <c r="W69" s="122" t="s">
        <v>783</v>
      </c>
      <c r="X69" s="122" t="s">
        <v>783</v>
      </c>
      <c r="Y69" s="122" t="s">
        <v>784</v>
      </c>
      <c r="Z69" s="123" t="s">
        <v>783</v>
      </c>
      <c r="AA69" s="123" t="s">
        <v>784</v>
      </c>
      <c r="AB69" s="123" t="s">
        <v>783</v>
      </c>
      <c r="AC69" s="123" t="s">
        <v>775</v>
      </c>
      <c r="AD69" s="123" t="s">
        <v>784</v>
      </c>
      <c r="AE69" s="123" t="s">
        <v>783</v>
      </c>
      <c r="AF69" s="123" t="s">
        <v>775</v>
      </c>
      <c r="AG69" s="123" t="s">
        <v>783</v>
      </c>
      <c r="AH69" s="123" t="s">
        <v>783</v>
      </c>
      <c r="AI69" s="123" t="s">
        <v>783</v>
      </c>
      <c r="AJ69" s="123" t="s">
        <v>783</v>
      </c>
      <c r="AK69" s="123" t="s">
        <v>784</v>
      </c>
      <c r="AL69" s="123" t="s">
        <v>783</v>
      </c>
      <c r="AM69" s="123"/>
      <c r="AN69" s="123"/>
      <c r="AO69" s="123"/>
      <c r="AP69" s="119"/>
      <c r="AQ69" s="119"/>
      <c r="AR69" s="119"/>
      <c r="AS69" s="119"/>
      <c r="AT69" s="119"/>
      <c r="AU69" s="119"/>
      <c r="AV69" s="119"/>
      <c r="AW69" s="119"/>
      <c r="AX69" s="119"/>
      <c r="AY69" s="119" t="s">
        <v>922</v>
      </c>
      <c r="AZ69" s="119" t="s">
        <v>779</v>
      </c>
      <c r="BA69" s="119" t="s">
        <v>1048</v>
      </c>
      <c r="BB69" s="119" t="s">
        <v>819</v>
      </c>
      <c r="BC69" s="119"/>
      <c r="BD69" s="119"/>
      <c r="BE69" s="119"/>
      <c r="BF69" s="119"/>
      <c r="BG69" s="119"/>
      <c r="BH69" s="119"/>
      <c r="BI69" s="119"/>
      <c r="BJ69" s="119"/>
      <c r="BK69" s="119"/>
      <c r="BL69" s="88"/>
      <c r="BM69" s="119"/>
      <c r="BN69" s="119"/>
    </row>
    <row r="70" ht="14.25" customHeight="1">
      <c r="A70" s="119" t="s">
        <v>267</v>
      </c>
      <c r="B70" s="119" t="s">
        <v>269</v>
      </c>
      <c r="C70" s="120" t="s">
        <v>268</v>
      </c>
      <c r="D70" s="119" t="s">
        <v>767</v>
      </c>
      <c r="E70" s="113" t="s">
        <v>768</v>
      </c>
      <c r="F70" s="119" t="s">
        <v>769</v>
      </c>
      <c r="G70" s="119" t="s">
        <v>770</v>
      </c>
      <c r="H70" s="119" t="s">
        <v>771</v>
      </c>
      <c r="I70" s="119" t="s">
        <v>772</v>
      </c>
      <c r="J70" s="119" t="s">
        <v>773</v>
      </c>
      <c r="K70" s="119" t="s">
        <v>774</v>
      </c>
      <c r="L70" s="119" t="s">
        <v>775</v>
      </c>
      <c r="M70" s="131" t="s">
        <v>776</v>
      </c>
      <c r="N70" s="119" t="s">
        <v>1069</v>
      </c>
      <c r="O70" s="119" t="s">
        <v>1070</v>
      </c>
      <c r="P70" s="119" t="s">
        <v>1071</v>
      </c>
      <c r="Q70" s="119" t="s">
        <v>775</v>
      </c>
      <c r="R70" s="119" t="s">
        <v>775</v>
      </c>
      <c r="S70" s="119" t="s">
        <v>775</v>
      </c>
      <c r="T70" s="125" t="s">
        <v>1072</v>
      </c>
      <c r="U70" s="121" t="s">
        <v>1073</v>
      </c>
      <c r="V70" s="121"/>
      <c r="W70" s="122" t="s">
        <v>775</v>
      </c>
      <c r="X70" s="122" t="s">
        <v>783</v>
      </c>
      <c r="Y70" s="122" t="s">
        <v>784</v>
      </c>
      <c r="Z70" s="123" t="s">
        <v>803</v>
      </c>
      <c r="AA70" s="123" t="s">
        <v>784</v>
      </c>
      <c r="AB70" s="123" t="s">
        <v>783</v>
      </c>
      <c r="AC70" s="123" t="s">
        <v>775</v>
      </c>
      <c r="AD70" s="123" t="s">
        <v>783</v>
      </c>
      <c r="AE70" s="123" t="s">
        <v>784</v>
      </c>
      <c r="AF70" s="123" t="s">
        <v>775</v>
      </c>
      <c r="AG70" s="123" t="s">
        <v>783</v>
      </c>
      <c r="AH70" s="123" t="s">
        <v>784</v>
      </c>
      <c r="AI70" s="123" t="s">
        <v>782</v>
      </c>
      <c r="AJ70" s="123" t="s">
        <v>784</v>
      </c>
      <c r="AK70" s="123" t="s">
        <v>784</v>
      </c>
      <c r="AL70" s="123" t="s">
        <v>784</v>
      </c>
      <c r="AM70" s="123"/>
      <c r="AN70" s="123"/>
      <c r="AO70" s="123"/>
      <c r="AP70" s="119"/>
      <c r="AQ70" s="119"/>
      <c r="AR70" s="119"/>
      <c r="AS70" s="119"/>
      <c r="AT70" s="119"/>
      <c r="AU70" s="119"/>
      <c r="AV70" s="119"/>
      <c r="AW70" s="119"/>
      <c r="AX70" s="119"/>
      <c r="AY70" s="119" t="s">
        <v>1032</v>
      </c>
      <c r="AZ70" s="119" t="s">
        <v>897</v>
      </c>
      <c r="BA70" s="119"/>
      <c r="BB70" s="119" t="s">
        <v>1066</v>
      </c>
      <c r="BC70" s="119"/>
      <c r="BD70" s="119"/>
      <c r="BE70" s="119"/>
      <c r="BF70" s="119"/>
      <c r="BG70" s="119"/>
      <c r="BH70" s="119"/>
      <c r="BI70" s="119"/>
      <c r="BJ70" s="119"/>
      <c r="BK70" s="119"/>
      <c r="BL70" s="88"/>
      <c r="BM70" s="119"/>
      <c r="BN70" s="119"/>
    </row>
    <row r="71" ht="14.25" customHeight="1">
      <c r="A71" s="119" t="s">
        <v>282</v>
      </c>
      <c r="B71" s="119" t="s">
        <v>284</v>
      </c>
      <c r="C71" s="120" t="s">
        <v>1074</v>
      </c>
      <c r="D71" s="119" t="s">
        <v>767</v>
      </c>
      <c r="E71" s="113" t="s">
        <v>768</v>
      </c>
      <c r="F71" s="119" t="s">
        <v>769</v>
      </c>
      <c r="G71" s="119" t="s">
        <v>770</v>
      </c>
      <c r="H71" s="119" t="s">
        <v>771</v>
      </c>
      <c r="I71" s="119" t="s">
        <v>772</v>
      </c>
      <c r="J71" s="119" t="s">
        <v>773</v>
      </c>
      <c r="K71" s="119" t="s">
        <v>774</v>
      </c>
      <c r="L71" s="126" t="s">
        <v>775</v>
      </c>
      <c r="M71" s="119" t="s">
        <v>776</v>
      </c>
      <c r="N71" s="119" t="s">
        <v>804</v>
      </c>
      <c r="O71" s="119" t="s">
        <v>1005</v>
      </c>
      <c r="P71" s="119" t="s">
        <v>1006</v>
      </c>
      <c r="Q71" s="119" t="s">
        <v>775</v>
      </c>
      <c r="R71" s="119" t="s">
        <v>1007</v>
      </c>
      <c r="S71" s="119" t="s">
        <v>775</v>
      </c>
      <c r="T71" s="121" t="s">
        <v>1075</v>
      </c>
      <c r="U71" s="121" t="s">
        <v>1076</v>
      </c>
      <c r="V71" s="121" t="s">
        <v>1077</v>
      </c>
      <c r="W71" s="122" t="s">
        <v>784</v>
      </c>
      <c r="X71" s="122" t="s">
        <v>783</v>
      </c>
      <c r="Y71" s="122" t="s">
        <v>784</v>
      </c>
      <c r="Z71" s="123" t="s">
        <v>784</v>
      </c>
      <c r="AA71" s="123" t="s">
        <v>775</v>
      </c>
      <c r="AB71" s="123" t="s">
        <v>775</v>
      </c>
      <c r="AC71" s="123" t="s">
        <v>775</v>
      </c>
      <c r="AD71" s="123" t="s">
        <v>783</v>
      </c>
      <c r="AE71" s="123" t="s">
        <v>775</v>
      </c>
      <c r="AF71" s="123" t="s">
        <v>775</v>
      </c>
      <c r="AG71" s="123" t="s">
        <v>775</v>
      </c>
      <c r="AH71" s="123" t="s">
        <v>782</v>
      </c>
      <c r="AI71" s="123" t="s">
        <v>782</v>
      </c>
      <c r="AJ71" s="123" t="s">
        <v>775</v>
      </c>
      <c r="AK71" s="123" t="s">
        <v>782</v>
      </c>
      <c r="AL71" s="123" t="s">
        <v>782</v>
      </c>
      <c r="AM71" s="123"/>
      <c r="AN71" s="123"/>
      <c r="AO71" s="123"/>
      <c r="AP71" s="119"/>
      <c r="AQ71" s="119"/>
      <c r="AR71" s="119"/>
      <c r="AS71" s="119"/>
      <c r="AT71" s="119"/>
      <c r="AU71" s="119"/>
      <c r="AV71" s="119"/>
      <c r="AW71" s="119"/>
      <c r="AX71" s="119" t="s">
        <v>1069</v>
      </c>
      <c r="AY71" s="119" t="s">
        <v>1078</v>
      </c>
      <c r="AZ71" s="119" t="s">
        <v>799</v>
      </c>
      <c r="BA71" s="119" t="s">
        <v>1079</v>
      </c>
      <c r="BB71" s="119" t="s">
        <v>1080</v>
      </c>
      <c r="BC71" s="119" t="s">
        <v>1081</v>
      </c>
      <c r="BD71" s="119"/>
      <c r="BE71" s="119"/>
      <c r="BF71" s="119"/>
      <c r="BG71" s="119"/>
      <c r="BH71" s="119"/>
      <c r="BI71" s="119"/>
      <c r="BJ71" s="119"/>
      <c r="BK71" s="119"/>
      <c r="BL71" s="88"/>
      <c r="BM71" s="119"/>
      <c r="BN71" s="119"/>
    </row>
    <row r="72" ht="14.25" customHeight="1">
      <c r="A72" s="119" t="s">
        <v>185</v>
      </c>
      <c r="B72" s="119" t="s">
        <v>187</v>
      </c>
      <c r="C72" s="120" t="s">
        <v>186</v>
      </c>
      <c r="D72" s="119" t="s">
        <v>767</v>
      </c>
      <c r="E72" s="113" t="s">
        <v>768</v>
      </c>
      <c r="F72" s="119" t="s">
        <v>769</v>
      </c>
      <c r="G72" s="119" t="s">
        <v>770</v>
      </c>
      <c r="H72" s="119" t="s">
        <v>771</v>
      </c>
      <c r="I72" s="119" t="s">
        <v>772</v>
      </c>
      <c r="J72" s="119" t="s">
        <v>773</v>
      </c>
      <c r="K72" s="119" t="s">
        <v>774</v>
      </c>
      <c r="L72" s="119" t="s">
        <v>775</v>
      </c>
      <c r="M72" s="119" t="s">
        <v>815</v>
      </c>
      <c r="N72" s="119" t="s">
        <v>788</v>
      </c>
      <c r="O72" s="119" t="s">
        <v>832</v>
      </c>
      <c r="P72" s="119" t="s">
        <v>794</v>
      </c>
      <c r="Q72" s="119" t="s">
        <v>982</v>
      </c>
      <c r="R72" s="119" t="s">
        <v>1060</v>
      </c>
      <c r="S72" s="119" t="s">
        <v>1053</v>
      </c>
      <c r="T72" s="121" t="s">
        <v>1082</v>
      </c>
      <c r="U72" s="121" t="s">
        <v>1083</v>
      </c>
      <c r="V72" s="121"/>
      <c r="W72" s="122" t="s">
        <v>775</v>
      </c>
      <c r="X72" s="122" t="s">
        <v>783</v>
      </c>
      <c r="Y72" s="122" t="s">
        <v>775</v>
      </c>
      <c r="Z72" s="123" t="s">
        <v>783</v>
      </c>
      <c r="AA72" s="123" t="s">
        <v>775</v>
      </c>
      <c r="AB72" s="123" t="s">
        <v>775</v>
      </c>
      <c r="AC72" s="123" t="s">
        <v>775</v>
      </c>
      <c r="AD72" s="123" t="s">
        <v>783</v>
      </c>
      <c r="AE72" s="123" t="s">
        <v>775</v>
      </c>
      <c r="AF72" s="123" t="s">
        <v>775</v>
      </c>
      <c r="AG72" s="123" t="s">
        <v>783</v>
      </c>
      <c r="AH72" s="123" t="s">
        <v>775</v>
      </c>
      <c r="AI72" s="123" t="s">
        <v>775</v>
      </c>
      <c r="AJ72" s="123" t="s">
        <v>775</v>
      </c>
      <c r="AK72" s="123" t="s">
        <v>784</v>
      </c>
      <c r="AL72" s="123" t="s">
        <v>775</v>
      </c>
      <c r="AM72" s="123"/>
      <c r="AN72" s="123"/>
      <c r="AO72" s="123"/>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t="s">
        <v>1020</v>
      </c>
      <c r="BM72" s="119"/>
      <c r="BN72" s="119"/>
    </row>
    <row r="73" ht="14.25" customHeight="1">
      <c r="A73" s="119" t="s">
        <v>302</v>
      </c>
      <c r="B73" s="119" t="s">
        <v>304</v>
      </c>
      <c r="C73" s="120" t="s">
        <v>303</v>
      </c>
      <c r="D73" s="119" t="s">
        <v>767</v>
      </c>
      <c r="E73" s="113" t="s">
        <v>768</v>
      </c>
      <c r="F73" s="119" t="s">
        <v>769</v>
      </c>
      <c r="G73" s="119" t="s">
        <v>770</v>
      </c>
      <c r="H73" s="119" t="s">
        <v>771</v>
      </c>
      <c r="I73" s="119" t="s">
        <v>772</v>
      </c>
      <c r="J73" s="119" t="s">
        <v>773</v>
      </c>
      <c r="K73" s="119" t="s">
        <v>774</v>
      </c>
      <c r="L73" s="119" t="s">
        <v>775</v>
      </c>
      <c r="M73" s="119" t="s">
        <v>815</v>
      </c>
      <c r="N73" s="119" t="s">
        <v>788</v>
      </c>
      <c r="O73" s="119" t="s">
        <v>832</v>
      </c>
      <c r="P73" s="119" t="s">
        <v>794</v>
      </c>
      <c r="Q73" s="119" t="s">
        <v>982</v>
      </c>
      <c r="R73" s="119" t="s">
        <v>1080</v>
      </c>
      <c r="S73" s="119" t="s">
        <v>1081</v>
      </c>
      <c r="T73" s="121" t="s">
        <v>1084</v>
      </c>
      <c r="U73" s="121" t="s">
        <v>1085</v>
      </c>
      <c r="V73" s="121"/>
      <c r="W73" s="122" t="s">
        <v>775</v>
      </c>
      <c r="X73" s="122" t="s">
        <v>783</v>
      </c>
      <c r="Y73" s="122" t="s">
        <v>775</v>
      </c>
      <c r="Z73" s="123" t="s">
        <v>803</v>
      </c>
      <c r="AA73" s="123" t="s">
        <v>775</v>
      </c>
      <c r="AB73" s="123" t="s">
        <v>775</v>
      </c>
      <c r="AC73" s="123" t="s">
        <v>775</v>
      </c>
      <c r="AD73" s="123" t="s">
        <v>783</v>
      </c>
      <c r="AE73" s="123" t="s">
        <v>775</v>
      </c>
      <c r="AF73" s="123" t="s">
        <v>775</v>
      </c>
      <c r="AG73" s="123" t="s">
        <v>783</v>
      </c>
      <c r="AH73" s="123" t="s">
        <v>783</v>
      </c>
      <c r="AI73" s="123" t="s">
        <v>775</v>
      </c>
      <c r="AJ73" s="123" t="s">
        <v>783</v>
      </c>
      <c r="AK73" s="123" t="s">
        <v>783</v>
      </c>
      <c r="AL73" s="123" t="s">
        <v>803</v>
      </c>
      <c r="AM73" s="123"/>
      <c r="AN73" s="123"/>
      <c r="AO73" s="123"/>
      <c r="AP73" s="119"/>
      <c r="AQ73" s="119"/>
      <c r="AR73" s="119"/>
      <c r="AS73" s="119"/>
      <c r="AT73" s="119"/>
      <c r="AU73" s="119"/>
      <c r="AV73" s="119"/>
      <c r="AW73" s="119"/>
      <c r="AX73" s="119"/>
      <c r="AY73" s="119" t="s">
        <v>1019</v>
      </c>
      <c r="AZ73" s="119" t="s">
        <v>942</v>
      </c>
      <c r="BA73" s="119" t="s">
        <v>854</v>
      </c>
      <c r="BB73" s="119" t="s">
        <v>943</v>
      </c>
      <c r="BC73" s="119"/>
      <c r="BD73" s="119"/>
      <c r="BE73" s="119"/>
      <c r="BF73" s="119"/>
      <c r="BG73" s="119"/>
      <c r="BH73" s="119"/>
      <c r="BI73" s="119"/>
      <c r="BJ73" s="119"/>
      <c r="BK73" s="119"/>
      <c r="BL73" s="119" t="s">
        <v>1029</v>
      </c>
      <c r="BM73" s="119"/>
      <c r="BN73" s="119"/>
    </row>
    <row r="74" ht="14.25" customHeight="1">
      <c r="A74" s="119" t="s">
        <v>299</v>
      </c>
      <c r="B74" s="119" t="s">
        <v>301</v>
      </c>
      <c r="C74" s="120" t="s">
        <v>300</v>
      </c>
      <c r="D74" s="119" t="s">
        <v>767</v>
      </c>
      <c r="E74" s="113" t="s">
        <v>768</v>
      </c>
      <c r="F74" s="119" t="s">
        <v>769</v>
      </c>
      <c r="G74" s="119" t="s">
        <v>770</v>
      </c>
      <c r="H74" s="119" t="s">
        <v>771</v>
      </c>
      <c r="I74" s="119" t="s">
        <v>772</v>
      </c>
      <c r="J74" s="119" t="s">
        <v>773</v>
      </c>
      <c r="K74" s="119" t="s">
        <v>774</v>
      </c>
      <c r="L74" s="119" t="s">
        <v>775</v>
      </c>
      <c r="M74" s="119" t="s">
        <v>776</v>
      </c>
      <c r="N74" s="119" t="s">
        <v>876</v>
      </c>
      <c r="O74" s="119" t="s">
        <v>1078</v>
      </c>
      <c r="P74" s="119" t="s">
        <v>799</v>
      </c>
      <c r="Q74" s="119" t="s">
        <v>1079</v>
      </c>
      <c r="R74" s="119" t="s">
        <v>775</v>
      </c>
      <c r="S74" s="119" t="s">
        <v>775</v>
      </c>
      <c r="T74" s="125" t="s">
        <v>1086</v>
      </c>
      <c r="U74" s="121" t="s">
        <v>1087</v>
      </c>
      <c r="V74" s="121"/>
      <c r="W74" s="122" t="s">
        <v>775</v>
      </c>
      <c r="X74" s="122" t="s">
        <v>783</v>
      </c>
      <c r="Y74" s="122" t="s">
        <v>803</v>
      </c>
      <c r="Z74" s="123" t="s">
        <v>784</v>
      </c>
      <c r="AA74" s="123" t="s">
        <v>783</v>
      </c>
      <c r="AB74" s="123" t="s">
        <v>775</v>
      </c>
      <c r="AC74" s="123" t="s">
        <v>775</v>
      </c>
      <c r="AD74" s="123" t="s">
        <v>783</v>
      </c>
      <c r="AE74" s="123" t="s">
        <v>775</v>
      </c>
      <c r="AF74" s="123" t="s">
        <v>775</v>
      </c>
      <c r="AG74" s="123" t="s">
        <v>783</v>
      </c>
      <c r="AH74" s="123" t="s">
        <v>784</v>
      </c>
      <c r="AI74" s="123" t="s">
        <v>775</v>
      </c>
      <c r="AJ74" s="123" t="s">
        <v>775</v>
      </c>
      <c r="AK74" s="123" t="s">
        <v>783</v>
      </c>
      <c r="AL74" s="123" t="s">
        <v>784</v>
      </c>
      <c r="AM74" s="123"/>
      <c r="AN74" s="123"/>
      <c r="AO74" s="123"/>
      <c r="AP74" s="119"/>
      <c r="AQ74" s="119"/>
      <c r="AR74" s="119"/>
      <c r="AS74" s="119"/>
      <c r="AT74" s="119"/>
      <c r="AU74" s="119"/>
      <c r="AV74" s="119"/>
      <c r="AW74" s="119"/>
      <c r="AX74" s="119"/>
      <c r="AY74" s="119"/>
      <c r="AZ74" s="119"/>
      <c r="BA74" s="119" t="s">
        <v>848</v>
      </c>
      <c r="BB74" s="119" t="s">
        <v>849</v>
      </c>
      <c r="BC74" s="119"/>
      <c r="BD74" s="119"/>
      <c r="BE74" s="119"/>
      <c r="BF74" s="119"/>
      <c r="BG74" s="119"/>
      <c r="BH74" s="119"/>
      <c r="BI74" s="119"/>
      <c r="BJ74" s="119"/>
      <c r="BK74" s="119"/>
      <c r="BL74" s="88"/>
      <c r="BM74" s="119"/>
      <c r="BN74" s="119"/>
    </row>
    <row r="75" ht="14.25" customHeight="1">
      <c r="A75" s="119" t="s">
        <v>347</v>
      </c>
      <c r="B75" s="119" t="s">
        <v>349</v>
      </c>
      <c r="C75" s="120" t="s">
        <v>348</v>
      </c>
      <c r="D75" s="119" t="s">
        <v>767</v>
      </c>
      <c r="E75" s="113" t="s">
        <v>768</v>
      </c>
      <c r="F75" s="119" t="s">
        <v>769</v>
      </c>
      <c r="G75" s="119" t="s">
        <v>770</v>
      </c>
      <c r="H75" s="119" t="s">
        <v>771</v>
      </c>
      <c r="I75" s="119" t="s">
        <v>772</v>
      </c>
      <c r="J75" s="119" t="s">
        <v>773</v>
      </c>
      <c r="K75" s="119" t="s">
        <v>774</v>
      </c>
      <c r="L75" s="126" t="s">
        <v>775</v>
      </c>
      <c r="M75" s="119" t="s">
        <v>776</v>
      </c>
      <c r="N75" s="119" t="s">
        <v>804</v>
      </c>
      <c r="O75" s="119" t="s">
        <v>1005</v>
      </c>
      <c r="P75" s="119" t="s">
        <v>814</v>
      </c>
      <c r="Q75" s="119" t="s">
        <v>775</v>
      </c>
      <c r="R75" s="119" t="s">
        <v>775</v>
      </c>
      <c r="S75" s="119" t="s">
        <v>775</v>
      </c>
      <c r="T75" s="125" t="s">
        <v>1088</v>
      </c>
      <c r="U75" s="121" t="s">
        <v>1089</v>
      </c>
      <c r="V75" s="121"/>
      <c r="W75" s="122" t="s">
        <v>783</v>
      </c>
      <c r="X75" s="122" t="s">
        <v>783</v>
      </c>
      <c r="Y75" s="122" t="s">
        <v>782</v>
      </c>
      <c r="Z75" s="123" t="s">
        <v>783</v>
      </c>
      <c r="AA75" s="123" t="s">
        <v>782</v>
      </c>
      <c r="AB75" s="123" t="s">
        <v>775</v>
      </c>
      <c r="AC75" s="123" t="s">
        <v>775</v>
      </c>
      <c r="AD75" s="123" t="s">
        <v>783</v>
      </c>
      <c r="AE75" s="123" t="s">
        <v>775</v>
      </c>
      <c r="AF75" s="123" t="s">
        <v>775</v>
      </c>
      <c r="AG75" s="123" t="s">
        <v>783</v>
      </c>
      <c r="AH75" s="123" t="s">
        <v>783</v>
      </c>
      <c r="AI75" s="123" t="s">
        <v>803</v>
      </c>
      <c r="AJ75" s="123" t="s">
        <v>775</v>
      </c>
      <c r="AK75" s="123" t="s">
        <v>783</v>
      </c>
      <c r="AL75" s="123" t="s">
        <v>803</v>
      </c>
      <c r="AM75" s="123"/>
      <c r="AN75" s="123"/>
      <c r="AO75" s="123"/>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88"/>
      <c r="BM75" s="119"/>
      <c r="BN75" s="119"/>
    </row>
    <row r="76" ht="14.25" customHeight="1">
      <c r="A76" s="119" t="s">
        <v>71</v>
      </c>
      <c r="B76" s="119" t="s">
        <v>73</v>
      </c>
      <c r="C76" s="120" t="s">
        <v>72</v>
      </c>
      <c r="D76" s="119" t="s">
        <v>767</v>
      </c>
      <c r="E76" s="113" t="s">
        <v>768</v>
      </c>
      <c r="F76" s="119" t="s">
        <v>769</v>
      </c>
      <c r="G76" s="119" t="s">
        <v>770</v>
      </c>
      <c r="H76" s="119" t="s">
        <v>771</v>
      </c>
      <c r="I76" s="126" t="s">
        <v>772</v>
      </c>
      <c r="J76" s="119" t="s">
        <v>773</v>
      </c>
      <c r="K76" s="119" t="s">
        <v>774</v>
      </c>
      <c r="L76" s="119" t="s">
        <v>775</v>
      </c>
      <c r="M76" s="119" t="s">
        <v>815</v>
      </c>
      <c r="N76" s="119" t="s">
        <v>788</v>
      </c>
      <c r="O76" s="119" t="s">
        <v>980</v>
      </c>
      <c r="P76" s="119" t="s">
        <v>847</v>
      </c>
      <c r="Q76" s="119" t="s">
        <v>775</v>
      </c>
      <c r="R76" s="119" t="s">
        <v>775</v>
      </c>
      <c r="S76" s="119" t="s">
        <v>775</v>
      </c>
      <c r="T76" s="121" t="s">
        <v>1090</v>
      </c>
      <c r="U76" s="121" t="s">
        <v>1091</v>
      </c>
      <c r="V76" s="121"/>
      <c r="W76" s="122" t="s">
        <v>783</v>
      </c>
      <c r="X76" s="122" t="s">
        <v>783</v>
      </c>
      <c r="Y76" s="122" t="s">
        <v>784</v>
      </c>
      <c r="Z76" s="123" t="s">
        <v>783</v>
      </c>
      <c r="AA76" s="123" t="s">
        <v>783</v>
      </c>
      <c r="AB76" s="123" t="s">
        <v>783</v>
      </c>
      <c r="AC76" s="123" t="s">
        <v>775</v>
      </c>
      <c r="AD76" s="123" t="s">
        <v>783</v>
      </c>
      <c r="AE76" s="123" t="s">
        <v>783</v>
      </c>
      <c r="AF76" s="123" t="s">
        <v>775</v>
      </c>
      <c r="AG76" s="123" t="s">
        <v>783</v>
      </c>
      <c r="AH76" s="123" t="s">
        <v>783</v>
      </c>
      <c r="AI76" s="123" t="s">
        <v>783</v>
      </c>
      <c r="AJ76" s="123" t="s">
        <v>783</v>
      </c>
      <c r="AK76" s="123" t="s">
        <v>783</v>
      </c>
      <c r="AL76" s="123" t="s">
        <v>783</v>
      </c>
      <c r="AM76" s="123"/>
      <c r="AN76" s="123"/>
      <c r="AO76" s="123"/>
      <c r="AP76" s="119"/>
      <c r="AQ76" s="119"/>
      <c r="AR76" s="119"/>
      <c r="AS76" s="119"/>
      <c r="AT76" s="119"/>
      <c r="AU76" s="119"/>
      <c r="AV76" s="119"/>
      <c r="AW76" s="119"/>
      <c r="AX76" s="119"/>
      <c r="AY76" s="119"/>
      <c r="AZ76" s="119" t="s">
        <v>901</v>
      </c>
      <c r="BA76" s="119"/>
      <c r="BB76" s="119" t="s">
        <v>1092</v>
      </c>
      <c r="BC76" s="119" t="s">
        <v>1093</v>
      </c>
      <c r="BD76" s="119"/>
      <c r="BE76" s="119"/>
      <c r="BF76" s="119"/>
      <c r="BG76" s="119"/>
      <c r="BH76" s="119"/>
      <c r="BI76" s="119"/>
      <c r="BJ76" s="119"/>
      <c r="BK76" s="119"/>
      <c r="BL76" s="119" t="s">
        <v>1033</v>
      </c>
      <c r="BM76" s="119"/>
      <c r="BN76" s="119"/>
    </row>
    <row r="77" ht="14.25" customHeight="1">
      <c r="A77" s="119" t="s">
        <v>110</v>
      </c>
      <c r="B77" s="119" t="s">
        <v>112</v>
      </c>
      <c r="C77" s="120" t="s">
        <v>111</v>
      </c>
      <c r="D77" s="119" t="s">
        <v>767</v>
      </c>
      <c r="E77" s="113" t="s">
        <v>768</v>
      </c>
      <c r="F77" s="119" t="s">
        <v>769</v>
      </c>
      <c r="G77" s="119" t="s">
        <v>770</v>
      </c>
      <c r="H77" s="119" t="s">
        <v>771</v>
      </c>
      <c r="I77" s="119" t="s">
        <v>772</v>
      </c>
      <c r="J77" s="119" t="s">
        <v>773</v>
      </c>
      <c r="K77" s="119" t="s">
        <v>774</v>
      </c>
      <c r="L77" s="119" t="s">
        <v>775</v>
      </c>
      <c r="M77" s="119" t="s">
        <v>815</v>
      </c>
      <c r="N77" s="119" t="s">
        <v>788</v>
      </c>
      <c r="O77" s="119" t="s">
        <v>980</v>
      </c>
      <c r="P77" s="119" t="s">
        <v>847</v>
      </c>
      <c r="Q77" s="119" t="s">
        <v>1094</v>
      </c>
      <c r="R77" s="119" t="s">
        <v>905</v>
      </c>
      <c r="S77" s="119" t="s">
        <v>775</v>
      </c>
      <c r="T77" s="121" t="s">
        <v>1095</v>
      </c>
      <c r="U77" s="121" t="s">
        <v>1096</v>
      </c>
      <c r="V77" s="121"/>
      <c r="W77" s="122" t="s">
        <v>783</v>
      </c>
      <c r="X77" s="122" t="s">
        <v>783</v>
      </c>
      <c r="Y77" s="122" t="s">
        <v>783</v>
      </c>
      <c r="Z77" s="123" t="s">
        <v>775</v>
      </c>
      <c r="AA77" s="123" t="s">
        <v>775</v>
      </c>
      <c r="AB77" s="123" t="s">
        <v>775</v>
      </c>
      <c r="AC77" s="123" t="s">
        <v>775</v>
      </c>
      <c r="AD77" s="123" t="s">
        <v>783</v>
      </c>
      <c r="AE77" s="123" t="s">
        <v>783</v>
      </c>
      <c r="AF77" s="123" t="s">
        <v>775</v>
      </c>
      <c r="AG77" s="123" t="s">
        <v>783</v>
      </c>
      <c r="AH77" s="123" t="s">
        <v>783</v>
      </c>
      <c r="AI77" s="123" t="s">
        <v>783</v>
      </c>
      <c r="AJ77" s="123" t="s">
        <v>783</v>
      </c>
      <c r="AK77" s="123" t="s">
        <v>784</v>
      </c>
      <c r="AL77" s="123" t="s">
        <v>783</v>
      </c>
      <c r="AM77" s="123"/>
      <c r="AN77" s="123"/>
      <c r="AO77" s="123"/>
      <c r="AP77" s="119"/>
      <c r="AQ77" s="119"/>
      <c r="AR77" s="119"/>
      <c r="AS77" s="119"/>
      <c r="AT77" s="119"/>
      <c r="AU77" s="119"/>
      <c r="AV77" s="119"/>
      <c r="AW77" s="119"/>
      <c r="AX77" s="119"/>
      <c r="AY77" s="119"/>
      <c r="AZ77" s="119" t="s">
        <v>1020</v>
      </c>
      <c r="BA77" s="119"/>
      <c r="BB77" s="119"/>
      <c r="BC77" s="119"/>
      <c r="BD77" s="119"/>
      <c r="BE77" s="119"/>
      <c r="BF77" s="119"/>
      <c r="BG77" s="119"/>
      <c r="BH77" s="119"/>
      <c r="BI77" s="119"/>
      <c r="BJ77" s="119"/>
      <c r="BK77" s="119"/>
      <c r="BL77" s="119" t="s">
        <v>1040</v>
      </c>
      <c r="BM77" s="119"/>
      <c r="BN77" s="119"/>
    </row>
    <row r="78" ht="14.25" customHeight="1">
      <c r="A78" s="119" t="s">
        <v>285</v>
      </c>
      <c r="B78" s="119" t="s">
        <v>287</v>
      </c>
      <c r="C78" s="120" t="s">
        <v>286</v>
      </c>
      <c r="D78" s="119" t="s">
        <v>767</v>
      </c>
      <c r="E78" s="113" t="s">
        <v>768</v>
      </c>
      <c r="F78" s="119" t="s">
        <v>769</v>
      </c>
      <c r="G78" s="119" t="s">
        <v>770</v>
      </c>
      <c r="H78" s="119" t="s">
        <v>771</v>
      </c>
      <c r="I78" s="119" t="s">
        <v>772</v>
      </c>
      <c r="J78" s="119" t="s">
        <v>773</v>
      </c>
      <c r="K78" s="119" t="s">
        <v>774</v>
      </c>
      <c r="L78" s="119" t="s">
        <v>775</v>
      </c>
      <c r="M78" s="119" t="s">
        <v>815</v>
      </c>
      <c r="N78" s="119" t="s">
        <v>788</v>
      </c>
      <c r="O78" s="119" t="s">
        <v>980</v>
      </c>
      <c r="P78" s="119" t="s">
        <v>847</v>
      </c>
      <c r="Q78" s="119" t="s">
        <v>1097</v>
      </c>
      <c r="R78" s="119" t="s">
        <v>1098</v>
      </c>
      <c r="S78" s="119" t="s">
        <v>1099</v>
      </c>
      <c r="T78" s="125" t="s">
        <v>1100</v>
      </c>
      <c r="U78" s="121" t="s">
        <v>1101</v>
      </c>
      <c r="V78" s="121"/>
      <c r="W78" s="122" t="s">
        <v>783</v>
      </c>
      <c r="X78" s="122" t="s">
        <v>783</v>
      </c>
      <c r="Y78" s="122" t="s">
        <v>783</v>
      </c>
      <c r="Z78" s="123" t="s">
        <v>783</v>
      </c>
      <c r="AA78" s="123" t="s">
        <v>783</v>
      </c>
      <c r="AB78" s="123" t="s">
        <v>783</v>
      </c>
      <c r="AC78" s="123" t="s">
        <v>775</v>
      </c>
      <c r="AD78" s="123" t="s">
        <v>783</v>
      </c>
      <c r="AE78" s="123" t="s">
        <v>783</v>
      </c>
      <c r="AF78" s="123" t="s">
        <v>775</v>
      </c>
      <c r="AG78" s="123" t="s">
        <v>783</v>
      </c>
      <c r="AH78" s="123" t="s">
        <v>775</v>
      </c>
      <c r="AI78" s="123" t="s">
        <v>783</v>
      </c>
      <c r="AJ78" s="123" t="s">
        <v>775</v>
      </c>
      <c r="AK78" s="123" t="s">
        <v>783</v>
      </c>
      <c r="AL78" s="123" t="s">
        <v>775</v>
      </c>
      <c r="AM78" s="123"/>
      <c r="AN78" s="123"/>
      <c r="AO78" s="123"/>
      <c r="AP78" s="119"/>
      <c r="AQ78" s="119"/>
      <c r="AR78" s="119"/>
      <c r="AS78" s="119"/>
      <c r="AT78" s="119"/>
      <c r="AU78" s="119"/>
      <c r="AV78" s="119" t="s">
        <v>868</v>
      </c>
      <c r="AW78" s="119"/>
      <c r="AX78" s="119"/>
      <c r="AY78" s="119" t="s">
        <v>877</v>
      </c>
      <c r="AZ78" s="119" t="s">
        <v>926</v>
      </c>
      <c r="BA78" s="119" t="s">
        <v>841</v>
      </c>
      <c r="BB78" s="119" t="s">
        <v>994</v>
      </c>
      <c r="BC78" s="119" t="s">
        <v>1102</v>
      </c>
      <c r="BD78" s="119"/>
      <c r="BE78" s="119"/>
      <c r="BF78" s="119"/>
      <c r="BG78" s="119"/>
      <c r="BH78" s="119"/>
      <c r="BI78" s="119"/>
      <c r="BJ78" s="119"/>
      <c r="BK78" s="119"/>
      <c r="BL78" s="119" t="s">
        <v>986</v>
      </c>
      <c r="BM78" s="119"/>
      <c r="BN78" s="119"/>
    </row>
    <row r="79" ht="14.25" customHeight="1">
      <c r="A79" s="119" t="s">
        <v>288</v>
      </c>
      <c r="B79" s="119" t="s">
        <v>290</v>
      </c>
      <c r="C79" s="120" t="s">
        <v>1103</v>
      </c>
      <c r="D79" s="119" t="s">
        <v>767</v>
      </c>
      <c r="E79" s="113" t="s">
        <v>768</v>
      </c>
      <c r="F79" s="119" t="s">
        <v>769</v>
      </c>
      <c r="G79" s="119" t="s">
        <v>770</v>
      </c>
      <c r="H79" s="119" t="s">
        <v>771</v>
      </c>
      <c r="I79" s="119" t="s">
        <v>772</v>
      </c>
      <c r="J79" s="119" t="s">
        <v>773</v>
      </c>
      <c r="K79" s="119" t="s">
        <v>774</v>
      </c>
      <c r="L79" s="119" t="s">
        <v>775</v>
      </c>
      <c r="M79" s="119" t="s">
        <v>815</v>
      </c>
      <c r="N79" s="119" t="s">
        <v>788</v>
      </c>
      <c r="O79" s="119" t="s">
        <v>980</v>
      </c>
      <c r="P79" s="119" t="s">
        <v>847</v>
      </c>
      <c r="Q79" s="119" t="s">
        <v>1097</v>
      </c>
      <c r="R79" s="119" t="s">
        <v>1098</v>
      </c>
      <c r="S79" s="119" t="s">
        <v>1099</v>
      </c>
      <c r="T79" s="125" t="s">
        <v>1100</v>
      </c>
      <c r="U79" s="121" t="s">
        <v>858</v>
      </c>
      <c r="V79" s="121" t="s">
        <v>1104</v>
      </c>
      <c r="W79" s="122" t="s">
        <v>783</v>
      </c>
      <c r="X79" s="122" t="s">
        <v>783</v>
      </c>
      <c r="Y79" s="122" t="s">
        <v>784</v>
      </c>
      <c r="Z79" s="123" t="s">
        <v>803</v>
      </c>
      <c r="AA79" s="123" t="s">
        <v>783</v>
      </c>
      <c r="AB79" s="123" t="s">
        <v>783</v>
      </c>
      <c r="AC79" s="123" t="s">
        <v>775</v>
      </c>
      <c r="AD79" s="123" t="s">
        <v>783</v>
      </c>
      <c r="AE79" s="123" t="s">
        <v>783</v>
      </c>
      <c r="AF79" s="123" t="s">
        <v>775</v>
      </c>
      <c r="AG79" s="123" t="s">
        <v>775</v>
      </c>
      <c r="AH79" s="123" t="s">
        <v>782</v>
      </c>
      <c r="AI79" s="123" t="s">
        <v>775</v>
      </c>
      <c r="AJ79" s="123" t="s">
        <v>775</v>
      </c>
      <c r="AK79" s="123" t="s">
        <v>782</v>
      </c>
      <c r="AL79" s="123" t="s">
        <v>775</v>
      </c>
      <c r="AM79" s="123"/>
      <c r="AN79" s="123"/>
      <c r="AO79" s="123"/>
      <c r="AP79" s="119"/>
      <c r="AQ79" s="119"/>
      <c r="AR79" s="119"/>
      <c r="AS79" s="119"/>
      <c r="AT79" s="119"/>
      <c r="AU79" s="119"/>
      <c r="AV79" s="119"/>
      <c r="AW79" s="119"/>
      <c r="AX79" s="119"/>
      <c r="AY79" s="119" t="s">
        <v>947</v>
      </c>
      <c r="AZ79" s="119" t="s">
        <v>873</v>
      </c>
      <c r="BA79" s="119"/>
      <c r="BB79" s="119" t="s">
        <v>1105</v>
      </c>
      <c r="BC79" s="119"/>
      <c r="BD79" s="119"/>
      <c r="BE79" s="119"/>
      <c r="BF79" s="119"/>
      <c r="BG79" s="119"/>
      <c r="BH79" s="119"/>
      <c r="BI79" s="119"/>
      <c r="BJ79" s="119"/>
      <c r="BK79" s="119"/>
      <c r="BL79" s="119" t="s">
        <v>886</v>
      </c>
      <c r="BM79" s="119"/>
      <c r="BN79" s="119"/>
    </row>
    <row r="80" ht="14.25" customHeight="1">
      <c r="A80" s="119" t="s">
        <v>291</v>
      </c>
      <c r="B80" s="119" t="s">
        <v>290</v>
      </c>
      <c r="C80" s="120" t="s">
        <v>1103</v>
      </c>
      <c r="D80" s="119" t="s">
        <v>767</v>
      </c>
      <c r="E80" s="113" t="s">
        <v>768</v>
      </c>
      <c r="F80" s="119" t="s">
        <v>769</v>
      </c>
      <c r="G80" s="119" t="s">
        <v>770</v>
      </c>
      <c r="H80" s="119" t="s">
        <v>771</v>
      </c>
      <c r="I80" s="119" t="s">
        <v>772</v>
      </c>
      <c r="J80" s="119" t="s">
        <v>773</v>
      </c>
      <c r="K80" s="119" t="s">
        <v>774</v>
      </c>
      <c r="L80" s="119" t="s">
        <v>775</v>
      </c>
      <c r="M80" s="119" t="s">
        <v>815</v>
      </c>
      <c r="N80" s="119" t="s">
        <v>788</v>
      </c>
      <c r="O80" s="119" t="s">
        <v>980</v>
      </c>
      <c r="P80" s="119" t="s">
        <v>847</v>
      </c>
      <c r="Q80" s="119" t="s">
        <v>1097</v>
      </c>
      <c r="R80" s="119" t="s">
        <v>1098</v>
      </c>
      <c r="S80" s="119" t="s">
        <v>1099</v>
      </c>
      <c r="T80" s="125" t="s">
        <v>1100</v>
      </c>
      <c r="U80" s="121" t="s">
        <v>858</v>
      </c>
      <c r="V80" s="121" t="s">
        <v>1104</v>
      </c>
      <c r="W80" s="122" t="s">
        <v>1106</v>
      </c>
      <c r="X80" s="122" t="s">
        <v>1106</v>
      </c>
      <c r="Y80" s="122" t="s">
        <v>1106</v>
      </c>
      <c r="Z80" s="123" t="s">
        <v>1106</v>
      </c>
      <c r="AA80" s="123" t="s">
        <v>1106</v>
      </c>
      <c r="AB80" s="123" t="s">
        <v>1106</v>
      </c>
      <c r="AC80" s="123" t="s">
        <v>1106</v>
      </c>
      <c r="AD80" s="123" t="s">
        <v>1106</v>
      </c>
      <c r="AE80" s="123" t="s">
        <v>1106</v>
      </c>
      <c r="AF80" s="123" t="s">
        <v>1106</v>
      </c>
      <c r="AG80" s="123" t="s">
        <v>1106</v>
      </c>
      <c r="AH80" s="123" t="s">
        <v>1106</v>
      </c>
      <c r="AI80" s="123" t="s">
        <v>1106</v>
      </c>
      <c r="AJ80" s="123" t="s">
        <v>1106</v>
      </c>
      <c r="AK80" s="123" t="s">
        <v>1106</v>
      </c>
      <c r="AL80" s="123" t="s">
        <v>1106</v>
      </c>
      <c r="AM80" s="123"/>
      <c r="AN80" s="123"/>
      <c r="AO80" s="123"/>
      <c r="AP80" s="119"/>
      <c r="AQ80" s="119"/>
      <c r="AR80" s="119"/>
      <c r="AS80" s="119"/>
      <c r="AT80" s="119"/>
      <c r="AU80" s="119"/>
      <c r="AV80" s="119"/>
      <c r="AW80" s="119"/>
      <c r="AX80" s="119"/>
      <c r="AY80" s="119"/>
      <c r="AZ80" s="119"/>
      <c r="BA80" s="119"/>
      <c r="BB80" s="119" t="s">
        <v>855</v>
      </c>
      <c r="BC80" s="119" t="s">
        <v>856</v>
      </c>
      <c r="BD80" s="119"/>
      <c r="BE80" s="119"/>
      <c r="BF80" s="119"/>
      <c r="BG80" s="119"/>
      <c r="BH80" s="119"/>
      <c r="BI80" s="119"/>
      <c r="BJ80" s="119"/>
      <c r="BK80" s="119"/>
      <c r="BL80" s="119" t="s">
        <v>1039</v>
      </c>
      <c r="BM80" s="119"/>
      <c r="BN80" s="119"/>
    </row>
    <row r="81" ht="14.25" customHeight="1">
      <c r="A81" s="119" t="s">
        <v>350</v>
      </c>
      <c r="B81" s="119" t="s">
        <v>352</v>
      </c>
      <c r="C81" s="120" t="s">
        <v>351</v>
      </c>
      <c r="D81" s="119" t="s">
        <v>767</v>
      </c>
      <c r="E81" s="113" t="s">
        <v>768</v>
      </c>
      <c r="F81" s="119" t="s">
        <v>769</v>
      </c>
      <c r="G81" s="119" t="s">
        <v>770</v>
      </c>
      <c r="H81" s="119" t="s">
        <v>771</v>
      </c>
      <c r="I81" s="119" t="s">
        <v>772</v>
      </c>
      <c r="J81" s="119" t="s">
        <v>773</v>
      </c>
      <c r="K81" s="119" t="s">
        <v>774</v>
      </c>
      <c r="L81" s="126" t="s">
        <v>826</v>
      </c>
      <c r="M81" s="119" t="s">
        <v>815</v>
      </c>
      <c r="N81" s="119" t="s">
        <v>788</v>
      </c>
      <c r="O81" s="119" t="s">
        <v>980</v>
      </c>
      <c r="P81" s="119" t="s">
        <v>847</v>
      </c>
      <c r="Q81" s="119" t="s">
        <v>1014</v>
      </c>
      <c r="R81" s="119" t="s">
        <v>1015</v>
      </c>
      <c r="S81" s="119" t="s">
        <v>1016</v>
      </c>
      <c r="T81" s="121" t="s">
        <v>1107</v>
      </c>
      <c r="U81" s="121" t="s">
        <v>1108</v>
      </c>
      <c r="V81" s="121"/>
      <c r="W81" s="122" t="s">
        <v>803</v>
      </c>
      <c r="X81" s="122" t="s">
        <v>783</v>
      </c>
      <c r="Y81" s="122" t="s">
        <v>775</v>
      </c>
      <c r="Z81" s="123" t="s">
        <v>783</v>
      </c>
      <c r="AA81" s="123" t="s">
        <v>783</v>
      </c>
      <c r="AB81" s="123" t="s">
        <v>783</v>
      </c>
      <c r="AC81" s="123" t="s">
        <v>775</v>
      </c>
      <c r="AD81" s="123" t="s">
        <v>783</v>
      </c>
      <c r="AE81" s="123" t="s">
        <v>775</v>
      </c>
      <c r="AF81" s="123" t="s">
        <v>775</v>
      </c>
      <c r="AG81" s="123" t="s">
        <v>783</v>
      </c>
      <c r="AH81" s="123" t="s">
        <v>783</v>
      </c>
      <c r="AI81" s="123" t="s">
        <v>803</v>
      </c>
      <c r="AJ81" s="123" t="s">
        <v>783</v>
      </c>
      <c r="AK81" s="123" t="s">
        <v>783</v>
      </c>
      <c r="AL81" s="123" t="s">
        <v>803</v>
      </c>
      <c r="AM81" s="123"/>
      <c r="AN81" s="123"/>
      <c r="AO81" s="123"/>
      <c r="AP81" s="119"/>
      <c r="AQ81" s="119"/>
      <c r="AR81" s="119"/>
      <c r="AS81" s="119"/>
      <c r="AT81" s="119"/>
      <c r="AU81" s="119"/>
      <c r="AV81" s="119"/>
      <c r="AW81" s="119"/>
      <c r="AX81" s="119"/>
      <c r="AY81" s="119"/>
      <c r="AZ81" s="119"/>
      <c r="BA81" s="119"/>
      <c r="BB81" s="119" t="s">
        <v>1002</v>
      </c>
      <c r="BC81" s="119"/>
      <c r="BD81" s="119"/>
      <c r="BE81" s="119"/>
      <c r="BF81" s="119"/>
      <c r="BG81" s="119"/>
      <c r="BH81" s="119"/>
      <c r="BI81" s="119"/>
      <c r="BJ81" s="119"/>
      <c r="BK81" s="119"/>
      <c r="BL81" s="119" t="s">
        <v>867</v>
      </c>
      <c r="BM81" s="119"/>
      <c r="BN81" s="119"/>
    </row>
    <row r="82" ht="14.25" customHeight="1">
      <c r="A82" s="119" t="s">
        <v>362</v>
      </c>
      <c r="B82" s="119" t="s">
        <v>364</v>
      </c>
      <c r="C82" s="120" t="s">
        <v>363</v>
      </c>
      <c r="D82" s="119" t="s">
        <v>767</v>
      </c>
      <c r="E82" s="113" t="s">
        <v>768</v>
      </c>
      <c r="F82" s="119" t="s">
        <v>769</v>
      </c>
      <c r="G82" s="119" t="s">
        <v>770</v>
      </c>
      <c r="H82" s="119" t="s">
        <v>771</v>
      </c>
      <c r="I82" s="119" t="s">
        <v>772</v>
      </c>
      <c r="J82" s="119" t="s">
        <v>773</v>
      </c>
      <c r="K82" s="119" t="s">
        <v>774</v>
      </c>
      <c r="L82" s="126" t="s">
        <v>826</v>
      </c>
      <c r="M82" s="119" t="s">
        <v>815</v>
      </c>
      <c r="N82" s="119" t="s">
        <v>788</v>
      </c>
      <c r="O82" s="119" t="s">
        <v>980</v>
      </c>
      <c r="P82" s="119" t="s">
        <v>847</v>
      </c>
      <c r="Q82" s="119" t="s">
        <v>1014</v>
      </c>
      <c r="R82" s="119" t="s">
        <v>1047</v>
      </c>
      <c r="S82" s="119" t="s">
        <v>920</v>
      </c>
      <c r="T82" s="125" t="s">
        <v>364</v>
      </c>
      <c r="U82" s="121" t="s">
        <v>1109</v>
      </c>
      <c r="V82" s="121"/>
      <c r="W82" s="122" t="s">
        <v>784</v>
      </c>
      <c r="X82" s="122" t="s">
        <v>783</v>
      </c>
      <c r="Y82" s="122" t="s">
        <v>782</v>
      </c>
      <c r="Z82" s="123" t="s">
        <v>775</v>
      </c>
      <c r="AA82" s="123" t="s">
        <v>782</v>
      </c>
      <c r="AB82" s="123" t="s">
        <v>775</v>
      </c>
      <c r="AC82" s="123" t="s">
        <v>775</v>
      </c>
      <c r="AD82" s="123" t="s">
        <v>784</v>
      </c>
      <c r="AE82" s="123" t="s">
        <v>775</v>
      </c>
      <c r="AF82" s="123" t="s">
        <v>775</v>
      </c>
      <c r="AG82" s="123" t="s">
        <v>783</v>
      </c>
      <c r="AH82" s="123" t="s">
        <v>775</v>
      </c>
      <c r="AI82" s="123" t="s">
        <v>784</v>
      </c>
      <c r="AJ82" s="123" t="s">
        <v>775</v>
      </c>
      <c r="AK82" s="123" t="s">
        <v>784</v>
      </c>
      <c r="AL82" s="123" t="s">
        <v>951</v>
      </c>
      <c r="AM82" s="123"/>
      <c r="AN82" s="123"/>
      <c r="AO82" s="123"/>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t="s">
        <v>1071</v>
      </c>
      <c r="BM82" s="119"/>
      <c r="BN82" s="119"/>
    </row>
    <row r="83" ht="14.25" customHeight="1">
      <c r="A83" s="119" t="s">
        <v>389</v>
      </c>
      <c r="B83" s="119" t="s">
        <v>391</v>
      </c>
      <c r="C83" s="120" t="s">
        <v>390</v>
      </c>
      <c r="D83" s="119" t="s">
        <v>767</v>
      </c>
      <c r="E83" s="113" t="s">
        <v>768</v>
      </c>
      <c r="F83" s="119" t="s">
        <v>769</v>
      </c>
      <c r="G83" s="119" t="s">
        <v>770</v>
      </c>
      <c r="H83" s="119" t="s">
        <v>771</v>
      </c>
      <c r="I83" s="119" t="s">
        <v>772</v>
      </c>
      <c r="J83" s="119" t="s">
        <v>773</v>
      </c>
      <c r="K83" s="119" t="s">
        <v>774</v>
      </c>
      <c r="L83" s="126" t="s">
        <v>826</v>
      </c>
      <c r="M83" s="119" t="s">
        <v>815</v>
      </c>
      <c r="N83" s="119" t="s">
        <v>788</v>
      </c>
      <c r="O83" s="119" t="s">
        <v>980</v>
      </c>
      <c r="P83" s="119" t="s">
        <v>847</v>
      </c>
      <c r="Q83" s="119" t="s">
        <v>1014</v>
      </c>
      <c r="R83" s="119" t="s">
        <v>1047</v>
      </c>
      <c r="S83" s="119" t="s">
        <v>1093</v>
      </c>
      <c r="T83" s="121" t="s">
        <v>1110</v>
      </c>
      <c r="U83" s="121" t="s">
        <v>1111</v>
      </c>
      <c r="V83" s="121"/>
      <c r="W83" s="122" t="s">
        <v>784</v>
      </c>
      <c r="X83" s="122" t="s">
        <v>783</v>
      </c>
      <c r="Y83" s="122" t="s">
        <v>775</v>
      </c>
      <c r="Z83" s="123" t="s">
        <v>784</v>
      </c>
      <c r="AA83" s="123" t="s">
        <v>803</v>
      </c>
      <c r="AB83" s="123" t="s">
        <v>783</v>
      </c>
      <c r="AC83" s="123" t="s">
        <v>775</v>
      </c>
      <c r="AD83" s="123" t="s">
        <v>783</v>
      </c>
      <c r="AE83" s="123" t="s">
        <v>775</v>
      </c>
      <c r="AF83" s="123" t="s">
        <v>782</v>
      </c>
      <c r="AG83" s="123" t="s">
        <v>783</v>
      </c>
      <c r="AH83" s="123" t="s">
        <v>784</v>
      </c>
      <c r="AI83" s="123" t="s">
        <v>784</v>
      </c>
      <c r="AJ83" s="123" t="s">
        <v>783</v>
      </c>
      <c r="AK83" s="123" t="s">
        <v>784</v>
      </c>
      <c r="AL83" s="123" t="s">
        <v>784</v>
      </c>
      <c r="AM83" s="123"/>
      <c r="AN83" s="123"/>
      <c r="AO83" s="123"/>
      <c r="AP83" s="119"/>
      <c r="AQ83" s="119"/>
      <c r="AR83" s="119" t="s">
        <v>961</v>
      </c>
      <c r="AS83" s="119"/>
      <c r="AT83" s="119" t="s">
        <v>962</v>
      </c>
      <c r="AU83" s="119" t="s">
        <v>963</v>
      </c>
      <c r="AV83" s="119" t="s">
        <v>846</v>
      </c>
      <c r="AW83" s="119"/>
      <c r="AX83" s="119" t="s">
        <v>777</v>
      </c>
      <c r="AY83" s="119" t="s">
        <v>882</v>
      </c>
      <c r="AZ83" s="119" t="s">
        <v>864</v>
      </c>
      <c r="BA83" s="119" t="s">
        <v>1094</v>
      </c>
      <c r="BB83" s="119" t="s">
        <v>991</v>
      </c>
      <c r="BC83" s="119" t="s">
        <v>982</v>
      </c>
      <c r="BD83" s="119"/>
      <c r="BE83" s="119"/>
      <c r="BF83" s="119"/>
      <c r="BG83" s="119"/>
      <c r="BH83" s="119"/>
      <c r="BI83" s="119"/>
      <c r="BJ83" s="119"/>
      <c r="BK83" s="119"/>
      <c r="BL83" s="119" t="s">
        <v>1006</v>
      </c>
      <c r="BM83" s="119"/>
      <c r="BN83" s="119"/>
    </row>
    <row r="84" ht="14.25" customHeight="1">
      <c r="A84" s="119" t="s">
        <v>392</v>
      </c>
      <c r="B84" s="119" t="s">
        <v>394</v>
      </c>
      <c r="C84" s="120" t="s">
        <v>393</v>
      </c>
      <c r="D84" s="119" t="s">
        <v>767</v>
      </c>
      <c r="E84" s="113" t="s">
        <v>768</v>
      </c>
      <c r="F84" s="119" t="s">
        <v>769</v>
      </c>
      <c r="G84" s="119" t="s">
        <v>770</v>
      </c>
      <c r="H84" s="119" t="s">
        <v>771</v>
      </c>
      <c r="I84" s="119" t="s">
        <v>772</v>
      </c>
      <c r="J84" s="119" t="s">
        <v>773</v>
      </c>
      <c r="K84" s="119" t="s">
        <v>774</v>
      </c>
      <c r="L84" s="119" t="s">
        <v>775</v>
      </c>
      <c r="M84" s="119" t="s">
        <v>776</v>
      </c>
      <c r="N84" s="119" t="s">
        <v>876</v>
      </c>
      <c r="O84" s="119" t="s">
        <v>812</v>
      </c>
      <c r="P84" s="119" t="s">
        <v>823</v>
      </c>
      <c r="Q84" s="119" t="s">
        <v>775</v>
      </c>
      <c r="R84" s="119" t="s">
        <v>824</v>
      </c>
      <c r="S84" s="119" t="s">
        <v>775</v>
      </c>
      <c r="T84" s="121" t="s">
        <v>1112</v>
      </c>
      <c r="U84" s="121" t="s">
        <v>1113</v>
      </c>
      <c r="V84" s="121"/>
      <c r="W84" s="122" t="s">
        <v>775</v>
      </c>
      <c r="X84" s="122" t="s">
        <v>783</v>
      </c>
      <c r="Y84" s="122" t="s">
        <v>784</v>
      </c>
      <c r="Z84" s="123" t="s">
        <v>803</v>
      </c>
      <c r="AA84" s="123" t="s">
        <v>784</v>
      </c>
      <c r="AB84" s="123" t="s">
        <v>783</v>
      </c>
      <c r="AC84" s="123" t="s">
        <v>775</v>
      </c>
      <c r="AD84" s="123" t="s">
        <v>784</v>
      </c>
      <c r="AE84" s="123" t="s">
        <v>784</v>
      </c>
      <c r="AF84" s="123" t="s">
        <v>775</v>
      </c>
      <c r="AG84" s="123" t="s">
        <v>783</v>
      </c>
      <c r="AH84" s="123" t="s">
        <v>784</v>
      </c>
      <c r="AI84" s="123" t="s">
        <v>775</v>
      </c>
      <c r="AJ84" s="123" t="s">
        <v>784</v>
      </c>
      <c r="AK84" s="123" t="s">
        <v>803</v>
      </c>
      <c r="AL84" s="123" t="s">
        <v>784</v>
      </c>
      <c r="AM84" s="123"/>
      <c r="AN84" s="123"/>
      <c r="AO84" s="123"/>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88"/>
      <c r="BM84" s="119"/>
      <c r="BN84" s="119"/>
    </row>
    <row r="85" ht="14.25" customHeight="1">
      <c r="A85" s="119" t="s">
        <v>200</v>
      </c>
      <c r="B85" s="119" t="s">
        <v>202</v>
      </c>
      <c r="C85" s="120" t="s">
        <v>201</v>
      </c>
      <c r="D85" s="119" t="s">
        <v>767</v>
      </c>
      <c r="E85" s="113" t="s">
        <v>768</v>
      </c>
      <c r="F85" s="119" t="s">
        <v>769</v>
      </c>
      <c r="G85" s="119" t="s">
        <v>770</v>
      </c>
      <c r="H85" s="119" t="s">
        <v>771</v>
      </c>
      <c r="I85" s="119" t="s">
        <v>772</v>
      </c>
      <c r="J85" s="119" t="s">
        <v>773</v>
      </c>
      <c r="K85" s="119" t="s">
        <v>774</v>
      </c>
      <c r="L85" s="119" t="s">
        <v>775</v>
      </c>
      <c r="M85" s="119" t="s">
        <v>776</v>
      </c>
      <c r="N85" s="119" t="s">
        <v>876</v>
      </c>
      <c r="O85" s="119" t="s">
        <v>812</v>
      </c>
      <c r="P85" s="119" t="s">
        <v>859</v>
      </c>
      <c r="Q85" s="119" t="s">
        <v>1059</v>
      </c>
      <c r="R85" s="119" t="s">
        <v>1105</v>
      </c>
      <c r="S85" s="119" t="s">
        <v>1102</v>
      </c>
      <c r="T85" s="121" t="s">
        <v>1114</v>
      </c>
      <c r="U85" s="121" t="s">
        <v>1115</v>
      </c>
      <c r="V85" s="121"/>
      <c r="W85" s="122" t="s">
        <v>782</v>
      </c>
      <c r="X85" s="122" t="s">
        <v>783</v>
      </c>
      <c r="Y85" s="122" t="s">
        <v>782</v>
      </c>
      <c r="Z85" s="123" t="s">
        <v>782</v>
      </c>
      <c r="AA85" s="123" t="s">
        <v>782</v>
      </c>
      <c r="AB85" s="123" t="s">
        <v>775</v>
      </c>
      <c r="AC85" s="123" t="s">
        <v>775</v>
      </c>
      <c r="AD85" s="123" t="s">
        <v>783</v>
      </c>
      <c r="AE85" s="123" t="s">
        <v>775</v>
      </c>
      <c r="AF85" s="123" t="s">
        <v>775</v>
      </c>
      <c r="AG85" s="123" t="s">
        <v>783</v>
      </c>
      <c r="AH85" s="123" t="s">
        <v>784</v>
      </c>
      <c r="AI85" s="123" t="s">
        <v>782</v>
      </c>
      <c r="AJ85" s="123" t="s">
        <v>775</v>
      </c>
      <c r="AK85" s="123" t="s">
        <v>784</v>
      </c>
      <c r="AL85" s="123" t="s">
        <v>784</v>
      </c>
      <c r="AM85" s="123"/>
      <c r="AN85" s="123"/>
      <c r="AO85" s="123"/>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88"/>
      <c r="BM85" s="119"/>
      <c r="BN85" s="119"/>
    </row>
    <row r="86" ht="14.25" customHeight="1">
      <c r="A86" s="119" t="s">
        <v>245</v>
      </c>
      <c r="B86" s="119" t="s">
        <v>247</v>
      </c>
      <c r="C86" s="120" t="s">
        <v>246</v>
      </c>
      <c r="D86" s="119" t="s">
        <v>767</v>
      </c>
      <c r="E86" s="113" t="s">
        <v>768</v>
      </c>
      <c r="F86" s="119" t="s">
        <v>769</v>
      </c>
      <c r="G86" s="119" t="s">
        <v>770</v>
      </c>
      <c r="H86" s="119" t="s">
        <v>771</v>
      </c>
      <c r="I86" s="119" t="s">
        <v>772</v>
      </c>
      <c r="J86" s="119" t="s">
        <v>773</v>
      </c>
      <c r="K86" s="119" t="s">
        <v>774</v>
      </c>
      <c r="L86" s="119" t="s">
        <v>775</v>
      </c>
      <c r="M86" s="119" t="s">
        <v>776</v>
      </c>
      <c r="N86" s="119" t="s">
        <v>876</v>
      </c>
      <c r="O86" s="119" t="s">
        <v>812</v>
      </c>
      <c r="P86" s="119" t="s">
        <v>859</v>
      </c>
      <c r="Q86" s="119" t="s">
        <v>836</v>
      </c>
      <c r="R86" s="119" t="s">
        <v>837</v>
      </c>
      <c r="S86" s="119" t="s">
        <v>775</v>
      </c>
      <c r="T86" s="121" t="s">
        <v>1116</v>
      </c>
      <c r="U86" s="121" t="s">
        <v>1117</v>
      </c>
      <c r="V86" s="121"/>
      <c r="W86" s="122" t="s">
        <v>775</v>
      </c>
      <c r="X86" s="122" t="s">
        <v>783</v>
      </c>
      <c r="Y86" s="122" t="s">
        <v>784</v>
      </c>
      <c r="Z86" s="123" t="s">
        <v>784</v>
      </c>
      <c r="AA86" s="123" t="s">
        <v>784</v>
      </c>
      <c r="AB86" s="123" t="s">
        <v>782</v>
      </c>
      <c r="AC86" s="123" t="s">
        <v>775</v>
      </c>
      <c r="AD86" s="123" t="s">
        <v>784</v>
      </c>
      <c r="AE86" s="123" t="s">
        <v>775</v>
      </c>
      <c r="AF86" s="123" t="s">
        <v>775</v>
      </c>
      <c r="AG86" s="123" t="s">
        <v>783</v>
      </c>
      <c r="AH86" s="123" t="s">
        <v>784</v>
      </c>
      <c r="AI86" s="123" t="s">
        <v>782</v>
      </c>
      <c r="AJ86" s="123" t="s">
        <v>782</v>
      </c>
      <c r="AK86" s="123" t="s">
        <v>783</v>
      </c>
      <c r="AL86" s="123" t="s">
        <v>784</v>
      </c>
      <c r="AM86" s="123"/>
      <c r="AN86" s="123"/>
      <c r="AO86" s="123"/>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88"/>
      <c r="BM86" s="119"/>
      <c r="BN86" s="119"/>
    </row>
    <row r="87" ht="14.25" customHeight="1">
      <c r="A87" s="119" t="s">
        <v>320</v>
      </c>
      <c r="B87" s="119" t="s">
        <v>322</v>
      </c>
      <c r="C87" s="120" t="s">
        <v>321</v>
      </c>
      <c r="D87" s="119" t="s">
        <v>767</v>
      </c>
      <c r="E87" s="113" t="s">
        <v>768</v>
      </c>
      <c r="F87" s="119" t="s">
        <v>769</v>
      </c>
      <c r="G87" s="119" t="s">
        <v>770</v>
      </c>
      <c r="H87" s="119" t="s">
        <v>771</v>
      </c>
      <c r="I87" s="119" t="s">
        <v>772</v>
      </c>
      <c r="J87" s="119" t="s">
        <v>773</v>
      </c>
      <c r="K87" s="119" t="s">
        <v>774</v>
      </c>
      <c r="L87" s="119" t="s">
        <v>775</v>
      </c>
      <c r="M87" s="119" t="s">
        <v>776</v>
      </c>
      <c r="N87" s="119" t="s">
        <v>876</v>
      </c>
      <c r="O87" s="119" t="s">
        <v>812</v>
      </c>
      <c r="P87" s="119" t="s">
        <v>859</v>
      </c>
      <c r="Q87" s="119" t="s">
        <v>836</v>
      </c>
      <c r="R87" s="119" t="s">
        <v>933</v>
      </c>
      <c r="S87" s="119" t="s">
        <v>775</v>
      </c>
      <c r="T87" s="121" t="s">
        <v>1118</v>
      </c>
      <c r="U87" s="121" t="s">
        <v>1119</v>
      </c>
      <c r="V87" s="121"/>
      <c r="W87" s="122" t="s">
        <v>782</v>
      </c>
      <c r="X87" s="122" t="s">
        <v>783</v>
      </c>
      <c r="Y87" s="122" t="s">
        <v>784</v>
      </c>
      <c r="Z87" s="123" t="s">
        <v>784</v>
      </c>
      <c r="AA87" s="123" t="s">
        <v>784</v>
      </c>
      <c r="AB87" s="123" t="s">
        <v>782</v>
      </c>
      <c r="AC87" s="123" t="s">
        <v>775</v>
      </c>
      <c r="AD87" s="123" t="s">
        <v>784</v>
      </c>
      <c r="AE87" s="123" t="s">
        <v>775</v>
      </c>
      <c r="AF87" s="123" t="s">
        <v>782</v>
      </c>
      <c r="AG87" s="123" t="s">
        <v>783</v>
      </c>
      <c r="AH87" s="123" t="s">
        <v>784</v>
      </c>
      <c r="AI87" s="123" t="s">
        <v>775</v>
      </c>
      <c r="AJ87" s="123" t="s">
        <v>782</v>
      </c>
      <c r="AK87" s="123" t="s">
        <v>784</v>
      </c>
      <c r="AL87" s="123" t="s">
        <v>784</v>
      </c>
      <c r="AM87" s="123"/>
      <c r="AN87" s="123"/>
      <c r="AO87" s="123"/>
      <c r="AP87" s="119"/>
      <c r="AQ87" s="119"/>
      <c r="AR87" s="119"/>
      <c r="AS87" s="119"/>
      <c r="AT87" s="119"/>
      <c r="AU87" s="119"/>
      <c r="AV87" s="119"/>
      <c r="AW87" s="119"/>
      <c r="AX87" s="119"/>
      <c r="AY87" s="119" t="s">
        <v>1070</v>
      </c>
      <c r="AZ87" s="119" t="s">
        <v>1071</v>
      </c>
      <c r="BA87" s="119"/>
      <c r="BB87" s="119" t="s">
        <v>958</v>
      </c>
      <c r="BC87" s="119"/>
      <c r="BD87" s="119"/>
      <c r="BE87" s="119"/>
      <c r="BF87" s="119"/>
      <c r="BG87" s="119"/>
      <c r="BH87" s="119"/>
      <c r="BI87" s="119"/>
      <c r="BJ87" s="119"/>
      <c r="BK87" s="119"/>
      <c r="BL87" s="88"/>
      <c r="BM87" s="119"/>
      <c r="BN87" s="119"/>
    </row>
    <row r="88" ht="14.25" customHeight="1">
      <c r="A88" s="119" t="s">
        <v>323</v>
      </c>
      <c r="B88" s="119" t="s">
        <v>325</v>
      </c>
      <c r="C88" s="120" t="s">
        <v>324</v>
      </c>
      <c r="D88" s="119" t="s">
        <v>767</v>
      </c>
      <c r="E88" s="113" t="s">
        <v>768</v>
      </c>
      <c r="F88" s="119" t="s">
        <v>769</v>
      </c>
      <c r="G88" s="119" t="s">
        <v>770</v>
      </c>
      <c r="H88" s="119" t="s">
        <v>771</v>
      </c>
      <c r="I88" s="119" t="s">
        <v>772</v>
      </c>
      <c r="J88" s="119" t="s">
        <v>773</v>
      </c>
      <c r="K88" s="119" t="s">
        <v>774</v>
      </c>
      <c r="L88" s="119" t="s">
        <v>775</v>
      </c>
      <c r="M88" s="119" t="s">
        <v>776</v>
      </c>
      <c r="N88" s="119" t="s">
        <v>876</v>
      </c>
      <c r="O88" s="119" t="s">
        <v>812</v>
      </c>
      <c r="P88" s="119" t="s">
        <v>859</v>
      </c>
      <c r="Q88" s="119" t="s">
        <v>836</v>
      </c>
      <c r="R88" s="119" t="s">
        <v>933</v>
      </c>
      <c r="S88" s="119" t="s">
        <v>775</v>
      </c>
      <c r="T88" s="121" t="s">
        <v>1118</v>
      </c>
      <c r="U88" s="121" t="s">
        <v>1120</v>
      </c>
      <c r="V88" s="121"/>
      <c r="W88" s="122" t="s">
        <v>775</v>
      </c>
      <c r="X88" s="122" t="s">
        <v>783</v>
      </c>
      <c r="Y88" s="122" t="s">
        <v>784</v>
      </c>
      <c r="Z88" s="123" t="s">
        <v>783</v>
      </c>
      <c r="AA88" s="123" t="s">
        <v>784</v>
      </c>
      <c r="AB88" s="123" t="s">
        <v>775</v>
      </c>
      <c r="AC88" s="123" t="s">
        <v>775</v>
      </c>
      <c r="AD88" s="123" t="s">
        <v>783</v>
      </c>
      <c r="AE88" s="123" t="s">
        <v>775</v>
      </c>
      <c r="AF88" s="123" t="s">
        <v>775</v>
      </c>
      <c r="AG88" s="123" t="s">
        <v>783</v>
      </c>
      <c r="AH88" s="123" t="s">
        <v>803</v>
      </c>
      <c r="AI88" s="123" t="s">
        <v>775</v>
      </c>
      <c r="AJ88" s="123" t="s">
        <v>775</v>
      </c>
      <c r="AK88" s="123" t="s">
        <v>784</v>
      </c>
      <c r="AL88" s="123" t="s">
        <v>784</v>
      </c>
      <c r="AM88" s="123"/>
      <c r="AN88" s="123"/>
      <c r="AO88" s="123"/>
      <c r="AP88" s="119"/>
      <c r="AQ88" s="119"/>
      <c r="AR88" s="119"/>
      <c r="AS88" s="119"/>
      <c r="AT88" s="119"/>
      <c r="AU88" s="119"/>
      <c r="AV88" s="119"/>
      <c r="AW88" s="119"/>
      <c r="AX88" s="119"/>
      <c r="AY88" s="119"/>
      <c r="AZ88" s="119" t="s">
        <v>814</v>
      </c>
      <c r="BA88" s="119"/>
      <c r="BB88" s="119"/>
      <c r="BC88" s="119"/>
      <c r="BD88" s="119"/>
      <c r="BE88" s="119"/>
      <c r="BF88" s="119"/>
      <c r="BG88" s="119"/>
      <c r="BH88" s="119"/>
      <c r="BI88" s="119"/>
      <c r="BJ88" s="119"/>
      <c r="BK88" s="119"/>
      <c r="BL88" s="88"/>
      <c r="BM88" s="119"/>
      <c r="BN88" s="119"/>
    </row>
    <row r="89" ht="14.25" customHeight="1">
      <c r="A89" s="119" t="s">
        <v>326</v>
      </c>
      <c r="B89" s="119" t="s">
        <v>328</v>
      </c>
      <c r="C89" s="120" t="s">
        <v>327</v>
      </c>
      <c r="D89" s="119" t="s">
        <v>767</v>
      </c>
      <c r="E89" s="113" t="s">
        <v>768</v>
      </c>
      <c r="F89" s="119" t="s">
        <v>769</v>
      </c>
      <c r="G89" s="119" t="s">
        <v>770</v>
      </c>
      <c r="H89" s="119" t="s">
        <v>771</v>
      </c>
      <c r="I89" s="119" t="s">
        <v>772</v>
      </c>
      <c r="J89" s="119" t="s">
        <v>773</v>
      </c>
      <c r="K89" s="119" t="s">
        <v>774</v>
      </c>
      <c r="L89" s="119" t="s">
        <v>775</v>
      </c>
      <c r="M89" s="119" t="s">
        <v>776</v>
      </c>
      <c r="N89" s="119" t="s">
        <v>876</v>
      </c>
      <c r="O89" s="119" t="s">
        <v>812</v>
      </c>
      <c r="P89" s="119" t="s">
        <v>859</v>
      </c>
      <c r="Q89" s="119" t="s">
        <v>836</v>
      </c>
      <c r="R89" s="119" t="s">
        <v>933</v>
      </c>
      <c r="S89" s="119" t="s">
        <v>775</v>
      </c>
      <c r="T89" s="121" t="s">
        <v>1118</v>
      </c>
      <c r="U89" s="121" t="s">
        <v>1121</v>
      </c>
      <c r="V89" s="121"/>
      <c r="W89" s="122" t="s">
        <v>775</v>
      </c>
      <c r="X89" s="122" t="s">
        <v>783</v>
      </c>
      <c r="Y89" s="122" t="s">
        <v>784</v>
      </c>
      <c r="Z89" s="123" t="s">
        <v>784</v>
      </c>
      <c r="AA89" s="123" t="s">
        <v>784</v>
      </c>
      <c r="AB89" s="123" t="s">
        <v>782</v>
      </c>
      <c r="AC89" s="123" t="s">
        <v>775</v>
      </c>
      <c r="AD89" s="123" t="s">
        <v>784</v>
      </c>
      <c r="AE89" s="123" t="s">
        <v>775</v>
      </c>
      <c r="AF89" s="123" t="s">
        <v>775</v>
      </c>
      <c r="AG89" s="123" t="s">
        <v>783</v>
      </c>
      <c r="AH89" s="123" t="s">
        <v>784</v>
      </c>
      <c r="AI89" s="123" t="s">
        <v>775</v>
      </c>
      <c r="AJ89" s="123" t="s">
        <v>775</v>
      </c>
      <c r="AK89" s="123" t="s">
        <v>784</v>
      </c>
      <c r="AL89" s="123" t="s">
        <v>784</v>
      </c>
      <c r="AM89" s="123"/>
      <c r="AN89" s="123"/>
      <c r="AO89" s="123"/>
      <c r="AP89" s="119"/>
      <c r="AQ89" s="119"/>
      <c r="AR89" s="119"/>
      <c r="AS89" s="119"/>
      <c r="AT89" s="119"/>
      <c r="AU89" s="119"/>
      <c r="AV89" s="119"/>
      <c r="AW89" s="119"/>
      <c r="AX89" s="119"/>
      <c r="AY89" s="119" t="s">
        <v>840</v>
      </c>
      <c r="AZ89" s="119" t="s">
        <v>1033</v>
      </c>
      <c r="BA89" s="119"/>
      <c r="BB89" s="119"/>
      <c r="BC89" s="119"/>
      <c r="BD89" s="119"/>
      <c r="BE89" s="119"/>
      <c r="BF89" s="119"/>
      <c r="BG89" s="119"/>
      <c r="BH89" s="119"/>
      <c r="BI89" s="119"/>
      <c r="BJ89" s="119"/>
      <c r="BK89" s="119"/>
      <c r="BL89" s="88"/>
      <c r="BM89" s="119"/>
      <c r="BN89" s="119"/>
    </row>
    <row r="90" ht="14.25" customHeight="1">
      <c r="A90" s="119" t="s">
        <v>329</v>
      </c>
      <c r="B90" s="119" t="s">
        <v>331</v>
      </c>
      <c r="C90" s="120" t="s">
        <v>330</v>
      </c>
      <c r="D90" s="119" t="s">
        <v>767</v>
      </c>
      <c r="E90" s="113" t="s">
        <v>768</v>
      </c>
      <c r="F90" s="119" t="s">
        <v>769</v>
      </c>
      <c r="G90" s="119" t="s">
        <v>770</v>
      </c>
      <c r="H90" s="119" t="s">
        <v>771</v>
      </c>
      <c r="I90" s="119" t="s">
        <v>772</v>
      </c>
      <c r="J90" s="119" t="s">
        <v>773</v>
      </c>
      <c r="K90" s="119" t="s">
        <v>774</v>
      </c>
      <c r="L90" s="119" t="s">
        <v>775</v>
      </c>
      <c r="M90" s="119" t="s">
        <v>776</v>
      </c>
      <c r="N90" s="119" t="s">
        <v>876</v>
      </c>
      <c r="O90" s="119" t="s">
        <v>812</v>
      </c>
      <c r="P90" s="119" t="s">
        <v>859</v>
      </c>
      <c r="Q90" s="119" t="s">
        <v>836</v>
      </c>
      <c r="R90" s="119" t="s">
        <v>837</v>
      </c>
      <c r="S90" s="119" t="s">
        <v>775</v>
      </c>
      <c r="T90" s="121" t="s">
        <v>1122</v>
      </c>
      <c r="U90" s="121" t="s">
        <v>1123</v>
      </c>
      <c r="V90" s="121"/>
      <c r="W90" s="122" t="s">
        <v>775</v>
      </c>
      <c r="X90" s="122" t="s">
        <v>783</v>
      </c>
      <c r="Y90" s="122" t="s">
        <v>784</v>
      </c>
      <c r="Z90" s="123" t="s">
        <v>783</v>
      </c>
      <c r="AA90" s="123" t="s">
        <v>784</v>
      </c>
      <c r="AB90" s="123" t="s">
        <v>775</v>
      </c>
      <c r="AC90" s="123" t="s">
        <v>775</v>
      </c>
      <c r="AD90" s="123" t="s">
        <v>783</v>
      </c>
      <c r="AE90" s="123" t="s">
        <v>775</v>
      </c>
      <c r="AF90" s="123" t="s">
        <v>775</v>
      </c>
      <c r="AG90" s="123" t="s">
        <v>783</v>
      </c>
      <c r="AH90" s="123" t="s">
        <v>783</v>
      </c>
      <c r="AI90" s="123" t="s">
        <v>775</v>
      </c>
      <c r="AJ90" s="123" t="s">
        <v>775</v>
      </c>
      <c r="AK90" s="123" t="s">
        <v>783</v>
      </c>
      <c r="AL90" s="123" t="s">
        <v>783</v>
      </c>
      <c r="AM90" s="123"/>
      <c r="AN90" s="123"/>
      <c r="AO90" s="123"/>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88"/>
      <c r="BM90" s="119"/>
      <c r="BN90" s="119"/>
    </row>
    <row r="91" ht="14.25" customHeight="1">
      <c r="A91" s="119" t="s">
        <v>341</v>
      </c>
      <c r="B91" s="119" t="s">
        <v>343</v>
      </c>
      <c r="C91" s="120" t="s">
        <v>342</v>
      </c>
      <c r="D91" s="119" t="s">
        <v>767</v>
      </c>
      <c r="E91" s="113" t="s">
        <v>768</v>
      </c>
      <c r="F91" s="119" t="s">
        <v>769</v>
      </c>
      <c r="G91" s="119" t="s">
        <v>770</v>
      </c>
      <c r="H91" s="119" t="s">
        <v>771</v>
      </c>
      <c r="I91" s="119" t="s">
        <v>772</v>
      </c>
      <c r="J91" s="119" t="s">
        <v>773</v>
      </c>
      <c r="K91" s="119" t="s">
        <v>774</v>
      </c>
      <c r="L91" s="119" t="s">
        <v>775</v>
      </c>
      <c r="M91" s="119" t="s">
        <v>776</v>
      </c>
      <c r="N91" s="119" t="s">
        <v>876</v>
      </c>
      <c r="O91" s="119" t="s">
        <v>812</v>
      </c>
      <c r="P91" s="119" t="s">
        <v>859</v>
      </c>
      <c r="Q91" s="119" t="s">
        <v>1059</v>
      </c>
      <c r="R91" s="119" t="s">
        <v>775</v>
      </c>
      <c r="S91" s="119" t="s">
        <v>775</v>
      </c>
      <c r="T91" s="121" t="s">
        <v>1124</v>
      </c>
      <c r="U91" s="121" t="s">
        <v>1125</v>
      </c>
      <c r="V91" s="121"/>
      <c r="W91" s="122" t="s">
        <v>775</v>
      </c>
      <c r="X91" s="122" t="s">
        <v>783</v>
      </c>
      <c r="Y91" s="122" t="s">
        <v>783</v>
      </c>
      <c r="Z91" s="123" t="s">
        <v>783</v>
      </c>
      <c r="AA91" s="123" t="s">
        <v>783</v>
      </c>
      <c r="AB91" s="123" t="s">
        <v>775</v>
      </c>
      <c r="AC91" s="123" t="s">
        <v>775</v>
      </c>
      <c r="AD91" s="123" t="s">
        <v>783</v>
      </c>
      <c r="AE91" s="123" t="s">
        <v>775</v>
      </c>
      <c r="AF91" s="123" t="s">
        <v>775</v>
      </c>
      <c r="AG91" s="123" t="s">
        <v>783</v>
      </c>
      <c r="AH91" s="123" t="s">
        <v>784</v>
      </c>
      <c r="AI91" s="123" t="s">
        <v>775</v>
      </c>
      <c r="AJ91" s="123" t="s">
        <v>775</v>
      </c>
      <c r="AK91" s="123" t="s">
        <v>783</v>
      </c>
      <c r="AL91" s="123" t="s">
        <v>784</v>
      </c>
      <c r="AM91" s="123"/>
      <c r="AN91" s="123"/>
      <c r="AO91" s="123"/>
      <c r="AP91" s="119"/>
      <c r="AQ91" s="119"/>
      <c r="AR91" s="119"/>
      <c r="AS91" s="119"/>
      <c r="AT91" s="119" t="s">
        <v>1024</v>
      </c>
      <c r="AU91" s="119" t="s">
        <v>1025</v>
      </c>
      <c r="AV91" s="119" t="s">
        <v>1026</v>
      </c>
      <c r="AW91" s="119" t="s">
        <v>1027</v>
      </c>
      <c r="AX91" s="119"/>
      <c r="AY91" s="119" t="s">
        <v>1028</v>
      </c>
      <c r="AZ91" s="119" t="s">
        <v>1029</v>
      </c>
      <c r="BA91" s="119"/>
      <c r="BB91" s="119"/>
      <c r="BC91" s="119"/>
      <c r="BD91" s="119"/>
      <c r="BE91" s="119"/>
      <c r="BF91" s="119"/>
      <c r="BG91" s="119"/>
      <c r="BH91" s="119"/>
      <c r="BI91" s="119"/>
      <c r="BJ91" s="119"/>
      <c r="BK91" s="119"/>
      <c r="BL91" s="88"/>
      <c r="BM91" s="119"/>
      <c r="BN91" s="119"/>
    </row>
    <row r="92" ht="14.25" customHeight="1">
      <c r="A92" s="119" t="s">
        <v>152</v>
      </c>
      <c r="B92" s="119" t="s">
        <v>154</v>
      </c>
      <c r="C92" s="120" t="s">
        <v>153</v>
      </c>
      <c r="D92" s="119" t="s">
        <v>767</v>
      </c>
      <c r="E92" s="113" t="s">
        <v>768</v>
      </c>
      <c r="F92" s="119" t="s">
        <v>769</v>
      </c>
      <c r="G92" s="119" t="s">
        <v>770</v>
      </c>
      <c r="H92" s="119" t="s">
        <v>771</v>
      </c>
      <c r="I92" s="119" t="s">
        <v>772</v>
      </c>
      <c r="J92" s="119" t="s">
        <v>773</v>
      </c>
      <c r="K92" s="119" t="s">
        <v>774</v>
      </c>
      <c r="L92" s="119" t="s">
        <v>775</v>
      </c>
      <c r="M92" s="119" t="s">
        <v>776</v>
      </c>
      <c r="N92" s="119" t="s">
        <v>876</v>
      </c>
      <c r="O92" s="119" t="s">
        <v>985</v>
      </c>
      <c r="P92" s="119" t="s">
        <v>881</v>
      </c>
      <c r="Q92" s="119" t="s">
        <v>775</v>
      </c>
      <c r="R92" s="119" t="s">
        <v>775</v>
      </c>
      <c r="S92" s="119" t="s">
        <v>775</v>
      </c>
      <c r="T92" s="125" t="s">
        <v>1126</v>
      </c>
      <c r="U92" s="121" t="s">
        <v>1127</v>
      </c>
      <c r="V92" s="121"/>
      <c r="W92" s="122" t="s">
        <v>783</v>
      </c>
      <c r="X92" s="122" t="s">
        <v>783</v>
      </c>
      <c r="Y92" s="122" t="s">
        <v>783</v>
      </c>
      <c r="Z92" s="123" t="s">
        <v>783</v>
      </c>
      <c r="AA92" s="123" t="s">
        <v>783</v>
      </c>
      <c r="AB92" s="123" t="s">
        <v>783</v>
      </c>
      <c r="AC92" s="123" t="s">
        <v>775</v>
      </c>
      <c r="AD92" s="123" t="s">
        <v>783</v>
      </c>
      <c r="AE92" s="123" t="s">
        <v>783</v>
      </c>
      <c r="AF92" s="123" t="s">
        <v>775</v>
      </c>
      <c r="AG92" s="123" t="s">
        <v>783</v>
      </c>
      <c r="AH92" s="123" t="s">
        <v>783</v>
      </c>
      <c r="AI92" s="123" t="s">
        <v>783</v>
      </c>
      <c r="AJ92" s="123" t="s">
        <v>783</v>
      </c>
      <c r="AK92" s="123" t="s">
        <v>783</v>
      </c>
      <c r="AL92" s="123" t="s">
        <v>783</v>
      </c>
      <c r="AM92" s="123"/>
      <c r="AN92" s="123"/>
      <c r="AO92" s="123"/>
      <c r="AP92" s="119"/>
      <c r="AQ92" s="119"/>
      <c r="AR92" s="119"/>
      <c r="AS92" s="119"/>
      <c r="AT92" s="119"/>
      <c r="AU92" s="119"/>
      <c r="AV92" s="119"/>
      <c r="AW92" s="119"/>
      <c r="AX92" s="119"/>
      <c r="AY92" s="119" t="s">
        <v>980</v>
      </c>
      <c r="AZ92" s="119" t="s">
        <v>847</v>
      </c>
      <c r="BA92" s="119" t="s">
        <v>1097</v>
      </c>
      <c r="BB92" s="119" t="s">
        <v>1098</v>
      </c>
      <c r="BC92" s="119" t="s">
        <v>1099</v>
      </c>
      <c r="BD92" s="119"/>
      <c r="BE92" s="119"/>
      <c r="BF92" s="119"/>
      <c r="BG92" s="119"/>
      <c r="BH92" s="119"/>
      <c r="BI92" s="119"/>
      <c r="BJ92" s="119"/>
      <c r="BK92" s="119"/>
      <c r="BL92" s="88"/>
      <c r="BM92" s="119"/>
      <c r="BN92" s="119"/>
    </row>
    <row r="93" ht="14.25" customHeight="1">
      <c r="A93" s="119" t="s">
        <v>155</v>
      </c>
      <c r="B93" s="119" t="s">
        <v>157</v>
      </c>
      <c r="C93" s="120" t="s">
        <v>156</v>
      </c>
      <c r="D93" s="119" t="s">
        <v>767</v>
      </c>
      <c r="E93" s="113" t="s">
        <v>768</v>
      </c>
      <c r="F93" s="119" t="s">
        <v>769</v>
      </c>
      <c r="G93" s="119" t="s">
        <v>770</v>
      </c>
      <c r="H93" s="119" t="s">
        <v>771</v>
      </c>
      <c r="I93" s="119" t="s">
        <v>772</v>
      </c>
      <c r="J93" s="119" t="s">
        <v>773</v>
      </c>
      <c r="K93" s="119" t="s">
        <v>774</v>
      </c>
      <c r="L93" s="119" t="s">
        <v>775</v>
      </c>
      <c r="M93" s="119" t="s">
        <v>776</v>
      </c>
      <c r="N93" s="119" t="s">
        <v>876</v>
      </c>
      <c r="O93" s="119" t="s">
        <v>985</v>
      </c>
      <c r="P93" s="119" t="s">
        <v>881</v>
      </c>
      <c r="Q93" s="119" t="s">
        <v>775</v>
      </c>
      <c r="R93" s="119" t="s">
        <v>775</v>
      </c>
      <c r="S93" s="119" t="s">
        <v>775</v>
      </c>
      <c r="T93" s="125" t="s">
        <v>1126</v>
      </c>
      <c r="U93" s="121" t="s">
        <v>1128</v>
      </c>
      <c r="V93" s="121"/>
      <c r="W93" s="122" t="s">
        <v>784</v>
      </c>
      <c r="X93" s="122" t="s">
        <v>783</v>
      </c>
      <c r="Y93" s="122" t="s">
        <v>784</v>
      </c>
      <c r="Z93" s="123" t="s">
        <v>803</v>
      </c>
      <c r="AA93" s="123" t="s">
        <v>783</v>
      </c>
      <c r="AB93" s="123" t="s">
        <v>784</v>
      </c>
      <c r="AC93" s="123" t="s">
        <v>782</v>
      </c>
      <c r="AD93" s="123" t="s">
        <v>783</v>
      </c>
      <c r="AE93" s="123" t="s">
        <v>783</v>
      </c>
      <c r="AF93" s="123" t="s">
        <v>775</v>
      </c>
      <c r="AG93" s="123" t="s">
        <v>783</v>
      </c>
      <c r="AH93" s="123" t="s">
        <v>784</v>
      </c>
      <c r="AI93" s="123" t="s">
        <v>784</v>
      </c>
      <c r="AJ93" s="123" t="s">
        <v>784</v>
      </c>
      <c r="AK93" s="123" t="s">
        <v>784</v>
      </c>
      <c r="AL93" s="123" t="s">
        <v>784</v>
      </c>
      <c r="AM93" s="123"/>
      <c r="AN93" s="123"/>
      <c r="AO93" s="123"/>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88"/>
      <c r="BM93" s="119"/>
      <c r="BN93" s="119"/>
    </row>
    <row r="94" ht="14.25" customHeight="1">
      <c r="A94" s="119" t="s">
        <v>314</v>
      </c>
      <c r="B94" s="119" t="s">
        <v>316</v>
      </c>
      <c r="C94" s="120" t="s">
        <v>315</v>
      </c>
      <c r="D94" s="119" t="s">
        <v>767</v>
      </c>
      <c r="E94" s="113" t="s">
        <v>768</v>
      </c>
      <c r="F94" s="119" t="s">
        <v>769</v>
      </c>
      <c r="G94" s="119" t="s">
        <v>770</v>
      </c>
      <c r="H94" s="119" t="s">
        <v>771</v>
      </c>
      <c r="I94" s="119" t="s">
        <v>772</v>
      </c>
      <c r="J94" s="119" t="s">
        <v>773</v>
      </c>
      <c r="K94" s="119" t="s">
        <v>774</v>
      </c>
      <c r="L94" s="119" t="s">
        <v>775</v>
      </c>
      <c r="M94" s="119" t="s">
        <v>776</v>
      </c>
      <c r="N94" s="119" t="s">
        <v>876</v>
      </c>
      <c r="O94" s="119" t="s">
        <v>970</v>
      </c>
      <c r="P94" s="119" t="s">
        <v>890</v>
      </c>
      <c r="Q94" s="119" t="s">
        <v>775</v>
      </c>
      <c r="R94" s="119" t="s">
        <v>1129</v>
      </c>
      <c r="S94" s="119" t="s">
        <v>775</v>
      </c>
      <c r="T94" s="125" t="s">
        <v>1130</v>
      </c>
      <c r="U94" s="121" t="s">
        <v>1131</v>
      </c>
      <c r="V94" s="121"/>
      <c r="W94" s="122" t="s">
        <v>783</v>
      </c>
      <c r="X94" s="122" t="s">
        <v>783</v>
      </c>
      <c r="Y94" s="122" t="s">
        <v>783</v>
      </c>
      <c r="Z94" s="123" t="s">
        <v>783</v>
      </c>
      <c r="AA94" s="123" t="s">
        <v>783</v>
      </c>
      <c r="AB94" s="123" t="s">
        <v>783</v>
      </c>
      <c r="AC94" s="123" t="s">
        <v>775</v>
      </c>
      <c r="AD94" s="123" t="s">
        <v>783</v>
      </c>
      <c r="AE94" s="123" t="s">
        <v>783</v>
      </c>
      <c r="AF94" s="123" t="s">
        <v>775</v>
      </c>
      <c r="AG94" s="123" t="s">
        <v>783</v>
      </c>
      <c r="AH94" s="123" t="s">
        <v>783</v>
      </c>
      <c r="AI94" s="123" t="s">
        <v>783</v>
      </c>
      <c r="AJ94" s="123" t="s">
        <v>783</v>
      </c>
      <c r="AK94" s="123" t="s">
        <v>783</v>
      </c>
      <c r="AL94" s="123" t="s">
        <v>783</v>
      </c>
      <c r="AM94" s="123"/>
      <c r="AN94" s="123"/>
      <c r="AO94" s="123"/>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88"/>
      <c r="BM94" s="119"/>
      <c r="BN94" s="119"/>
    </row>
    <row r="95" ht="14.25" customHeight="1">
      <c r="A95" s="119" t="s">
        <v>317</v>
      </c>
      <c r="B95" s="119" t="s">
        <v>319</v>
      </c>
      <c r="C95" s="120" t="s">
        <v>318</v>
      </c>
      <c r="D95" s="119" t="s">
        <v>767</v>
      </c>
      <c r="E95" s="113" t="s">
        <v>768</v>
      </c>
      <c r="F95" s="119" t="s">
        <v>769</v>
      </c>
      <c r="G95" s="119" t="s">
        <v>770</v>
      </c>
      <c r="H95" s="119" t="s">
        <v>771</v>
      </c>
      <c r="I95" s="119" t="s">
        <v>772</v>
      </c>
      <c r="J95" s="119" t="s">
        <v>773</v>
      </c>
      <c r="K95" s="119" t="s">
        <v>774</v>
      </c>
      <c r="L95" s="119" t="s">
        <v>775</v>
      </c>
      <c r="M95" s="119" t="s">
        <v>776</v>
      </c>
      <c r="N95" s="119" t="s">
        <v>876</v>
      </c>
      <c r="O95" s="119" t="s">
        <v>970</v>
      </c>
      <c r="P95" s="119" t="s">
        <v>890</v>
      </c>
      <c r="Q95" s="119" t="s">
        <v>775</v>
      </c>
      <c r="R95" s="119" t="s">
        <v>1129</v>
      </c>
      <c r="S95" s="119" t="s">
        <v>775</v>
      </c>
      <c r="T95" s="125" t="s">
        <v>1130</v>
      </c>
      <c r="U95" s="121" t="s">
        <v>1132</v>
      </c>
      <c r="V95" s="121"/>
      <c r="W95" s="122" t="s">
        <v>784</v>
      </c>
      <c r="X95" s="122" t="s">
        <v>783</v>
      </c>
      <c r="Y95" s="122" t="s">
        <v>784</v>
      </c>
      <c r="Z95" s="123" t="s">
        <v>783</v>
      </c>
      <c r="AA95" s="123" t="s">
        <v>784</v>
      </c>
      <c r="AB95" s="123" t="s">
        <v>783</v>
      </c>
      <c r="AC95" s="123" t="s">
        <v>775</v>
      </c>
      <c r="AD95" s="123" t="s">
        <v>783</v>
      </c>
      <c r="AE95" s="123" t="s">
        <v>783</v>
      </c>
      <c r="AF95" s="123" t="s">
        <v>775</v>
      </c>
      <c r="AG95" s="123" t="s">
        <v>783</v>
      </c>
      <c r="AH95" s="123" t="s">
        <v>803</v>
      </c>
      <c r="AI95" s="123" t="s">
        <v>783</v>
      </c>
      <c r="AJ95" s="123" t="s">
        <v>783</v>
      </c>
      <c r="AK95" s="123" t="s">
        <v>783</v>
      </c>
      <c r="AL95" s="123" t="s">
        <v>783</v>
      </c>
      <c r="AM95" s="123"/>
      <c r="AN95" s="123"/>
      <c r="AO95" s="123"/>
      <c r="AP95" s="119"/>
      <c r="AQ95" s="119"/>
      <c r="AR95" s="119"/>
      <c r="AS95" s="119"/>
      <c r="AT95" s="119"/>
      <c r="AU95" s="119"/>
      <c r="AV95" s="119"/>
      <c r="AW95" s="119"/>
      <c r="AX95" s="119"/>
      <c r="AY95" s="119"/>
      <c r="AZ95" s="119" t="s">
        <v>890</v>
      </c>
      <c r="BA95" s="119"/>
      <c r="BB95" s="119" t="s">
        <v>1129</v>
      </c>
      <c r="BC95" s="119"/>
      <c r="BD95" s="119"/>
      <c r="BE95" s="119"/>
      <c r="BF95" s="119"/>
      <c r="BG95" s="119"/>
      <c r="BH95" s="119"/>
      <c r="BI95" s="119"/>
      <c r="BJ95" s="119"/>
      <c r="BK95" s="119"/>
      <c r="BL95" s="88"/>
      <c r="BM95" s="119"/>
      <c r="BN95" s="119"/>
    </row>
    <row r="96" ht="14.25" customHeight="1">
      <c r="A96" s="119" t="s">
        <v>344</v>
      </c>
      <c r="B96" s="119" t="s">
        <v>346</v>
      </c>
      <c r="C96" s="120" t="s">
        <v>345</v>
      </c>
      <c r="D96" s="119" t="s">
        <v>767</v>
      </c>
      <c r="E96" s="113" t="s">
        <v>1133</v>
      </c>
      <c r="F96" s="119" t="s">
        <v>769</v>
      </c>
      <c r="G96" s="119" t="s">
        <v>770</v>
      </c>
      <c r="H96" s="119" t="s">
        <v>771</v>
      </c>
      <c r="I96" s="119" t="s">
        <v>772</v>
      </c>
      <c r="J96" s="130" t="s">
        <v>1050</v>
      </c>
      <c r="K96" s="119" t="s">
        <v>1064</v>
      </c>
      <c r="L96" s="119" t="s">
        <v>775</v>
      </c>
      <c r="M96" s="119"/>
      <c r="N96" s="119" t="s">
        <v>775</v>
      </c>
      <c r="O96" s="119" t="s">
        <v>1065</v>
      </c>
      <c r="P96" s="119" t="s">
        <v>893</v>
      </c>
      <c r="Q96" s="119" t="s">
        <v>775</v>
      </c>
      <c r="R96" s="119" t="s">
        <v>775</v>
      </c>
      <c r="S96" s="119" t="s">
        <v>775</v>
      </c>
      <c r="T96" s="121" t="s">
        <v>1134</v>
      </c>
      <c r="U96" s="121" t="s">
        <v>1135</v>
      </c>
      <c r="V96" s="121"/>
      <c r="W96" s="122" t="s">
        <v>775</v>
      </c>
      <c r="X96" s="122" t="s">
        <v>783</v>
      </c>
      <c r="Y96" s="122" t="s">
        <v>775</v>
      </c>
      <c r="Z96" s="123" t="s">
        <v>775</v>
      </c>
      <c r="AA96" s="123" t="s">
        <v>775</v>
      </c>
      <c r="AB96" s="123" t="s">
        <v>775</v>
      </c>
      <c r="AC96" s="123" t="s">
        <v>775</v>
      </c>
      <c r="AD96" s="123" t="s">
        <v>783</v>
      </c>
      <c r="AE96" s="123" t="s">
        <v>775</v>
      </c>
      <c r="AF96" s="123" t="s">
        <v>775</v>
      </c>
      <c r="AG96" s="123" t="s">
        <v>783</v>
      </c>
      <c r="AH96" s="123" t="s">
        <v>775</v>
      </c>
      <c r="AI96" s="123" t="s">
        <v>775</v>
      </c>
      <c r="AJ96" s="123" t="s">
        <v>775</v>
      </c>
      <c r="AK96" s="123" t="s">
        <v>784</v>
      </c>
      <c r="AL96" s="123" t="s">
        <v>775</v>
      </c>
      <c r="AM96" s="123"/>
      <c r="AN96" s="123"/>
      <c r="AO96" s="123"/>
      <c r="AP96" s="119"/>
      <c r="AQ96" s="119"/>
      <c r="AR96" s="119"/>
      <c r="AS96" s="119"/>
      <c r="AT96" s="119"/>
      <c r="AU96" s="119"/>
      <c r="AV96" s="119"/>
      <c r="AW96" s="119"/>
      <c r="AX96" s="119"/>
      <c r="AY96" s="119" t="s">
        <v>1136</v>
      </c>
      <c r="AZ96" s="119" t="s">
        <v>831</v>
      </c>
      <c r="BA96" s="119"/>
      <c r="BB96" s="119"/>
      <c r="BC96" s="119"/>
      <c r="BD96" s="119"/>
      <c r="BE96" s="119"/>
      <c r="BF96" s="119"/>
      <c r="BG96" s="119"/>
      <c r="BH96" s="119"/>
      <c r="BI96" s="119"/>
      <c r="BJ96" s="119"/>
      <c r="BK96" s="119"/>
      <c r="BL96" s="119" t="s">
        <v>942</v>
      </c>
      <c r="BM96" s="119"/>
      <c r="BN96" s="119"/>
    </row>
    <row r="97" ht="14.25" customHeight="1">
      <c r="A97" s="119" t="s">
        <v>262</v>
      </c>
      <c r="B97" s="119" t="s">
        <v>145</v>
      </c>
      <c r="C97" s="120" t="s">
        <v>263</v>
      </c>
      <c r="D97" s="119" t="s">
        <v>767</v>
      </c>
      <c r="E97" s="113"/>
      <c r="F97" s="119" t="s">
        <v>769</v>
      </c>
      <c r="G97" s="119" t="s">
        <v>860</v>
      </c>
      <c r="H97" s="119" t="s">
        <v>775</v>
      </c>
      <c r="I97" s="119" t="s">
        <v>785</v>
      </c>
      <c r="J97" s="119" t="s">
        <v>786</v>
      </c>
      <c r="K97" s="119" t="s">
        <v>921</v>
      </c>
      <c r="L97" s="119" t="s">
        <v>775</v>
      </c>
      <c r="M97" s="119"/>
      <c r="N97" s="119" t="s">
        <v>775</v>
      </c>
      <c r="O97" s="119" t="s">
        <v>1137</v>
      </c>
      <c r="P97" s="119" t="s">
        <v>896</v>
      </c>
      <c r="Q97" s="119" t="s">
        <v>775</v>
      </c>
      <c r="R97" s="119" t="s">
        <v>775</v>
      </c>
      <c r="S97" s="119" t="s">
        <v>775</v>
      </c>
      <c r="T97" s="121" t="s">
        <v>1138</v>
      </c>
      <c r="U97" s="121" t="s">
        <v>1139</v>
      </c>
      <c r="V97" s="121"/>
      <c r="W97" s="122" t="s">
        <v>775</v>
      </c>
      <c r="X97" s="122" t="s">
        <v>775</v>
      </c>
      <c r="Y97" s="122" t="s">
        <v>775</v>
      </c>
      <c r="Z97" s="123" t="s">
        <v>775</v>
      </c>
      <c r="AA97" s="123" t="s">
        <v>775</v>
      </c>
      <c r="AB97" s="123" t="s">
        <v>775</v>
      </c>
      <c r="AC97" s="123" t="s">
        <v>775</v>
      </c>
      <c r="AD97" s="123" t="s">
        <v>775</v>
      </c>
      <c r="AE97" s="123" t="s">
        <v>775</v>
      </c>
      <c r="AF97" s="123" t="s">
        <v>775</v>
      </c>
      <c r="AG97" s="123" t="s">
        <v>775</v>
      </c>
      <c r="AH97" s="123" t="s">
        <v>775</v>
      </c>
      <c r="AI97" s="123" t="s">
        <v>775</v>
      </c>
      <c r="AJ97" s="123" t="s">
        <v>775</v>
      </c>
      <c r="AK97" s="123" t="s">
        <v>775</v>
      </c>
      <c r="AL97" s="123" t="s">
        <v>775</v>
      </c>
      <c r="AM97" s="123"/>
      <c r="AN97" s="123"/>
      <c r="AO97" s="123"/>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t="s">
        <v>878</v>
      </c>
      <c r="BM97" s="119"/>
      <c r="BN97" s="119"/>
    </row>
    <row r="98" ht="14.25" customHeight="1">
      <c r="A98" s="119" t="s">
        <v>131</v>
      </c>
      <c r="B98" s="119" t="s">
        <v>133</v>
      </c>
      <c r="C98" s="120" t="s">
        <v>132</v>
      </c>
      <c r="D98" s="119" t="s">
        <v>767</v>
      </c>
      <c r="E98" s="113" t="s">
        <v>768</v>
      </c>
      <c r="F98" s="119" t="s">
        <v>769</v>
      </c>
      <c r="G98" s="119" t="s">
        <v>770</v>
      </c>
      <c r="H98" s="119" t="s">
        <v>771</v>
      </c>
      <c r="I98" s="119" t="s">
        <v>772</v>
      </c>
      <c r="J98" s="119" t="s">
        <v>773</v>
      </c>
      <c r="K98" s="119" t="s">
        <v>774</v>
      </c>
      <c r="L98" s="126" t="s">
        <v>775</v>
      </c>
      <c r="M98" s="119" t="s">
        <v>776</v>
      </c>
      <c r="N98" s="119" t="s">
        <v>804</v>
      </c>
      <c r="O98" s="119" t="s">
        <v>941</v>
      </c>
      <c r="P98" s="119" t="s">
        <v>897</v>
      </c>
      <c r="Q98" s="119" t="s">
        <v>1051</v>
      </c>
      <c r="R98" s="119" t="s">
        <v>1052</v>
      </c>
      <c r="S98" s="119" t="s">
        <v>775</v>
      </c>
      <c r="T98" s="125" t="s">
        <v>1140</v>
      </c>
      <c r="U98" s="121" t="s">
        <v>1141</v>
      </c>
      <c r="V98" s="121"/>
      <c r="W98" s="122" t="s">
        <v>782</v>
      </c>
      <c r="X98" s="122" t="s">
        <v>783</v>
      </c>
      <c r="Y98" s="122" t="s">
        <v>782</v>
      </c>
      <c r="Z98" s="123" t="s">
        <v>784</v>
      </c>
      <c r="AA98" s="123" t="s">
        <v>782</v>
      </c>
      <c r="AB98" s="123" t="s">
        <v>775</v>
      </c>
      <c r="AC98" s="123" t="s">
        <v>775</v>
      </c>
      <c r="AD98" s="123" t="s">
        <v>783</v>
      </c>
      <c r="AE98" s="123" t="s">
        <v>775</v>
      </c>
      <c r="AF98" s="123" t="s">
        <v>775</v>
      </c>
      <c r="AG98" s="123" t="s">
        <v>783</v>
      </c>
      <c r="AH98" s="123" t="s">
        <v>784</v>
      </c>
      <c r="AI98" s="123" t="s">
        <v>782</v>
      </c>
      <c r="AJ98" s="123" t="s">
        <v>784</v>
      </c>
      <c r="AK98" s="123" t="s">
        <v>784</v>
      </c>
      <c r="AL98" s="123" t="s">
        <v>784</v>
      </c>
      <c r="AM98" s="123"/>
      <c r="AN98" s="123"/>
      <c r="AO98" s="123"/>
      <c r="AP98" s="119"/>
      <c r="AQ98" s="119" t="s">
        <v>775</v>
      </c>
      <c r="AR98" s="119" t="s">
        <v>775</v>
      </c>
      <c r="AS98" s="119" t="s">
        <v>775</v>
      </c>
      <c r="AT98" s="119" t="s">
        <v>775</v>
      </c>
      <c r="AU98" s="119" t="s">
        <v>775</v>
      </c>
      <c r="AV98" s="119" t="s">
        <v>775</v>
      </c>
      <c r="AW98" s="119" t="s">
        <v>775</v>
      </c>
      <c r="AX98" s="119" t="s">
        <v>775</v>
      </c>
      <c r="AY98" s="119" t="s">
        <v>775</v>
      </c>
      <c r="AZ98" s="119" t="s">
        <v>775</v>
      </c>
      <c r="BA98" s="119" t="s">
        <v>775</v>
      </c>
      <c r="BB98" s="119" t="s">
        <v>775</v>
      </c>
      <c r="BC98" s="119" t="s">
        <v>775</v>
      </c>
      <c r="BD98" s="119"/>
      <c r="BE98" s="119"/>
      <c r="BF98" s="119" t="s">
        <v>1026</v>
      </c>
      <c r="BG98" s="119">
        <f>countif(tax.class,concatenate("*",BF98,"*"))</f>
        <v>1</v>
      </c>
      <c r="BH98" s="124" t="str">
        <f>BG98/BG105</f>
        <v>#DIV/0!</v>
      </c>
      <c r="BI98" s="129" t="s">
        <v>1142</v>
      </c>
      <c r="BJ98" s="124" t="str">
        <f>BH101</f>
        <v/>
      </c>
      <c r="BK98" s="124"/>
      <c r="BL98" s="88"/>
      <c r="BM98" s="124"/>
      <c r="BN98" s="119"/>
    </row>
    <row r="99" ht="14.25" customHeight="1">
      <c r="A99" s="119" t="s">
        <v>270</v>
      </c>
      <c r="B99" s="119" t="s">
        <v>272</v>
      </c>
      <c r="C99" s="120" t="s">
        <v>271</v>
      </c>
      <c r="D99" s="119" t="s">
        <v>767</v>
      </c>
      <c r="E99" s="113" t="s">
        <v>768</v>
      </c>
      <c r="F99" s="119" t="s">
        <v>769</v>
      </c>
      <c r="G99" s="119" t="s">
        <v>770</v>
      </c>
      <c r="H99" s="119" t="s">
        <v>771</v>
      </c>
      <c r="I99" s="119" t="s">
        <v>772</v>
      </c>
      <c r="J99" s="119" t="s">
        <v>773</v>
      </c>
      <c r="K99" s="119" t="s">
        <v>774</v>
      </c>
      <c r="L99" s="126" t="s">
        <v>775</v>
      </c>
      <c r="M99" s="119" t="s">
        <v>776</v>
      </c>
      <c r="N99" s="119" t="s">
        <v>804</v>
      </c>
      <c r="O99" s="119" t="s">
        <v>941</v>
      </c>
      <c r="P99" s="119" t="s">
        <v>897</v>
      </c>
      <c r="Q99" s="119" t="s">
        <v>929</v>
      </c>
      <c r="R99" s="119" t="s">
        <v>930</v>
      </c>
      <c r="S99" s="119" t="s">
        <v>775</v>
      </c>
      <c r="T99" s="125" t="s">
        <v>1143</v>
      </c>
      <c r="U99" s="121" t="s">
        <v>1144</v>
      </c>
      <c r="V99" s="121"/>
      <c r="W99" s="122" t="s">
        <v>775</v>
      </c>
      <c r="X99" s="122" t="s">
        <v>783</v>
      </c>
      <c r="Y99" s="122" t="s">
        <v>783</v>
      </c>
      <c r="Z99" s="123" t="s">
        <v>783</v>
      </c>
      <c r="AA99" s="123" t="s">
        <v>783</v>
      </c>
      <c r="AB99" s="123" t="s">
        <v>783</v>
      </c>
      <c r="AC99" s="123" t="s">
        <v>775</v>
      </c>
      <c r="AD99" s="123" t="s">
        <v>783</v>
      </c>
      <c r="AE99" s="123" t="s">
        <v>783</v>
      </c>
      <c r="AF99" s="123" t="s">
        <v>775</v>
      </c>
      <c r="AG99" s="123" t="s">
        <v>783</v>
      </c>
      <c r="AH99" s="123" t="s">
        <v>783</v>
      </c>
      <c r="AI99" s="123" t="s">
        <v>775</v>
      </c>
      <c r="AJ99" s="123" t="s">
        <v>783</v>
      </c>
      <c r="AK99" s="123" t="s">
        <v>783</v>
      </c>
      <c r="AL99" s="123" t="s">
        <v>783</v>
      </c>
      <c r="AM99" s="123"/>
      <c r="AN99" s="123"/>
      <c r="AO99" s="123"/>
      <c r="AP99" s="119"/>
      <c r="AQ99" s="119"/>
      <c r="AR99" s="119"/>
      <c r="AS99" s="119"/>
      <c r="AT99" s="119"/>
      <c r="AU99" s="119"/>
      <c r="AV99" s="119"/>
      <c r="AW99" s="119"/>
      <c r="AX99" s="119"/>
      <c r="AY99" s="119"/>
      <c r="AZ99" s="119" t="s">
        <v>1040</v>
      </c>
      <c r="BA99" s="119"/>
      <c r="BB99" s="119" t="s">
        <v>975</v>
      </c>
      <c r="BC99" s="119"/>
      <c r="BD99" s="119"/>
      <c r="BE99" s="119"/>
      <c r="BF99" s="119"/>
      <c r="BG99" s="119"/>
      <c r="BH99" s="119"/>
      <c r="BI99" s="119"/>
      <c r="BJ99" s="119"/>
      <c r="BK99" s="119"/>
      <c r="BL99" s="88"/>
      <c r="BM99" s="119"/>
      <c r="BN99" s="119"/>
    </row>
    <row r="100" ht="14.25" customHeight="1">
      <c r="A100" s="119" t="s">
        <v>273</v>
      </c>
      <c r="B100" s="119" t="s">
        <v>275</v>
      </c>
      <c r="C100" s="120" t="s">
        <v>274</v>
      </c>
      <c r="D100" s="119" t="s">
        <v>767</v>
      </c>
      <c r="E100" s="113" t="s">
        <v>768</v>
      </c>
      <c r="F100" s="119" t="s">
        <v>769</v>
      </c>
      <c r="G100" s="119" t="s">
        <v>770</v>
      </c>
      <c r="H100" s="119" t="s">
        <v>771</v>
      </c>
      <c r="I100" s="119" t="s">
        <v>772</v>
      </c>
      <c r="J100" s="119" t="s">
        <v>773</v>
      </c>
      <c r="K100" s="119" t="s">
        <v>774</v>
      </c>
      <c r="L100" s="126" t="s">
        <v>775</v>
      </c>
      <c r="M100" s="119" t="s">
        <v>776</v>
      </c>
      <c r="N100" s="119" t="s">
        <v>804</v>
      </c>
      <c r="O100" s="119" t="s">
        <v>941</v>
      </c>
      <c r="P100" s="119" t="s">
        <v>897</v>
      </c>
      <c r="Q100" s="119" t="s">
        <v>929</v>
      </c>
      <c r="R100" s="119" t="s">
        <v>930</v>
      </c>
      <c r="S100" s="119" t="s">
        <v>775</v>
      </c>
      <c r="T100" s="125" t="s">
        <v>1143</v>
      </c>
      <c r="U100" s="121" t="s">
        <v>1077</v>
      </c>
      <c r="V100" s="121"/>
      <c r="W100" s="122" t="s">
        <v>775</v>
      </c>
      <c r="X100" s="122" t="s">
        <v>783</v>
      </c>
      <c r="Y100" s="122" t="s">
        <v>783</v>
      </c>
      <c r="Z100" s="123" t="s">
        <v>783</v>
      </c>
      <c r="AA100" s="123" t="s">
        <v>784</v>
      </c>
      <c r="AB100" s="123" t="s">
        <v>783</v>
      </c>
      <c r="AC100" s="123" t="s">
        <v>775</v>
      </c>
      <c r="AD100" s="123" t="s">
        <v>783</v>
      </c>
      <c r="AE100" s="123" t="s">
        <v>783</v>
      </c>
      <c r="AF100" s="123" t="s">
        <v>775</v>
      </c>
      <c r="AG100" s="123" t="s">
        <v>783</v>
      </c>
      <c r="AH100" s="123" t="s">
        <v>783</v>
      </c>
      <c r="AI100" s="123" t="s">
        <v>775</v>
      </c>
      <c r="AJ100" s="123" t="s">
        <v>783</v>
      </c>
      <c r="AK100" s="123" t="s">
        <v>783</v>
      </c>
      <c r="AL100" s="123" t="s">
        <v>783</v>
      </c>
      <c r="AM100" s="123"/>
      <c r="AN100" s="123"/>
      <c r="AO100" s="123"/>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88"/>
      <c r="BM100" s="119"/>
      <c r="BN100" s="119"/>
    </row>
    <row r="101" ht="14.25" customHeight="1">
      <c r="A101" s="119" t="s">
        <v>276</v>
      </c>
      <c r="B101" s="119" t="s">
        <v>278</v>
      </c>
      <c r="C101" s="120" t="s">
        <v>277</v>
      </c>
      <c r="D101" s="119" t="s">
        <v>767</v>
      </c>
      <c r="E101" s="113" t="s">
        <v>768</v>
      </c>
      <c r="F101" s="119" t="s">
        <v>769</v>
      </c>
      <c r="G101" s="119" t="s">
        <v>770</v>
      </c>
      <c r="H101" s="119" t="s">
        <v>771</v>
      </c>
      <c r="I101" s="119" t="s">
        <v>772</v>
      </c>
      <c r="J101" s="119" t="s">
        <v>773</v>
      </c>
      <c r="K101" s="119" t="s">
        <v>774</v>
      </c>
      <c r="L101" s="126" t="s">
        <v>775</v>
      </c>
      <c r="M101" s="119" t="s">
        <v>776</v>
      </c>
      <c r="N101" s="119" t="s">
        <v>804</v>
      </c>
      <c r="O101" s="119" t="s">
        <v>941</v>
      </c>
      <c r="P101" s="119" t="s">
        <v>897</v>
      </c>
      <c r="Q101" s="119" t="s">
        <v>929</v>
      </c>
      <c r="R101" s="119" t="s">
        <v>930</v>
      </c>
      <c r="S101" s="119" t="s">
        <v>775</v>
      </c>
      <c r="T101" s="125" t="s">
        <v>1143</v>
      </c>
      <c r="U101" s="121" t="s">
        <v>1145</v>
      </c>
      <c r="V101" s="121"/>
      <c r="W101" s="122" t="s">
        <v>775</v>
      </c>
      <c r="X101" s="122" t="s">
        <v>783</v>
      </c>
      <c r="Y101" s="122" t="s">
        <v>784</v>
      </c>
      <c r="Z101" s="123" t="s">
        <v>783</v>
      </c>
      <c r="AA101" s="123" t="s">
        <v>784</v>
      </c>
      <c r="AB101" s="123" t="s">
        <v>783</v>
      </c>
      <c r="AC101" s="123" t="s">
        <v>775</v>
      </c>
      <c r="AD101" s="123" t="s">
        <v>783</v>
      </c>
      <c r="AE101" s="123" t="s">
        <v>783</v>
      </c>
      <c r="AF101" s="123" t="s">
        <v>775</v>
      </c>
      <c r="AG101" s="123" t="s">
        <v>783</v>
      </c>
      <c r="AH101" s="123" t="s">
        <v>784</v>
      </c>
      <c r="AI101" s="123" t="s">
        <v>775</v>
      </c>
      <c r="AJ101" s="123" t="s">
        <v>783</v>
      </c>
      <c r="AK101" s="123" t="s">
        <v>783</v>
      </c>
      <c r="AL101" s="123" t="s">
        <v>784</v>
      </c>
      <c r="AM101" s="123"/>
      <c r="AN101" s="123"/>
      <c r="AO101" s="123"/>
      <c r="AP101" s="119"/>
      <c r="AQ101" s="119"/>
      <c r="AR101" s="119"/>
      <c r="AS101" s="119"/>
      <c r="AT101" s="119"/>
      <c r="AU101" s="119"/>
      <c r="AV101" s="119"/>
      <c r="AW101" s="119"/>
      <c r="AX101" s="119"/>
      <c r="AY101" s="119" t="s">
        <v>1137</v>
      </c>
      <c r="AZ101" s="119" t="s">
        <v>896</v>
      </c>
      <c r="BA101" s="119"/>
      <c r="BB101" s="119"/>
      <c r="BC101" s="119"/>
      <c r="BD101" s="119"/>
      <c r="BE101" s="119"/>
      <c r="BF101" s="119"/>
      <c r="BG101" s="119"/>
      <c r="BH101" s="119"/>
      <c r="BI101" s="119"/>
      <c r="BJ101" s="119"/>
      <c r="BK101" s="119"/>
      <c r="BL101" s="88"/>
      <c r="BM101" s="119"/>
      <c r="BN101" s="119"/>
    </row>
    <row r="102" ht="14.25" customHeight="1">
      <c r="A102" s="119" t="s">
        <v>279</v>
      </c>
      <c r="B102" s="119" t="s">
        <v>281</v>
      </c>
      <c r="C102" s="120" t="s">
        <v>280</v>
      </c>
      <c r="D102" s="119" t="s">
        <v>767</v>
      </c>
      <c r="E102" s="113" t="s">
        <v>768</v>
      </c>
      <c r="F102" s="119" t="s">
        <v>769</v>
      </c>
      <c r="G102" s="119" t="s">
        <v>770</v>
      </c>
      <c r="H102" s="119" t="s">
        <v>771</v>
      </c>
      <c r="I102" s="119" t="s">
        <v>772</v>
      </c>
      <c r="J102" s="119" t="s">
        <v>773</v>
      </c>
      <c r="K102" s="119" t="s">
        <v>774</v>
      </c>
      <c r="L102" s="126" t="s">
        <v>775</v>
      </c>
      <c r="M102" s="119" t="s">
        <v>776</v>
      </c>
      <c r="N102" s="119" t="s">
        <v>804</v>
      </c>
      <c r="O102" s="119" t="s">
        <v>941</v>
      </c>
      <c r="P102" s="119" t="s">
        <v>897</v>
      </c>
      <c r="Q102" s="119" t="s">
        <v>929</v>
      </c>
      <c r="R102" s="119" t="s">
        <v>930</v>
      </c>
      <c r="S102" s="119" t="s">
        <v>775</v>
      </c>
      <c r="T102" s="125" t="s">
        <v>1143</v>
      </c>
      <c r="U102" s="121" t="s">
        <v>1146</v>
      </c>
      <c r="V102" s="121"/>
      <c r="W102" s="122" t="s">
        <v>775</v>
      </c>
      <c r="X102" s="122" t="s">
        <v>783</v>
      </c>
      <c r="Y102" s="122" t="s">
        <v>783</v>
      </c>
      <c r="Z102" s="123" t="s">
        <v>783</v>
      </c>
      <c r="AA102" s="123" t="s">
        <v>783</v>
      </c>
      <c r="AB102" s="123" t="s">
        <v>783</v>
      </c>
      <c r="AC102" s="123" t="s">
        <v>775</v>
      </c>
      <c r="AD102" s="123" t="s">
        <v>783</v>
      </c>
      <c r="AE102" s="123" t="s">
        <v>783</v>
      </c>
      <c r="AF102" s="123" t="s">
        <v>775</v>
      </c>
      <c r="AG102" s="123" t="s">
        <v>783</v>
      </c>
      <c r="AH102" s="123" t="s">
        <v>783</v>
      </c>
      <c r="AI102" s="123" t="s">
        <v>775</v>
      </c>
      <c r="AJ102" s="123" t="s">
        <v>783</v>
      </c>
      <c r="AK102" s="123" t="s">
        <v>783</v>
      </c>
      <c r="AL102" s="123" t="s">
        <v>783</v>
      </c>
      <c r="AM102" s="123"/>
      <c r="AN102" s="123"/>
      <c r="AO102" s="123"/>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88"/>
      <c r="BM102" s="119"/>
      <c r="BN102" s="119"/>
    </row>
    <row r="103" ht="14.25" customHeight="1">
      <c r="A103" s="119" t="s">
        <v>353</v>
      </c>
      <c r="B103" s="119" t="s">
        <v>355</v>
      </c>
      <c r="C103" s="120" t="s">
        <v>354</v>
      </c>
      <c r="D103" s="119" t="s">
        <v>767</v>
      </c>
      <c r="E103" s="113" t="s">
        <v>768</v>
      </c>
      <c r="F103" s="119" t="s">
        <v>769</v>
      </c>
      <c r="G103" s="119" t="s">
        <v>770</v>
      </c>
      <c r="H103" s="119" t="s">
        <v>771</v>
      </c>
      <c r="I103" s="119" t="s">
        <v>772</v>
      </c>
      <c r="J103" s="119" t="s">
        <v>773</v>
      </c>
      <c r="K103" s="119" t="s">
        <v>774</v>
      </c>
      <c r="L103" s="126" t="s">
        <v>775</v>
      </c>
      <c r="M103" s="119" t="s">
        <v>776</v>
      </c>
      <c r="N103" s="119" t="s">
        <v>804</v>
      </c>
      <c r="O103" s="119" t="s">
        <v>941</v>
      </c>
      <c r="P103" s="119" t="s">
        <v>897</v>
      </c>
      <c r="Q103" s="119" t="s">
        <v>1051</v>
      </c>
      <c r="R103" s="119" t="s">
        <v>919</v>
      </c>
      <c r="S103" s="119" t="s">
        <v>775</v>
      </c>
      <c r="T103" s="121" t="s">
        <v>1147</v>
      </c>
      <c r="U103" s="121" t="s">
        <v>1148</v>
      </c>
      <c r="V103" s="121"/>
      <c r="W103" s="122" t="s">
        <v>775</v>
      </c>
      <c r="X103" s="122" t="s">
        <v>783</v>
      </c>
      <c r="Y103" s="122" t="s">
        <v>775</v>
      </c>
      <c r="Z103" s="123" t="s">
        <v>783</v>
      </c>
      <c r="AA103" s="123" t="s">
        <v>783</v>
      </c>
      <c r="AB103" s="123" t="s">
        <v>783</v>
      </c>
      <c r="AC103" s="123" t="s">
        <v>775</v>
      </c>
      <c r="AD103" s="123" t="s">
        <v>783</v>
      </c>
      <c r="AE103" s="123" t="s">
        <v>775</v>
      </c>
      <c r="AF103" s="123" t="s">
        <v>775</v>
      </c>
      <c r="AG103" s="123" t="s">
        <v>783</v>
      </c>
      <c r="AH103" s="123" t="s">
        <v>784</v>
      </c>
      <c r="AI103" s="123" t="s">
        <v>782</v>
      </c>
      <c r="AJ103" s="123" t="s">
        <v>783</v>
      </c>
      <c r="AK103" s="123" t="s">
        <v>784</v>
      </c>
      <c r="AL103" s="123" t="s">
        <v>784</v>
      </c>
      <c r="AM103" s="123"/>
      <c r="AN103" s="123"/>
      <c r="AO103" s="123"/>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88"/>
      <c r="BM103" s="119"/>
      <c r="BN103" s="119"/>
    </row>
    <row r="104" ht="14.25" customHeight="1">
      <c r="A104" s="119" t="s">
        <v>356</v>
      </c>
      <c r="B104" s="119" t="s">
        <v>358</v>
      </c>
      <c r="C104" s="120" t="s">
        <v>357</v>
      </c>
      <c r="D104" s="119" t="s">
        <v>767</v>
      </c>
      <c r="E104" s="113" t="s">
        <v>768</v>
      </c>
      <c r="F104" s="119" t="s">
        <v>769</v>
      </c>
      <c r="G104" s="119" t="s">
        <v>770</v>
      </c>
      <c r="H104" s="119" t="s">
        <v>771</v>
      </c>
      <c r="I104" s="119" t="s">
        <v>772</v>
      </c>
      <c r="J104" s="119" t="s">
        <v>773</v>
      </c>
      <c r="K104" s="119" t="s">
        <v>774</v>
      </c>
      <c r="L104" s="126" t="s">
        <v>775</v>
      </c>
      <c r="M104" s="119" t="s">
        <v>776</v>
      </c>
      <c r="N104" s="119" t="s">
        <v>804</v>
      </c>
      <c r="O104" s="119" t="s">
        <v>941</v>
      </c>
      <c r="P104" s="119" t="s">
        <v>897</v>
      </c>
      <c r="Q104" s="119" t="s">
        <v>1051</v>
      </c>
      <c r="R104" s="119" t="s">
        <v>919</v>
      </c>
      <c r="S104" s="119" t="s">
        <v>775</v>
      </c>
      <c r="T104" s="121" t="s">
        <v>1147</v>
      </c>
      <c r="U104" s="121" t="s">
        <v>1149</v>
      </c>
      <c r="V104" s="121"/>
      <c r="W104" s="122" t="s">
        <v>775</v>
      </c>
      <c r="X104" s="122" t="s">
        <v>783</v>
      </c>
      <c r="Y104" s="122" t="s">
        <v>783</v>
      </c>
      <c r="Z104" s="123" t="s">
        <v>783</v>
      </c>
      <c r="AA104" s="123" t="s">
        <v>783</v>
      </c>
      <c r="AB104" s="123" t="s">
        <v>783</v>
      </c>
      <c r="AC104" s="123" t="s">
        <v>775</v>
      </c>
      <c r="AD104" s="123" t="s">
        <v>783</v>
      </c>
      <c r="AE104" s="123" t="s">
        <v>783</v>
      </c>
      <c r="AF104" s="123" t="s">
        <v>775</v>
      </c>
      <c r="AG104" s="123" t="s">
        <v>783</v>
      </c>
      <c r="AH104" s="123" t="s">
        <v>783</v>
      </c>
      <c r="AI104" s="123" t="s">
        <v>775</v>
      </c>
      <c r="AJ104" s="123" t="s">
        <v>783</v>
      </c>
      <c r="AK104" s="123" t="s">
        <v>783</v>
      </c>
      <c r="AL104" s="123" t="s">
        <v>803</v>
      </c>
      <c r="AM104" s="123"/>
      <c r="AN104" s="123"/>
      <c r="AO104" s="123"/>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88"/>
      <c r="BM104" s="119"/>
      <c r="BN104" s="119"/>
    </row>
    <row r="105" ht="14.25" customHeight="1">
      <c r="A105" s="119" t="s">
        <v>359</v>
      </c>
      <c r="B105" s="119" t="s">
        <v>361</v>
      </c>
      <c r="C105" s="120" t="s">
        <v>360</v>
      </c>
      <c r="D105" s="119" t="s">
        <v>767</v>
      </c>
      <c r="E105" s="113" t="s">
        <v>768</v>
      </c>
      <c r="F105" s="119" t="s">
        <v>769</v>
      </c>
      <c r="G105" s="119" t="s">
        <v>770</v>
      </c>
      <c r="H105" s="119" t="s">
        <v>771</v>
      </c>
      <c r="I105" s="119" t="s">
        <v>772</v>
      </c>
      <c r="J105" s="119" t="s">
        <v>773</v>
      </c>
      <c r="K105" s="119" t="s">
        <v>774</v>
      </c>
      <c r="L105" s="126" t="s">
        <v>775</v>
      </c>
      <c r="M105" s="119" t="s">
        <v>776</v>
      </c>
      <c r="N105" s="119" t="s">
        <v>804</v>
      </c>
      <c r="O105" s="119" t="s">
        <v>941</v>
      </c>
      <c r="P105" s="119" t="s">
        <v>897</v>
      </c>
      <c r="Q105" s="119" t="s">
        <v>1051</v>
      </c>
      <c r="R105" s="119" t="s">
        <v>919</v>
      </c>
      <c r="S105" s="119" t="s">
        <v>775</v>
      </c>
      <c r="T105" s="121" t="s">
        <v>1147</v>
      </c>
      <c r="U105" s="121" t="s">
        <v>1150</v>
      </c>
      <c r="V105" s="121"/>
      <c r="W105" s="122" t="s">
        <v>775</v>
      </c>
      <c r="X105" s="122" t="s">
        <v>783</v>
      </c>
      <c r="Y105" s="122" t="s">
        <v>784</v>
      </c>
      <c r="Z105" s="123" t="s">
        <v>784</v>
      </c>
      <c r="AA105" s="123" t="s">
        <v>784</v>
      </c>
      <c r="AB105" s="123" t="s">
        <v>783</v>
      </c>
      <c r="AC105" s="123" t="s">
        <v>775</v>
      </c>
      <c r="AD105" s="123" t="s">
        <v>783</v>
      </c>
      <c r="AE105" s="123" t="s">
        <v>783</v>
      </c>
      <c r="AF105" s="123" t="s">
        <v>775</v>
      </c>
      <c r="AG105" s="123" t="s">
        <v>783</v>
      </c>
      <c r="AH105" s="123" t="s">
        <v>784</v>
      </c>
      <c r="AI105" s="123" t="s">
        <v>782</v>
      </c>
      <c r="AJ105" s="123" t="s">
        <v>784</v>
      </c>
      <c r="AK105" s="123" t="s">
        <v>784</v>
      </c>
      <c r="AL105" s="123" t="s">
        <v>784</v>
      </c>
      <c r="AM105" s="123"/>
      <c r="AN105" s="123"/>
      <c r="AO105" s="123"/>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88"/>
      <c r="BM105" s="119"/>
      <c r="BN105" s="119"/>
    </row>
    <row r="106" ht="14.25" customHeight="1">
      <c r="A106" s="119" t="s">
        <v>383</v>
      </c>
      <c r="B106" s="119" t="s">
        <v>385</v>
      </c>
      <c r="C106" s="120" t="s">
        <v>384</v>
      </c>
      <c r="D106" s="119" t="s">
        <v>767</v>
      </c>
      <c r="E106" s="113" t="s">
        <v>768</v>
      </c>
      <c r="F106" s="119" t="s">
        <v>769</v>
      </c>
      <c r="G106" s="119" t="s">
        <v>770</v>
      </c>
      <c r="H106" s="119" t="s">
        <v>771</v>
      </c>
      <c r="I106" s="119" t="s">
        <v>772</v>
      </c>
      <c r="J106" s="119" t="s">
        <v>773</v>
      </c>
      <c r="K106" s="119" t="s">
        <v>774</v>
      </c>
      <c r="L106" s="119" t="s">
        <v>775</v>
      </c>
      <c r="M106" s="119" t="s">
        <v>776</v>
      </c>
      <c r="N106" s="119" t="s">
        <v>876</v>
      </c>
      <c r="O106" s="119" t="s">
        <v>1043</v>
      </c>
      <c r="P106" s="119" t="s">
        <v>901</v>
      </c>
      <c r="Q106" s="119" t="s">
        <v>775</v>
      </c>
      <c r="R106" s="119" t="s">
        <v>1092</v>
      </c>
      <c r="S106" s="119" t="s">
        <v>775</v>
      </c>
      <c r="T106" s="125" t="s">
        <v>1151</v>
      </c>
      <c r="U106" s="121" t="s">
        <v>1152</v>
      </c>
      <c r="V106" s="121"/>
      <c r="W106" s="122" t="s">
        <v>775</v>
      </c>
      <c r="X106" s="122" t="s">
        <v>783</v>
      </c>
      <c r="Y106" s="122" t="s">
        <v>784</v>
      </c>
      <c r="Z106" s="123" t="s">
        <v>784</v>
      </c>
      <c r="AA106" s="123" t="s">
        <v>782</v>
      </c>
      <c r="AB106" s="123" t="s">
        <v>782</v>
      </c>
      <c r="AC106" s="123" t="s">
        <v>775</v>
      </c>
      <c r="AD106" s="123" t="s">
        <v>783</v>
      </c>
      <c r="AE106" s="123" t="s">
        <v>784</v>
      </c>
      <c r="AF106" s="123" t="s">
        <v>951</v>
      </c>
      <c r="AG106" s="123" t="s">
        <v>783</v>
      </c>
      <c r="AH106" s="123" t="s">
        <v>784</v>
      </c>
      <c r="AI106" s="123" t="s">
        <v>782</v>
      </c>
      <c r="AJ106" s="123" t="s">
        <v>784</v>
      </c>
      <c r="AK106" s="123" t="s">
        <v>784</v>
      </c>
      <c r="AL106" s="123" t="s">
        <v>784</v>
      </c>
      <c r="AM106" s="123"/>
      <c r="AN106" s="123"/>
      <c r="AO106" s="123"/>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88"/>
      <c r="BM106" s="119"/>
      <c r="BN106" s="119"/>
    </row>
    <row r="107" ht="14.25" customHeight="1">
      <c r="A107" s="119" t="s">
        <v>386</v>
      </c>
      <c r="B107" s="119" t="s">
        <v>388</v>
      </c>
      <c r="C107" s="120" t="s">
        <v>1153</v>
      </c>
      <c r="D107" s="119" t="s">
        <v>767</v>
      </c>
      <c r="E107" s="113"/>
      <c r="F107" s="119" t="s">
        <v>769</v>
      </c>
      <c r="G107" s="119" t="s">
        <v>860</v>
      </c>
      <c r="H107" s="119" t="s">
        <v>775</v>
      </c>
      <c r="I107" s="119" t="s">
        <v>785</v>
      </c>
      <c r="J107" s="119" t="s">
        <v>786</v>
      </c>
      <c r="K107" s="119" t="s">
        <v>921</v>
      </c>
      <c r="L107" s="119" t="s">
        <v>775</v>
      </c>
      <c r="M107" s="119"/>
      <c r="N107" s="119" t="s">
        <v>775</v>
      </c>
      <c r="O107" s="119" t="s">
        <v>922</v>
      </c>
      <c r="P107" s="119" t="s">
        <v>906</v>
      </c>
      <c r="Q107" s="119" t="s">
        <v>775</v>
      </c>
      <c r="R107" s="119" t="s">
        <v>775</v>
      </c>
      <c r="S107" s="119" t="s">
        <v>775</v>
      </c>
      <c r="T107" s="121" t="s">
        <v>1154</v>
      </c>
      <c r="U107" s="121" t="s">
        <v>1155</v>
      </c>
      <c r="V107" s="121" t="s">
        <v>1156</v>
      </c>
      <c r="W107" s="122" t="s">
        <v>775</v>
      </c>
      <c r="X107" s="122" t="s">
        <v>775</v>
      </c>
      <c r="Y107" s="122" t="s">
        <v>775</v>
      </c>
      <c r="Z107" s="123" t="s">
        <v>775</v>
      </c>
      <c r="AA107" s="123" t="s">
        <v>775</v>
      </c>
      <c r="AB107" s="123" t="s">
        <v>775</v>
      </c>
      <c r="AC107" s="123" t="s">
        <v>775</v>
      </c>
      <c r="AD107" s="123" t="s">
        <v>775</v>
      </c>
      <c r="AE107" s="123" t="s">
        <v>775</v>
      </c>
      <c r="AF107" s="123" t="s">
        <v>775</v>
      </c>
      <c r="AG107" s="123" t="s">
        <v>775</v>
      </c>
      <c r="AH107" s="123" t="s">
        <v>775</v>
      </c>
      <c r="AI107" s="123" t="s">
        <v>775</v>
      </c>
      <c r="AJ107" s="123" t="s">
        <v>775</v>
      </c>
      <c r="AK107" s="123" t="s">
        <v>775</v>
      </c>
      <c r="AL107" s="123" t="s">
        <v>775</v>
      </c>
      <c r="AM107" s="123"/>
      <c r="AN107" s="123"/>
      <c r="AO107" s="123"/>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t="s">
        <v>883</v>
      </c>
      <c r="BM107" s="119"/>
      <c r="BN107" s="119"/>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N$1000"/>
  <conditionalFormatting sqref="G1:G107">
    <cfRule type="containsText" dxfId="15" priority="1" operator="containsText" text="Streptophyta">
      <formula>NOT(ISERROR(SEARCH(("Streptophyta"),(G1))))</formula>
    </cfRule>
  </conditionalFormatting>
  <conditionalFormatting sqref="I1:I107">
    <cfRule type="containsText" dxfId="16" priority="2" operator="containsText" text="Tracheophyta">
      <formula>NOT(ISERROR(SEARCH(("Tracheophyta"),(I1))))</formula>
    </cfRule>
  </conditionalFormatting>
  <conditionalFormatting sqref="J1:J107">
    <cfRule type="containsText" dxfId="17" priority="3" operator="containsText" text="Spermophytina">
      <formula>NOT(ISERROR(SEARCH(("Spermophytina"),(J1))))</formula>
    </cfRule>
  </conditionalFormatting>
  <conditionalFormatting sqref="K1:K107">
    <cfRule type="containsText" dxfId="18" priority="4" operator="containsText" text="Magnoliopsida">
      <formula>NOT(ISERROR(SEARCH(("Magnoliopsida"),(K1))))</formula>
    </cfRule>
  </conditionalFormatting>
  <conditionalFormatting sqref="F1:U107 BL1:BL107">
    <cfRule type="containsBlanks" dxfId="19" priority="5">
      <formula>LEN(TRIM(F1))=0</formula>
    </cfRule>
  </conditionalFormatting>
  <conditionalFormatting sqref="E1:F107">
    <cfRule type="containsText" dxfId="20" priority="6" operator="containsText" text="Viridiplantae">
      <formula>NOT(ISERROR(SEARCH(("Viridiplantae"),(E1))))</formula>
    </cfRule>
  </conditionalFormatting>
  <conditionalFormatting sqref="E1:F107">
    <cfRule type="containsText" dxfId="21" priority="7" operator="containsText" text="Biliphyta">
      <formula>NOT(ISERROR(SEARCH(("Biliphyta"),(E1))))</formula>
    </cfRule>
  </conditionalFormatting>
  <conditionalFormatting sqref="J1:J107">
    <cfRule type="containsText" dxfId="22" priority="8" operator="containsText" text="--">
      <formula>NOT(ISERROR(SEARCH(("--"),(J1))))</formula>
    </cfRule>
  </conditionalFormatting>
  <conditionalFormatting sqref="N1:N107">
    <cfRule type="containsText" dxfId="23" priority="9" operator="containsText" text="Amborellanae  ">
      <formula>NOT(ISERROR(SEARCH(("Amborellanae  "),(N1))))</formula>
    </cfRule>
  </conditionalFormatting>
  <conditionalFormatting sqref="N1:N107">
    <cfRule type="containsText" dxfId="23" priority="10" operator="containsText" text="Asteranae">
      <formula>NOT(ISERROR(SEARCH(("Asteranae"),(N1))))</formula>
    </cfRule>
  </conditionalFormatting>
  <conditionalFormatting sqref="N1:N107">
    <cfRule type="containsText" dxfId="23" priority="11" operator="containsText" text="Austrobaileyanae">
      <formula>NOT(ISERROR(SEARCH(("Austrobaileyanae"),(N1))))</formula>
    </cfRule>
  </conditionalFormatting>
  <conditionalFormatting sqref="N1:N107">
    <cfRule type="containsText" dxfId="23" priority="12" operator="containsText" text="Berberidopsidanae">
      <formula>NOT(ISERROR(SEARCH(("Berberidopsidanae"),(N1))))</formula>
    </cfRule>
  </conditionalFormatting>
  <conditionalFormatting sqref="N1:N107">
    <cfRule type="containsText" dxfId="23" priority="13" operator="containsText" text="Buxanae">
      <formula>NOT(ISERROR(SEARCH(("Buxanae"),(N1))))</formula>
    </cfRule>
  </conditionalFormatting>
  <conditionalFormatting sqref="N1:N107">
    <cfRule type="containsText" dxfId="23" priority="14" operator="containsText" text="Caryophyllanae">
      <formula>NOT(ISERROR(SEARCH(("Caryophyllanae"),(N1))))</formula>
    </cfRule>
  </conditionalFormatting>
  <conditionalFormatting sqref="N1:N107">
    <cfRule type="containsText" dxfId="23" priority="15" operator="containsText" text="Ceratophyllanae">
      <formula>NOT(ISERROR(SEARCH(("Ceratophyllanae"),(N1))))</formula>
    </cfRule>
  </conditionalFormatting>
  <conditionalFormatting sqref="N1:N107">
    <cfRule type="containsText" dxfId="23" priority="16" operator="containsText" text="Dillenianae">
      <formula>NOT(ISERROR(SEARCH(("Dillenianae"),(N1))))</formula>
    </cfRule>
  </conditionalFormatting>
  <conditionalFormatting sqref="N1:N107">
    <cfRule type="containsText" dxfId="23" priority="17" operator="containsText" text="Lilianae">
      <formula>NOT(ISERROR(SEARCH(("Lilianae"),(N1))))</formula>
    </cfRule>
  </conditionalFormatting>
  <conditionalFormatting sqref="N1:N107">
    <cfRule type="containsText" dxfId="23" priority="18" operator="containsText" text="Magnolianae">
      <formula>NOT(ISERROR(SEARCH(("Magnolianae"),(N1))))</formula>
    </cfRule>
  </conditionalFormatting>
  <conditionalFormatting sqref="N1:N107">
    <cfRule type="containsText" dxfId="23" priority="19" operator="containsText" text="Myrothamnanae">
      <formula>NOT(ISERROR(SEARCH(("Myrothamnanae"),(N1))))</formula>
    </cfRule>
  </conditionalFormatting>
  <conditionalFormatting sqref="N1:N107">
    <cfRule type="containsText" dxfId="23" priority="20" operator="containsText" text="Nymphaeanae">
      <formula>NOT(ISERROR(SEARCH(("Nymphaeanae"),(N1))))</formula>
    </cfRule>
  </conditionalFormatting>
  <conditionalFormatting sqref="N1:N107">
    <cfRule type="containsText" dxfId="23" priority="21" operator="containsText" text="Proteanae">
      <formula>NOT(ISERROR(SEARCH(("Proteanae"),(N1))))</formula>
    </cfRule>
  </conditionalFormatting>
  <conditionalFormatting sqref="N1:N107">
    <cfRule type="containsText" dxfId="23" priority="22" operator="containsText" text="Ranunculanae">
      <formula>NOT(ISERROR(SEARCH(("Ranunculanae"),(N1))))</formula>
    </cfRule>
  </conditionalFormatting>
  <conditionalFormatting sqref="N1:N107">
    <cfRule type="containsText" dxfId="23" priority="23" operator="containsText" text="Rosanae">
      <formula>NOT(ISERROR(SEARCH(("Rosanae"),(N1))))</formula>
    </cfRule>
  </conditionalFormatting>
  <conditionalFormatting sqref="N1:N107">
    <cfRule type="containsText" dxfId="23" priority="24" operator="containsText" text="Santalanae">
      <formula>NOT(ISERROR(SEARCH(("Santalanae"),(N1))))</formula>
    </cfRule>
  </conditionalFormatting>
  <conditionalFormatting sqref="N1:N107">
    <cfRule type="containsText" dxfId="23" priority="25" operator="containsText" text="Saxifraganae">
      <formula>NOT(ISERROR(SEARCH(("Saxifraganae"),(N1))))</formula>
    </cfRule>
  </conditionalFormatting>
  <conditionalFormatting sqref="N1:N107">
    <cfRule type="containsText" dxfId="23" priority="26" operator="containsText" text="Trochodendranae">
      <formula>NOT(ISERROR(SEARCH(("Trochodendranae"),(N1))))</formula>
    </cfRule>
  </conditionalFormatting>
  <conditionalFormatting sqref="M1:M107 P1:P107 BL1:BL107">
    <cfRule type="containsText" dxfId="23" priority="27" operator="containsText" text="Icacinaceae">
      <formula>NOT(ISERROR(SEARCH(("Icacinaceae"),(M1))))</formula>
    </cfRule>
  </conditionalFormatting>
  <conditionalFormatting sqref="M1:M107 P1:P107 BL1:BL107">
    <cfRule type="containsText" dxfId="23" priority="28" operator="containsText" text="Metteniusaceae">
      <formula>NOT(ISERROR(SEARCH(("Metteniusaceae"),(M1))))</formula>
    </cfRule>
  </conditionalFormatting>
  <conditionalFormatting sqref="M1:M107 P1:P107 BL1:BL107">
    <cfRule type="containsText" dxfId="23" priority="29" operator="containsText" text="Oncothecaceae">
      <formula>NOT(ISERROR(SEARCH(("Oncothecaceae"),(M1))))</formula>
    </cfRule>
  </conditionalFormatting>
  <conditionalFormatting sqref="M1:M107 P1:P107 BL1:BL107">
    <cfRule type="containsText" dxfId="23" priority="30" operator="containsText" text="Vahliaceae">
      <formula>NOT(ISERROR(SEARCH(("Vahliaceae"),(M1))))</formula>
    </cfRule>
  </conditionalFormatting>
  <conditionalFormatting sqref="K1:K107">
    <cfRule type="containsText" dxfId="18" priority="31" operator="containsText" text="Polypodiopsida">
      <formula>NOT(ISERROR(SEARCH(("Polypodiopsida"),(K1))))</formula>
    </cfRule>
  </conditionalFormatting>
  <dataValidations>
    <dataValidation type="list" allowBlank="1" sqref="O2:O30 M31 O31:P31 BL59 O32:O107">
      <formula1>'Kegg Taxon'!$AY:$AY</formula1>
    </dataValidation>
    <dataValidation type="list" allowBlank="1" sqref="J2:J107">
      <formula1>'Kegg Taxon'!$AU:$AU</formula1>
    </dataValidation>
    <dataValidation type="list" allowBlank="1" sqref="S2:S107">
      <formula1>'Kegg Taxon'!$BC:$BC</formula1>
    </dataValidation>
    <dataValidation type="list" allowBlank="1" sqref="I2:I107">
      <formula1>'Kegg Taxon'!$AT:$AT</formula1>
    </dataValidation>
    <dataValidation type="list" allowBlank="1" sqref="K2:K107">
      <formula1>'Kegg Taxon'!$AV:$AV</formula1>
    </dataValidation>
    <dataValidation type="list" allowBlank="1" sqref="BL2:BL3 M12:M14 BL5:BL21 M27:M29 BL27:BL29 P2:P30 BL31 M39:M40 BL39:BL40 M59:M60 BL60 M66:M67 BL66:BL68 BL72:BL73 BL76:BL83 M96:M97 BL96:BL97 M107 P32:P107 BL107">
      <formula1>'Kegg Taxon'!$AZ:$AZ</formula1>
    </dataValidation>
    <dataValidation type="list" allowBlank="1" sqref="R2:R107">
      <formula1>'Kegg Taxon'!$BB:$BB</formula1>
    </dataValidation>
    <dataValidation type="list" allowBlank="1" sqref="F2:F107">
      <formula1>'Kegg Taxon'!$AQ:$AQ</formula1>
    </dataValidation>
    <dataValidation type="list" allowBlank="1" sqref="L2:L107">
      <formula1>'Kegg Taxon'!$AW:$AW</formula1>
    </dataValidation>
    <dataValidation type="list" allowBlank="1" sqref="H2:H107">
      <formula1>'Kegg Taxon'!$AS:$AS</formula1>
    </dataValidation>
    <dataValidation type="list" allowBlank="1" sqref="N2:N107">
      <formula1>'Kegg Taxon'!$AX:$AX</formula1>
    </dataValidation>
    <dataValidation type="list" allowBlank="1" sqref="G2:G107">
      <formula1>'Kegg Taxon'!$AR:$AR</formula1>
    </dataValidation>
    <dataValidation type="list" allowBlank="1" sqref="Q2:Q107">
      <formula1>'Kegg Taxon'!$BA:$BA</formula1>
    </dataValidation>
  </dataValidations>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5"/>
    <col customWidth="1" min="2" max="2" width="15.88"/>
    <col customWidth="1" min="3" max="3" width="17.5"/>
    <col customWidth="1" min="4" max="4" width="27.63"/>
    <col customWidth="1" min="5" max="5" width="15.5"/>
    <col customWidth="1" min="6" max="6" width="23.5"/>
  </cols>
  <sheetData>
    <row r="1" ht="15.0" customHeight="1">
      <c r="A1" s="134"/>
      <c r="B1" s="134"/>
      <c r="C1" s="134"/>
      <c r="D1" s="134"/>
      <c r="E1" s="134" t="s">
        <v>746</v>
      </c>
      <c r="F1" s="135" t="s">
        <v>751</v>
      </c>
    </row>
    <row r="2" ht="15.0" customHeight="1">
      <c r="A2" s="136" t="s">
        <v>889</v>
      </c>
      <c r="E2" s="137" t="s">
        <v>831</v>
      </c>
      <c r="F2" s="138" t="s">
        <v>177</v>
      </c>
    </row>
    <row r="3" ht="15.0" customHeight="1">
      <c r="F3" s="138" t="s">
        <v>204</v>
      </c>
    </row>
    <row r="4">
      <c r="E4" s="137" t="s">
        <v>1033</v>
      </c>
      <c r="F4" s="138" t="s">
        <v>147</v>
      </c>
    </row>
    <row r="5">
      <c r="A5" s="139" t="s">
        <v>853</v>
      </c>
      <c r="E5" s="140" t="s">
        <v>864</v>
      </c>
      <c r="F5" s="141" t="s">
        <v>103</v>
      </c>
    </row>
    <row r="6">
      <c r="F6" s="141" t="s">
        <v>294</v>
      </c>
    </row>
    <row r="7">
      <c r="F7" s="141" t="s">
        <v>297</v>
      </c>
    </row>
    <row r="8">
      <c r="E8" s="140" t="s">
        <v>875</v>
      </c>
      <c r="F8" s="141" t="s">
        <v>141</v>
      </c>
    </row>
    <row r="9">
      <c r="E9" s="140" t="s">
        <v>926</v>
      </c>
      <c r="F9" s="141" t="s">
        <v>99</v>
      </c>
    </row>
    <row r="10">
      <c r="F10" s="141" t="s">
        <v>144</v>
      </c>
    </row>
    <row r="11">
      <c r="E11" s="140" t="s">
        <v>938</v>
      </c>
      <c r="F11" s="141" t="s">
        <v>159</v>
      </c>
    </row>
    <row r="12">
      <c r="E12" s="140" t="s">
        <v>886</v>
      </c>
      <c r="F12" s="141" t="s">
        <v>255</v>
      </c>
    </row>
    <row r="13">
      <c r="F13" s="141" t="s">
        <v>258</v>
      </c>
    </row>
    <row r="14">
      <c r="E14" s="140" t="s">
        <v>896</v>
      </c>
      <c r="F14" s="141" t="s">
        <v>263</v>
      </c>
    </row>
    <row r="15">
      <c r="E15" s="140" t="s">
        <v>906</v>
      </c>
      <c r="F15" s="141" t="s">
        <v>1153</v>
      </c>
    </row>
    <row r="16">
      <c r="A16" s="142" t="s">
        <v>1157</v>
      </c>
      <c r="B16" s="143" t="s">
        <v>1158</v>
      </c>
      <c r="E16" s="144" t="s">
        <v>1029</v>
      </c>
      <c r="F16" s="145" t="s">
        <v>312</v>
      </c>
    </row>
    <row r="17">
      <c r="B17" s="146" t="s">
        <v>1159</v>
      </c>
      <c r="C17" s="147" t="s">
        <v>1160</v>
      </c>
      <c r="E17" s="148" t="s">
        <v>893</v>
      </c>
      <c r="F17" s="149" t="s">
        <v>345</v>
      </c>
    </row>
    <row r="18">
      <c r="C18" s="150" t="s">
        <v>869</v>
      </c>
      <c r="D18" s="151" t="s">
        <v>1161</v>
      </c>
      <c r="E18" s="152" t="s">
        <v>790</v>
      </c>
      <c r="F18" s="153" t="s">
        <v>76</v>
      </c>
    </row>
    <row r="19">
      <c r="D19" s="154" t="s">
        <v>1162</v>
      </c>
      <c r="E19" s="155" t="s">
        <v>817</v>
      </c>
      <c r="F19" s="156" t="s">
        <v>192</v>
      </c>
    </row>
    <row r="20">
      <c r="F20" s="156" t="s">
        <v>309</v>
      </c>
    </row>
    <row r="21">
      <c r="E21" s="155" t="s">
        <v>833</v>
      </c>
      <c r="F21" s="156" t="s">
        <v>95</v>
      </c>
    </row>
    <row r="22">
      <c r="E22" s="155" t="s">
        <v>1039</v>
      </c>
      <c r="F22" s="156" t="s">
        <v>265</v>
      </c>
    </row>
    <row r="23">
      <c r="E23" s="155" t="s">
        <v>794</v>
      </c>
      <c r="F23" s="156" t="s">
        <v>186</v>
      </c>
    </row>
    <row r="24">
      <c r="F24" s="156" t="s">
        <v>303</v>
      </c>
    </row>
    <row r="25">
      <c r="E25" s="155" t="s">
        <v>847</v>
      </c>
      <c r="F25" s="156" t="s">
        <v>72</v>
      </c>
    </row>
    <row r="26">
      <c r="F26" s="156" t="s">
        <v>111</v>
      </c>
    </row>
    <row r="27">
      <c r="F27" s="156" t="s">
        <v>286</v>
      </c>
    </row>
    <row r="28">
      <c r="F28" s="157" t="s">
        <v>289</v>
      </c>
    </row>
    <row r="29">
      <c r="F29" s="156" t="s">
        <v>351</v>
      </c>
    </row>
    <row r="30">
      <c r="F30" s="156" t="s">
        <v>363</v>
      </c>
    </row>
    <row r="31">
      <c r="F31" s="156" t="s">
        <v>390</v>
      </c>
    </row>
    <row r="32">
      <c r="D32" s="158" t="s">
        <v>1163</v>
      </c>
      <c r="E32" s="159" t="s">
        <v>779</v>
      </c>
      <c r="F32" s="160" t="s">
        <v>107</v>
      </c>
    </row>
    <row r="33">
      <c r="F33" s="160" t="s">
        <v>366</v>
      </c>
    </row>
    <row r="34">
      <c r="E34" s="159" t="s">
        <v>806</v>
      </c>
      <c r="F34" s="160" t="s">
        <v>183</v>
      </c>
    </row>
    <row r="35">
      <c r="E35" s="159" t="s">
        <v>813</v>
      </c>
      <c r="F35" s="160" t="s">
        <v>839</v>
      </c>
    </row>
    <row r="36">
      <c r="F36" s="160" t="s">
        <v>222</v>
      </c>
    </row>
    <row r="37">
      <c r="F37" s="160" t="s">
        <v>237</v>
      </c>
    </row>
    <row r="38">
      <c r="E38" s="159" t="s">
        <v>878</v>
      </c>
      <c r="F38" s="160" t="s">
        <v>189</v>
      </c>
    </row>
    <row r="39">
      <c r="E39" s="159" t="s">
        <v>873</v>
      </c>
      <c r="F39" s="160" t="s">
        <v>138</v>
      </c>
    </row>
    <row r="40">
      <c r="E40" s="159" t="s">
        <v>942</v>
      </c>
      <c r="F40" s="160" t="s">
        <v>228</v>
      </c>
    </row>
    <row r="41">
      <c r="E41" s="159" t="s">
        <v>825</v>
      </c>
      <c r="F41" s="160" t="s">
        <v>162</v>
      </c>
    </row>
    <row r="42">
      <c r="F42" s="160" t="s">
        <v>165</v>
      </c>
    </row>
    <row r="43">
      <c r="F43" s="160" t="s">
        <v>168</v>
      </c>
    </row>
    <row r="44">
      <c r="F44" s="160" t="s">
        <v>171</v>
      </c>
    </row>
    <row r="45">
      <c r="F45" s="161" t="s">
        <v>1164</v>
      </c>
    </row>
    <row r="46">
      <c r="F46" s="160" t="s">
        <v>260</v>
      </c>
    </row>
    <row r="47">
      <c r="E47" s="159" t="s">
        <v>838</v>
      </c>
      <c r="F47" s="160" t="s">
        <v>225</v>
      </c>
    </row>
    <row r="48">
      <c r="F48" s="160" t="s">
        <v>231</v>
      </c>
    </row>
    <row r="49">
      <c r="F49" s="160" t="s">
        <v>249</v>
      </c>
    </row>
    <row r="50">
      <c r="F50" s="160" t="s">
        <v>339</v>
      </c>
    </row>
    <row r="51">
      <c r="E51" s="159" t="s">
        <v>981</v>
      </c>
      <c r="F51" s="160" t="s">
        <v>88</v>
      </c>
    </row>
    <row r="52">
      <c r="F52" s="160" t="s">
        <v>92</v>
      </c>
    </row>
    <row r="53">
      <c r="F53" s="160" t="s">
        <v>123</v>
      </c>
    </row>
    <row r="54">
      <c r="F54" s="160" t="s">
        <v>150</v>
      </c>
    </row>
    <row r="55">
      <c r="F55" s="160" t="s">
        <v>207</v>
      </c>
    </row>
    <row r="56">
      <c r="F56" s="160" t="s">
        <v>210</v>
      </c>
    </row>
    <row r="57">
      <c r="F57" s="160" t="s">
        <v>240</v>
      </c>
    </row>
    <row r="58">
      <c r="F58" s="160" t="s">
        <v>243</v>
      </c>
    </row>
    <row r="59">
      <c r="F59" s="160" t="s">
        <v>252</v>
      </c>
    </row>
    <row r="60">
      <c r="F60" s="160" t="s">
        <v>306</v>
      </c>
    </row>
    <row r="61">
      <c r="F61" s="160" t="s">
        <v>375</v>
      </c>
    </row>
    <row r="62">
      <c r="F62" s="160" t="s">
        <v>378</v>
      </c>
    </row>
    <row r="63">
      <c r="F63" s="160" t="s">
        <v>381</v>
      </c>
    </row>
    <row r="64">
      <c r="F64" s="160" t="s">
        <v>333</v>
      </c>
    </row>
    <row r="65">
      <c r="E65" s="159" t="s">
        <v>1040</v>
      </c>
      <c r="F65" s="160" t="s">
        <v>234</v>
      </c>
    </row>
    <row r="66">
      <c r="E66" s="159" t="s">
        <v>986</v>
      </c>
      <c r="F66" s="160" t="s">
        <v>213</v>
      </c>
    </row>
    <row r="67">
      <c r="F67" s="160" t="s">
        <v>216</v>
      </c>
    </row>
    <row r="68">
      <c r="F68" s="160" t="s">
        <v>219</v>
      </c>
    </row>
    <row r="69">
      <c r="F69" s="160" t="s">
        <v>372</v>
      </c>
    </row>
    <row r="70">
      <c r="E70" s="159" t="s">
        <v>867</v>
      </c>
      <c r="F70" s="160" t="s">
        <v>195</v>
      </c>
    </row>
    <row r="71">
      <c r="E71" s="159" t="s">
        <v>1006</v>
      </c>
      <c r="F71" s="160" t="s">
        <v>1074</v>
      </c>
    </row>
    <row r="72">
      <c r="E72" s="159" t="s">
        <v>799</v>
      </c>
      <c r="F72" s="160" t="s">
        <v>300</v>
      </c>
    </row>
    <row r="73">
      <c r="E73" s="159" t="s">
        <v>814</v>
      </c>
      <c r="F73" s="160" t="s">
        <v>348</v>
      </c>
    </row>
    <row r="74">
      <c r="E74" s="159" t="s">
        <v>823</v>
      </c>
      <c r="F74" s="160" t="s">
        <v>393</v>
      </c>
    </row>
    <row r="75">
      <c r="E75" s="159" t="s">
        <v>859</v>
      </c>
      <c r="F75" s="160" t="s">
        <v>201</v>
      </c>
    </row>
    <row r="76">
      <c r="F76" s="160" t="s">
        <v>246</v>
      </c>
    </row>
    <row r="77">
      <c r="F77" s="160" t="s">
        <v>321</v>
      </c>
    </row>
    <row r="78">
      <c r="F78" s="160" t="s">
        <v>324</v>
      </c>
    </row>
    <row r="79">
      <c r="F79" s="160" t="s">
        <v>327</v>
      </c>
    </row>
    <row r="80">
      <c r="F80" s="160" t="s">
        <v>330</v>
      </c>
    </row>
    <row r="81">
      <c r="F81" s="160" t="s">
        <v>342</v>
      </c>
    </row>
    <row r="82">
      <c r="E82" s="159" t="s">
        <v>881</v>
      </c>
      <c r="F82" s="160" t="s">
        <v>153</v>
      </c>
    </row>
    <row r="83">
      <c r="E83" s="159" t="s">
        <v>881</v>
      </c>
      <c r="F83" s="160" t="s">
        <v>156</v>
      </c>
    </row>
    <row r="84">
      <c r="E84" s="159" t="s">
        <v>890</v>
      </c>
      <c r="F84" s="160" t="s">
        <v>315</v>
      </c>
    </row>
    <row r="85">
      <c r="F85" s="160" t="s">
        <v>318</v>
      </c>
    </row>
    <row r="86">
      <c r="E86" s="159" t="s">
        <v>897</v>
      </c>
      <c r="F86" s="160" t="s">
        <v>132</v>
      </c>
    </row>
    <row r="87">
      <c r="F87" s="160" t="s">
        <v>271</v>
      </c>
    </row>
    <row r="88">
      <c r="F88" s="160" t="s">
        <v>274</v>
      </c>
    </row>
    <row r="89">
      <c r="F89" s="160" t="s">
        <v>277</v>
      </c>
    </row>
    <row r="90">
      <c r="F90" s="160" t="s">
        <v>280</v>
      </c>
    </row>
    <row r="91">
      <c r="F91" s="160" t="s">
        <v>354</v>
      </c>
    </row>
    <row r="92">
      <c r="F92" s="160" t="s">
        <v>357</v>
      </c>
    </row>
    <row r="93">
      <c r="F93" s="160" t="s">
        <v>360</v>
      </c>
    </row>
    <row r="94">
      <c r="E94" s="159" t="s">
        <v>901</v>
      </c>
      <c r="F94" s="160" t="s">
        <v>384</v>
      </c>
    </row>
    <row r="95">
      <c r="E95" s="159" t="s">
        <v>883</v>
      </c>
      <c r="F95" s="160" t="s">
        <v>80</v>
      </c>
    </row>
    <row r="96">
      <c r="F96" s="160" t="s">
        <v>84</v>
      </c>
    </row>
    <row r="97">
      <c r="F97" s="160" t="s">
        <v>114</v>
      </c>
    </row>
    <row r="98">
      <c r="F98" s="160" t="s">
        <v>117</v>
      </c>
    </row>
    <row r="99">
      <c r="F99" s="160" t="s">
        <v>120</v>
      </c>
    </row>
    <row r="100">
      <c r="F100" s="160" t="s">
        <v>126</v>
      </c>
    </row>
    <row r="101">
      <c r="F101" s="161" t="s">
        <v>129</v>
      </c>
    </row>
    <row r="102">
      <c r="F102" s="160" t="s">
        <v>198</v>
      </c>
    </row>
    <row r="103">
      <c r="F103" s="160" t="s">
        <v>336</v>
      </c>
    </row>
    <row r="104">
      <c r="E104" s="159" t="s">
        <v>870</v>
      </c>
      <c r="F104" s="160" t="s">
        <v>135</v>
      </c>
    </row>
    <row r="105">
      <c r="E105" s="159" t="s">
        <v>934</v>
      </c>
      <c r="F105" s="160" t="s">
        <v>369</v>
      </c>
    </row>
    <row r="106">
      <c r="E106" s="159" t="s">
        <v>1071</v>
      </c>
      <c r="F106" s="160" t="s">
        <v>268</v>
      </c>
    </row>
    <row r="107">
      <c r="A107" s="162"/>
      <c r="B107" s="162"/>
      <c r="C107" s="162"/>
      <c r="D107" s="163"/>
      <c r="E107" s="164"/>
      <c r="F107" s="165"/>
    </row>
    <row r="108">
      <c r="A108" s="162"/>
      <c r="B108" s="162"/>
      <c r="C108" s="162"/>
      <c r="D108" s="163"/>
      <c r="E108" s="164"/>
      <c r="F108" s="165"/>
    </row>
    <row r="109">
      <c r="A109" s="162"/>
      <c r="B109" s="162"/>
      <c r="C109" s="162"/>
      <c r="D109" s="163"/>
      <c r="E109" s="164"/>
      <c r="F109" s="165"/>
    </row>
    <row r="110">
      <c r="A110" s="162"/>
      <c r="B110" s="162"/>
      <c r="C110" s="162"/>
      <c r="D110" s="163"/>
      <c r="E110" s="164"/>
      <c r="F110" s="165"/>
    </row>
    <row r="111">
      <c r="A111" s="162"/>
      <c r="B111" s="162"/>
      <c r="C111" s="162"/>
      <c r="D111" s="163"/>
      <c r="E111" s="164"/>
      <c r="F111" s="165"/>
    </row>
    <row r="112">
      <c r="A112" s="162"/>
      <c r="B112" s="162"/>
      <c r="C112" s="162"/>
      <c r="D112" s="163"/>
      <c r="E112" s="164"/>
      <c r="F112" s="165"/>
    </row>
    <row r="113">
      <c r="A113" s="162"/>
      <c r="B113" s="162"/>
      <c r="C113" s="162"/>
      <c r="D113" s="163"/>
      <c r="E113" s="164"/>
      <c r="F113" s="165"/>
    </row>
    <row r="114">
      <c r="A114" s="162"/>
      <c r="B114" s="162"/>
      <c r="C114" s="162"/>
      <c r="D114" s="162"/>
      <c r="E114" s="166"/>
      <c r="F114" s="167"/>
    </row>
    <row r="115">
      <c r="A115" s="162"/>
      <c r="B115" s="162"/>
      <c r="C115" s="162"/>
      <c r="D115" s="162"/>
      <c r="E115" s="166"/>
      <c r="F115" s="167"/>
    </row>
    <row r="116">
      <c r="A116" s="162"/>
      <c r="B116" s="162"/>
      <c r="C116" s="162"/>
      <c r="D116" s="162"/>
      <c r="E116" s="166"/>
      <c r="F116" s="167"/>
    </row>
    <row r="117">
      <c r="A117" s="162"/>
      <c r="B117" s="162"/>
      <c r="C117" s="162"/>
      <c r="D117" s="162"/>
      <c r="E117" s="166"/>
      <c r="F117" s="167"/>
    </row>
    <row r="118">
      <c r="A118" s="162"/>
      <c r="B118" s="162"/>
      <c r="C118" s="162"/>
      <c r="D118" s="162"/>
      <c r="E118" s="166"/>
      <c r="F118" s="167"/>
    </row>
    <row r="119">
      <c r="A119" s="162"/>
      <c r="B119" s="162"/>
      <c r="C119" s="162"/>
      <c r="D119" s="162"/>
      <c r="E119" s="166"/>
      <c r="F119" s="167"/>
    </row>
    <row r="120">
      <c r="A120" s="162"/>
      <c r="B120" s="162"/>
      <c r="C120" s="162"/>
      <c r="D120" s="162"/>
      <c r="E120" s="166"/>
      <c r="F120" s="167"/>
    </row>
    <row r="121">
      <c r="A121" s="162"/>
      <c r="B121" s="162"/>
      <c r="C121" s="162"/>
      <c r="D121" s="162"/>
      <c r="E121" s="166"/>
      <c r="F121" s="167"/>
    </row>
    <row r="122">
      <c r="A122" s="162"/>
      <c r="B122" s="162"/>
      <c r="C122" s="162"/>
      <c r="D122" s="162"/>
      <c r="E122" s="166"/>
      <c r="F122" s="167"/>
    </row>
    <row r="123">
      <c r="A123" s="162"/>
      <c r="B123" s="162"/>
      <c r="C123" s="162"/>
      <c r="D123" s="162"/>
      <c r="E123" s="166"/>
      <c r="F123" s="167"/>
    </row>
    <row r="124">
      <c r="A124" s="162"/>
      <c r="B124" s="162"/>
      <c r="C124" s="162"/>
      <c r="D124" s="162"/>
      <c r="E124" s="166"/>
      <c r="F124" s="167"/>
    </row>
    <row r="125">
      <c r="A125" s="162"/>
      <c r="B125" s="162"/>
      <c r="C125" s="162"/>
      <c r="D125" s="162"/>
      <c r="E125" s="166"/>
      <c r="F125" s="167"/>
    </row>
    <row r="126">
      <c r="A126" s="162"/>
      <c r="B126" s="162"/>
      <c r="C126" s="162"/>
      <c r="D126" s="162"/>
      <c r="E126" s="166"/>
      <c r="F126" s="167"/>
    </row>
    <row r="127">
      <c r="A127" s="162"/>
      <c r="B127" s="162"/>
      <c r="C127" s="162"/>
      <c r="D127" s="163"/>
      <c r="E127" s="164"/>
      <c r="F127" s="165"/>
    </row>
    <row r="128">
      <c r="A128" s="162"/>
      <c r="B128" s="162"/>
      <c r="C128" s="162"/>
      <c r="D128" s="163"/>
      <c r="E128" s="164"/>
      <c r="F128" s="165"/>
    </row>
    <row r="129">
      <c r="A129" s="162"/>
      <c r="B129" s="162"/>
      <c r="C129" s="162"/>
      <c r="D129" s="163"/>
      <c r="E129" s="164"/>
      <c r="F129" s="165"/>
    </row>
    <row r="130">
      <c r="A130" s="162"/>
      <c r="B130" s="162"/>
      <c r="C130" s="162"/>
      <c r="D130" s="163"/>
      <c r="E130" s="164"/>
      <c r="F130" s="165"/>
    </row>
    <row r="131">
      <c r="A131" s="162"/>
      <c r="B131" s="162"/>
      <c r="C131" s="162"/>
      <c r="D131" s="163"/>
      <c r="E131" s="164"/>
      <c r="F131" s="165"/>
    </row>
    <row r="132">
      <c r="A132" s="162"/>
      <c r="B132" s="162"/>
      <c r="C132" s="162"/>
      <c r="D132" s="163"/>
      <c r="E132" s="164"/>
      <c r="F132" s="165"/>
    </row>
    <row r="133">
      <c r="A133" s="162"/>
      <c r="B133" s="162"/>
      <c r="C133" s="162"/>
      <c r="D133" s="163"/>
      <c r="E133" s="164"/>
      <c r="F133" s="165"/>
    </row>
    <row r="134">
      <c r="A134" s="162"/>
      <c r="B134" s="162"/>
      <c r="C134" s="162"/>
      <c r="D134" s="163"/>
      <c r="E134" s="164"/>
      <c r="F134" s="165"/>
    </row>
    <row r="135">
      <c r="A135" s="162"/>
      <c r="B135" s="162"/>
      <c r="C135" s="162"/>
      <c r="D135" s="163"/>
      <c r="E135" s="164"/>
      <c r="F135" s="165"/>
    </row>
    <row r="136">
      <c r="A136" s="162"/>
      <c r="B136" s="162"/>
      <c r="C136" s="162"/>
      <c r="D136" s="163"/>
      <c r="E136" s="164"/>
      <c r="F136" s="165"/>
    </row>
    <row r="137">
      <c r="A137" s="162"/>
      <c r="B137" s="162"/>
      <c r="C137" s="162"/>
      <c r="D137" s="163"/>
      <c r="E137" s="164"/>
      <c r="F137" s="165"/>
    </row>
    <row r="138">
      <c r="A138" s="162"/>
      <c r="B138" s="162"/>
      <c r="C138" s="162"/>
      <c r="D138" s="163"/>
      <c r="E138" s="164"/>
      <c r="F138" s="165"/>
    </row>
    <row r="139">
      <c r="A139" s="162"/>
      <c r="B139" s="162"/>
      <c r="C139" s="162"/>
      <c r="D139" s="163"/>
      <c r="E139" s="164"/>
      <c r="F139" s="165"/>
    </row>
    <row r="140">
      <c r="A140" s="162"/>
      <c r="B140" s="162"/>
      <c r="C140" s="162"/>
      <c r="D140" s="163"/>
      <c r="E140" s="164"/>
      <c r="F140" s="165"/>
    </row>
    <row r="141">
      <c r="A141" s="162"/>
      <c r="B141" s="162"/>
      <c r="C141" s="162"/>
      <c r="D141" s="163"/>
      <c r="E141" s="164"/>
      <c r="F141" s="165"/>
    </row>
    <row r="142">
      <c r="A142" s="162"/>
      <c r="B142" s="162"/>
      <c r="C142" s="162"/>
      <c r="D142" s="163"/>
      <c r="E142" s="164"/>
      <c r="F142" s="165"/>
    </row>
    <row r="143">
      <c r="A143" s="162"/>
      <c r="B143" s="162"/>
      <c r="C143" s="162"/>
      <c r="D143" s="163"/>
      <c r="E143" s="164"/>
      <c r="F143" s="165"/>
    </row>
    <row r="144">
      <c r="A144" s="162"/>
      <c r="B144" s="162"/>
      <c r="C144" s="162"/>
      <c r="D144" s="163"/>
      <c r="E144" s="164"/>
      <c r="F144" s="165"/>
    </row>
    <row r="145">
      <c r="A145" s="162"/>
      <c r="B145" s="162"/>
      <c r="C145" s="162"/>
      <c r="D145" s="163"/>
      <c r="E145" s="164"/>
      <c r="F145" s="165"/>
    </row>
    <row r="146">
      <c r="A146" s="162"/>
      <c r="B146" s="162"/>
      <c r="C146" s="162"/>
      <c r="D146" s="163"/>
      <c r="E146" s="164"/>
      <c r="F146" s="165"/>
    </row>
    <row r="147">
      <c r="A147" s="162"/>
      <c r="B147" s="162"/>
      <c r="C147" s="162"/>
      <c r="D147" s="163"/>
      <c r="E147" s="164"/>
      <c r="F147" s="165"/>
    </row>
    <row r="148">
      <c r="A148" s="162"/>
      <c r="B148" s="162"/>
      <c r="C148" s="162"/>
      <c r="D148" s="163"/>
      <c r="E148" s="164"/>
      <c r="F148" s="165"/>
    </row>
    <row r="149">
      <c r="A149" s="162"/>
      <c r="B149" s="162"/>
      <c r="C149" s="162"/>
      <c r="D149" s="163"/>
      <c r="E149" s="164"/>
      <c r="F149" s="165"/>
    </row>
    <row r="150">
      <c r="A150" s="162"/>
      <c r="B150" s="162"/>
      <c r="C150" s="162"/>
      <c r="D150" s="163"/>
      <c r="E150" s="164"/>
      <c r="F150" s="165"/>
    </row>
    <row r="151">
      <c r="A151" s="162"/>
      <c r="B151" s="162"/>
      <c r="C151" s="162"/>
      <c r="D151" s="163"/>
      <c r="E151" s="164"/>
      <c r="F151" s="165"/>
    </row>
    <row r="152">
      <c r="A152" s="162"/>
      <c r="B152" s="162"/>
      <c r="C152" s="162"/>
      <c r="D152" s="163"/>
      <c r="E152" s="164"/>
      <c r="F152" s="165"/>
    </row>
    <row r="153">
      <c r="A153" s="162"/>
      <c r="B153" s="162"/>
      <c r="C153" s="162"/>
      <c r="D153" s="163"/>
      <c r="E153" s="164"/>
      <c r="F153" s="165"/>
    </row>
    <row r="154">
      <c r="A154" s="162"/>
      <c r="B154" s="162"/>
      <c r="C154" s="162"/>
      <c r="D154" s="163"/>
      <c r="E154" s="164"/>
      <c r="F154" s="165"/>
    </row>
    <row r="155">
      <c r="A155" s="162"/>
      <c r="B155" s="162"/>
      <c r="C155" s="162"/>
      <c r="D155" s="163"/>
      <c r="E155" s="164"/>
      <c r="F155" s="165"/>
    </row>
    <row r="156">
      <c r="A156" s="162"/>
      <c r="B156" s="162"/>
      <c r="C156" s="162"/>
      <c r="D156" s="163"/>
      <c r="E156" s="164"/>
      <c r="F156" s="165"/>
    </row>
    <row r="157">
      <c r="A157" s="162"/>
      <c r="B157" s="162"/>
      <c r="C157" s="162"/>
      <c r="D157" s="163"/>
      <c r="E157" s="164"/>
      <c r="F157" s="165"/>
    </row>
    <row r="158">
      <c r="A158" s="162"/>
      <c r="B158" s="162"/>
      <c r="C158" s="162"/>
      <c r="D158" s="163"/>
      <c r="E158" s="164"/>
      <c r="F158" s="165"/>
    </row>
    <row r="159">
      <c r="A159" s="162"/>
      <c r="B159" s="162"/>
      <c r="C159" s="162"/>
      <c r="D159" s="163"/>
      <c r="E159" s="164"/>
      <c r="F159" s="165"/>
    </row>
    <row r="160">
      <c r="A160" s="162"/>
      <c r="B160" s="162"/>
      <c r="C160" s="162"/>
      <c r="D160" s="163"/>
      <c r="E160" s="164"/>
      <c r="F160" s="165"/>
    </row>
    <row r="161">
      <c r="A161" s="162"/>
      <c r="B161" s="162"/>
      <c r="C161" s="162"/>
      <c r="D161" s="163"/>
      <c r="E161" s="164"/>
      <c r="F161" s="165"/>
    </row>
    <row r="162">
      <c r="A162" s="162"/>
      <c r="B162" s="162"/>
      <c r="C162" s="162"/>
      <c r="D162" s="163"/>
      <c r="E162" s="164"/>
      <c r="F162" s="165"/>
    </row>
    <row r="163">
      <c r="A163" s="162"/>
      <c r="B163" s="162"/>
      <c r="C163" s="162"/>
      <c r="D163" s="163"/>
      <c r="E163" s="164"/>
      <c r="F163" s="165"/>
    </row>
    <row r="164">
      <c r="A164" s="162"/>
      <c r="B164" s="162"/>
      <c r="C164" s="162"/>
      <c r="D164" s="163"/>
      <c r="E164" s="164"/>
      <c r="F164" s="165"/>
    </row>
    <row r="165">
      <c r="A165" s="162"/>
      <c r="B165" s="162"/>
      <c r="C165" s="162"/>
      <c r="D165" s="163"/>
      <c r="E165" s="164"/>
      <c r="F165" s="165"/>
    </row>
    <row r="166">
      <c r="A166" s="162"/>
      <c r="B166" s="162"/>
      <c r="C166" s="162"/>
      <c r="D166" s="163"/>
      <c r="E166" s="164"/>
      <c r="F166" s="165"/>
    </row>
    <row r="167">
      <c r="A167" s="162"/>
      <c r="B167" s="162"/>
      <c r="C167" s="162"/>
      <c r="D167" s="163"/>
      <c r="E167" s="164"/>
      <c r="F167" s="165"/>
    </row>
    <row r="168">
      <c r="A168" s="162"/>
      <c r="B168" s="162"/>
      <c r="C168" s="162"/>
      <c r="D168" s="163"/>
      <c r="E168" s="164"/>
      <c r="F168" s="165"/>
    </row>
    <row r="169">
      <c r="A169" s="162"/>
      <c r="B169" s="162"/>
      <c r="C169" s="162"/>
      <c r="D169" s="163"/>
      <c r="E169" s="164"/>
      <c r="F169" s="165"/>
    </row>
    <row r="170">
      <c r="A170" s="162"/>
      <c r="B170" s="162"/>
      <c r="C170" s="162"/>
      <c r="D170" s="163"/>
      <c r="E170" s="164"/>
      <c r="F170" s="165"/>
    </row>
    <row r="171">
      <c r="A171" s="162"/>
      <c r="B171" s="162"/>
      <c r="C171" s="162"/>
      <c r="D171" s="163"/>
      <c r="E171" s="164"/>
      <c r="F171" s="165"/>
    </row>
    <row r="172">
      <c r="A172" s="162"/>
      <c r="B172" s="162"/>
      <c r="C172" s="162"/>
      <c r="D172" s="163"/>
      <c r="E172" s="164"/>
      <c r="F172" s="165"/>
    </row>
    <row r="173">
      <c r="A173" s="162"/>
      <c r="B173" s="162"/>
      <c r="C173" s="162"/>
      <c r="D173" s="163"/>
      <c r="E173" s="164"/>
      <c r="F173" s="165"/>
    </row>
    <row r="174">
      <c r="A174" s="162"/>
      <c r="B174" s="162"/>
      <c r="C174" s="162"/>
      <c r="D174" s="163"/>
      <c r="E174" s="164"/>
      <c r="F174" s="165"/>
    </row>
    <row r="175">
      <c r="A175" s="162"/>
      <c r="B175" s="162"/>
      <c r="C175" s="162"/>
      <c r="D175" s="163"/>
      <c r="E175" s="164"/>
      <c r="F175" s="165"/>
    </row>
    <row r="176">
      <c r="A176" s="162"/>
      <c r="B176" s="162"/>
      <c r="C176" s="162"/>
      <c r="D176" s="163"/>
      <c r="E176" s="164"/>
      <c r="F176" s="165"/>
    </row>
    <row r="177">
      <c r="A177" s="162"/>
      <c r="B177" s="162"/>
      <c r="C177" s="162"/>
      <c r="D177" s="163"/>
      <c r="E177" s="164"/>
      <c r="F177" s="165"/>
    </row>
    <row r="178">
      <c r="A178" s="162"/>
      <c r="B178" s="162"/>
      <c r="C178" s="162"/>
      <c r="D178" s="163"/>
      <c r="E178" s="164"/>
      <c r="F178" s="165"/>
    </row>
    <row r="179">
      <c r="A179" s="162"/>
      <c r="B179" s="162"/>
      <c r="C179" s="162"/>
      <c r="D179" s="163"/>
      <c r="E179" s="164"/>
      <c r="F179" s="165"/>
    </row>
    <row r="180">
      <c r="A180" s="162"/>
      <c r="B180" s="162"/>
      <c r="C180" s="162"/>
      <c r="D180" s="163"/>
      <c r="E180" s="164"/>
      <c r="F180" s="165"/>
    </row>
    <row r="181">
      <c r="A181" s="162"/>
      <c r="B181" s="162"/>
      <c r="C181" s="162"/>
      <c r="D181" s="163"/>
      <c r="E181" s="164"/>
      <c r="F181" s="165"/>
    </row>
    <row r="182">
      <c r="A182" s="162"/>
      <c r="B182" s="162"/>
      <c r="C182" s="162"/>
      <c r="D182" s="163"/>
      <c r="E182" s="164"/>
      <c r="F182" s="165"/>
    </row>
    <row r="183">
      <c r="A183" s="162"/>
      <c r="B183" s="162"/>
      <c r="C183" s="162"/>
      <c r="D183" s="163"/>
      <c r="E183" s="164"/>
      <c r="F183" s="165"/>
    </row>
    <row r="184">
      <c r="A184" s="162"/>
      <c r="B184" s="162"/>
      <c r="C184" s="162"/>
      <c r="D184" s="163"/>
      <c r="E184" s="164"/>
      <c r="F184" s="165"/>
    </row>
    <row r="185">
      <c r="A185" s="162"/>
      <c r="B185" s="162"/>
      <c r="C185" s="162"/>
      <c r="D185" s="163"/>
      <c r="E185" s="164"/>
      <c r="F185" s="165"/>
    </row>
    <row r="186">
      <c r="A186" s="162"/>
      <c r="B186" s="162"/>
      <c r="C186" s="162"/>
      <c r="D186" s="163"/>
      <c r="E186" s="164"/>
      <c r="F186" s="165"/>
    </row>
    <row r="187">
      <c r="A187" s="162"/>
      <c r="B187" s="162"/>
      <c r="C187" s="162"/>
      <c r="D187" s="163"/>
      <c r="E187" s="164"/>
      <c r="F187" s="165"/>
    </row>
    <row r="188">
      <c r="A188" s="162"/>
      <c r="B188" s="162"/>
      <c r="C188" s="162"/>
      <c r="D188" s="163"/>
      <c r="E188" s="164"/>
      <c r="F188" s="165"/>
    </row>
    <row r="189">
      <c r="A189" s="162"/>
      <c r="B189" s="162"/>
      <c r="C189" s="162"/>
      <c r="D189" s="163"/>
      <c r="E189" s="164"/>
      <c r="F189" s="165"/>
    </row>
    <row r="190">
      <c r="A190" s="162"/>
      <c r="B190" s="162"/>
      <c r="C190" s="162"/>
      <c r="D190" s="163"/>
      <c r="E190" s="164"/>
      <c r="F190" s="165"/>
    </row>
    <row r="191">
      <c r="A191" s="162"/>
      <c r="B191" s="162"/>
      <c r="C191" s="162"/>
      <c r="D191" s="163"/>
      <c r="E191" s="164"/>
      <c r="F191" s="165"/>
    </row>
    <row r="192">
      <c r="A192" s="162"/>
      <c r="B192" s="162"/>
      <c r="C192" s="162"/>
      <c r="D192" s="163"/>
      <c r="E192" s="164"/>
      <c r="F192" s="165"/>
    </row>
    <row r="193">
      <c r="A193" s="162"/>
      <c r="B193" s="162"/>
      <c r="C193" s="162"/>
      <c r="D193" s="163"/>
      <c r="E193" s="164"/>
      <c r="F193" s="165"/>
    </row>
    <row r="194">
      <c r="A194" s="162"/>
      <c r="B194" s="162"/>
      <c r="C194" s="162"/>
      <c r="D194" s="163"/>
      <c r="E194" s="164"/>
      <c r="F194" s="165"/>
    </row>
    <row r="195">
      <c r="A195" s="162"/>
      <c r="B195" s="162"/>
      <c r="C195" s="162"/>
      <c r="D195" s="163"/>
      <c r="E195" s="164"/>
      <c r="F195" s="165"/>
    </row>
    <row r="196">
      <c r="A196" s="162"/>
      <c r="B196" s="162"/>
      <c r="C196" s="162"/>
      <c r="D196" s="163"/>
      <c r="E196" s="164"/>
      <c r="F196" s="165"/>
    </row>
    <row r="197">
      <c r="A197" s="162"/>
      <c r="B197" s="162"/>
      <c r="C197" s="162"/>
      <c r="D197" s="163"/>
      <c r="E197" s="164"/>
      <c r="F197" s="165"/>
    </row>
    <row r="198">
      <c r="A198" s="162"/>
      <c r="B198" s="162"/>
      <c r="C198" s="162"/>
      <c r="D198" s="163"/>
      <c r="E198" s="164"/>
      <c r="F198" s="165"/>
    </row>
    <row r="199">
      <c r="A199" s="162"/>
      <c r="B199" s="162"/>
      <c r="C199" s="162"/>
      <c r="D199" s="163"/>
      <c r="E199" s="164"/>
      <c r="F199" s="165"/>
    </row>
    <row r="200">
      <c r="A200" s="162"/>
      <c r="B200" s="162"/>
      <c r="C200" s="162"/>
      <c r="D200" s="163"/>
      <c r="E200" s="164"/>
      <c r="F200" s="165"/>
    </row>
    <row r="201">
      <c r="A201" s="162"/>
      <c r="B201" s="162"/>
      <c r="C201" s="162"/>
      <c r="D201" s="163"/>
      <c r="E201" s="164"/>
      <c r="F201" s="165"/>
    </row>
    <row r="202">
      <c r="A202" s="162"/>
      <c r="B202" s="162"/>
      <c r="C202" s="162"/>
      <c r="D202" s="163"/>
      <c r="E202" s="164"/>
      <c r="F202" s="165"/>
    </row>
    <row r="203">
      <c r="A203" s="162"/>
      <c r="B203" s="162"/>
      <c r="C203" s="162"/>
      <c r="D203" s="163"/>
      <c r="E203" s="164"/>
      <c r="F203" s="165"/>
    </row>
    <row r="204">
      <c r="A204" s="162"/>
      <c r="B204" s="162"/>
      <c r="C204" s="162"/>
      <c r="D204" s="163"/>
      <c r="E204" s="164"/>
      <c r="F204" s="165"/>
    </row>
    <row r="205">
      <c r="A205" s="162"/>
      <c r="B205" s="162"/>
      <c r="C205" s="162"/>
      <c r="D205" s="163"/>
      <c r="E205" s="164"/>
      <c r="F205" s="165"/>
    </row>
    <row r="206">
      <c r="A206" s="162"/>
      <c r="B206" s="162"/>
      <c r="C206" s="162"/>
      <c r="D206" s="163"/>
      <c r="E206" s="164"/>
      <c r="F206" s="165"/>
    </row>
    <row r="207">
      <c r="A207" s="162"/>
      <c r="B207" s="162"/>
      <c r="C207" s="162"/>
      <c r="D207" s="163"/>
      <c r="E207" s="164"/>
      <c r="F207" s="165"/>
    </row>
    <row r="208">
      <c r="A208" s="162"/>
      <c r="B208" s="162"/>
      <c r="C208" s="162"/>
      <c r="D208" s="163"/>
      <c r="E208" s="164"/>
      <c r="F208" s="165"/>
    </row>
    <row r="209">
      <c r="A209" s="162"/>
      <c r="B209" s="162"/>
      <c r="C209" s="162"/>
      <c r="D209" s="163"/>
      <c r="E209" s="164"/>
      <c r="F209" s="165"/>
    </row>
    <row r="210">
      <c r="A210" s="162"/>
      <c r="B210" s="162"/>
      <c r="C210" s="162"/>
      <c r="D210" s="163"/>
      <c r="E210" s="164"/>
      <c r="F210" s="165"/>
    </row>
    <row r="211">
      <c r="A211" s="162"/>
      <c r="B211" s="162"/>
      <c r="C211" s="162"/>
      <c r="D211" s="163"/>
      <c r="E211" s="164"/>
      <c r="F211" s="165"/>
    </row>
    <row r="212">
      <c r="A212" s="162"/>
      <c r="B212" s="162"/>
      <c r="C212" s="162"/>
      <c r="D212" s="163"/>
      <c r="E212" s="164"/>
      <c r="F212" s="165"/>
    </row>
    <row r="213">
      <c r="A213" s="162"/>
      <c r="B213" s="162"/>
      <c r="C213" s="162"/>
      <c r="D213" s="163"/>
      <c r="E213" s="164"/>
      <c r="F213" s="165"/>
    </row>
    <row r="214">
      <c r="A214" s="162"/>
      <c r="B214" s="162"/>
      <c r="C214" s="162"/>
      <c r="D214" s="163"/>
      <c r="E214" s="164"/>
      <c r="F214" s="165"/>
    </row>
    <row r="215">
      <c r="A215" s="162"/>
      <c r="B215" s="162"/>
      <c r="C215" s="162"/>
      <c r="D215" s="163"/>
      <c r="E215" s="164"/>
      <c r="F215" s="165"/>
    </row>
    <row r="216">
      <c r="A216" s="162"/>
      <c r="B216" s="162"/>
      <c r="C216" s="162"/>
      <c r="D216" s="163"/>
      <c r="E216" s="164"/>
      <c r="F216" s="165"/>
    </row>
    <row r="217">
      <c r="A217" s="162"/>
      <c r="B217" s="162"/>
      <c r="C217" s="162"/>
      <c r="D217" s="163"/>
      <c r="E217" s="164"/>
      <c r="F217" s="165"/>
    </row>
    <row r="218">
      <c r="A218" s="162"/>
      <c r="B218" s="162"/>
      <c r="C218" s="162"/>
      <c r="D218" s="163"/>
      <c r="E218" s="164"/>
      <c r="F218" s="165"/>
    </row>
    <row r="219">
      <c r="A219" s="162"/>
      <c r="B219" s="162"/>
      <c r="C219" s="162"/>
      <c r="D219" s="163"/>
      <c r="E219" s="164"/>
      <c r="F219" s="165"/>
    </row>
    <row r="220">
      <c r="A220" s="162"/>
      <c r="B220" s="162"/>
      <c r="C220" s="162"/>
      <c r="D220" s="163"/>
      <c r="E220" s="164"/>
      <c r="F220" s="165"/>
    </row>
    <row r="221">
      <c r="A221" s="162"/>
      <c r="B221" s="162"/>
      <c r="C221" s="162"/>
      <c r="D221" s="163"/>
      <c r="E221" s="164"/>
      <c r="F221" s="165"/>
    </row>
    <row r="222">
      <c r="A222" s="162"/>
      <c r="B222" s="162"/>
      <c r="C222" s="162"/>
      <c r="D222" s="163"/>
      <c r="E222" s="164"/>
      <c r="F222" s="165"/>
    </row>
    <row r="223">
      <c r="A223" s="162"/>
      <c r="B223" s="162"/>
      <c r="C223" s="162"/>
      <c r="D223" s="163"/>
      <c r="E223" s="164"/>
      <c r="F223" s="165"/>
    </row>
    <row r="224">
      <c r="A224" s="162"/>
      <c r="B224" s="162"/>
      <c r="C224" s="162"/>
      <c r="D224" s="163"/>
      <c r="E224" s="164"/>
      <c r="F224" s="165"/>
    </row>
    <row r="225">
      <c r="A225" s="162"/>
      <c r="B225" s="162"/>
      <c r="C225" s="162"/>
      <c r="D225" s="163"/>
      <c r="E225" s="164"/>
      <c r="F225" s="165"/>
    </row>
    <row r="226">
      <c r="A226" s="162"/>
      <c r="B226" s="162"/>
      <c r="C226" s="162"/>
      <c r="D226" s="163"/>
      <c r="E226" s="164"/>
      <c r="F226" s="165"/>
    </row>
    <row r="227">
      <c r="A227" s="162"/>
      <c r="B227" s="162"/>
      <c r="C227" s="162"/>
      <c r="D227" s="163"/>
      <c r="E227" s="164"/>
      <c r="F227" s="165"/>
    </row>
    <row r="228">
      <c r="A228" s="162"/>
      <c r="B228" s="162"/>
      <c r="C228" s="162"/>
      <c r="D228" s="163"/>
      <c r="E228" s="164"/>
      <c r="F228" s="165"/>
    </row>
    <row r="229">
      <c r="A229" s="162"/>
      <c r="B229" s="162"/>
      <c r="C229" s="162"/>
      <c r="D229" s="163"/>
      <c r="E229" s="164"/>
      <c r="F229" s="165"/>
    </row>
    <row r="230">
      <c r="A230" s="162"/>
      <c r="B230" s="162"/>
      <c r="C230" s="162"/>
      <c r="D230" s="163"/>
      <c r="E230" s="164"/>
      <c r="F230" s="165"/>
    </row>
    <row r="231">
      <c r="A231" s="162"/>
      <c r="B231" s="162"/>
      <c r="C231" s="162"/>
      <c r="D231" s="163"/>
      <c r="E231" s="164"/>
      <c r="F231" s="165"/>
    </row>
    <row r="232">
      <c r="A232" s="162"/>
      <c r="B232" s="162"/>
      <c r="C232" s="162"/>
      <c r="D232" s="163"/>
      <c r="E232" s="164"/>
      <c r="F232" s="165"/>
    </row>
    <row r="233">
      <c r="A233" s="162"/>
      <c r="B233" s="162"/>
      <c r="C233" s="162"/>
      <c r="D233" s="163"/>
      <c r="E233" s="164"/>
      <c r="F233" s="165"/>
    </row>
    <row r="234">
      <c r="A234" s="162"/>
      <c r="B234" s="162"/>
      <c r="C234" s="162"/>
      <c r="D234" s="163"/>
      <c r="E234" s="164"/>
      <c r="F234" s="165"/>
    </row>
    <row r="235">
      <c r="A235" s="162"/>
      <c r="B235" s="162"/>
      <c r="C235" s="162"/>
      <c r="D235" s="163"/>
      <c r="E235" s="164"/>
      <c r="F235" s="165"/>
    </row>
    <row r="236">
      <c r="A236" s="162"/>
      <c r="B236" s="162"/>
      <c r="C236" s="162"/>
      <c r="D236" s="163"/>
      <c r="E236" s="164"/>
      <c r="F236" s="165"/>
    </row>
    <row r="237">
      <c r="A237" s="162"/>
      <c r="B237" s="162"/>
      <c r="C237" s="162"/>
      <c r="D237" s="163"/>
      <c r="E237" s="164"/>
      <c r="F237" s="165"/>
    </row>
    <row r="238">
      <c r="A238" s="162"/>
      <c r="B238" s="162"/>
      <c r="C238" s="162"/>
      <c r="D238" s="163"/>
      <c r="E238" s="164"/>
      <c r="F238" s="165"/>
    </row>
    <row r="239">
      <c r="A239" s="162"/>
      <c r="B239" s="162"/>
      <c r="C239" s="162"/>
      <c r="D239" s="163"/>
      <c r="E239" s="164"/>
      <c r="F239" s="165"/>
    </row>
    <row r="240">
      <c r="A240" s="162"/>
      <c r="B240" s="162"/>
      <c r="C240" s="162"/>
      <c r="D240" s="163"/>
      <c r="E240" s="164"/>
      <c r="F240" s="165"/>
    </row>
    <row r="241">
      <c r="A241" s="162"/>
      <c r="B241" s="162"/>
      <c r="C241" s="162"/>
      <c r="D241" s="163"/>
      <c r="E241" s="164"/>
      <c r="F241" s="165"/>
    </row>
    <row r="242">
      <c r="A242" s="162"/>
      <c r="B242" s="162"/>
      <c r="C242" s="162"/>
      <c r="D242" s="163"/>
      <c r="E242" s="164"/>
      <c r="F242" s="165"/>
    </row>
    <row r="243">
      <c r="A243" s="162"/>
      <c r="B243" s="162"/>
      <c r="C243" s="162"/>
      <c r="D243" s="163"/>
      <c r="E243" s="164"/>
      <c r="F243" s="165"/>
    </row>
    <row r="244">
      <c r="A244" s="162"/>
      <c r="B244" s="162"/>
      <c r="C244" s="162"/>
      <c r="D244" s="163"/>
      <c r="E244" s="164"/>
      <c r="F244" s="165"/>
    </row>
    <row r="245">
      <c r="A245" s="162"/>
      <c r="B245" s="162"/>
      <c r="C245" s="162"/>
      <c r="D245" s="163"/>
      <c r="E245" s="164"/>
      <c r="F245" s="165"/>
    </row>
    <row r="246">
      <c r="A246" s="162"/>
      <c r="B246" s="162"/>
      <c r="C246" s="162"/>
      <c r="D246" s="163"/>
      <c r="E246" s="164"/>
      <c r="F246" s="165"/>
    </row>
    <row r="247">
      <c r="A247" s="162"/>
      <c r="B247" s="162"/>
      <c r="C247" s="162"/>
      <c r="D247" s="163"/>
      <c r="E247" s="164"/>
      <c r="F247" s="165"/>
    </row>
    <row r="248">
      <c r="A248" s="162"/>
      <c r="B248" s="162"/>
      <c r="C248" s="162"/>
      <c r="D248" s="163"/>
      <c r="E248" s="164"/>
      <c r="F248" s="165"/>
    </row>
    <row r="249">
      <c r="A249" s="162"/>
      <c r="B249" s="162"/>
      <c r="C249" s="162"/>
      <c r="D249" s="163"/>
      <c r="E249" s="164"/>
      <c r="F249" s="165"/>
    </row>
    <row r="250">
      <c r="A250" s="162"/>
      <c r="B250" s="162"/>
      <c r="C250" s="162"/>
      <c r="D250" s="163"/>
      <c r="E250" s="164"/>
      <c r="F250" s="165"/>
    </row>
    <row r="251">
      <c r="A251" s="162"/>
      <c r="B251" s="162"/>
      <c r="C251" s="162"/>
      <c r="D251" s="163"/>
      <c r="E251" s="164"/>
      <c r="F251" s="165"/>
    </row>
    <row r="252">
      <c r="A252" s="162"/>
      <c r="B252" s="162"/>
      <c r="C252" s="162"/>
      <c r="D252" s="163"/>
      <c r="E252" s="164"/>
      <c r="F252" s="165"/>
    </row>
    <row r="253">
      <c r="A253" s="162"/>
      <c r="B253" s="162"/>
      <c r="C253" s="162"/>
      <c r="D253" s="163"/>
      <c r="E253" s="164"/>
      <c r="F253" s="165"/>
    </row>
    <row r="254">
      <c r="A254" s="162"/>
      <c r="B254" s="162"/>
      <c r="C254" s="162"/>
      <c r="D254" s="163"/>
      <c r="E254" s="164"/>
      <c r="F254" s="165"/>
    </row>
    <row r="255">
      <c r="A255" s="162"/>
      <c r="B255" s="162"/>
      <c r="C255" s="162"/>
      <c r="D255" s="163"/>
      <c r="E255" s="164"/>
      <c r="F255" s="165"/>
    </row>
    <row r="256">
      <c r="A256" s="162"/>
      <c r="B256" s="162"/>
      <c r="C256" s="162"/>
      <c r="D256" s="163"/>
      <c r="E256" s="164"/>
      <c r="F256" s="165"/>
    </row>
    <row r="257">
      <c r="A257" s="162"/>
      <c r="B257" s="162"/>
      <c r="C257" s="162"/>
      <c r="D257" s="163"/>
      <c r="E257" s="164"/>
      <c r="F257" s="165"/>
    </row>
    <row r="258">
      <c r="A258" s="162"/>
      <c r="B258" s="162"/>
      <c r="C258" s="162"/>
      <c r="D258" s="163"/>
      <c r="E258" s="164"/>
      <c r="F258" s="165"/>
    </row>
    <row r="259">
      <c r="A259" s="162"/>
      <c r="B259" s="162"/>
      <c r="C259" s="162"/>
      <c r="D259" s="163"/>
      <c r="E259" s="164"/>
      <c r="F259" s="165"/>
    </row>
    <row r="260">
      <c r="A260" s="162"/>
      <c r="B260" s="162"/>
      <c r="C260" s="162"/>
      <c r="D260" s="163"/>
      <c r="E260" s="164"/>
      <c r="F260" s="165"/>
    </row>
    <row r="261">
      <c r="A261" s="162"/>
      <c r="B261" s="162"/>
      <c r="C261" s="162"/>
      <c r="D261" s="163"/>
      <c r="E261" s="164"/>
      <c r="F261" s="165"/>
    </row>
    <row r="262">
      <c r="A262" s="162"/>
      <c r="B262" s="162"/>
      <c r="C262" s="162"/>
      <c r="D262" s="163"/>
      <c r="E262" s="164"/>
      <c r="F262" s="165"/>
    </row>
    <row r="263">
      <c r="A263" s="162"/>
      <c r="B263" s="162"/>
      <c r="C263" s="162"/>
      <c r="D263" s="163"/>
      <c r="E263" s="164"/>
      <c r="F263" s="165"/>
    </row>
    <row r="264">
      <c r="A264" s="162"/>
      <c r="B264" s="162"/>
      <c r="C264" s="162"/>
      <c r="D264" s="163"/>
      <c r="E264" s="164"/>
      <c r="F264" s="165"/>
    </row>
    <row r="265">
      <c r="A265" s="162"/>
      <c r="B265" s="162"/>
      <c r="C265" s="162"/>
      <c r="D265" s="163"/>
      <c r="E265" s="164"/>
      <c r="F265" s="165"/>
    </row>
    <row r="266">
      <c r="A266" s="162"/>
      <c r="B266" s="162"/>
      <c r="C266" s="162"/>
      <c r="D266" s="163"/>
      <c r="E266" s="164"/>
      <c r="F266" s="165"/>
    </row>
    <row r="267">
      <c r="A267" s="162"/>
      <c r="B267" s="162"/>
      <c r="C267" s="162"/>
      <c r="D267" s="163"/>
      <c r="E267" s="164"/>
      <c r="F267" s="165"/>
    </row>
    <row r="268">
      <c r="A268" s="162"/>
      <c r="B268" s="162"/>
      <c r="C268" s="162"/>
      <c r="D268" s="163"/>
      <c r="E268" s="164"/>
      <c r="F268" s="165"/>
    </row>
    <row r="269">
      <c r="A269" s="162"/>
      <c r="B269" s="162"/>
      <c r="C269" s="162"/>
      <c r="D269" s="163"/>
      <c r="E269" s="164"/>
      <c r="F269" s="165"/>
    </row>
    <row r="270">
      <c r="A270" s="162"/>
      <c r="B270" s="162"/>
      <c r="C270" s="162"/>
      <c r="D270" s="163"/>
      <c r="E270" s="164"/>
      <c r="F270" s="165"/>
    </row>
    <row r="271">
      <c r="A271" s="162"/>
      <c r="B271" s="162"/>
      <c r="C271" s="162"/>
      <c r="D271" s="163"/>
      <c r="E271" s="164"/>
      <c r="F271" s="165"/>
    </row>
    <row r="272">
      <c r="A272" s="162"/>
      <c r="B272" s="162"/>
      <c r="C272" s="162"/>
      <c r="D272" s="163"/>
      <c r="E272" s="164"/>
      <c r="F272" s="165"/>
    </row>
    <row r="273">
      <c r="A273" s="162"/>
      <c r="B273" s="162"/>
      <c r="C273" s="162"/>
      <c r="D273" s="163"/>
      <c r="E273" s="164"/>
      <c r="F273" s="165"/>
    </row>
    <row r="274">
      <c r="A274" s="162"/>
      <c r="B274" s="162"/>
      <c r="C274" s="162"/>
      <c r="D274" s="163"/>
      <c r="E274" s="164"/>
      <c r="F274" s="165"/>
    </row>
    <row r="275">
      <c r="A275" s="162"/>
      <c r="B275" s="162"/>
      <c r="C275" s="162"/>
      <c r="D275" s="163"/>
      <c r="E275" s="164"/>
      <c r="F275" s="165"/>
    </row>
    <row r="276">
      <c r="A276" s="162"/>
      <c r="B276" s="162"/>
      <c r="C276" s="162"/>
      <c r="D276" s="163"/>
      <c r="E276" s="164"/>
      <c r="F276" s="165"/>
    </row>
    <row r="277">
      <c r="A277" s="162"/>
      <c r="B277" s="162"/>
      <c r="C277" s="162"/>
      <c r="D277" s="163"/>
      <c r="E277" s="164"/>
      <c r="F277" s="165"/>
    </row>
    <row r="278">
      <c r="A278" s="162"/>
      <c r="B278" s="162"/>
      <c r="C278" s="162"/>
      <c r="D278" s="163"/>
      <c r="E278" s="164"/>
      <c r="F278" s="165"/>
    </row>
    <row r="279">
      <c r="A279" s="162"/>
      <c r="B279" s="162"/>
      <c r="C279" s="162"/>
      <c r="D279" s="163"/>
      <c r="E279" s="164"/>
      <c r="F279" s="165"/>
    </row>
    <row r="280">
      <c r="A280" s="162"/>
      <c r="B280" s="162"/>
      <c r="C280" s="162"/>
      <c r="D280" s="163"/>
      <c r="E280" s="164"/>
      <c r="F280" s="165"/>
    </row>
    <row r="281">
      <c r="A281" s="162"/>
      <c r="B281" s="162"/>
      <c r="C281" s="162"/>
      <c r="D281" s="163"/>
      <c r="E281" s="164"/>
      <c r="F281" s="165"/>
    </row>
    <row r="282">
      <c r="A282" s="162"/>
      <c r="B282" s="162"/>
      <c r="C282" s="162"/>
      <c r="D282" s="163"/>
      <c r="E282" s="164"/>
      <c r="F282" s="165"/>
    </row>
    <row r="283">
      <c r="A283" s="162"/>
      <c r="B283" s="162"/>
      <c r="C283" s="162"/>
      <c r="D283" s="163"/>
      <c r="E283" s="164"/>
      <c r="F283" s="165"/>
    </row>
    <row r="284">
      <c r="A284" s="162"/>
      <c r="B284" s="162"/>
      <c r="C284" s="162"/>
      <c r="D284" s="163"/>
      <c r="E284" s="164"/>
      <c r="F284" s="165"/>
    </row>
    <row r="285">
      <c r="A285" s="162"/>
      <c r="B285" s="162"/>
      <c r="C285" s="162"/>
      <c r="D285" s="163"/>
      <c r="E285" s="164"/>
      <c r="F285" s="165"/>
    </row>
    <row r="286">
      <c r="A286" s="162"/>
      <c r="B286" s="162"/>
      <c r="C286" s="162"/>
      <c r="D286" s="163"/>
      <c r="E286" s="164"/>
      <c r="F286" s="165"/>
    </row>
    <row r="287">
      <c r="A287" s="162"/>
      <c r="B287" s="162"/>
      <c r="C287" s="162"/>
      <c r="D287" s="163"/>
      <c r="E287" s="164"/>
      <c r="F287" s="165"/>
    </row>
    <row r="288">
      <c r="A288" s="162"/>
      <c r="B288" s="162"/>
      <c r="C288" s="162"/>
      <c r="D288" s="163"/>
      <c r="E288" s="164"/>
      <c r="F288" s="165"/>
    </row>
    <row r="289">
      <c r="A289" s="162"/>
      <c r="B289" s="162"/>
      <c r="C289" s="162"/>
      <c r="D289" s="163"/>
      <c r="E289" s="164"/>
      <c r="F289" s="165"/>
    </row>
    <row r="290">
      <c r="A290" s="162"/>
      <c r="B290" s="162"/>
      <c r="C290" s="162"/>
      <c r="D290" s="163"/>
      <c r="E290" s="164"/>
      <c r="F290" s="165"/>
    </row>
    <row r="291">
      <c r="A291" s="162"/>
      <c r="B291" s="162"/>
      <c r="C291" s="162"/>
      <c r="D291" s="163"/>
      <c r="E291" s="164"/>
      <c r="F291" s="165"/>
    </row>
    <row r="292">
      <c r="A292" s="162"/>
      <c r="B292" s="162"/>
      <c r="C292" s="162"/>
      <c r="D292" s="163"/>
      <c r="E292" s="164"/>
      <c r="F292" s="165"/>
    </row>
    <row r="293">
      <c r="A293" s="162"/>
      <c r="B293" s="162"/>
      <c r="C293" s="162"/>
      <c r="D293" s="163"/>
      <c r="E293" s="164"/>
      <c r="F293" s="165"/>
    </row>
    <row r="294">
      <c r="A294" s="162"/>
      <c r="B294" s="162"/>
      <c r="C294" s="162"/>
      <c r="D294" s="163"/>
      <c r="E294" s="164"/>
      <c r="F294" s="165"/>
    </row>
    <row r="295">
      <c r="A295" s="162"/>
      <c r="B295" s="162"/>
      <c r="C295" s="162"/>
      <c r="D295" s="163"/>
      <c r="E295" s="164"/>
      <c r="F295" s="165"/>
    </row>
    <row r="296">
      <c r="A296" s="162"/>
      <c r="B296" s="162"/>
      <c r="C296" s="162"/>
      <c r="D296" s="163"/>
      <c r="E296" s="164"/>
      <c r="F296" s="165"/>
    </row>
    <row r="297">
      <c r="A297" s="162"/>
      <c r="B297" s="162"/>
      <c r="C297" s="162"/>
      <c r="D297" s="163"/>
      <c r="E297" s="164"/>
      <c r="F297" s="165"/>
    </row>
    <row r="298">
      <c r="A298" s="162"/>
      <c r="B298" s="162"/>
      <c r="C298" s="162"/>
      <c r="D298" s="163"/>
      <c r="E298" s="164"/>
      <c r="F298" s="165"/>
    </row>
    <row r="299">
      <c r="A299" s="162"/>
      <c r="B299" s="162"/>
      <c r="C299" s="162"/>
      <c r="D299" s="163"/>
      <c r="E299" s="164"/>
      <c r="F299" s="165"/>
    </row>
    <row r="300">
      <c r="A300" s="162"/>
      <c r="B300" s="162"/>
      <c r="C300" s="162"/>
      <c r="D300" s="163"/>
      <c r="E300" s="164"/>
      <c r="F300" s="165"/>
    </row>
    <row r="301">
      <c r="A301" s="162"/>
      <c r="B301" s="162"/>
      <c r="C301" s="162"/>
      <c r="D301" s="163"/>
      <c r="E301" s="164"/>
      <c r="F301" s="165"/>
    </row>
    <row r="302">
      <c r="A302" s="162"/>
      <c r="B302" s="162"/>
      <c r="C302" s="162"/>
      <c r="D302" s="163"/>
      <c r="E302" s="164"/>
      <c r="F302" s="165"/>
    </row>
    <row r="303">
      <c r="A303" s="162"/>
      <c r="B303" s="162"/>
      <c r="C303" s="162"/>
      <c r="D303" s="163"/>
      <c r="E303" s="164"/>
      <c r="F303" s="165"/>
    </row>
    <row r="304">
      <c r="A304" s="162"/>
      <c r="B304" s="162"/>
      <c r="C304" s="162"/>
      <c r="D304" s="163"/>
      <c r="E304" s="164"/>
      <c r="F304" s="165"/>
    </row>
    <row r="305">
      <c r="A305" s="162"/>
      <c r="B305" s="162"/>
      <c r="C305" s="162"/>
      <c r="D305" s="163"/>
      <c r="E305" s="164"/>
      <c r="F305" s="165"/>
    </row>
    <row r="306">
      <c r="A306" s="162"/>
      <c r="B306" s="162"/>
      <c r="C306" s="162"/>
      <c r="D306" s="163"/>
      <c r="E306" s="164"/>
      <c r="F306" s="165"/>
    </row>
    <row r="307">
      <c r="A307" s="162"/>
      <c r="B307" s="162"/>
      <c r="C307" s="162"/>
      <c r="D307" s="163"/>
      <c r="E307" s="164"/>
      <c r="F307" s="165"/>
    </row>
    <row r="308">
      <c r="A308" s="162"/>
      <c r="B308" s="162"/>
      <c r="C308" s="162"/>
      <c r="D308" s="163"/>
      <c r="E308" s="164"/>
      <c r="F308" s="165"/>
    </row>
    <row r="309">
      <c r="A309" s="162"/>
      <c r="B309" s="162"/>
      <c r="C309" s="162"/>
      <c r="D309" s="163"/>
      <c r="E309" s="164"/>
      <c r="F309" s="165"/>
    </row>
    <row r="310">
      <c r="A310" s="162"/>
      <c r="B310" s="162"/>
      <c r="C310" s="162"/>
      <c r="D310" s="163"/>
      <c r="E310" s="164"/>
      <c r="F310" s="165"/>
    </row>
    <row r="311">
      <c r="A311" s="162"/>
      <c r="B311" s="162"/>
      <c r="C311" s="162"/>
      <c r="D311" s="163"/>
      <c r="E311" s="164"/>
      <c r="F311" s="165"/>
    </row>
    <row r="312">
      <c r="A312" s="162"/>
      <c r="B312" s="162"/>
      <c r="C312" s="162"/>
      <c r="D312" s="163"/>
      <c r="E312" s="164"/>
      <c r="F312" s="165"/>
    </row>
    <row r="313">
      <c r="A313" s="162"/>
      <c r="B313" s="162"/>
      <c r="C313" s="162"/>
      <c r="D313" s="163"/>
      <c r="E313" s="164"/>
      <c r="F313" s="165"/>
    </row>
    <row r="314">
      <c r="A314" s="162"/>
      <c r="B314" s="162"/>
      <c r="C314" s="162"/>
      <c r="D314" s="163"/>
      <c r="E314" s="164"/>
      <c r="F314" s="165"/>
    </row>
    <row r="315">
      <c r="A315" s="162"/>
      <c r="B315" s="162"/>
      <c r="C315" s="162"/>
      <c r="D315" s="163"/>
      <c r="E315" s="164"/>
      <c r="F315" s="165"/>
    </row>
    <row r="316">
      <c r="A316" s="162"/>
      <c r="B316" s="162"/>
      <c r="C316" s="162"/>
      <c r="D316" s="163"/>
      <c r="E316" s="164"/>
      <c r="F316" s="165"/>
    </row>
    <row r="317">
      <c r="A317" s="162"/>
      <c r="B317" s="162"/>
      <c r="C317" s="162"/>
      <c r="D317" s="163"/>
      <c r="E317" s="164"/>
      <c r="F317" s="165"/>
    </row>
    <row r="318">
      <c r="A318" s="162"/>
      <c r="B318" s="162"/>
      <c r="C318" s="162"/>
      <c r="D318" s="163"/>
      <c r="E318" s="164"/>
      <c r="F318" s="165"/>
    </row>
    <row r="319">
      <c r="A319" s="162"/>
      <c r="B319" s="162"/>
      <c r="C319" s="162"/>
      <c r="D319" s="163"/>
      <c r="E319" s="164"/>
      <c r="F319" s="165"/>
    </row>
    <row r="320">
      <c r="A320" s="162"/>
      <c r="B320" s="162"/>
      <c r="C320" s="162"/>
      <c r="D320" s="163"/>
      <c r="E320" s="164"/>
      <c r="F320" s="165"/>
    </row>
    <row r="321">
      <c r="A321" s="162"/>
      <c r="B321" s="162"/>
      <c r="C321" s="162"/>
      <c r="D321" s="163"/>
      <c r="E321" s="164"/>
      <c r="F321" s="165"/>
    </row>
    <row r="322">
      <c r="A322" s="162"/>
      <c r="B322" s="162"/>
      <c r="C322" s="162"/>
      <c r="D322" s="163"/>
      <c r="E322" s="164"/>
      <c r="F322" s="165"/>
    </row>
    <row r="323">
      <c r="A323" s="162"/>
      <c r="B323" s="162"/>
      <c r="C323" s="162"/>
      <c r="D323" s="163"/>
      <c r="E323" s="164"/>
      <c r="F323" s="165"/>
    </row>
    <row r="324">
      <c r="A324" s="162"/>
      <c r="B324" s="162"/>
      <c r="C324" s="162"/>
      <c r="D324" s="163"/>
      <c r="E324" s="164"/>
      <c r="F324" s="165"/>
    </row>
    <row r="325">
      <c r="A325" s="162"/>
      <c r="B325" s="162"/>
      <c r="C325" s="162"/>
      <c r="D325" s="163"/>
      <c r="E325" s="164"/>
      <c r="F325" s="165"/>
    </row>
    <row r="326">
      <c r="A326" s="162"/>
      <c r="B326" s="162"/>
      <c r="C326" s="162"/>
      <c r="D326" s="163"/>
      <c r="E326" s="164"/>
      <c r="F326" s="165"/>
    </row>
    <row r="327">
      <c r="A327" s="162"/>
      <c r="B327" s="162"/>
      <c r="C327" s="162"/>
      <c r="D327" s="163"/>
      <c r="E327" s="164"/>
      <c r="F327" s="165"/>
    </row>
    <row r="328">
      <c r="A328" s="162"/>
      <c r="B328" s="162"/>
      <c r="C328" s="162"/>
      <c r="D328" s="163"/>
      <c r="E328" s="164"/>
      <c r="F328" s="165"/>
    </row>
    <row r="329">
      <c r="A329" s="162"/>
      <c r="B329" s="162"/>
      <c r="C329" s="162"/>
      <c r="D329" s="163"/>
      <c r="E329" s="164"/>
      <c r="F329" s="165"/>
    </row>
    <row r="330">
      <c r="A330" s="162"/>
      <c r="B330" s="162"/>
      <c r="C330" s="162"/>
      <c r="D330" s="163"/>
      <c r="E330" s="164"/>
      <c r="F330" s="165"/>
    </row>
    <row r="331">
      <c r="A331" s="162"/>
      <c r="B331" s="162"/>
      <c r="C331" s="162"/>
      <c r="D331" s="163"/>
      <c r="E331" s="164"/>
      <c r="F331" s="165"/>
    </row>
    <row r="332">
      <c r="A332" s="162"/>
      <c r="B332" s="162"/>
      <c r="C332" s="162"/>
      <c r="D332" s="163"/>
      <c r="E332" s="164"/>
      <c r="F332" s="165"/>
    </row>
    <row r="333">
      <c r="A333" s="162"/>
      <c r="B333" s="162"/>
      <c r="C333" s="162"/>
      <c r="D333" s="163"/>
      <c r="E333" s="164"/>
      <c r="F333" s="165"/>
    </row>
    <row r="334">
      <c r="A334" s="162"/>
      <c r="B334" s="162"/>
      <c r="C334" s="162"/>
      <c r="D334" s="163"/>
      <c r="E334" s="164"/>
      <c r="F334" s="165"/>
    </row>
    <row r="335">
      <c r="A335" s="162"/>
      <c r="B335" s="162"/>
      <c r="C335" s="162"/>
      <c r="D335" s="163"/>
      <c r="E335" s="164"/>
      <c r="F335" s="165"/>
    </row>
    <row r="336">
      <c r="A336" s="162"/>
      <c r="B336" s="162"/>
      <c r="C336" s="162"/>
      <c r="D336" s="163"/>
      <c r="E336" s="164"/>
      <c r="F336" s="165"/>
    </row>
    <row r="337">
      <c r="A337" s="162"/>
      <c r="B337" s="162"/>
      <c r="C337" s="162"/>
      <c r="D337" s="163"/>
      <c r="E337" s="164"/>
      <c r="F337" s="165"/>
    </row>
    <row r="338">
      <c r="A338" s="162"/>
      <c r="B338" s="162"/>
      <c r="C338" s="162"/>
      <c r="D338" s="163"/>
      <c r="E338" s="164"/>
      <c r="F338" s="165"/>
    </row>
    <row r="339">
      <c r="A339" s="162"/>
      <c r="B339" s="162"/>
      <c r="C339" s="162"/>
      <c r="D339" s="163"/>
      <c r="E339" s="164"/>
      <c r="F339" s="165"/>
    </row>
    <row r="340">
      <c r="A340" s="162"/>
      <c r="B340" s="162"/>
      <c r="C340" s="162"/>
      <c r="D340" s="163"/>
      <c r="E340" s="164"/>
      <c r="F340" s="165"/>
    </row>
    <row r="341">
      <c r="A341" s="162"/>
      <c r="B341" s="162"/>
      <c r="C341" s="162"/>
      <c r="D341" s="163"/>
      <c r="E341" s="164"/>
      <c r="F341" s="165"/>
    </row>
    <row r="342">
      <c r="A342" s="162"/>
      <c r="B342" s="162"/>
      <c r="C342" s="162"/>
      <c r="D342" s="163"/>
      <c r="E342" s="164"/>
      <c r="F342" s="165"/>
    </row>
    <row r="343">
      <c r="A343" s="162"/>
      <c r="B343" s="162"/>
      <c r="C343" s="162"/>
      <c r="D343" s="163"/>
      <c r="E343" s="164"/>
      <c r="F343" s="165"/>
    </row>
    <row r="344">
      <c r="A344" s="162"/>
      <c r="B344" s="162"/>
      <c r="C344" s="162"/>
      <c r="D344" s="163"/>
      <c r="E344" s="164"/>
      <c r="F344" s="165"/>
    </row>
    <row r="345">
      <c r="A345" s="162"/>
      <c r="B345" s="162"/>
      <c r="C345" s="162"/>
      <c r="D345" s="163"/>
      <c r="E345" s="164"/>
      <c r="F345" s="165"/>
    </row>
    <row r="346">
      <c r="A346" s="162"/>
      <c r="B346" s="162"/>
      <c r="C346" s="162"/>
      <c r="D346" s="163"/>
      <c r="E346" s="164"/>
      <c r="F346" s="165"/>
    </row>
    <row r="347">
      <c r="A347" s="162"/>
      <c r="B347" s="162"/>
      <c r="C347" s="162"/>
      <c r="D347" s="163"/>
      <c r="E347" s="164"/>
      <c r="F347" s="165"/>
    </row>
    <row r="348">
      <c r="A348" s="162"/>
      <c r="B348" s="162"/>
      <c r="C348" s="162"/>
      <c r="D348" s="163"/>
      <c r="E348" s="164"/>
      <c r="F348" s="165"/>
    </row>
    <row r="349">
      <c r="A349" s="162"/>
      <c r="B349" s="162"/>
      <c r="C349" s="162"/>
      <c r="D349" s="163"/>
      <c r="E349" s="164"/>
      <c r="F349" s="165"/>
    </row>
    <row r="350">
      <c r="A350" s="162"/>
      <c r="B350" s="162"/>
      <c r="C350" s="162"/>
      <c r="D350" s="163"/>
      <c r="E350" s="164"/>
      <c r="F350" s="165"/>
    </row>
    <row r="351">
      <c r="A351" s="162"/>
      <c r="B351" s="162"/>
      <c r="C351" s="162"/>
      <c r="D351" s="163"/>
      <c r="E351" s="164"/>
      <c r="F351" s="165"/>
    </row>
    <row r="352">
      <c r="A352" s="162"/>
      <c r="B352" s="162"/>
      <c r="C352" s="162"/>
      <c r="D352" s="163"/>
      <c r="E352" s="164"/>
      <c r="F352" s="165"/>
    </row>
    <row r="353">
      <c r="A353" s="162"/>
      <c r="B353" s="162"/>
      <c r="C353" s="162"/>
      <c r="D353" s="163"/>
      <c r="E353" s="164"/>
      <c r="F353" s="165"/>
    </row>
    <row r="354">
      <c r="A354" s="162"/>
      <c r="B354" s="162"/>
      <c r="C354" s="162"/>
      <c r="D354" s="163"/>
      <c r="E354" s="164"/>
      <c r="F354" s="165"/>
    </row>
    <row r="355">
      <c r="A355" s="162"/>
      <c r="B355" s="162"/>
      <c r="C355" s="162"/>
      <c r="D355" s="163"/>
      <c r="E355" s="164"/>
      <c r="F355" s="165"/>
    </row>
    <row r="356">
      <c r="A356" s="162"/>
      <c r="B356" s="162"/>
      <c r="C356" s="162"/>
      <c r="D356" s="163"/>
      <c r="E356" s="164"/>
      <c r="F356" s="165"/>
    </row>
    <row r="357">
      <c r="A357" s="162"/>
      <c r="B357" s="162"/>
      <c r="C357" s="162"/>
      <c r="D357" s="163"/>
      <c r="E357" s="164"/>
      <c r="F357" s="165"/>
    </row>
    <row r="358">
      <c r="A358" s="162"/>
      <c r="B358" s="162"/>
      <c r="C358" s="162"/>
      <c r="D358" s="163"/>
      <c r="E358" s="164"/>
      <c r="F358" s="165"/>
    </row>
    <row r="359">
      <c r="A359" s="162"/>
      <c r="B359" s="162"/>
      <c r="C359" s="162"/>
      <c r="D359" s="163"/>
      <c r="E359" s="164"/>
      <c r="F359" s="165"/>
    </row>
    <row r="360">
      <c r="A360" s="162"/>
      <c r="B360" s="162"/>
      <c r="C360" s="162"/>
      <c r="D360" s="163"/>
      <c r="E360" s="164"/>
      <c r="F360" s="165"/>
    </row>
    <row r="361">
      <c r="A361" s="162"/>
      <c r="B361" s="162"/>
      <c r="C361" s="162"/>
      <c r="D361" s="163"/>
      <c r="E361" s="164"/>
      <c r="F361" s="165"/>
    </row>
    <row r="362">
      <c r="A362" s="162"/>
      <c r="B362" s="162"/>
      <c r="C362" s="162"/>
      <c r="D362" s="163"/>
      <c r="E362" s="164"/>
      <c r="F362" s="165"/>
    </row>
    <row r="363">
      <c r="A363" s="162"/>
      <c r="B363" s="162"/>
      <c r="C363" s="162"/>
      <c r="D363" s="163"/>
      <c r="E363" s="164"/>
      <c r="F363" s="165"/>
    </row>
    <row r="364">
      <c r="A364" s="162"/>
      <c r="B364" s="162"/>
      <c r="C364" s="162"/>
      <c r="D364" s="163"/>
      <c r="E364" s="164"/>
      <c r="F364" s="165"/>
    </row>
    <row r="365">
      <c r="A365" s="162"/>
      <c r="B365" s="162"/>
      <c r="C365" s="162"/>
      <c r="D365" s="163"/>
      <c r="E365" s="164"/>
      <c r="F365" s="165"/>
    </row>
    <row r="366">
      <c r="A366" s="162"/>
      <c r="B366" s="162"/>
      <c r="C366" s="162"/>
      <c r="D366" s="163"/>
      <c r="E366" s="164"/>
      <c r="F366" s="165"/>
    </row>
    <row r="367">
      <c r="A367" s="162"/>
      <c r="B367" s="162"/>
      <c r="C367" s="162"/>
      <c r="D367" s="163"/>
      <c r="E367" s="164"/>
      <c r="F367" s="165"/>
    </row>
    <row r="368">
      <c r="A368" s="162"/>
      <c r="B368" s="162"/>
      <c r="C368" s="162"/>
      <c r="D368" s="163"/>
      <c r="E368" s="164"/>
      <c r="F368" s="165"/>
    </row>
    <row r="369">
      <c r="A369" s="162"/>
      <c r="B369" s="162"/>
      <c r="C369" s="162"/>
      <c r="D369" s="163"/>
      <c r="E369" s="164"/>
      <c r="F369" s="165"/>
    </row>
    <row r="370">
      <c r="A370" s="162"/>
      <c r="B370" s="162"/>
      <c r="C370" s="162"/>
      <c r="D370" s="163"/>
      <c r="E370" s="164"/>
      <c r="F370" s="165"/>
    </row>
    <row r="371">
      <c r="A371" s="162"/>
      <c r="B371" s="162"/>
      <c r="C371" s="162"/>
      <c r="D371" s="163"/>
      <c r="E371" s="164"/>
      <c r="F371" s="165"/>
    </row>
    <row r="372">
      <c r="A372" s="162"/>
      <c r="B372" s="162"/>
      <c r="C372" s="162"/>
      <c r="D372" s="163"/>
      <c r="E372" s="164"/>
      <c r="F372" s="165"/>
    </row>
    <row r="373">
      <c r="A373" s="162"/>
      <c r="B373" s="162"/>
      <c r="C373" s="162"/>
      <c r="D373" s="163"/>
      <c r="E373" s="164"/>
      <c r="F373" s="165"/>
    </row>
    <row r="374">
      <c r="A374" s="162"/>
      <c r="B374" s="162"/>
      <c r="C374" s="162"/>
      <c r="D374" s="163"/>
      <c r="E374" s="164"/>
      <c r="F374" s="165"/>
    </row>
    <row r="375">
      <c r="A375" s="162"/>
      <c r="B375" s="162"/>
      <c r="C375" s="162"/>
      <c r="D375" s="163"/>
      <c r="E375" s="164"/>
      <c r="F375" s="165"/>
    </row>
    <row r="376">
      <c r="A376" s="162"/>
      <c r="B376" s="162"/>
      <c r="C376" s="162"/>
      <c r="D376" s="163"/>
      <c r="E376" s="164"/>
      <c r="F376" s="165"/>
    </row>
    <row r="377">
      <c r="A377" s="162"/>
      <c r="B377" s="162"/>
      <c r="C377" s="162"/>
      <c r="D377" s="163"/>
      <c r="E377" s="164"/>
      <c r="F377" s="165"/>
    </row>
    <row r="378">
      <c r="A378" s="162"/>
      <c r="B378" s="162"/>
      <c r="C378" s="162"/>
      <c r="D378" s="163"/>
      <c r="E378" s="164"/>
      <c r="F378" s="165"/>
    </row>
    <row r="379">
      <c r="A379" s="162"/>
      <c r="B379" s="162"/>
      <c r="C379" s="162"/>
      <c r="D379" s="163"/>
      <c r="E379" s="164"/>
      <c r="F379" s="165"/>
    </row>
    <row r="380">
      <c r="A380" s="162"/>
      <c r="B380" s="162"/>
      <c r="C380" s="162"/>
      <c r="D380" s="163"/>
      <c r="E380" s="164"/>
      <c r="F380" s="165"/>
    </row>
    <row r="381">
      <c r="A381" s="162"/>
      <c r="B381" s="162"/>
      <c r="C381" s="162"/>
      <c r="D381" s="163"/>
      <c r="E381" s="164"/>
      <c r="F381" s="165"/>
    </row>
    <row r="382">
      <c r="A382" s="162"/>
      <c r="B382" s="162"/>
      <c r="C382" s="162"/>
      <c r="D382" s="163"/>
      <c r="E382" s="164"/>
      <c r="F382" s="165"/>
    </row>
    <row r="383">
      <c r="A383" s="162"/>
      <c r="B383" s="162"/>
      <c r="C383" s="162"/>
      <c r="D383" s="163"/>
      <c r="E383" s="164"/>
      <c r="F383" s="165"/>
    </row>
    <row r="384">
      <c r="A384" s="162"/>
      <c r="B384" s="162"/>
      <c r="C384" s="162"/>
      <c r="D384" s="163"/>
      <c r="E384" s="164"/>
      <c r="F384" s="165"/>
    </row>
    <row r="385">
      <c r="A385" s="162"/>
      <c r="B385" s="162"/>
      <c r="C385" s="162"/>
      <c r="D385" s="163"/>
      <c r="E385" s="164"/>
      <c r="F385" s="165"/>
    </row>
    <row r="386">
      <c r="A386" s="162"/>
      <c r="B386" s="162"/>
      <c r="C386" s="162"/>
      <c r="D386" s="163"/>
      <c r="E386" s="164"/>
      <c r="F386" s="165"/>
    </row>
    <row r="387">
      <c r="A387" s="162"/>
      <c r="B387" s="162"/>
      <c r="C387" s="162"/>
      <c r="D387" s="163"/>
      <c r="E387" s="164"/>
      <c r="F387" s="165"/>
    </row>
    <row r="388">
      <c r="A388" s="162"/>
      <c r="B388" s="162"/>
      <c r="C388" s="162"/>
      <c r="D388" s="163"/>
      <c r="E388" s="164"/>
      <c r="F388" s="165"/>
    </row>
    <row r="389">
      <c r="A389" s="162"/>
      <c r="B389" s="162"/>
      <c r="C389" s="162"/>
      <c r="D389" s="163"/>
      <c r="E389" s="164"/>
      <c r="F389" s="165"/>
    </row>
    <row r="390">
      <c r="A390" s="162"/>
      <c r="B390" s="162"/>
      <c r="C390" s="162"/>
      <c r="D390" s="163"/>
      <c r="E390" s="164"/>
      <c r="F390" s="165"/>
    </row>
    <row r="391">
      <c r="A391" s="162"/>
      <c r="B391" s="162"/>
      <c r="C391" s="162"/>
      <c r="D391" s="163"/>
      <c r="E391" s="164"/>
      <c r="F391" s="165"/>
    </row>
    <row r="392">
      <c r="A392" s="162"/>
      <c r="B392" s="162"/>
      <c r="C392" s="162"/>
      <c r="D392" s="163"/>
      <c r="E392" s="164"/>
      <c r="F392" s="165"/>
    </row>
    <row r="393">
      <c r="A393" s="162"/>
      <c r="B393" s="162"/>
      <c r="C393" s="162"/>
      <c r="D393" s="163"/>
      <c r="E393" s="164"/>
      <c r="F393" s="165"/>
    </row>
    <row r="394">
      <c r="A394" s="162"/>
      <c r="B394" s="162"/>
      <c r="C394" s="162"/>
      <c r="D394" s="163"/>
      <c r="E394" s="164"/>
      <c r="F394" s="165"/>
    </row>
    <row r="395">
      <c r="A395" s="162"/>
      <c r="B395" s="162"/>
      <c r="C395" s="162"/>
      <c r="D395" s="163"/>
      <c r="E395" s="164"/>
      <c r="F395" s="165"/>
    </row>
    <row r="396">
      <c r="A396" s="162"/>
      <c r="B396" s="162"/>
      <c r="C396" s="162"/>
      <c r="D396" s="163"/>
      <c r="E396" s="164"/>
      <c r="F396" s="165"/>
    </row>
    <row r="397">
      <c r="A397" s="162"/>
      <c r="B397" s="162"/>
      <c r="C397" s="162"/>
      <c r="D397" s="163"/>
      <c r="E397" s="164"/>
      <c r="F397" s="165"/>
    </row>
    <row r="398">
      <c r="A398" s="162"/>
      <c r="B398" s="162"/>
      <c r="C398" s="162"/>
      <c r="D398" s="163"/>
      <c r="E398" s="164"/>
      <c r="F398" s="165"/>
    </row>
    <row r="399">
      <c r="A399" s="162"/>
      <c r="B399" s="162"/>
      <c r="C399" s="162"/>
      <c r="D399" s="163"/>
      <c r="E399" s="164"/>
      <c r="F399" s="165"/>
    </row>
    <row r="400">
      <c r="A400" s="162"/>
      <c r="B400" s="162"/>
      <c r="C400" s="162"/>
      <c r="D400" s="163"/>
      <c r="E400" s="164"/>
      <c r="F400" s="165"/>
    </row>
    <row r="401">
      <c r="A401" s="162"/>
      <c r="B401" s="162"/>
      <c r="C401" s="162"/>
      <c r="D401" s="163"/>
      <c r="E401" s="164"/>
      <c r="F401" s="165"/>
    </row>
    <row r="402">
      <c r="A402" s="162"/>
      <c r="B402" s="162"/>
      <c r="C402" s="162"/>
      <c r="D402" s="163"/>
      <c r="E402" s="164"/>
      <c r="F402" s="165"/>
    </row>
    <row r="403">
      <c r="A403" s="162"/>
      <c r="B403" s="162"/>
      <c r="C403" s="162"/>
      <c r="D403" s="163"/>
      <c r="E403" s="164"/>
      <c r="F403" s="165"/>
    </row>
    <row r="404">
      <c r="A404" s="162"/>
      <c r="B404" s="162"/>
      <c r="C404" s="162"/>
      <c r="D404" s="163"/>
      <c r="E404" s="164"/>
      <c r="F404" s="165"/>
    </row>
    <row r="405">
      <c r="A405" s="162"/>
      <c r="B405" s="162"/>
      <c r="C405" s="162"/>
      <c r="D405" s="163"/>
      <c r="E405" s="164"/>
      <c r="F405" s="165"/>
    </row>
    <row r="406">
      <c r="A406" s="162"/>
      <c r="B406" s="162"/>
      <c r="C406" s="162"/>
      <c r="D406" s="163"/>
      <c r="E406" s="164"/>
      <c r="F406" s="165"/>
    </row>
    <row r="407">
      <c r="A407" s="162"/>
      <c r="B407" s="162"/>
      <c r="C407" s="162"/>
      <c r="D407" s="163"/>
      <c r="E407" s="164"/>
      <c r="F407" s="165"/>
    </row>
    <row r="408">
      <c r="A408" s="162"/>
      <c r="B408" s="162"/>
      <c r="C408" s="162"/>
      <c r="D408" s="163"/>
      <c r="E408" s="164"/>
      <c r="F408" s="165"/>
    </row>
    <row r="409">
      <c r="A409" s="162"/>
      <c r="B409" s="162"/>
      <c r="C409" s="162"/>
      <c r="D409" s="163"/>
      <c r="E409" s="164"/>
      <c r="F409" s="165"/>
    </row>
    <row r="410">
      <c r="A410" s="162"/>
      <c r="B410" s="162"/>
      <c r="C410" s="162"/>
      <c r="D410" s="163"/>
      <c r="E410" s="164"/>
      <c r="F410" s="165"/>
    </row>
    <row r="411">
      <c r="A411" s="162"/>
      <c r="B411" s="162"/>
      <c r="C411" s="162"/>
      <c r="D411" s="163"/>
      <c r="E411" s="164"/>
      <c r="F411" s="165"/>
    </row>
    <row r="412">
      <c r="A412" s="162"/>
      <c r="B412" s="162"/>
      <c r="C412" s="162"/>
      <c r="D412" s="163"/>
      <c r="E412" s="164"/>
      <c r="F412" s="165"/>
    </row>
    <row r="413">
      <c r="A413" s="162"/>
      <c r="B413" s="162"/>
      <c r="C413" s="162"/>
      <c r="D413" s="163"/>
      <c r="E413" s="164"/>
      <c r="F413" s="165"/>
    </row>
    <row r="414">
      <c r="A414" s="162"/>
      <c r="B414" s="162"/>
      <c r="C414" s="162"/>
      <c r="D414" s="163"/>
      <c r="E414" s="164"/>
      <c r="F414" s="165"/>
    </row>
    <row r="415">
      <c r="A415" s="162"/>
      <c r="B415" s="162"/>
      <c r="C415" s="162"/>
      <c r="D415" s="163"/>
      <c r="E415" s="164"/>
      <c r="F415" s="165"/>
    </row>
    <row r="416">
      <c r="A416" s="162"/>
      <c r="B416" s="162"/>
      <c r="C416" s="162"/>
      <c r="D416" s="163"/>
      <c r="E416" s="164"/>
      <c r="F416" s="165"/>
    </row>
    <row r="417">
      <c r="A417" s="162"/>
      <c r="B417" s="162"/>
      <c r="C417" s="162"/>
      <c r="D417" s="163"/>
      <c r="E417" s="164"/>
      <c r="F417" s="165"/>
    </row>
    <row r="418">
      <c r="A418" s="162"/>
      <c r="B418" s="162"/>
      <c r="C418" s="162"/>
      <c r="D418" s="163"/>
      <c r="E418" s="164"/>
      <c r="F418" s="165"/>
    </row>
    <row r="419">
      <c r="A419" s="162"/>
      <c r="B419" s="162"/>
      <c r="C419" s="162"/>
      <c r="D419" s="163"/>
      <c r="E419" s="164"/>
      <c r="F419" s="165"/>
    </row>
    <row r="420">
      <c r="A420" s="162"/>
      <c r="B420" s="162"/>
      <c r="C420" s="162"/>
      <c r="D420" s="163"/>
      <c r="E420" s="164"/>
      <c r="F420" s="165"/>
    </row>
    <row r="421">
      <c r="A421" s="162"/>
      <c r="B421" s="162"/>
      <c r="C421" s="162"/>
      <c r="D421" s="163"/>
      <c r="E421" s="164"/>
      <c r="F421" s="165"/>
    </row>
    <row r="422">
      <c r="A422" s="162"/>
      <c r="B422" s="162"/>
      <c r="C422" s="162"/>
      <c r="D422" s="163"/>
      <c r="E422" s="164"/>
      <c r="F422" s="165"/>
    </row>
    <row r="423">
      <c r="A423" s="162"/>
      <c r="B423" s="162"/>
      <c r="C423" s="162"/>
      <c r="D423" s="163"/>
      <c r="E423" s="164"/>
      <c r="F423" s="165"/>
    </row>
    <row r="424">
      <c r="A424" s="162"/>
      <c r="B424" s="162"/>
      <c r="C424" s="162"/>
      <c r="D424" s="163"/>
      <c r="E424" s="164"/>
      <c r="F424" s="165"/>
    </row>
    <row r="425">
      <c r="A425" s="162"/>
      <c r="B425" s="162"/>
      <c r="C425" s="162"/>
      <c r="D425" s="163"/>
      <c r="E425" s="164"/>
      <c r="F425" s="165"/>
    </row>
    <row r="426">
      <c r="A426" s="162"/>
      <c r="B426" s="162"/>
      <c r="C426" s="162"/>
      <c r="D426" s="163"/>
      <c r="E426" s="164"/>
      <c r="F426" s="165"/>
    </row>
    <row r="427">
      <c r="A427" s="162"/>
      <c r="B427" s="162"/>
      <c r="C427" s="162"/>
      <c r="D427" s="163"/>
      <c r="E427" s="164"/>
      <c r="F427" s="165"/>
    </row>
    <row r="428">
      <c r="A428" s="162"/>
      <c r="B428" s="162"/>
      <c r="C428" s="162"/>
      <c r="D428" s="163"/>
      <c r="E428" s="164"/>
      <c r="F428" s="165"/>
    </row>
    <row r="429">
      <c r="A429" s="162"/>
      <c r="B429" s="162"/>
      <c r="C429" s="162"/>
      <c r="D429" s="163"/>
      <c r="E429" s="164"/>
      <c r="F429" s="165"/>
    </row>
    <row r="430">
      <c r="A430" s="162"/>
      <c r="B430" s="162"/>
      <c r="C430" s="162"/>
      <c r="D430" s="163"/>
      <c r="E430" s="164"/>
      <c r="F430" s="165"/>
    </row>
    <row r="431">
      <c r="A431" s="162"/>
      <c r="B431" s="162"/>
      <c r="C431" s="162"/>
      <c r="D431" s="163"/>
      <c r="E431" s="164"/>
      <c r="F431" s="165"/>
    </row>
    <row r="432">
      <c r="A432" s="162"/>
      <c r="B432" s="162"/>
      <c r="C432" s="162"/>
      <c r="D432" s="163"/>
      <c r="E432" s="164"/>
      <c r="F432" s="165"/>
    </row>
    <row r="433">
      <c r="A433" s="162"/>
      <c r="B433" s="162"/>
      <c r="C433" s="162"/>
      <c r="D433" s="163"/>
      <c r="E433" s="164"/>
      <c r="F433" s="165"/>
    </row>
    <row r="434">
      <c r="A434" s="162"/>
      <c r="B434" s="162"/>
      <c r="C434" s="162"/>
      <c r="D434" s="163"/>
      <c r="E434" s="164"/>
      <c r="F434" s="165"/>
    </row>
    <row r="435">
      <c r="A435" s="162"/>
      <c r="B435" s="162"/>
      <c r="C435" s="162"/>
      <c r="D435" s="163"/>
      <c r="E435" s="164"/>
      <c r="F435" s="165"/>
    </row>
    <row r="436">
      <c r="A436" s="162"/>
      <c r="B436" s="162"/>
      <c r="C436" s="162"/>
      <c r="D436" s="163"/>
      <c r="E436" s="164"/>
      <c r="F436" s="165"/>
    </row>
    <row r="437">
      <c r="A437" s="162"/>
      <c r="B437" s="162"/>
      <c r="C437" s="162"/>
      <c r="D437" s="163"/>
      <c r="E437" s="164"/>
      <c r="F437" s="165"/>
    </row>
    <row r="438">
      <c r="A438" s="162"/>
      <c r="B438" s="162"/>
      <c r="C438" s="162"/>
      <c r="D438" s="163"/>
      <c r="E438" s="164"/>
      <c r="F438" s="165"/>
    </row>
    <row r="439">
      <c r="A439" s="162"/>
      <c r="B439" s="162"/>
      <c r="C439" s="162"/>
      <c r="D439" s="163"/>
      <c r="E439" s="164"/>
      <c r="F439" s="165"/>
    </row>
    <row r="440">
      <c r="A440" s="162"/>
      <c r="B440" s="162"/>
      <c r="C440" s="162"/>
      <c r="D440" s="163"/>
      <c r="E440" s="164"/>
      <c r="F440" s="165"/>
    </row>
    <row r="441">
      <c r="A441" s="162"/>
      <c r="B441" s="162"/>
      <c r="C441" s="162"/>
      <c r="D441" s="163"/>
      <c r="E441" s="164"/>
      <c r="F441" s="165"/>
    </row>
    <row r="442">
      <c r="A442" s="162"/>
      <c r="B442" s="162"/>
      <c r="C442" s="162"/>
      <c r="D442" s="163"/>
      <c r="E442" s="164"/>
      <c r="F442" s="165"/>
    </row>
    <row r="443">
      <c r="A443" s="162"/>
      <c r="B443" s="162"/>
      <c r="C443" s="162"/>
      <c r="D443" s="163"/>
      <c r="E443" s="164"/>
      <c r="F443" s="165"/>
    </row>
    <row r="444">
      <c r="A444" s="162"/>
      <c r="B444" s="162"/>
      <c r="C444" s="162"/>
      <c r="D444" s="163"/>
      <c r="E444" s="164"/>
      <c r="F444" s="165"/>
    </row>
    <row r="445">
      <c r="A445" s="162"/>
      <c r="B445" s="162"/>
      <c r="C445" s="162"/>
      <c r="D445" s="163"/>
      <c r="E445" s="164"/>
      <c r="F445" s="165"/>
    </row>
    <row r="446">
      <c r="A446" s="162"/>
      <c r="B446" s="162"/>
      <c r="C446" s="162"/>
      <c r="D446" s="163"/>
      <c r="E446" s="164"/>
      <c r="F446" s="165"/>
    </row>
    <row r="447">
      <c r="A447" s="162"/>
      <c r="B447" s="162"/>
      <c r="C447" s="162"/>
      <c r="D447" s="163"/>
      <c r="E447" s="164"/>
      <c r="F447" s="165"/>
    </row>
    <row r="448">
      <c r="A448" s="162"/>
      <c r="B448" s="162"/>
      <c r="C448" s="162"/>
      <c r="D448" s="163"/>
      <c r="E448" s="164"/>
      <c r="F448" s="165"/>
    </row>
    <row r="449">
      <c r="A449" s="162"/>
      <c r="B449" s="162"/>
      <c r="C449" s="162"/>
      <c r="D449" s="163"/>
      <c r="E449" s="164"/>
      <c r="F449" s="165"/>
    </row>
    <row r="450">
      <c r="A450" s="162"/>
      <c r="B450" s="162"/>
      <c r="C450" s="162"/>
      <c r="D450" s="163"/>
      <c r="E450" s="164"/>
      <c r="F450" s="165"/>
    </row>
    <row r="451">
      <c r="A451" s="162"/>
      <c r="B451" s="162"/>
      <c r="C451" s="162"/>
      <c r="D451" s="163"/>
      <c r="E451" s="164"/>
      <c r="F451" s="165"/>
    </row>
    <row r="452">
      <c r="A452" s="162"/>
      <c r="B452" s="162"/>
      <c r="C452" s="162"/>
      <c r="D452" s="163"/>
      <c r="E452" s="164"/>
      <c r="F452" s="165"/>
    </row>
    <row r="453">
      <c r="A453" s="162"/>
      <c r="B453" s="162"/>
      <c r="C453" s="162"/>
      <c r="D453" s="163"/>
      <c r="E453" s="164"/>
      <c r="F453" s="165"/>
    </row>
    <row r="454">
      <c r="A454" s="162"/>
      <c r="B454" s="162"/>
      <c r="C454" s="162"/>
      <c r="D454" s="163"/>
      <c r="E454" s="164"/>
      <c r="F454" s="165"/>
    </row>
    <row r="455">
      <c r="A455" s="162"/>
      <c r="B455" s="162"/>
      <c r="C455" s="162"/>
      <c r="D455" s="163"/>
      <c r="E455" s="164"/>
      <c r="F455" s="165"/>
    </row>
    <row r="456">
      <c r="A456" s="162"/>
      <c r="B456" s="162"/>
      <c r="C456" s="162"/>
      <c r="D456" s="163"/>
      <c r="E456" s="164"/>
      <c r="F456" s="165"/>
    </row>
    <row r="457">
      <c r="A457" s="162"/>
      <c r="B457" s="162"/>
      <c r="C457" s="162"/>
      <c r="D457" s="163"/>
      <c r="E457" s="164"/>
      <c r="F457" s="165"/>
    </row>
    <row r="458">
      <c r="A458" s="162"/>
      <c r="B458" s="162"/>
      <c r="C458" s="162"/>
      <c r="D458" s="163"/>
      <c r="E458" s="164"/>
      <c r="F458" s="165"/>
    </row>
    <row r="459">
      <c r="A459" s="162"/>
      <c r="B459" s="162"/>
      <c r="C459" s="162"/>
      <c r="D459" s="163"/>
      <c r="E459" s="164"/>
      <c r="F459" s="165"/>
    </row>
    <row r="460">
      <c r="A460" s="162"/>
      <c r="B460" s="162"/>
      <c r="C460" s="162"/>
      <c r="D460" s="163"/>
      <c r="E460" s="164"/>
      <c r="F460" s="165"/>
    </row>
    <row r="461">
      <c r="A461" s="162"/>
      <c r="B461" s="162"/>
      <c r="C461" s="162"/>
      <c r="D461" s="163"/>
      <c r="E461" s="164"/>
      <c r="F461" s="165"/>
    </row>
    <row r="462">
      <c r="A462" s="162"/>
      <c r="B462" s="162"/>
      <c r="C462" s="162"/>
      <c r="D462" s="163"/>
      <c r="E462" s="164"/>
      <c r="F462" s="165"/>
    </row>
    <row r="463">
      <c r="A463" s="162"/>
      <c r="B463" s="162"/>
      <c r="C463" s="162"/>
      <c r="D463" s="163"/>
      <c r="E463" s="164"/>
      <c r="F463" s="165"/>
    </row>
    <row r="464">
      <c r="A464" s="162"/>
      <c r="B464" s="162"/>
      <c r="C464" s="162"/>
      <c r="D464" s="163"/>
      <c r="E464" s="164"/>
      <c r="F464" s="165"/>
    </row>
    <row r="465">
      <c r="A465" s="162"/>
      <c r="B465" s="162"/>
      <c r="C465" s="162"/>
      <c r="D465" s="163"/>
      <c r="E465" s="164"/>
      <c r="F465" s="165"/>
    </row>
    <row r="466">
      <c r="A466" s="162"/>
      <c r="B466" s="162"/>
      <c r="C466" s="162"/>
      <c r="D466" s="163"/>
      <c r="E466" s="164"/>
      <c r="F466" s="165"/>
    </row>
    <row r="467">
      <c r="A467" s="162"/>
      <c r="B467" s="162"/>
      <c r="C467" s="162"/>
      <c r="D467" s="163"/>
      <c r="E467" s="164"/>
      <c r="F467" s="165"/>
    </row>
    <row r="468">
      <c r="A468" s="162"/>
      <c r="B468" s="162"/>
      <c r="C468" s="162"/>
      <c r="D468" s="163"/>
      <c r="E468" s="164"/>
      <c r="F468" s="165"/>
    </row>
    <row r="469">
      <c r="A469" s="162"/>
      <c r="B469" s="162"/>
      <c r="C469" s="162"/>
      <c r="D469" s="163"/>
      <c r="E469" s="164"/>
      <c r="F469" s="165"/>
    </row>
    <row r="470">
      <c r="A470" s="162"/>
      <c r="B470" s="162"/>
      <c r="C470" s="162"/>
      <c r="D470" s="163"/>
      <c r="E470" s="164"/>
      <c r="F470" s="165"/>
    </row>
    <row r="471">
      <c r="A471" s="162"/>
      <c r="B471" s="162"/>
      <c r="C471" s="162"/>
      <c r="D471" s="163"/>
      <c r="E471" s="164"/>
      <c r="F471" s="165"/>
    </row>
    <row r="472">
      <c r="A472" s="162"/>
      <c r="B472" s="162"/>
      <c r="C472" s="162"/>
      <c r="D472" s="163"/>
      <c r="E472" s="164"/>
      <c r="F472" s="165"/>
    </row>
    <row r="473">
      <c r="A473" s="162"/>
      <c r="B473" s="162"/>
      <c r="C473" s="162"/>
      <c r="D473" s="163"/>
      <c r="E473" s="164"/>
      <c r="F473" s="165"/>
    </row>
    <row r="474">
      <c r="A474" s="162"/>
      <c r="B474" s="162"/>
      <c r="C474" s="162"/>
      <c r="D474" s="163"/>
      <c r="E474" s="164"/>
      <c r="F474" s="165"/>
    </row>
    <row r="475">
      <c r="A475" s="162"/>
      <c r="B475" s="162"/>
      <c r="C475" s="162"/>
      <c r="D475" s="163"/>
      <c r="E475" s="164"/>
      <c r="F475" s="165"/>
    </row>
    <row r="476">
      <c r="A476" s="162"/>
      <c r="B476" s="162"/>
      <c r="C476" s="162"/>
      <c r="D476" s="163"/>
      <c r="E476" s="164"/>
      <c r="F476" s="165"/>
    </row>
    <row r="477">
      <c r="A477" s="162"/>
      <c r="B477" s="162"/>
      <c r="C477" s="162"/>
      <c r="D477" s="163"/>
      <c r="E477" s="164"/>
      <c r="F477" s="165"/>
    </row>
    <row r="478">
      <c r="A478" s="162"/>
      <c r="B478" s="162"/>
      <c r="C478" s="162"/>
      <c r="D478" s="163"/>
      <c r="E478" s="164"/>
      <c r="F478" s="165"/>
    </row>
    <row r="479">
      <c r="A479" s="162"/>
      <c r="B479" s="162"/>
      <c r="C479" s="162"/>
      <c r="D479" s="163"/>
      <c r="E479" s="164"/>
      <c r="F479" s="165"/>
    </row>
    <row r="480">
      <c r="A480" s="162"/>
      <c r="B480" s="162"/>
      <c r="C480" s="162"/>
      <c r="D480" s="163"/>
      <c r="E480" s="164"/>
      <c r="F480" s="165"/>
    </row>
    <row r="481">
      <c r="A481" s="162"/>
      <c r="B481" s="162"/>
      <c r="C481" s="162"/>
      <c r="D481" s="163"/>
      <c r="E481" s="164"/>
      <c r="F481" s="165"/>
    </row>
    <row r="482">
      <c r="A482" s="162"/>
      <c r="B482" s="162"/>
      <c r="C482" s="162"/>
      <c r="D482" s="163"/>
      <c r="E482" s="164"/>
      <c r="F482" s="165"/>
    </row>
    <row r="483">
      <c r="A483" s="162"/>
      <c r="B483" s="162"/>
      <c r="C483" s="162"/>
      <c r="D483" s="163"/>
      <c r="E483" s="164"/>
      <c r="F483" s="165"/>
    </row>
    <row r="484">
      <c r="A484" s="162"/>
      <c r="B484" s="162"/>
      <c r="C484" s="162"/>
      <c r="D484" s="163"/>
      <c r="E484" s="164"/>
      <c r="F484" s="165"/>
    </row>
    <row r="485">
      <c r="A485" s="162"/>
      <c r="B485" s="162"/>
      <c r="C485" s="162"/>
      <c r="D485" s="163"/>
      <c r="E485" s="164"/>
      <c r="F485" s="165"/>
    </row>
    <row r="486">
      <c r="A486" s="162"/>
      <c r="B486" s="162"/>
      <c r="C486" s="162"/>
      <c r="D486" s="163"/>
      <c r="E486" s="164"/>
      <c r="F486" s="165"/>
    </row>
    <row r="487">
      <c r="A487" s="162"/>
      <c r="B487" s="162"/>
      <c r="C487" s="162"/>
      <c r="D487" s="163"/>
      <c r="E487" s="164"/>
      <c r="F487" s="165"/>
    </row>
    <row r="488">
      <c r="A488" s="162"/>
      <c r="B488" s="162"/>
      <c r="C488" s="162"/>
      <c r="D488" s="163"/>
      <c r="E488" s="164"/>
      <c r="F488" s="165"/>
    </row>
    <row r="489">
      <c r="A489" s="162"/>
      <c r="B489" s="162"/>
      <c r="C489" s="162"/>
      <c r="D489" s="163"/>
      <c r="E489" s="164"/>
      <c r="F489" s="165"/>
    </row>
    <row r="490">
      <c r="A490" s="162"/>
      <c r="B490" s="162"/>
      <c r="C490" s="162"/>
      <c r="D490" s="163"/>
      <c r="E490" s="164"/>
      <c r="F490" s="165"/>
    </row>
    <row r="491">
      <c r="A491" s="162"/>
      <c r="B491" s="162"/>
      <c r="C491" s="162"/>
      <c r="D491" s="163"/>
      <c r="E491" s="164"/>
      <c r="F491" s="165"/>
    </row>
    <row r="492">
      <c r="A492" s="162"/>
      <c r="B492" s="162"/>
      <c r="C492" s="162"/>
      <c r="D492" s="163"/>
      <c r="E492" s="164"/>
      <c r="F492" s="165"/>
    </row>
    <row r="493">
      <c r="A493" s="162"/>
      <c r="B493" s="162"/>
      <c r="C493" s="162"/>
      <c r="D493" s="163"/>
      <c r="E493" s="164"/>
      <c r="F493" s="165"/>
    </row>
    <row r="494">
      <c r="A494" s="162"/>
      <c r="B494" s="162"/>
      <c r="C494" s="162"/>
      <c r="D494" s="163"/>
      <c r="E494" s="164"/>
      <c r="F494" s="165"/>
    </row>
    <row r="495">
      <c r="A495" s="162"/>
      <c r="B495" s="162"/>
      <c r="C495" s="162"/>
      <c r="D495" s="163"/>
      <c r="E495" s="164"/>
      <c r="F495" s="165"/>
    </row>
    <row r="496">
      <c r="A496" s="162"/>
      <c r="B496" s="162"/>
      <c r="C496" s="162"/>
      <c r="D496" s="163"/>
      <c r="E496" s="164"/>
      <c r="F496" s="165"/>
    </row>
    <row r="497">
      <c r="A497" s="162"/>
      <c r="B497" s="162"/>
      <c r="C497" s="162"/>
      <c r="D497" s="163"/>
      <c r="E497" s="164"/>
      <c r="F497" s="165"/>
    </row>
    <row r="498">
      <c r="A498" s="162"/>
      <c r="B498" s="162"/>
      <c r="C498" s="162"/>
      <c r="D498" s="163"/>
      <c r="E498" s="164"/>
      <c r="F498" s="165"/>
    </row>
    <row r="499">
      <c r="A499" s="162"/>
      <c r="B499" s="162"/>
      <c r="C499" s="162"/>
      <c r="D499" s="163"/>
      <c r="E499" s="164"/>
      <c r="F499" s="165"/>
    </row>
    <row r="500">
      <c r="A500" s="162"/>
      <c r="B500" s="162"/>
      <c r="C500" s="162"/>
      <c r="D500" s="163"/>
      <c r="E500" s="164"/>
      <c r="F500" s="165"/>
    </row>
    <row r="501">
      <c r="A501" s="162"/>
      <c r="B501" s="162"/>
      <c r="C501" s="162"/>
      <c r="D501" s="163"/>
      <c r="E501" s="164"/>
      <c r="F501" s="165"/>
    </row>
    <row r="502">
      <c r="A502" s="162"/>
      <c r="B502" s="162"/>
      <c r="C502" s="162"/>
      <c r="D502" s="163"/>
      <c r="E502" s="164"/>
      <c r="F502" s="165"/>
    </row>
    <row r="503">
      <c r="A503" s="162"/>
      <c r="B503" s="162"/>
      <c r="C503" s="162"/>
      <c r="D503" s="163"/>
      <c r="E503" s="164"/>
      <c r="F503" s="165"/>
    </row>
    <row r="504">
      <c r="A504" s="162"/>
      <c r="B504" s="162"/>
      <c r="C504" s="162"/>
      <c r="D504" s="163"/>
      <c r="E504" s="164"/>
      <c r="F504" s="165"/>
    </row>
    <row r="505">
      <c r="A505" s="162"/>
      <c r="B505" s="162"/>
      <c r="C505" s="162"/>
      <c r="D505" s="163"/>
      <c r="E505" s="164"/>
      <c r="F505" s="165"/>
    </row>
    <row r="506">
      <c r="A506" s="162"/>
      <c r="B506" s="162"/>
      <c r="C506" s="162"/>
      <c r="D506" s="163"/>
      <c r="E506" s="164"/>
      <c r="F506" s="165"/>
    </row>
    <row r="507">
      <c r="A507" s="162"/>
      <c r="B507" s="162"/>
      <c r="C507" s="162"/>
      <c r="D507" s="163"/>
      <c r="E507" s="164"/>
      <c r="F507" s="165"/>
    </row>
    <row r="508">
      <c r="A508" s="162"/>
      <c r="B508" s="162"/>
      <c r="C508" s="162"/>
      <c r="D508" s="163"/>
      <c r="E508" s="164"/>
      <c r="F508" s="165"/>
    </row>
    <row r="509">
      <c r="A509" s="162"/>
      <c r="B509" s="162"/>
      <c r="C509" s="162"/>
      <c r="D509" s="163"/>
      <c r="E509" s="164"/>
      <c r="F509" s="165"/>
    </row>
    <row r="510">
      <c r="A510" s="162"/>
      <c r="B510" s="162"/>
      <c r="C510" s="162"/>
      <c r="D510" s="163"/>
      <c r="E510" s="164"/>
      <c r="F510" s="165"/>
    </row>
    <row r="511">
      <c r="A511" s="162"/>
      <c r="B511" s="162"/>
      <c r="C511" s="162"/>
      <c r="D511" s="163"/>
      <c r="E511" s="164"/>
      <c r="F511" s="165"/>
    </row>
    <row r="512">
      <c r="A512" s="162"/>
      <c r="B512" s="162"/>
      <c r="C512" s="162"/>
      <c r="D512" s="163"/>
      <c r="E512" s="164"/>
      <c r="F512" s="165"/>
    </row>
    <row r="513">
      <c r="A513" s="162"/>
      <c r="B513" s="162"/>
      <c r="C513" s="162"/>
      <c r="D513" s="163"/>
      <c r="E513" s="164"/>
      <c r="F513" s="165"/>
    </row>
    <row r="514">
      <c r="A514" s="162"/>
      <c r="B514" s="162"/>
      <c r="C514" s="162"/>
      <c r="D514" s="163"/>
      <c r="E514" s="164"/>
      <c r="F514" s="165"/>
    </row>
    <row r="515">
      <c r="A515" s="162"/>
      <c r="B515" s="162"/>
      <c r="C515" s="162"/>
      <c r="D515" s="163"/>
      <c r="E515" s="164"/>
      <c r="F515" s="165"/>
    </row>
    <row r="516">
      <c r="A516" s="162"/>
      <c r="B516" s="162"/>
      <c r="C516" s="162"/>
      <c r="D516" s="163"/>
      <c r="E516" s="164"/>
      <c r="F516" s="165"/>
    </row>
    <row r="517">
      <c r="A517" s="162"/>
      <c r="B517" s="162"/>
      <c r="C517" s="162"/>
      <c r="D517" s="163"/>
      <c r="E517" s="164"/>
      <c r="F517" s="165"/>
    </row>
    <row r="518">
      <c r="A518" s="162"/>
      <c r="B518" s="162"/>
      <c r="C518" s="162"/>
      <c r="D518" s="163"/>
      <c r="E518" s="164"/>
      <c r="F518" s="165"/>
    </row>
    <row r="519">
      <c r="A519" s="162"/>
      <c r="B519" s="162"/>
      <c r="C519" s="162"/>
      <c r="D519" s="163"/>
      <c r="E519" s="164"/>
      <c r="F519" s="165"/>
    </row>
    <row r="520">
      <c r="A520" s="162"/>
      <c r="B520" s="162"/>
      <c r="C520" s="162"/>
      <c r="D520" s="163"/>
      <c r="E520" s="164"/>
      <c r="F520" s="165"/>
    </row>
    <row r="521">
      <c r="A521" s="162"/>
      <c r="B521" s="162"/>
      <c r="C521" s="162"/>
      <c r="D521" s="163"/>
      <c r="E521" s="164"/>
      <c r="F521" s="165"/>
    </row>
    <row r="522">
      <c r="A522" s="162"/>
      <c r="B522" s="162"/>
      <c r="C522" s="162"/>
      <c r="D522" s="163"/>
      <c r="E522" s="164"/>
      <c r="F522" s="165"/>
    </row>
    <row r="523">
      <c r="A523" s="162"/>
      <c r="B523" s="162"/>
      <c r="C523" s="162"/>
      <c r="D523" s="163"/>
      <c r="E523" s="164"/>
      <c r="F523" s="165"/>
    </row>
    <row r="524">
      <c r="A524" s="162"/>
      <c r="B524" s="162"/>
      <c r="C524" s="162"/>
      <c r="D524" s="163"/>
      <c r="E524" s="164"/>
      <c r="F524" s="165"/>
    </row>
    <row r="525">
      <c r="A525" s="162"/>
      <c r="B525" s="162"/>
      <c r="C525" s="162"/>
      <c r="D525" s="163"/>
      <c r="E525" s="164"/>
      <c r="F525" s="165"/>
    </row>
    <row r="526">
      <c r="A526" s="162"/>
      <c r="B526" s="162"/>
      <c r="C526" s="162"/>
      <c r="D526" s="163"/>
      <c r="E526" s="164"/>
      <c r="F526" s="165"/>
    </row>
    <row r="527">
      <c r="A527" s="162"/>
      <c r="B527" s="162"/>
      <c r="C527" s="162"/>
      <c r="D527" s="163"/>
      <c r="E527" s="164"/>
      <c r="F527" s="165"/>
    </row>
    <row r="528">
      <c r="A528" s="162"/>
      <c r="B528" s="162"/>
      <c r="C528" s="162"/>
      <c r="D528" s="163"/>
      <c r="E528" s="164"/>
      <c r="F528" s="165"/>
    </row>
    <row r="529">
      <c r="A529" s="162"/>
      <c r="B529" s="162"/>
      <c r="C529" s="162"/>
      <c r="D529" s="163"/>
      <c r="E529" s="164"/>
      <c r="F529" s="165"/>
    </row>
    <row r="530">
      <c r="A530" s="162"/>
      <c r="B530" s="162"/>
      <c r="C530" s="162"/>
      <c r="D530" s="163"/>
      <c r="E530" s="164"/>
      <c r="F530" s="165"/>
    </row>
    <row r="531">
      <c r="A531" s="162"/>
      <c r="B531" s="162"/>
      <c r="C531" s="162"/>
      <c r="D531" s="163"/>
      <c r="E531" s="164"/>
      <c r="F531" s="165"/>
    </row>
    <row r="532">
      <c r="A532" s="162"/>
      <c r="B532" s="162"/>
      <c r="C532" s="162"/>
      <c r="D532" s="163"/>
      <c r="E532" s="164"/>
      <c r="F532" s="165"/>
    </row>
    <row r="533">
      <c r="A533" s="162"/>
      <c r="B533" s="162"/>
      <c r="C533" s="162"/>
      <c r="D533" s="163"/>
      <c r="E533" s="164"/>
      <c r="F533" s="165"/>
    </row>
    <row r="534">
      <c r="A534" s="162"/>
      <c r="B534" s="162"/>
      <c r="C534" s="162"/>
      <c r="D534" s="163"/>
      <c r="E534" s="164"/>
      <c r="F534" s="165"/>
    </row>
    <row r="535">
      <c r="A535" s="162"/>
      <c r="B535" s="162"/>
      <c r="C535" s="162"/>
      <c r="D535" s="163"/>
      <c r="E535" s="164"/>
      <c r="F535" s="165"/>
    </row>
    <row r="536">
      <c r="A536" s="162"/>
      <c r="B536" s="162"/>
      <c r="C536" s="162"/>
      <c r="D536" s="163"/>
      <c r="E536" s="164"/>
      <c r="F536" s="165"/>
    </row>
    <row r="537">
      <c r="A537" s="162"/>
      <c r="B537" s="162"/>
      <c r="C537" s="162"/>
      <c r="D537" s="163"/>
      <c r="E537" s="164"/>
      <c r="F537" s="165"/>
    </row>
    <row r="538">
      <c r="A538" s="162"/>
      <c r="B538" s="162"/>
      <c r="C538" s="162"/>
      <c r="D538" s="163"/>
      <c r="E538" s="164"/>
      <c r="F538" s="165"/>
    </row>
    <row r="539">
      <c r="A539" s="162"/>
      <c r="B539" s="162"/>
      <c r="C539" s="162"/>
      <c r="D539" s="163"/>
      <c r="E539" s="164"/>
      <c r="F539" s="165"/>
    </row>
    <row r="540">
      <c r="A540" s="162"/>
      <c r="B540" s="162"/>
      <c r="C540" s="162"/>
      <c r="D540" s="163"/>
      <c r="E540" s="164"/>
      <c r="F540" s="165"/>
    </row>
    <row r="541">
      <c r="A541" s="162"/>
      <c r="B541" s="162"/>
      <c r="C541" s="162"/>
      <c r="D541" s="163"/>
      <c r="E541" s="164"/>
      <c r="F541" s="165"/>
    </row>
    <row r="542">
      <c r="A542" s="162"/>
      <c r="B542" s="162"/>
      <c r="C542" s="162"/>
      <c r="D542" s="163"/>
      <c r="E542" s="164"/>
      <c r="F542" s="165"/>
    </row>
    <row r="543">
      <c r="A543" s="162"/>
      <c r="B543" s="162"/>
      <c r="C543" s="162"/>
      <c r="D543" s="163"/>
      <c r="E543" s="164"/>
      <c r="F543" s="165"/>
    </row>
    <row r="544">
      <c r="A544" s="162"/>
      <c r="B544" s="162"/>
      <c r="C544" s="162"/>
      <c r="D544" s="163"/>
      <c r="E544" s="164"/>
      <c r="F544" s="165"/>
    </row>
    <row r="545">
      <c r="A545" s="162"/>
      <c r="B545" s="162"/>
      <c r="C545" s="162"/>
      <c r="D545" s="163"/>
      <c r="E545" s="164"/>
      <c r="F545" s="165"/>
    </row>
    <row r="546">
      <c r="A546" s="162"/>
      <c r="B546" s="162"/>
      <c r="C546" s="162"/>
      <c r="D546" s="163"/>
      <c r="E546" s="164"/>
      <c r="F546" s="165"/>
    </row>
    <row r="547">
      <c r="A547" s="162"/>
      <c r="B547" s="162"/>
      <c r="C547" s="162"/>
      <c r="D547" s="163"/>
      <c r="E547" s="164"/>
      <c r="F547" s="165"/>
    </row>
    <row r="548">
      <c r="A548" s="162"/>
      <c r="B548" s="162"/>
      <c r="C548" s="162"/>
      <c r="D548" s="163"/>
      <c r="E548" s="164"/>
      <c r="F548" s="165"/>
    </row>
    <row r="549">
      <c r="A549" s="162"/>
      <c r="B549" s="162"/>
      <c r="C549" s="162"/>
      <c r="D549" s="163"/>
      <c r="E549" s="164"/>
      <c r="F549" s="165"/>
    </row>
    <row r="550">
      <c r="A550" s="162"/>
      <c r="B550" s="162"/>
      <c r="C550" s="162"/>
      <c r="D550" s="163"/>
      <c r="E550" s="164"/>
      <c r="F550" s="165"/>
    </row>
    <row r="551">
      <c r="A551" s="162"/>
      <c r="B551" s="162"/>
      <c r="C551" s="162"/>
      <c r="D551" s="163"/>
      <c r="E551" s="164"/>
      <c r="F551" s="165"/>
    </row>
    <row r="552">
      <c r="A552" s="162"/>
      <c r="B552" s="162"/>
      <c r="C552" s="162"/>
      <c r="D552" s="163"/>
      <c r="E552" s="164"/>
      <c r="F552" s="165"/>
    </row>
    <row r="553">
      <c r="A553" s="162"/>
      <c r="B553" s="162"/>
      <c r="C553" s="162"/>
      <c r="D553" s="163"/>
      <c r="E553" s="164"/>
      <c r="F553" s="165"/>
    </row>
    <row r="554">
      <c r="A554" s="162"/>
      <c r="B554" s="162"/>
      <c r="C554" s="162"/>
      <c r="D554" s="163"/>
      <c r="E554" s="164"/>
      <c r="F554" s="165"/>
    </row>
    <row r="555">
      <c r="A555" s="162"/>
      <c r="B555" s="162"/>
      <c r="C555" s="162"/>
      <c r="D555" s="163"/>
      <c r="E555" s="164"/>
      <c r="F555" s="165"/>
    </row>
    <row r="556">
      <c r="A556" s="162"/>
      <c r="B556" s="162"/>
      <c r="C556" s="162"/>
      <c r="D556" s="163"/>
      <c r="E556" s="164"/>
      <c r="F556" s="165"/>
    </row>
    <row r="557">
      <c r="A557" s="162"/>
      <c r="B557" s="162"/>
      <c r="C557" s="162"/>
      <c r="D557" s="163"/>
      <c r="E557" s="164"/>
      <c r="F557" s="165"/>
    </row>
    <row r="558">
      <c r="A558" s="162"/>
      <c r="B558" s="162"/>
      <c r="C558" s="162"/>
      <c r="D558" s="163"/>
      <c r="E558" s="164"/>
      <c r="F558" s="165"/>
    </row>
    <row r="559">
      <c r="A559" s="162"/>
      <c r="B559" s="162"/>
      <c r="C559" s="162"/>
      <c r="D559" s="163"/>
      <c r="E559" s="164"/>
      <c r="F559" s="165"/>
    </row>
    <row r="560">
      <c r="A560" s="162"/>
      <c r="B560" s="162"/>
      <c r="C560" s="162"/>
      <c r="D560" s="163"/>
      <c r="E560" s="164"/>
      <c r="F560" s="165"/>
    </row>
    <row r="561">
      <c r="A561" s="162"/>
      <c r="B561" s="162"/>
      <c r="C561" s="162"/>
      <c r="D561" s="163"/>
      <c r="E561" s="164"/>
      <c r="F561" s="165"/>
    </row>
    <row r="562">
      <c r="A562" s="162"/>
      <c r="B562" s="162"/>
      <c r="C562" s="162"/>
      <c r="D562" s="163"/>
      <c r="E562" s="164"/>
      <c r="F562" s="165"/>
    </row>
    <row r="563">
      <c r="A563" s="162"/>
      <c r="B563" s="162"/>
      <c r="C563" s="162"/>
      <c r="D563" s="163"/>
      <c r="E563" s="164"/>
      <c r="F563" s="165"/>
    </row>
    <row r="564">
      <c r="A564" s="162"/>
      <c r="B564" s="162"/>
      <c r="C564" s="162"/>
      <c r="D564" s="163"/>
      <c r="E564" s="164"/>
      <c r="F564" s="165"/>
    </row>
    <row r="565">
      <c r="A565" s="162"/>
      <c r="B565" s="162"/>
      <c r="C565" s="162"/>
      <c r="D565" s="163"/>
      <c r="E565" s="164"/>
      <c r="F565" s="165"/>
    </row>
    <row r="566">
      <c r="A566" s="162"/>
      <c r="B566" s="162"/>
      <c r="C566" s="162"/>
      <c r="D566" s="163"/>
      <c r="E566" s="164"/>
      <c r="F566" s="165"/>
    </row>
    <row r="567">
      <c r="A567" s="162"/>
      <c r="B567" s="162"/>
      <c r="C567" s="162"/>
      <c r="D567" s="163"/>
      <c r="E567" s="164"/>
      <c r="F567" s="165"/>
    </row>
    <row r="568">
      <c r="A568" s="162"/>
      <c r="B568" s="162"/>
      <c r="C568" s="162"/>
      <c r="D568" s="163"/>
      <c r="E568" s="164"/>
      <c r="F568" s="165"/>
    </row>
    <row r="569">
      <c r="A569" s="162"/>
      <c r="B569" s="162"/>
      <c r="C569" s="162"/>
      <c r="D569" s="163"/>
      <c r="E569" s="164"/>
      <c r="F569" s="165"/>
    </row>
    <row r="570">
      <c r="A570" s="162"/>
      <c r="B570" s="162"/>
      <c r="C570" s="162"/>
      <c r="D570" s="163"/>
      <c r="E570" s="164"/>
      <c r="F570" s="165"/>
    </row>
    <row r="571">
      <c r="A571" s="162"/>
      <c r="B571" s="162"/>
      <c r="C571" s="162"/>
      <c r="D571" s="163"/>
      <c r="E571" s="164"/>
      <c r="F571" s="165"/>
    </row>
    <row r="572">
      <c r="A572" s="162"/>
      <c r="B572" s="162"/>
      <c r="C572" s="162"/>
      <c r="D572" s="163"/>
      <c r="E572" s="164"/>
      <c r="F572" s="165"/>
    </row>
    <row r="573">
      <c r="A573" s="162"/>
      <c r="B573" s="162"/>
      <c r="C573" s="162"/>
      <c r="D573" s="163"/>
      <c r="E573" s="164"/>
      <c r="F573" s="165"/>
    </row>
    <row r="574">
      <c r="A574" s="162"/>
      <c r="B574" s="162"/>
      <c r="C574" s="162"/>
      <c r="D574" s="163"/>
      <c r="E574" s="164"/>
      <c r="F574" s="165"/>
    </row>
    <row r="575">
      <c r="A575" s="162"/>
      <c r="B575" s="162"/>
      <c r="C575" s="162"/>
      <c r="D575" s="163"/>
      <c r="E575" s="164"/>
      <c r="F575" s="165"/>
    </row>
    <row r="576">
      <c r="A576" s="162"/>
      <c r="B576" s="162"/>
      <c r="C576" s="162"/>
      <c r="D576" s="163"/>
      <c r="E576" s="164"/>
      <c r="F576" s="165"/>
    </row>
    <row r="577">
      <c r="A577" s="162"/>
      <c r="B577" s="162"/>
      <c r="C577" s="162"/>
      <c r="D577" s="163"/>
      <c r="E577" s="164"/>
      <c r="F577" s="165"/>
    </row>
    <row r="578">
      <c r="A578" s="162"/>
      <c r="B578" s="162"/>
      <c r="C578" s="162"/>
      <c r="D578" s="163"/>
      <c r="E578" s="164"/>
      <c r="F578" s="165"/>
    </row>
    <row r="579">
      <c r="A579" s="162"/>
      <c r="B579" s="162"/>
      <c r="C579" s="162"/>
      <c r="D579" s="163"/>
      <c r="E579" s="164"/>
      <c r="F579" s="165"/>
    </row>
    <row r="580">
      <c r="A580" s="162"/>
      <c r="B580" s="162"/>
      <c r="C580" s="162"/>
      <c r="D580" s="163"/>
      <c r="E580" s="164"/>
      <c r="F580" s="165"/>
    </row>
    <row r="581">
      <c r="A581" s="162"/>
      <c r="B581" s="162"/>
      <c r="C581" s="162"/>
      <c r="D581" s="163"/>
      <c r="E581" s="164"/>
      <c r="F581" s="165"/>
    </row>
    <row r="582">
      <c r="A582" s="162"/>
      <c r="B582" s="162"/>
      <c r="C582" s="162"/>
      <c r="D582" s="163"/>
      <c r="E582" s="164"/>
      <c r="F582" s="165"/>
    </row>
    <row r="583">
      <c r="A583" s="162"/>
      <c r="B583" s="162"/>
      <c r="C583" s="162"/>
      <c r="D583" s="163"/>
      <c r="E583" s="164"/>
      <c r="F583" s="165"/>
    </row>
    <row r="584">
      <c r="A584" s="162"/>
      <c r="B584" s="162"/>
      <c r="C584" s="162"/>
      <c r="D584" s="163"/>
      <c r="E584" s="164"/>
      <c r="F584" s="165"/>
    </row>
    <row r="585">
      <c r="A585" s="162"/>
      <c r="B585" s="162"/>
      <c r="C585" s="162"/>
      <c r="D585" s="163"/>
      <c r="E585" s="164"/>
      <c r="F585" s="165"/>
    </row>
    <row r="586">
      <c r="A586" s="162"/>
      <c r="B586" s="162"/>
      <c r="C586" s="162"/>
      <c r="D586" s="163"/>
      <c r="E586" s="164"/>
      <c r="F586" s="165"/>
    </row>
    <row r="587">
      <c r="A587" s="162"/>
      <c r="B587" s="162"/>
      <c r="C587" s="162"/>
      <c r="D587" s="163"/>
      <c r="E587" s="164"/>
      <c r="F587" s="165"/>
    </row>
    <row r="588">
      <c r="A588" s="162"/>
      <c r="B588" s="162"/>
      <c r="C588" s="162"/>
      <c r="D588" s="163"/>
      <c r="E588" s="164"/>
      <c r="F588" s="165"/>
    </row>
    <row r="589">
      <c r="A589" s="162"/>
      <c r="B589" s="162"/>
      <c r="C589" s="162"/>
      <c r="D589" s="163"/>
      <c r="E589" s="164"/>
      <c r="F589" s="165"/>
    </row>
    <row r="590">
      <c r="A590" s="162"/>
      <c r="B590" s="162"/>
      <c r="C590" s="162"/>
      <c r="D590" s="163"/>
      <c r="E590" s="164"/>
      <c r="F590" s="165"/>
    </row>
    <row r="591">
      <c r="A591" s="162"/>
      <c r="B591" s="162"/>
      <c r="C591" s="162"/>
      <c r="D591" s="163"/>
      <c r="E591" s="164"/>
      <c r="F591" s="165"/>
    </row>
    <row r="592">
      <c r="A592" s="162"/>
      <c r="B592" s="162"/>
      <c r="C592" s="162"/>
      <c r="D592" s="163"/>
      <c r="E592" s="164"/>
      <c r="F592" s="165"/>
    </row>
    <row r="593">
      <c r="A593" s="162"/>
      <c r="B593" s="162"/>
      <c r="C593" s="162"/>
      <c r="D593" s="163"/>
      <c r="E593" s="164"/>
      <c r="F593" s="165"/>
    </row>
    <row r="594">
      <c r="A594" s="162"/>
      <c r="B594" s="162"/>
      <c r="C594" s="162"/>
      <c r="D594" s="163"/>
      <c r="E594" s="164"/>
      <c r="F594" s="165"/>
    </row>
    <row r="595">
      <c r="A595" s="162"/>
      <c r="B595" s="162"/>
      <c r="C595" s="162"/>
      <c r="D595" s="163"/>
      <c r="E595" s="164"/>
      <c r="F595" s="165"/>
    </row>
    <row r="596">
      <c r="A596" s="162"/>
      <c r="B596" s="162"/>
      <c r="C596" s="162"/>
      <c r="D596" s="163"/>
      <c r="E596" s="164"/>
      <c r="F596" s="165"/>
    </row>
    <row r="597">
      <c r="A597" s="162"/>
      <c r="B597" s="162"/>
      <c r="C597" s="162"/>
      <c r="D597" s="163"/>
      <c r="E597" s="164"/>
      <c r="F597" s="165"/>
    </row>
    <row r="598">
      <c r="A598" s="162"/>
      <c r="B598" s="162"/>
      <c r="C598" s="162"/>
      <c r="D598" s="163"/>
      <c r="E598" s="164"/>
      <c r="F598" s="165"/>
    </row>
    <row r="599">
      <c r="A599" s="162"/>
      <c r="B599" s="162"/>
      <c r="C599" s="162"/>
      <c r="D599" s="163"/>
      <c r="E599" s="164"/>
      <c r="F599" s="165"/>
    </row>
    <row r="600">
      <c r="A600" s="162"/>
      <c r="B600" s="162"/>
      <c r="C600" s="162"/>
      <c r="D600" s="163"/>
      <c r="E600" s="164"/>
      <c r="F600" s="165"/>
    </row>
    <row r="601">
      <c r="A601" s="162"/>
      <c r="B601" s="162"/>
      <c r="C601" s="162"/>
      <c r="D601" s="163"/>
      <c r="E601" s="164"/>
      <c r="F601" s="165"/>
    </row>
    <row r="602">
      <c r="A602" s="162"/>
      <c r="B602" s="162"/>
      <c r="C602" s="162"/>
      <c r="D602" s="163"/>
      <c r="E602" s="164"/>
      <c r="F602" s="165"/>
    </row>
    <row r="603">
      <c r="A603" s="162"/>
      <c r="B603" s="162"/>
      <c r="C603" s="162"/>
      <c r="D603" s="163"/>
      <c r="E603" s="164"/>
      <c r="F603" s="165"/>
    </row>
    <row r="604">
      <c r="A604" s="162"/>
      <c r="B604" s="162"/>
      <c r="C604" s="162"/>
      <c r="D604" s="163"/>
      <c r="E604" s="164"/>
      <c r="F604" s="165"/>
    </row>
    <row r="605">
      <c r="A605" s="162"/>
      <c r="B605" s="162"/>
      <c r="C605" s="162"/>
      <c r="D605" s="163"/>
      <c r="E605" s="164"/>
      <c r="F605" s="165"/>
    </row>
    <row r="606">
      <c r="A606" s="162"/>
      <c r="B606" s="162"/>
      <c r="C606" s="162"/>
      <c r="D606" s="163"/>
      <c r="E606" s="164"/>
      <c r="F606" s="165"/>
    </row>
    <row r="607">
      <c r="A607" s="162"/>
      <c r="B607" s="162"/>
      <c r="C607" s="162"/>
      <c r="D607" s="163"/>
      <c r="E607" s="164"/>
      <c r="F607" s="165"/>
    </row>
    <row r="608">
      <c r="A608" s="162"/>
      <c r="B608" s="162"/>
      <c r="C608" s="162"/>
      <c r="D608" s="163"/>
      <c r="E608" s="164"/>
      <c r="F608" s="165"/>
    </row>
    <row r="609">
      <c r="A609" s="162"/>
      <c r="B609" s="162"/>
      <c r="C609" s="162"/>
      <c r="D609" s="163"/>
      <c r="E609" s="164"/>
      <c r="F609" s="165"/>
    </row>
    <row r="610">
      <c r="A610" s="162"/>
      <c r="B610" s="162"/>
      <c r="C610" s="162"/>
      <c r="D610" s="163"/>
      <c r="E610" s="164"/>
      <c r="F610" s="165"/>
    </row>
    <row r="611">
      <c r="A611" s="162"/>
      <c r="B611" s="162"/>
      <c r="C611" s="162"/>
      <c r="D611" s="163"/>
      <c r="E611" s="164"/>
      <c r="F611" s="165"/>
    </row>
    <row r="612">
      <c r="A612" s="162"/>
      <c r="B612" s="162"/>
      <c r="C612" s="162"/>
      <c r="D612" s="163"/>
      <c r="E612" s="164"/>
      <c r="F612" s="165"/>
    </row>
    <row r="613">
      <c r="A613" s="162"/>
      <c r="B613" s="162"/>
      <c r="C613" s="162"/>
      <c r="D613" s="163"/>
      <c r="E613" s="164"/>
      <c r="F613" s="165"/>
    </row>
    <row r="614">
      <c r="A614" s="162"/>
      <c r="B614" s="162"/>
      <c r="C614" s="162"/>
      <c r="D614" s="163"/>
      <c r="E614" s="164"/>
      <c r="F614" s="165"/>
    </row>
    <row r="615">
      <c r="A615" s="162"/>
      <c r="B615" s="162"/>
      <c r="C615" s="162"/>
      <c r="D615" s="163"/>
      <c r="E615" s="164"/>
      <c r="F615" s="165"/>
    </row>
    <row r="616">
      <c r="A616" s="162"/>
      <c r="B616" s="162"/>
      <c r="C616" s="162"/>
      <c r="D616" s="163"/>
      <c r="E616" s="164"/>
      <c r="F616" s="165"/>
    </row>
    <row r="617">
      <c r="A617" s="162"/>
      <c r="B617" s="162"/>
      <c r="C617" s="162"/>
      <c r="D617" s="163"/>
      <c r="E617" s="164"/>
      <c r="F617" s="165"/>
    </row>
    <row r="618">
      <c r="A618" s="162"/>
      <c r="B618" s="162"/>
      <c r="C618" s="162"/>
      <c r="D618" s="163"/>
      <c r="E618" s="164"/>
      <c r="F618" s="165"/>
    </row>
    <row r="619">
      <c r="A619" s="162"/>
      <c r="B619" s="162"/>
      <c r="C619" s="162"/>
      <c r="D619" s="163"/>
      <c r="E619" s="164"/>
      <c r="F619" s="165"/>
    </row>
    <row r="620">
      <c r="A620" s="162"/>
      <c r="B620" s="162"/>
      <c r="C620" s="162"/>
      <c r="D620" s="163"/>
      <c r="E620" s="164"/>
      <c r="F620" s="165"/>
    </row>
    <row r="621">
      <c r="A621" s="162"/>
      <c r="B621" s="162"/>
      <c r="C621" s="162"/>
      <c r="D621" s="163"/>
      <c r="E621" s="164"/>
      <c r="F621" s="165"/>
    </row>
    <row r="622">
      <c r="A622" s="162"/>
      <c r="B622" s="162"/>
      <c r="C622" s="162"/>
      <c r="D622" s="163"/>
      <c r="E622" s="164"/>
      <c r="F622" s="165"/>
    </row>
    <row r="623">
      <c r="A623" s="162"/>
      <c r="B623" s="162"/>
      <c r="C623" s="162"/>
      <c r="D623" s="163"/>
      <c r="E623" s="164"/>
      <c r="F623" s="165"/>
    </row>
    <row r="624">
      <c r="A624" s="162"/>
      <c r="B624" s="162"/>
      <c r="C624" s="162"/>
      <c r="D624" s="163"/>
      <c r="E624" s="164"/>
      <c r="F624" s="165"/>
    </row>
    <row r="625">
      <c r="A625" s="162"/>
      <c r="B625" s="162"/>
      <c r="C625" s="162"/>
      <c r="D625" s="163"/>
      <c r="E625" s="164"/>
      <c r="F625" s="165"/>
    </row>
    <row r="626">
      <c r="A626" s="162"/>
      <c r="B626" s="162"/>
      <c r="C626" s="162"/>
      <c r="D626" s="163"/>
      <c r="E626" s="164"/>
      <c r="F626" s="165"/>
    </row>
    <row r="627">
      <c r="A627" s="162"/>
      <c r="B627" s="162"/>
      <c r="C627" s="162"/>
      <c r="D627" s="163"/>
      <c r="E627" s="164"/>
      <c r="F627" s="165"/>
    </row>
    <row r="628">
      <c r="A628" s="162"/>
      <c r="B628" s="162"/>
      <c r="C628" s="162"/>
      <c r="D628" s="163"/>
      <c r="E628" s="164"/>
      <c r="F628" s="165"/>
    </row>
    <row r="629">
      <c r="A629" s="162"/>
      <c r="B629" s="162"/>
      <c r="C629" s="162"/>
      <c r="D629" s="163"/>
      <c r="E629" s="164"/>
      <c r="F629" s="165"/>
    </row>
    <row r="630">
      <c r="A630" s="162"/>
      <c r="B630" s="162"/>
      <c r="C630" s="162"/>
      <c r="D630" s="163"/>
      <c r="E630" s="164"/>
      <c r="F630" s="165"/>
    </row>
    <row r="631">
      <c r="A631" s="162"/>
      <c r="B631" s="162"/>
      <c r="C631" s="162"/>
      <c r="D631" s="163"/>
      <c r="E631" s="164"/>
      <c r="F631" s="165"/>
    </row>
    <row r="632">
      <c r="A632" s="162"/>
      <c r="B632" s="162"/>
      <c r="C632" s="162"/>
      <c r="D632" s="163"/>
      <c r="E632" s="164"/>
      <c r="F632" s="165"/>
    </row>
    <row r="633">
      <c r="A633" s="162"/>
      <c r="B633" s="162"/>
      <c r="C633" s="162"/>
      <c r="D633" s="163"/>
      <c r="E633" s="164"/>
      <c r="F633" s="165"/>
    </row>
    <row r="634">
      <c r="A634" s="162"/>
      <c r="B634" s="162"/>
      <c r="C634" s="162"/>
      <c r="D634" s="163"/>
      <c r="E634" s="164"/>
      <c r="F634" s="165"/>
    </row>
    <row r="635">
      <c r="A635" s="162"/>
      <c r="B635" s="162"/>
      <c r="C635" s="162"/>
      <c r="D635" s="163"/>
      <c r="E635" s="164"/>
      <c r="F635" s="165"/>
    </row>
    <row r="636">
      <c r="A636" s="162"/>
      <c r="B636" s="162"/>
      <c r="C636" s="162"/>
      <c r="D636" s="163"/>
      <c r="E636" s="164"/>
      <c r="F636" s="165"/>
    </row>
    <row r="637">
      <c r="A637" s="162"/>
      <c r="B637" s="162"/>
      <c r="C637" s="162"/>
      <c r="D637" s="163"/>
      <c r="E637" s="164"/>
      <c r="F637" s="165"/>
    </row>
    <row r="638">
      <c r="A638" s="162"/>
      <c r="B638" s="162"/>
      <c r="C638" s="162"/>
      <c r="D638" s="163"/>
      <c r="E638" s="164"/>
      <c r="F638" s="165"/>
    </row>
    <row r="639">
      <c r="A639" s="162"/>
      <c r="B639" s="162"/>
      <c r="C639" s="162"/>
      <c r="D639" s="163"/>
      <c r="E639" s="164"/>
      <c r="F639" s="165"/>
    </row>
    <row r="640">
      <c r="A640" s="162"/>
      <c r="B640" s="162"/>
      <c r="C640" s="162"/>
      <c r="D640" s="163"/>
      <c r="E640" s="164"/>
      <c r="F640" s="165"/>
    </row>
    <row r="641">
      <c r="A641" s="162"/>
      <c r="B641" s="162"/>
      <c r="C641" s="162"/>
      <c r="D641" s="163"/>
      <c r="E641" s="164"/>
      <c r="F641" s="165"/>
    </row>
    <row r="642">
      <c r="A642" s="162"/>
      <c r="B642" s="162"/>
      <c r="C642" s="162"/>
      <c r="D642" s="163"/>
      <c r="E642" s="164"/>
      <c r="F642" s="165"/>
    </row>
    <row r="643">
      <c r="A643" s="162"/>
      <c r="B643" s="162"/>
      <c r="C643" s="162"/>
      <c r="D643" s="163"/>
      <c r="E643" s="164"/>
      <c r="F643" s="165"/>
    </row>
    <row r="644">
      <c r="A644" s="162"/>
      <c r="B644" s="162"/>
      <c r="C644" s="162"/>
      <c r="D644" s="163"/>
      <c r="E644" s="164"/>
      <c r="F644" s="165"/>
    </row>
    <row r="645">
      <c r="A645" s="162"/>
      <c r="B645" s="162"/>
      <c r="C645" s="162"/>
      <c r="D645" s="163"/>
      <c r="E645" s="164"/>
      <c r="F645" s="165"/>
    </row>
    <row r="646">
      <c r="A646" s="162"/>
      <c r="B646" s="162"/>
      <c r="C646" s="162"/>
      <c r="D646" s="163"/>
      <c r="E646" s="164"/>
      <c r="F646" s="165"/>
    </row>
    <row r="647">
      <c r="A647" s="162"/>
      <c r="B647" s="162"/>
      <c r="C647" s="162"/>
      <c r="D647" s="163"/>
      <c r="E647" s="164"/>
      <c r="F647" s="165"/>
    </row>
    <row r="648">
      <c r="A648" s="162"/>
      <c r="B648" s="162"/>
      <c r="C648" s="162"/>
      <c r="D648" s="163"/>
      <c r="E648" s="164"/>
      <c r="F648" s="165"/>
    </row>
    <row r="649">
      <c r="A649" s="162"/>
      <c r="B649" s="162"/>
      <c r="C649" s="162"/>
      <c r="D649" s="163"/>
      <c r="E649" s="164"/>
      <c r="F649" s="165"/>
    </row>
    <row r="650">
      <c r="A650" s="162"/>
      <c r="B650" s="162"/>
      <c r="C650" s="162"/>
      <c r="D650" s="163"/>
      <c r="E650" s="164"/>
      <c r="F650" s="165"/>
    </row>
    <row r="651">
      <c r="A651" s="162"/>
      <c r="B651" s="162"/>
      <c r="C651" s="162"/>
      <c r="D651" s="163"/>
      <c r="E651" s="164"/>
      <c r="F651" s="165"/>
    </row>
    <row r="652">
      <c r="A652" s="162"/>
      <c r="B652" s="162"/>
      <c r="C652" s="162"/>
      <c r="D652" s="163"/>
      <c r="E652" s="164"/>
      <c r="F652" s="165"/>
    </row>
    <row r="653">
      <c r="A653" s="162"/>
      <c r="B653" s="162"/>
      <c r="C653" s="162"/>
      <c r="D653" s="163"/>
      <c r="E653" s="164"/>
      <c r="F653" s="165"/>
    </row>
    <row r="654">
      <c r="A654" s="162"/>
      <c r="B654" s="162"/>
      <c r="C654" s="162"/>
      <c r="D654" s="163"/>
      <c r="E654" s="164"/>
      <c r="F654" s="165"/>
    </row>
    <row r="655">
      <c r="A655" s="162"/>
      <c r="B655" s="162"/>
      <c r="C655" s="162"/>
      <c r="D655" s="163"/>
      <c r="E655" s="164"/>
      <c r="F655" s="165"/>
    </row>
    <row r="656">
      <c r="A656" s="162"/>
      <c r="B656" s="162"/>
      <c r="C656" s="162"/>
      <c r="D656" s="163"/>
      <c r="E656" s="164"/>
      <c r="F656" s="165"/>
    </row>
    <row r="657">
      <c r="A657" s="162"/>
      <c r="B657" s="162"/>
      <c r="C657" s="162"/>
      <c r="D657" s="163"/>
      <c r="E657" s="164"/>
      <c r="F657" s="165"/>
    </row>
    <row r="658">
      <c r="A658" s="162"/>
      <c r="B658" s="162"/>
      <c r="C658" s="162"/>
      <c r="D658" s="163"/>
      <c r="E658" s="164"/>
      <c r="F658" s="165"/>
    </row>
    <row r="659">
      <c r="A659" s="162"/>
      <c r="B659" s="162"/>
      <c r="C659" s="162"/>
      <c r="D659" s="163"/>
      <c r="E659" s="164"/>
      <c r="F659" s="165"/>
    </row>
    <row r="660">
      <c r="A660" s="162"/>
      <c r="B660" s="162"/>
      <c r="C660" s="162"/>
      <c r="D660" s="163"/>
      <c r="E660" s="164"/>
      <c r="F660" s="165"/>
    </row>
    <row r="661">
      <c r="A661" s="162"/>
      <c r="B661" s="162"/>
      <c r="C661" s="162"/>
      <c r="D661" s="163"/>
      <c r="E661" s="164"/>
      <c r="F661" s="165"/>
    </row>
    <row r="662">
      <c r="A662" s="162"/>
      <c r="B662" s="162"/>
      <c r="C662" s="162"/>
      <c r="D662" s="163"/>
      <c r="E662" s="164"/>
      <c r="F662" s="165"/>
    </row>
    <row r="663">
      <c r="A663" s="162"/>
      <c r="B663" s="162"/>
      <c r="C663" s="162"/>
      <c r="D663" s="163"/>
      <c r="E663" s="164"/>
      <c r="F663" s="165"/>
    </row>
    <row r="664">
      <c r="A664" s="162"/>
      <c r="B664" s="162"/>
      <c r="C664" s="162"/>
      <c r="D664" s="163"/>
      <c r="E664" s="164"/>
      <c r="F664" s="165"/>
    </row>
    <row r="665">
      <c r="A665" s="162"/>
      <c r="B665" s="162"/>
      <c r="C665" s="162"/>
      <c r="D665" s="163"/>
      <c r="E665" s="164"/>
      <c r="F665" s="165"/>
    </row>
    <row r="666">
      <c r="A666" s="162"/>
      <c r="B666" s="162"/>
      <c r="C666" s="162"/>
      <c r="D666" s="163"/>
      <c r="E666" s="164"/>
      <c r="F666" s="165"/>
    </row>
    <row r="667">
      <c r="A667" s="162"/>
      <c r="B667" s="162"/>
      <c r="C667" s="162"/>
      <c r="D667" s="163"/>
      <c r="E667" s="164"/>
      <c r="F667" s="165"/>
    </row>
    <row r="668">
      <c r="A668" s="162"/>
      <c r="B668" s="162"/>
      <c r="C668" s="162"/>
      <c r="D668" s="163"/>
      <c r="E668" s="164"/>
      <c r="F668" s="165"/>
    </row>
    <row r="669">
      <c r="A669" s="162"/>
      <c r="B669" s="162"/>
      <c r="C669" s="162"/>
      <c r="D669" s="163"/>
      <c r="E669" s="164"/>
      <c r="F669" s="165"/>
    </row>
    <row r="670">
      <c r="A670" s="162"/>
      <c r="B670" s="162"/>
      <c r="C670" s="162"/>
      <c r="D670" s="163"/>
      <c r="E670" s="164"/>
      <c r="F670" s="165"/>
    </row>
    <row r="671">
      <c r="A671" s="162"/>
      <c r="B671" s="162"/>
      <c r="C671" s="162"/>
      <c r="D671" s="163"/>
      <c r="E671" s="164"/>
      <c r="F671" s="165"/>
    </row>
    <row r="672">
      <c r="A672" s="162"/>
      <c r="B672" s="162"/>
      <c r="C672" s="162"/>
      <c r="D672" s="163"/>
      <c r="E672" s="164"/>
      <c r="F672" s="165"/>
    </row>
    <row r="673">
      <c r="A673" s="162"/>
      <c r="B673" s="162"/>
      <c r="C673" s="162"/>
      <c r="D673" s="163"/>
      <c r="E673" s="164"/>
      <c r="F673" s="165"/>
    </row>
    <row r="674">
      <c r="A674" s="162"/>
      <c r="B674" s="162"/>
      <c r="C674" s="162"/>
      <c r="D674" s="163"/>
      <c r="E674" s="164"/>
      <c r="F674" s="165"/>
    </row>
    <row r="675">
      <c r="A675" s="162"/>
      <c r="B675" s="162"/>
      <c r="C675" s="162"/>
      <c r="D675" s="163"/>
      <c r="E675" s="164"/>
      <c r="F675" s="165"/>
    </row>
    <row r="676">
      <c r="A676" s="162"/>
      <c r="B676" s="162"/>
      <c r="C676" s="162"/>
      <c r="D676" s="163"/>
      <c r="E676" s="164"/>
      <c r="F676" s="165"/>
    </row>
    <row r="677">
      <c r="A677" s="162"/>
      <c r="B677" s="162"/>
      <c r="C677" s="162"/>
      <c r="D677" s="163"/>
      <c r="E677" s="164"/>
      <c r="F677" s="165"/>
    </row>
    <row r="678">
      <c r="A678" s="162"/>
      <c r="B678" s="162"/>
      <c r="C678" s="162"/>
      <c r="D678" s="163"/>
      <c r="E678" s="164"/>
      <c r="F678" s="165"/>
    </row>
    <row r="679">
      <c r="A679" s="162"/>
      <c r="B679" s="162"/>
      <c r="C679" s="162"/>
      <c r="D679" s="163"/>
      <c r="E679" s="164"/>
      <c r="F679" s="165"/>
    </row>
    <row r="680">
      <c r="A680" s="162"/>
      <c r="B680" s="162"/>
      <c r="C680" s="162"/>
      <c r="D680" s="163"/>
      <c r="E680" s="164"/>
      <c r="F680" s="165"/>
    </row>
    <row r="681">
      <c r="A681" s="162"/>
      <c r="B681" s="162"/>
      <c r="C681" s="162"/>
      <c r="D681" s="163"/>
      <c r="E681" s="164"/>
      <c r="F681" s="165"/>
    </row>
    <row r="682">
      <c r="A682" s="162"/>
      <c r="B682" s="162"/>
      <c r="C682" s="162"/>
      <c r="D682" s="163"/>
      <c r="E682" s="164"/>
      <c r="F682" s="165"/>
    </row>
    <row r="683">
      <c r="A683" s="162"/>
      <c r="B683" s="162"/>
      <c r="C683" s="162"/>
      <c r="D683" s="163"/>
      <c r="E683" s="164"/>
      <c r="F683" s="165"/>
    </row>
    <row r="684">
      <c r="A684" s="162"/>
      <c r="B684" s="162"/>
      <c r="C684" s="162"/>
      <c r="D684" s="163"/>
      <c r="E684" s="164"/>
      <c r="F684" s="165"/>
    </row>
    <row r="685">
      <c r="A685" s="162"/>
      <c r="B685" s="162"/>
      <c r="C685" s="162"/>
      <c r="D685" s="163"/>
      <c r="E685" s="164"/>
      <c r="F685" s="165"/>
    </row>
    <row r="686">
      <c r="A686" s="162"/>
      <c r="B686" s="162"/>
      <c r="C686" s="162"/>
      <c r="D686" s="163"/>
      <c r="E686" s="164"/>
      <c r="F686" s="165"/>
    </row>
    <row r="687">
      <c r="A687" s="162"/>
      <c r="B687" s="162"/>
      <c r="C687" s="162"/>
      <c r="D687" s="163"/>
      <c r="E687" s="164"/>
      <c r="F687" s="165"/>
    </row>
    <row r="688">
      <c r="A688" s="162"/>
      <c r="B688" s="162"/>
      <c r="C688" s="162"/>
      <c r="D688" s="163"/>
      <c r="E688" s="164"/>
      <c r="F688" s="165"/>
    </row>
    <row r="689">
      <c r="A689" s="162"/>
      <c r="B689" s="162"/>
      <c r="C689" s="162"/>
      <c r="D689" s="163"/>
      <c r="E689" s="164"/>
      <c r="F689" s="165"/>
    </row>
    <row r="690">
      <c r="A690" s="162"/>
      <c r="B690" s="162"/>
      <c r="C690" s="162"/>
      <c r="D690" s="163"/>
      <c r="E690" s="164"/>
      <c r="F690" s="165"/>
    </row>
    <row r="691">
      <c r="A691" s="162"/>
      <c r="B691" s="162"/>
      <c r="C691" s="162"/>
      <c r="D691" s="163"/>
      <c r="E691" s="164"/>
      <c r="F691" s="165"/>
    </row>
    <row r="692">
      <c r="A692" s="162"/>
      <c r="B692" s="162"/>
      <c r="C692" s="162"/>
      <c r="D692" s="163"/>
      <c r="E692" s="164"/>
      <c r="F692" s="165"/>
    </row>
    <row r="693">
      <c r="A693" s="162"/>
      <c r="B693" s="162"/>
      <c r="C693" s="162"/>
      <c r="D693" s="163"/>
      <c r="E693" s="164"/>
      <c r="F693" s="165"/>
    </row>
    <row r="694">
      <c r="A694" s="162"/>
      <c r="B694" s="162"/>
      <c r="C694" s="162"/>
      <c r="D694" s="163"/>
      <c r="E694" s="164"/>
      <c r="F694" s="165"/>
    </row>
    <row r="695">
      <c r="A695" s="162"/>
      <c r="B695" s="162"/>
      <c r="C695" s="162"/>
      <c r="D695" s="163"/>
      <c r="E695" s="164"/>
      <c r="F695" s="165"/>
    </row>
    <row r="696">
      <c r="A696" s="162"/>
      <c r="B696" s="162"/>
      <c r="C696" s="162"/>
      <c r="D696" s="163"/>
      <c r="E696" s="164"/>
      <c r="F696" s="165"/>
    </row>
    <row r="697">
      <c r="A697" s="162"/>
      <c r="B697" s="162"/>
      <c r="C697" s="162"/>
      <c r="D697" s="163"/>
      <c r="E697" s="164"/>
      <c r="F697" s="165"/>
    </row>
    <row r="698">
      <c r="A698" s="162"/>
      <c r="B698" s="162"/>
      <c r="C698" s="162"/>
      <c r="D698" s="163"/>
      <c r="E698" s="164"/>
      <c r="F698" s="165"/>
    </row>
    <row r="699">
      <c r="A699" s="162"/>
      <c r="B699" s="162"/>
      <c r="C699" s="162"/>
      <c r="D699" s="163"/>
      <c r="E699" s="164"/>
      <c r="F699" s="165"/>
    </row>
    <row r="700">
      <c r="A700" s="162"/>
      <c r="B700" s="162"/>
      <c r="C700" s="162"/>
      <c r="D700" s="163"/>
      <c r="E700" s="164"/>
      <c r="F700" s="165"/>
    </row>
    <row r="701">
      <c r="A701" s="162"/>
      <c r="B701" s="162"/>
      <c r="C701" s="162"/>
      <c r="D701" s="163"/>
      <c r="E701" s="164"/>
      <c r="F701" s="165"/>
    </row>
    <row r="702">
      <c r="A702" s="162"/>
      <c r="B702" s="162"/>
      <c r="C702" s="162"/>
      <c r="D702" s="163"/>
      <c r="E702" s="164"/>
      <c r="F702" s="165"/>
    </row>
    <row r="703">
      <c r="A703" s="162"/>
      <c r="B703" s="162"/>
      <c r="C703" s="162"/>
      <c r="D703" s="163"/>
      <c r="E703" s="164"/>
      <c r="F703" s="165"/>
    </row>
    <row r="704">
      <c r="A704" s="162"/>
      <c r="B704" s="162"/>
      <c r="C704" s="162"/>
      <c r="D704" s="163"/>
      <c r="E704" s="164"/>
      <c r="F704" s="165"/>
    </row>
    <row r="705">
      <c r="A705" s="162"/>
      <c r="B705" s="162"/>
      <c r="C705" s="162"/>
      <c r="D705" s="163"/>
      <c r="E705" s="164"/>
      <c r="F705" s="165"/>
    </row>
    <row r="706">
      <c r="A706" s="162"/>
      <c r="B706" s="162"/>
      <c r="C706" s="162"/>
      <c r="D706" s="163"/>
      <c r="E706" s="164"/>
      <c r="F706" s="165"/>
    </row>
    <row r="707">
      <c r="A707" s="162"/>
      <c r="B707" s="162"/>
      <c r="C707" s="162"/>
      <c r="D707" s="163"/>
      <c r="E707" s="164"/>
      <c r="F707" s="165"/>
    </row>
    <row r="708">
      <c r="A708" s="162"/>
      <c r="B708" s="162"/>
      <c r="C708" s="162"/>
      <c r="D708" s="163"/>
      <c r="E708" s="164"/>
      <c r="F708" s="165"/>
    </row>
    <row r="709">
      <c r="A709" s="162"/>
      <c r="B709" s="162"/>
      <c r="C709" s="162"/>
      <c r="D709" s="163"/>
      <c r="E709" s="164"/>
      <c r="F709" s="165"/>
    </row>
    <row r="710">
      <c r="A710" s="162"/>
      <c r="B710" s="162"/>
      <c r="C710" s="162"/>
      <c r="D710" s="163"/>
      <c r="E710" s="164"/>
      <c r="F710" s="165"/>
    </row>
    <row r="711">
      <c r="A711" s="162"/>
      <c r="B711" s="162"/>
      <c r="C711" s="162"/>
      <c r="D711" s="163"/>
      <c r="E711" s="164"/>
      <c r="F711" s="165"/>
    </row>
    <row r="712">
      <c r="A712" s="162"/>
      <c r="B712" s="162"/>
      <c r="C712" s="162"/>
      <c r="D712" s="163"/>
      <c r="E712" s="164"/>
      <c r="F712" s="165"/>
    </row>
    <row r="713">
      <c r="A713" s="162"/>
      <c r="B713" s="162"/>
      <c r="C713" s="162"/>
      <c r="D713" s="163"/>
      <c r="E713" s="164"/>
      <c r="F713" s="165"/>
    </row>
    <row r="714">
      <c r="A714" s="162"/>
      <c r="B714" s="162"/>
      <c r="C714" s="162"/>
      <c r="D714" s="163"/>
      <c r="E714" s="164"/>
      <c r="F714" s="165"/>
    </row>
    <row r="715">
      <c r="A715" s="162"/>
      <c r="B715" s="162"/>
      <c r="C715" s="162"/>
      <c r="D715" s="163"/>
      <c r="E715" s="164"/>
      <c r="F715" s="165"/>
    </row>
    <row r="716">
      <c r="A716" s="162"/>
      <c r="B716" s="162"/>
      <c r="C716" s="162"/>
      <c r="D716" s="163"/>
      <c r="E716" s="164"/>
      <c r="F716" s="165"/>
    </row>
    <row r="717">
      <c r="A717" s="162"/>
      <c r="B717" s="162"/>
      <c r="C717" s="162"/>
      <c r="D717" s="163"/>
      <c r="E717" s="164"/>
      <c r="F717" s="165"/>
    </row>
    <row r="718">
      <c r="A718" s="162"/>
      <c r="B718" s="162"/>
      <c r="C718" s="162"/>
      <c r="D718" s="163"/>
      <c r="E718" s="164"/>
      <c r="F718" s="165"/>
    </row>
    <row r="719">
      <c r="A719" s="162"/>
      <c r="B719" s="162"/>
      <c r="C719" s="162"/>
      <c r="D719" s="163"/>
      <c r="E719" s="164"/>
      <c r="F719" s="165"/>
    </row>
    <row r="720">
      <c r="A720" s="162"/>
      <c r="B720" s="162"/>
      <c r="C720" s="162"/>
      <c r="D720" s="163"/>
      <c r="E720" s="164"/>
      <c r="F720" s="165"/>
    </row>
    <row r="721">
      <c r="A721" s="162"/>
      <c r="B721" s="162"/>
      <c r="C721" s="162"/>
      <c r="D721" s="163"/>
      <c r="E721" s="164"/>
      <c r="F721" s="165"/>
    </row>
    <row r="722">
      <c r="A722" s="162"/>
      <c r="B722" s="162"/>
      <c r="C722" s="162"/>
      <c r="D722" s="163"/>
      <c r="E722" s="164"/>
      <c r="F722" s="165"/>
    </row>
    <row r="723">
      <c r="A723" s="162"/>
      <c r="B723" s="162"/>
      <c r="C723" s="162"/>
      <c r="D723" s="163"/>
      <c r="E723" s="164"/>
      <c r="F723" s="165"/>
    </row>
    <row r="724">
      <c r="A724" s="162"/>
      <c r="B724" s="162"/>
      <c r="C724" s="162"/>
      <c r="D724" s="163"/>
      <c r="E724" s="164"/>
      <c r="F724" s="165"/>
    </row>
    <row r="725">
      <c r="A725" s="162"/>
      <c r="B725" s="162"/>
      <c r="C725" s="162"/>
      <c r="D725" s="163"/>
      <c r="E725" s="164"/>
      <c r="F725" s="165"/>
    </row>
    <row r="726">
      <c r="A726" s="162"/>
      <c r="B726" s="162"/>
      <c r="C726" s="162"/>
      <c r="D726" s="163"/>
      <c r="E726" s="164"/>
      <c r="F726" s="165"/>
    </row>
    <row r="727">
      <c r="A727" s="162"/>
      <c r="B727" s="162"/>
      <c r="C727" s="162"/>
      <c r="D727" s="163"/>
      <c r="E727" s="164"/>
      <c r="F727" s="165"/>
    </row>
    <row r="728">
      <c r="A728" s="162"/>
      <c r="B728" s="162"/>
      <c r="C728" s="162"/>
      <c r="D728" s="163"/>
      <c r="E728" s="164"/>
      <c r="F728" s="165"/>
    </row>
    <row r="729">
      <c r="A729" s="162"/>
      <c r="B729" s="162"/>
      <c r="C729" s="162"/>
      <c r="D729" s="163"/>
      <c r="E729" s="164"/>
      <c r="F729" s="165"/>
    </row>
    <row r="730">
      <c r="A730" s="162"/>
      <c r="B730" s="162"/>
      <c r="C730" s="162"/>
      <c r="D730" s="163"/>
      <c r="E730" s="164"/>
      <c r="F730" s="165"/>
    </row>
    <row r="731">
      <c r="A731" s="162"/>
      <c r="B731" s="162"/>
      <c r="C731" s="162"/>
      <c r="D731" s="163"/>
      <c r="E731" s="164"/>
      <c r="F731" s="165"/>
    </row>
    <row r="732">
      <c r="A732" s="162"/>
      <c r="B732" s="162"/>
      <c r="C732" s="162"/>
      <c r="D732" s="163"/>
      <c r="E732" s="164"/>
      <c r="F732" s="165"/>
    </row>
    <row r="733">
      <c r="A733" s="162"/>
      <c r="B733" s="162"/>
      <c r="C733" s="162"/>
      <c r="D733" s="163"/>
      <c r="E733" s="164"/>
      <c r="F733" s="165"/>
    </row>
    <row r="734">
      <c r="A734" s="162"/>
      <c r="B734" s="162"/>
      <c r="C734" s="162"/>
      <c r="D734" s="163"/>
      <c r="E734" s="164"/>
      <c r="F734" s="165"/>
    </row>
    <row r="735">
      <c r="A735" s="162"/>
      <c r="B735" s="162"/>
      <c r="C735" s="162"/>
      <c r="D735" s="163"/>
      <c r="E735" s="164"/>
      <c r="F735" s="165"/>
    </row>
    <row r="736">
      <c r="A736" s="162"/>
      <c r="B736" s="162"/>
      <c r="C736" s="162"/>
      <c r="D736" s="163"/>
      <c r="E736" s="164"/>
      <c r="F736" s="165"/>
    </row>
    <row r="737">
      <c r="A737" s="162"/>
      <c r="B737" s="162"/>
      <c r="C737" s="162"/>
      <c r="D737" s="163"/>
      <c r="E737" s="164"/>
      <c r="F737" s="165"/>
    </row>
    <row r="738">
      <c r="A738" s="162"/>
      <c r="B738" s="162"/>
      <c r="C738" s="162"/>
      <c r="D738" s="163"/>
      <c r="E738" s="164"/>
      <c r="F738" s="165"/>
    </row>
    <row r="739">
      <c r="A739" s="162"/>
      <c r="B739" s="162"/>
      <c r="C739" s="162"/>
      <c r="D739" s="163"/>
      <c r="E739" s="164"/>
      <c r="F739" s="165"/>
    </row>
    <row r="740">
      <c r="A740" s="162"/>
      <c r="B740" s="162"/>
      <c r="C740" s="162"/>
      <c r="D740" s="163"/>
      <c r="E740" s="164"/>
      <c r="F740" s="165"/>
    </row>
    <row r="741">
      <c r="A741" s="162"/>
      <c r="B741" s="162"/>
      <c r="C741" s="162"/>
      <c r="D741" s="163"/>
      <c r="E741" s="164"/>
      <c r="F741" s="165"/>
    </row>
    <row r="742">
      <c r="A742" s="162"/>
      <c r="B742" s="162"/>
      <c r="C742" s="162"/>
      <c r="D742" s="163"/>
      <c r="E742" s="164"/>
      <c r="F742" s="165"/>
    </row>
    <row r="743">
      <c r="A743" s="162"/>
      <c r="B743" s="162"/>
      <c r="C743" s="162"/>
      <c r="D743" s="163"/>
      <c r="E743" s="164"/>
      <c r="F743" s="165"/>
    </row>
    <row r="744">
      <c r="A744" s="162"/>
      <c r="B744" s="162"/>
      <c r="C744" s="162"/>
      <c r="D744" s="163"/>
      <c r="E744" s="164"/>
      <c r="F744" s="165"/>
    </row>
    <row r="745">
      <c r="A745" s="162"/>
      <c r="B745" s="162"/>
      <c r="C745" s="162"/>
      <c r="D745" s="163"/>
      <c r="E745" s="164"/>
      <c r="F745" s="165"/>
    </row>
    <row r="746">
      <c r="A746" s="162"/>
      <c r="B746" s="162"/>
      <c r="C746" s="162"/>
      <c r="D746" s="163"/>
      <c r="E746" s="164"/>
      <c r="F746" s="165"/>
    </row>
    <row r="747">
      <c r="A747" s="162"/>
      <c r="B747" s="162"/>
      <c r="C747" s="162"/>
      <c r="D747" s="163"/>
      <c r="E747" s="164"/>
      <c r="F747" s="165"/>
    </row>
    <row r="748">
      <c r="A748" s="162"/>
      <c r="B748" s="162"/>
      <c r="C748" s="162"/>
      <c r="D748" s="163"/>
      <c r="E748" s="164"/>
      <c r="F748" s="165"/>
    </row>
    <row r="749">
      <c r="A749" s="162"/>
      <c r="B749" s="162"/>
      <c r="C749" s="162"/>
      <c r="D749" s="163"/>
      <c r="E749" s="164"/>
      <c r="F749" s="165"/>
    </row>
    <row r="750">
      <c r="A750" s="162"/>
      <c r="B750" s="162"/>
      <c r="C750" s="162"/>
      <c r="D750" s="163"/>
      <c r="E750" s="164"/>
      <c r="F750" s="165"/>
    </row>
    <row r="751">
      <c r="A751" s="162"/>
      <c r="B751" s="162"/>
      <c r="C751" s="162"/>
      <c r="D751" s="163"/>
      <c r="E751" s="164"/>
      <c r="F751" s="165"/>
    </row>
    <row r="752">
      <c r="A752" s="162"/>
      <c r="B752" s="162"/>
      <c r="C752" s="162"/>
      <c r="D752" s="163"/>
      <c r="E752" s="164"/>
      <c r="F752" s="165"/>
    </row>
    <row r="753">
      <c r="A753" s="162"/>
      <c r="B753" s="162"/>
      <c r="C753" s="162"/>
      <c r="D753" s="163"/>
      <c r="E753" s="164"/>
      <c r="F753" s="165"/>
    </row>
    <row r="754">
      <c r="A754" s="162"/>
      <c r="B754" s="162"/>
      <c r="C754" s="162"/>
      <c r="D754" s="163"/>
      <c r="E754" s="164"/>
      <c r="F754" s="165"/>
    </row>
    <row r="755">
      <c r="A755" s="162"/>
      <c r="B755" s="162"/>
      <c r="C755" s="162"/>
      <c r="D755" s="163"/>
      <c r="E755" s="164"/>
      <c r="F755" s="165"/>
    </row>
    <row r="756">
      <c r="A756" s="162"/>
      <c r="B756" s="162"/>
      <c r="C756" s="162"/>
      <c r="D756" s="163"/>
      <c r="E756" s="164"/>
      <c r="F756" s="165"/>
    </row>
    <row r="757">
      <c r="A757" s="162"/>
      <c r="B757" s="162"/>
      <c r="C757" s="162"/>
      <c r="D757" s="163"/>
      <c r="E757" s="164"/>
      <c r="F757" s="165"/>
    </row>
    <row r="758">
      <c r="A758" s="162"/>
      <c r="B758" s="162"/>
      <c r="C758" s="162"/>
      <c r="D758" s="163"/>
      <c r="E758" s="164"/>
      <c r="F758" s="165"/>
    </row>
    <row r="759">
      <c r="A759" s="162"/>
      <c r="B759" s="162"/>
      <c r="C759" s="162"/>
      <c r="D759" s="163"/>
      <c r="E759" s="164"/>
      <c r="F759" s="165"/>
    </row>
    <row r="760">
      <c r="A760" s="162"/>
      <c r="B760" s="162"/>
      <c r="C760" s="162"/>
      <c r="D760" s="163"/>
      <c r="E760" s="164"/>
      <c r="F760" s="165"/>
    </row>
    <row r="761">
      <c r="A761" s="162"/>
      <c r="B761" s="162"/>
      <c r="C761" s="162"/>
      <c r="D761" s="163"/>
      <c r="E761" s="164"/>
      <c r="F761" s="165"/>
    </row>
    <row r="762">
      <c r="A762" s="162"/>
      <c r="B762" s="162"/>
      <c r="C762" s="162"/>
      <c r="D762" s="163"/>
      <c r="E762" s="164"/>
      <c r="F762" s="165"/>
    </row>
    <row r="763">
      <c r="A763" s="162"/>
      <c r="B763" s="162"/>
      <c r="C763" s="162"/>
      <c r="D763" s="163"/>
      <c r="E763" s="164"/>
      <c r="F763" s="165"/>
    </row>
    <row r="764">
      <c r="A764" s="162"/>
      <c r="B764" s="162"/>
      <c r="C764" s="162"/>
      <c r="D764" s="163"/>
      <c r="E764" s="164"/>
      <c r="F764" s="165"/>
    </row>
    <row r="765">
      <c r="A765" s="162"/>
      <c r="B765" s="162"/>
      <c r="C765" s="162"/>
      <c r="D765" s="163"/>
      <c r="E765" s="164"/>
      <c r="F765" s="165"/>
    </row>
    <row r="766">
      <c r="A766" s="162"/>
      <c r="B766" s="162"/>
      <c r="C766" s="162"/>
      <c r="D766" s="163"/>
      <c r="E766" s="164"/>
      <c r="F766" s="165"/>
    </row>
    <row r="767">
      <c r="A767" s="162"/>
      <c r="B767" s="162"/>
      <c r="C767" s="162"/>
      <c r="D767" s="163"/>
      <c r="E767" s="164"/>
      <c r="F767" s="165"/>
    </row>
    <row r="768">
      <c r="A768" s="162"/>
      <c r="B768" s="162"/>
      <c r="C768" s="162"/>
      <c r="D768" s="163"/>
      <c r="E768" s="164"/>
      <c r="F768" s="165"/>
    </row>
    <row r="769">
      <c r="A769" s="162"/>
      <c r="B769" s="162"/>
      <c r="C769" s="162"/>
      <c r="D769" s="163"/>
      <c r="E769" s="164"/>
      <c r="F769" s="165"/>
    </row>
    <row r="770">
      <c r="A770" s="162"/>
      <c r="B770" s="162"/>
      <c r="C770" s="162"/>
      <c r="D770" s="163"/>
      <c r="E770" s="164"/>
      <c r="F770" s="165"/>
    </row>
    <row r="771">
      <c r="A771" s="162"/>
      <c r="B771" s="162"/>
      <c r="C771" s="162"/>
      <c r="D771" s="163"/>
      <c r="E771" s="164"/>
      <c r="F771" s="165"/>
    </row>
    <row r="772">
      <c r="A772" s="162"/>
      <c r="B772" s="162"/>
      <c r="C772" s="162"/>
      <c r="D772" s="163"/>
      <c r="E772" s="164"/>
      <c r="F772" s="165"/>
    </row>
    <row r="773">
      <c r="A773" s="162"/>
      <c r="B773" s="162"/>
      <c r="C773" s="162"/>
      <c r="D773" s="163"/>
      <c r="E773" s="164"/>
      <c r="F773" s="165"/>
    </row>
    <row r="774">
      <c r="A774" s="162"/>
      <c r="B774" s="162"/>
      <c r="C774" s="162"/>
      <c r="D774" s="163"/>
      <c r="E774" s="164"/>
      <c r="F774" s="165"/>
    </row>
    <row r="775">
      <c r="A775" s="162"/>
      <c r="B775" s="162"/>
      <c r="C775" s="162"/>
      <c r="D775" s="163"/>
      <c r="E775" s="164"/>
      <c r="F775" s="165"/>
    </row>
    <row r="776">
      <c r="A776" s="162"/>
      <c r="B776" s="162"/>
      <c r="C776" s="162"/>
      <c r="D776" s="163"/>
      <c r="E776" s="164"/>
      <c r="F776" s="165"/>
    </row>
    <row r="777">
      <c r="A777" s="162"/>
      <c r="B777" s="162"/>
      <c r="C777" s="162"/>
      <c r="D777" s="163"/>
      <c r="E777" s="164"/>
      <c r="F777" s="165"/>
    </row>
    <row r="778">
      <c r="A778" s="162"/>
      <c r="B778" s="162"/>
      <c r="C778" s="162"/>
      <c r="D778" s="163"/>
      <c r="E778" s="164"/>
      <c r="F778" s="165"/>
    </row>
    <row r="779">
      <c r="A779" s="162"/>
      <c r="B779" s="162"/>
      <c r="C779" s="162"/>
      <c r="D779" s="163"/>
      <c r="E779" s="164"/>
      <c r="F779" s="165"/>
    </row>
    <row r="780">
      <c r="A780" s="162"/>
      <c r="B780" s="162"/>
      <c r="C780" s="162"/>
      <c r="D780" s="163"/>
      <c r="E780" s="164"/>
      <c r="F780" s="165"/>
    </row>
    <row r="781">
      <c r="A781" s="162"/>
      <c r="B781" s="162"/>
      <c r="C781" s="162"/>
      <c r="D781" s="163"/>
      <c r="E781" s="164"/>
      <c r="F781" s="165"/>
    </row>
    <row r="782">
      <c r="A782" s="162"/>
      <c r="B782" s="162"/>
      <c r="C782" s="162"/>
      <c r="D782" s="163"/>
      <c r="E782" s="164"/>
      <c r="F782" s="165"/>
    </row>
    <row r="783">
      <c r="A783" s="162"/>
      <c r="B783" s="162"/>
      <c r="C783" s="162"/>
      <c r="D783" s="163"/>
      <c r="E783" s="164"/>
      <c r="F783" s="165"/>
    </row>
    <row r="784">
      <c r="A784" s="162"/>
      <c r="B784" s="162"/>
      <c r="C784" s="162"/>
      <c r="D784" s="163"/>
      <c r="E784" s="164"/>
      <c r="F784" s="165"/>
    </row>
    <row r="785">
      <c r="A785" s="162"/>
      <c r="B785" s="162"/>
      <c r="C785" s="162"/>
      <c r="D785" s="163"/>
      <c r="E785" s="164"/>
      <c r="F785" s="165"/>
    </row>
    <row r="786">
      <c r="A786" s="162"/>
      <c r="B786" s="162"/>
      <c r="C786" s="162"/>
      <c r="D786" s="163"/>
      <c r="E786" s="164"/>
      <c r="F786" s="165"/>
    </row>
    <row r="787">
      <c r="A787" s="162"/>
      <c r="B787" s="162"/>
      <c r="C787" s="162"/>
      <c r="D787" s="163"/>
      <c r="E787" s="164"/>
      <c r="F787" s="165"/>
    </row>
    <row r="788">
      <c r="A788" s="162"/>
      <c r="B788" s="162"/>
      <c r="C788" s="162"/>
      <c r="D788" s="163"/>
      <c r="E788" s="164"/>
      <c r="F788" s="165"/>
    </row>
    <row r="789">
      <c r="A789" s="162"/>
      <c r="B789" s="162"/>
      <c r="C789" s="162"/>
      <c r="D789" s="163"/>
      <c r="E789" s="164"/>
      <c r="F789" s="165"/>
    </row>
    <row r="790">
      <c r="A790" s="162"/>
      <c r="B790" s="162"/>
      <c r="C790" s="162"/>
      <c r="D790" s="163"/>
      <c r="E790" s="164"/>
      <c r="F790" s="165"/>
    </row>
    <row r="791">
      <c r="A791" s="162"/>
      <c r="B791" s="162"/>
      <c r="C791" s="162"/>
      <c r="D791" s="163"/>
      <c r="E791" s="164"/>
      <c r="F791" s="165"/>
    </row>
    <row r="792">
      <c r="A792" s="162"/>
      <c r="B792" s="162"/>
      <c r="C792" s="162"/>
      <c r="D792" s="163"/>
      <c r="E792" s="164"/>
      <c r="F792" s="165"/>
    </row>
    <row r="793">
      <c r="A793" s="162"/>
      <c r="B793" s="162"/>
      <c r="C793" s="162"/>
      <c r="D793" s="163"/>
      <c r="E793" s="164"/>
      <c r="F793" s="165"/>
    </row>
    <row r="794">
      <c r="A794" s="162"/>
      <c r="B794" s="162"/>
      <c r="C794" s="162"/>
      <c r="D794" s="163"/>
      <c r="E794" s="164"/>
      <c r="F794" s="165"/>
    </row>
    <row r="795">
      <c r="A795" s="162"/>
      <c r="B795" s="162"/>
      <c r="C795" s="162"/>
      <c r="D795" s="163"/>
      <c r="E795" s="164"/>
      <c r="F795" s="165"/>
    </row>
    <row r="796">
      <c r="A796" s="162"/>
      <c r="B796" s="162"/>
      <c r="C796" s="162"/>
      <c r="D796" s="163"/>
      <c r="E796" s="164"/>
      <c r="F796" s="165"/>
    </row>
    <row r="797">
      <c r="A797" s="162"/>
      <c r="B797" s="162"/>
      <c r="C797" s="162"/>
      <c r="D797" s="163"/>
      <c r="E797" s="164"/>
      <c r="F797" s="165"/>
    </row>
    <row r="798">
      <c r="A798" s="162"/>
      <c r="B798" s="162"/>
      <c r="C798" s="162"/>
      <c r="D798" s="163"/>
      <c r="E798" s="164"/>
      <c r="F798" s="165"/>
    </row>
    <row r="799">
      <c r="A799" s="162"/>
      <c r="B799" s="162"/>
      <c r="C799" s="162"/>
      <c r="D799" s="163"/>
      <c r="E799" s="164"/>
      <c r="F799" s="165"/>
    </row>
    <row r="800">
      <c r="A800" s="162"/>
      <c r="B800" s="162"/>
      <c r="C800" s="162"/>
      <c r="D800" s="163"/>
      <c r="E800" s="164"/>
      <c r="F800" s="165"/>
    </row>
    <row r="801">
      <c r="A801" s="162"/>
      <c r="B801" s="162"/>
      <c r="C801" s="162"/>
      <c r="D801" s="163"/>
      <c r="E801" s="164"/>
      <c r="F801" s="165"/>
    </row>
    <row r="802">
      <c r="A802" s="162"/>
      <c r="B802" s="162"/>
      <c r="C802" s="162"/>
      <c r="D802" s="163"/>
      <c r="E802" s="164"/>
      <c r="F802" s="165"/>
    </row>
    <row r="803">
      <c r="A803" s="162"/>
      <c r="B803" s="162"/>
      <c r="C803" s="162"/>
      <c r="D803" s="163"/>
      <c r="E803" s="164"/>
      <c r="F803" s="165"/>
    </row>
    <row r="804">
      <c r="A804" s="162"/>
      <c r="B804" s="162"/>
      <c r="C804" s="162"/>
      <c r="D804" s="163"/>
      <c r="E804" s="164"/>
      <c r="F804" s="165"/>
    </row>
    <row r="805">
      <c r="A805" s="162"/>
      <c r="B805" s="162"/>
      <c r="C805" s="162"/>
      <c r="D805" s="163"/>
      <c r="E805" s="164"/>
      <c r="F805" s="165"/>
    </row>
    <row r="806">
      <c r="A806" s="162"/>
      <c r="B806" s="162"/>
      <c r="C806" s="162"/>
      <c r="D806" s="163"/>
      <c r="E806" s="164"/>
      <c r="F806" s="165"/>
    </row>
    <row r="807">
      <c r="A807" s="162"/>
      <c r="B807" s="162"/>
      <c r="C807" s="162"/>
      <c r="D807" s="163"/>
      <c r="E807" s="164"/>
      <c r="F807" s="165"/>
    </row>
    <row r="808">
      <c r="A808" s="162"/>
      <c r="B808" s="162"/>
      <c r="C808" s="162"/>
      <c r="D808" s="163"/>
      <c r="E808" s="164"/>
      <c r="F808" s="165"/>
    </row>
    <row r="809">
      <c r="A809" s="162"/>
      <c r="B809" s="162"/>
      <c r="C809" s="162"/>
      <c r="D809" s="163"/>
      <c r="E809" s="164"/>
      <c r="F809" s="165"/>
    </row>
    <row r="810">
      <c r="A810" s="162"/>
      <c r="B810" s="162"/>
      <c r="C810" s="162"/>
      <c r="D810" s="163"/>
      <c r="E810" s="164"/>
      <c r="F810" s="165"/>
    </row>
    <row r="811">
      <c r="A811" s="162"/>
      <c r="B811" s="162"/>
      <c r="C811" s="162"/>
      <c r="D811" s="163"/>
      <c r="E811" s="164"/>
      <c r="F811" s="165"/>
    </row>
    <row r="812">
      <c r="A812" s="162"/>
      <c r="B812" s="162"/>
      <c r="C812" s="162"/>
      <c r="D812" s="163"/>
      <c r="E812" s="164"/>
      <c r="F812" s="165"/>
    </row>
    <row r="813">
      <c r="A813" s="162"/>
      <c r="B813" s="162"/>
      <c r="C813" s="162"/>
      <c r="D813" s="163"/>
      <c r="E813" s="164"/>
      <c r="F813" s="165"/>
    </row>
    <row r="814">
      <c r="A814" s="162"/>
      <c r="B814" s="162"/>
      <c r="C814" s="162"/>
      <c r="D814" s="163"/>
      <c r="E814" s="164"/>
      <c r="F814" s="165"/>
    </row>
    <row r="815">
      <c r="A815" s="162"/>
      <c r="B815" s="162"/>
      <c r="C815" s="162"/>
      <c r="D815" s="163"/>
      <c r="E815" s="164"/>
      <c r="F815" s="165"/>
    </row>
    <row r="816">
      <c r="A816" s="162"/>
      <c r="B816" s="162"/>
      <c r="C816" s="162"/>
      <c r="D816" s="163"/>
      <c r="E816" s="164"/>
      <c r="F816" s="165"/>
    </row>
    <row r="817">
      <c r="A817" s="162"/>
      <c r="B817" s="162"/>
      <c r="C817" s="162"/>
      <c r="D817" s="163"/>
      <c r="E817" s="164"/>
      <c r="F817" s="165"/>
    </row>
    <row r="818">
      <c r="A818" s="162"/>
      <c r="B818" s="162"/>
      <c r="C818" s="162"/>
      <c r="D818" s="163"/>
      <c r="E818" s="164"/>
      <c r="F818" s="165"/>
    </row>
    <row r="819">
      <c r="A819" s="162"/>
      <c r="B819" s="162"/>
      <c r="C819" s="162"/>
      <c r="D819" s="163"/>
      <c r="E819" s="164"/>
      <c r="F819" s="165"/>
    </row>
    <row r="820">
      <c r="A820" s="162"/>
      <c r="B820" s="162"/>
      <c r="C820" s="162"/>
      <c r="D820" s="163"/>
      <c r="E820" s="164"/>
      <c r="F820" s="165"/>
    </row>
    <row r="821">
      <c r="A821" s="162"/>
      <c r="B821" s="162"/>
      <c r="C821" s="162"/>
      <c r="D821" s="163"/>
      <c r="E821" s="164"/>
      <c r="F821" s="165"/>
    </row>
    <row r="822">
      <c r="A822" s="162"/>
      <c r="B822" s="162"/>
      <c r="C822" s="162"/>
      <c r="D822" s="163"/>
      <c r="E822" s="164"/>
      <c r="F822" s="165"/>
    </row>
    <row r="823">
      <c r="A823" s="162"/>
      <c r="B823" s="162"/>
      <c r="C823" s="162"/>
      <c r="D823" s="163"/>
      <c r="E823" s="164"/>
      <c r="F823" s="165"/>
    </row>
    <row r="824">
      <c r="A824" s="162"/>
      <c r="B824" s="162"/>
      <c r="C824" s="162"/>
      <c r="D824" s="163"/>
      <c r="E824" s="164"/>
      <c r="F824" s="165"/>
    </row>
    <row r="825">
      <c r="A825" s="162"/>
      <c r="B825" s="162"/>
      <c r="C825" s="162"/>
      <c r="D825" s="163"/>
      <c r="E825" s="164"/>
      <c r="F825" s="165"/>
    </row>
    <row r="826">
      <c r="A826" s="162"/>
      <c r="B826" s="162"/>
      <c r="C826" s="162"/>
      <c r="D826" s="163"/>
      <c r="E826" s="164"/>
      <c r="F826" s="165"/>
    </row>
    <row r="827">
      <c r="A827" s="162"/>
      <c r="B827" s="162"/>
      <c r="C827" s="162"/>
      <c r="D827" s="163"/>
      <c r="E827" s="164"/>
      <c r="F827" s="165"/>
    </row>
    <row r="828">
      <c r="A828" s="162"/>
      <c r="B828" s="162"/>
      <c r="C828" s="162"/>
      <c r="D828" s="163"/>
      <c r="E828" s="164"/>
      <c r="F828" s="165"/>
    </row>
    <row r="829">
      <c r="A829" s="162"/>
      <c r="B829" s="162"/>
      <c r="C829" s="162"/>
      <c r="D829" s="163"/>
      <c r="E829" s="164"/>
      <c r="F829" s="165"/>
    </row>
    <row r="830">
      <c r="A830" s="162"/>
      <c r="B830" s="162"/>
      <c r="C830" s="162"/>
      <c r="D830" s="163"/>
      <c r="E830" s="164"/>
      <c r="F830" s="165"/>
    </row>
    <row r="831">
      <c r="A831" s="162"/>
      <c r="B831" s="162"/>
      <c r="C831" s="162"/>
      <c r="D831" s="163"/>
      <c r="E831" s="164"/>
      <c r="F831" s="165"/>
    </row>
    <row r="832">
      <c r="A832" s="162"/>
      <c r="B832" s="162"/>
      <c r="C832" s="162"/>
      <c r="D832" s="163"/>
      <c r="E832" s="164"/>
      <c r="F832" s="165"/>
    </row>
    <row r="833">
      <c r="A833" s="162"/>
      <c r="B833" s="162"/>
      <c r="C833" s="162"/>
      <c r="D833" s="163"/>
      <c r="E833" s="164"/>
      <c r="F833" s="165"/>
    </row>
    <row r="834">
      <c r="A834" s="162"/>
      <c r="B834" s="162"/>
      <c r="C834" s="162"/>
      <c r="D834" s="163"/>
      <c r="E834" s="164"/>
      <c r="F834" s="165"/>
    </row>
    <row r="835">
      <c r="A835" s="162"/>
      <c r="B835" s="162"/>
      <c r="C835" s="162"/>
      <c r="D835" s="163"/>
      <c r="E835" s="164"/>
      <c r="F835" s="165"/>
    </row>
    <row r="836">
      <c r="A836" s="162"/>
      <c r="B836" s="162"/>
      <c r="C836" s="162"/>
      <c r="D836" s="163"/>
      <c r="E836" s="164"/>
      <c r="F836" s="165"/>
    </row>
    <row r="837">
      <c r="A837" s="162"/>
      <c r="B837" s="162"/>
      <c r="C837" s="162"/>
      <c r="D837" s="163"/>
      <c r="E837" s="164"/>
      <c r="F837" s="165"/>
    </row>
    <row r="838">
      <c r="A838" s="162"/>
      <c r="B838" s="162"/>
      <c r="C838" s="162"/>
      <c r="D838" s="163"/>
      <c r="E838" s="164"/>
      <c r="F838" s="165"/>
    </row>
    <row r="839">
      <c r="A839" s="162"/>
      <c r="B839" s="162"/>
      <c r="C839" s="162"/>
      <c r="D839" s="163"/>
      <c r="E839" s="164"/>
      <c r="F839" s="165"/>
    </row>
    <row r="840">
      <c r="A840" s="162"/>
      <c r="B840" s="162"/>
      <c r="C840" s="162"/>
      <c r="D840" s="163"/>
      <c r="E840" s="164"/>
      <c r="F840" s="165"/>
    </row>
    <row r="841">
      <c r="A841" s="162"/>
      <c r="B841" s="162"/>
      <c r="C841" s="162"/>
      <c r="D841" s="163"/>
      <c r="E841" s="164"/>
      <c r="F841" s="165"/>
    </row>
    <row r="842">
      <c r="A842" s="162"/>
      <c r="B842" s="162"/>
      <c r="C842" s="162"/>
      <c r="D842" s="163"/>
      <c r="E842" s="164"/>
      <c r="F842" s="165"/>
    </row>
    <row r="843">
      <c r="A843" s="162"/>
      <c r="B843" s="162"/>
      <c r="C843" s="162"/>
      <c r="D843" s="163"/>
      <c r="E843" s="164"/>
      <c r="F843" s="165"/>
    </row>
    <row r="844">
      <c r="A844" s="162"/>
      <c r="B844" s="162"/>
      <c r="C844" s="162"/>
      <c r="D844" s="163"/>
      <c r="E844" s="164"/>
      <c r="F844" s="165"/>
    </row>
    <row r="845">
      <c r="A845" s="162"/>
      <c r="B845" s="162"/>
      <c r="C845" s="162"/>
      <c r="D845" s="163"/>
      <c r="E845" s="164"/>
      <c r="F845" s="165"/>
    </row>
    <row r="846">
      <c r="A846" s="162"/>
      <c r="B846" s="162"/>
      <c r="C846" s="162"/>
      <c r="D846" s="163"/>
      <c r="E846" s="164"/>
      <c r="F846" s="165"/>
    </row>
    <row r="847">
      <c r="A847" s="162"/>
      <c r="B847" s="162"/>
      <c r="C847" s="162"/>
      <c r="D847" s="163"/>
      <c r="E847" s="164"/>
      <c r="F847" s="165"/>
    </row>
    <row r="848">
      <c r="A848" s="162"/>
      <c r="B848" s="162"/>
      <c r="C848" s="162"/>
      <c r="D848" s="163"/>
      <c r="E848" s="164"/>
      <c r="F848" s="165"/>
    </row>
    <row r="849">
      <c r="A849" s="162"/>
      <c r="B849" s="162"/>
      <c r="C849" s="162"/>
      <c r="D849" s="163"/>
      <c r="E849" s="164"/>
      <c r="F849" s="165"/>
    </row>
    <row r="850">
      <c r="A850" s="162"/>
      <c r="B850" s="162"/>
      <c r="C850" s="162"/>
      <c r="D850" s="163"/>
      <c r="E850" s="164"/>
      <c r="F850" s="165"/>
    </row>
    <row r="851">
      <c r="A851" s="162"/>
      <c r="B851" s="162"/>
      <c r="C851" s="162"/>
      <c r="D851" s="163"/>
      <c r="E851" s="164"/>
      <c r="F851" s="165"/>
    </row>
    <row r="852">
      <c r="A852" s="162"/>
      <c r="B852" s="162"/>
      <c r="C852" s="162"/>
      <c r="D852" s="163"/>
      <c r="E852" s="164"/>
      <c r="F852" s="165"/>
    </row>
    <row r="853">
      <c r="A853" s="162"/>
      <c r="B853" s="162"/>
      <c r="C853" s="162"/>
      <c r="D853" s="163"/>
      <c r="E853" s="164"/>
      <c r="F853" s="165"/>
    </row>
    <row r="854">
      <c r="A854" s="162"/>
      <c r="B854" s="162"/>
      <c r="C854" s="162"/>
      <c r="D854" s="163"/>
      <c r="E854" s="164"/>
      <c r="F854" s="165"/>
    </row>
    <row r="855">
      <c r="A855" s="162"/>
      <c r="B855" s="162"/>
      <c r="C855" s="162"/>
      <c r="D855" s="163"/>
      <c r="E855" s="164"/>
      <c r="F855" s="165"/>
    </row>
    <row r="856">
      <c r="A856" s="162"/>
      <c r="B856" s="162"/>
      <c r="C856" s="162"/>
      <c r="D856" s="163"/>
      <c r="E856" s="164"/>
      <c r="F856" s="165"/>
    </row>
    <row r="857">
      <c r="A857" s="162"/>
      <c r="B857" s="162"/>
      <c r="C857" s="162"/>
      <c r="D857" s="163"/>
      <c r="E857" s="164"/>
      <c r="F857" s="165"/>
    </row>
    <row r="858">
      <c r="A858" s="162"/>
      <c r="B858" s="162"/>
      <c r="C858" s="162"/>
      <c r="D858" s="163"/>
      <c r="E858" s="164"/>
      <c r="F858" s="165"/>
    </row>
    <row r="859">
      <c r="A859" s="162"/>
      <c r="B859" s="162"/>
      <c r="C859" s="162"/>
      <c r="D859" s="163"/>
      <c r="E859" s="164"/>
      <c r="F859" s="165"/>
    </row>
    <row r="860">
      <c r="A860" s="162"/>
      <c r="B860" s="162"/>
      <c r="C860" s="162"/>
      <c r="D860" s="163"/>
      <c r="E860" s="164"/>
      <c r="F860" s="165"/>
    </row>
    <row r="861">
      <c r="A861" s="162"/>
      <c r="B861" s="162"/>
      <c r="C861" s="162"/>
      <c r="D861" s="163"/>
      <c r="E861" s="164"/>
      <c r="F861" s="165"/>
    </row>
    <row r="862">
      <c r="A862" s="162"/>
      <c r="B862" s="162"/>
      <c r="C862" s="162"/>
      <c r="D862" s="163"/>
      <c r="E862" s="164"/>
      <c r="F862" s="165"/>
    </row>
    <row r="863">
      <c r="A863" s="162"/>
      <c r="B863" s="162"/>
      <c r="C863" s="162"/>
      <c r="D863" s="163"/>
      <c r="E863" s="164"/>
      <c r="F863" s="165"/>
    </row>
    <row r="864">
      <c r="A864" s="162"/>
      <c r="B864" s="162"/>
      <c r="C864" s="162"/>
      <c r="D864" s="163"/>
      <c r="E864" s="164"/>
      <c r="F864" s="165"/>
    </row>
    <row r="865">
      <c r="A865" s="162"/>
      <c r="B865" s="162"/>
      <c r="C865" s="162"/>
      <c r="D865" s="163"/>
      <c r="E865" s="164"/>
      <c r="F865" s="165"/>
    </row>
    <row r="866">
      <c r="A866" s="162"/>
      <c r="B866" s="162"/>
      <c r="C866" s="162"/>
      <c r="D866" s="163"/>
      <c r="E866" s="164"/>
      <c r="F866" s="165"/>
    </row>
    <row r="867">
      <c r="A867" s="162"/>
      <c r="B867" s="162"/>
      <c r="C867" s="162"/>
      <c r="D867" s="163"/>
      <c r="E867" s="164"/>
      <c r="F867" s="165"/>
    </row>
    <row r="868">
      <c r="A868" s="162"/>
      <c r="B868" s="162"/>
      <c r="C868" s="162"/>
      <c r="D868" s="163"/>
      <c r="E868" s="164"/>
      <c r="F868" s="165"/>
    </row>
    <row r="869">
      <c r="A869" s="162"/>
      <c r="B869" s="162"/>
      <c r="C869" s="162"/>
      <c r="D869" s="163"/>
      <c r="E869" s="164"/>
      <c r="F869" s="165"/>
    </row>
    <row r="870">
      <c r="A870" s="162"/>
      <c r="B870" s="162"/>
      <c r="C870" s="162"/>
      <c r="D870" s="163"/>
      <c r="E870" s="164"/>
      <c r="F870" s="165"/>
    </row>
    <row r="871">
      <c r="A871" s="162"/>
      <c r="B871" s="162"/>
      <c r="C871" s="162"/>
      <c r="D871" s="163"/>
      <c r="E871" s="164"/>
      <c r="F871" s="165"/>
    </row>
    <row r="872">
      <c r="A872" s="162"/>
      <c r="B872" s="162"/>
      <c r="C872" s="162"/>
      <c r="D872" s="163"/>
      <c r="E872" s="164"/>
      <c r="F872" s="165"/>
    </row>
    <row r="873">
      <c r="A873" s="162"/>
      <c r="B873" s="162"/>
      <c r="C873" s="162"/>
      <c r="D873" s="163"/>
      <c r="E873" s="164"/>
      <c r="F873" s="165"/>
    </row>
    <row r="874">
      <c r="A874" s="162"/>
      <c r="B874" s="162"/>
      <c r="C874" s="162"/>
      <c r="D874" s="163"/>
      <c r="E874" s="164"/>
      <c r="F874" s="165"/>
    </row>
    <row r="875">
      <c r="A875" s="162"/>
      <c r="B875" s="162"/>
      <c r="C875" s="162"/>
      <c r="D875" s="163"/>
      <c r="E875" s="164"/>
      <c r="F875" s="165"/>
    </row>
    <row r="876">
      <c r="A876" s="162"/>
      <c r="B876" s="162"/>
      <c r="C876" s="162"/>
      <c r="D876" s="163"/>
      <c r="E876" s="164"/>
      <c r="F876" s="165"/>
    </row>
    <row r="877">
      <c r="A877" s="162"/>
      <c r="B877" s="162"/>
      <c r="C877" s="162"/>
      <c r="D877" s="163"/>
      <c r="E877" s="164"/>
      <c r="F877" s="165"/>
    </row>
    <row r="878">
      <c r="A878" s="162"/>
      <c r="B878" s="162"/>
      <c r="C878" s="162"/>
      <c r="D878" s="163"/>
      <c r="E878" s="164"/>
      <c r="F878" s="165"/>
    </row>
    <row r="879">
      <c r="A879" s="162"/>
      <c r="B879" s="162"/>
      <c r="C879" s="162"/>
      <c r="D879" s="163"/>
      <c r="E879" s="164"/>
      <c r="F879" s="165"/>
    </row>
    <row r="880">
      <c r="A880" s="162"/>
      <c r="B880" s="162"/>
      <c r="C880" s="162"/>
      <c r="D880" s="163"/>
      <c r="E880" s="164"/>
      <c r="F880" s="165"/>
    </row>
    <row r="881">
      <c r="A881" s="162"/>
      <c r="B881" s="162"/>
      <c r="C881" s="162"/>
      <c r="D881" s="163"/>
      <c r="E881" s="164"/>
      <c r="F881" s="165"/>
    </row>
    <row r="882">
      <c r="A882" s="162"/>
      <c r="B882" s="162"/>
      <c r="C882" s="162"/>
      <c r="D882" s="163"/>
      <c r="E882" s="164"/>
      <c r="F882" s="165"/>
    </row>
    <row r="883">
      <c r="A883" s="162"/>
      <c r="B883" s="162"/>
      <c r="C883" s="162"/>
      <c r="D883" s="163"/>
      <c r="E883" s="164"/>
      <c r="F883" s="165"/>
    </row>
    <row r="884">
      <c r="A884" s="162"/>
      <c r="B884" s="162"/>
      <c r="C884" s="162"/>
      <c r="D884" s="163"/>
      <c r="E884" s="164"/>
      <c r="F884" s="165"/>
    </row>
    <row r="885">
      <c r="A885" s="162"/>
      <c r="B885" s="162"/>
      <c r="C885" s="162"/>
      <c r="D885" s="163"/>
      <c r="E885" s="164"/>
      <c r="F885" s="165"/>
    </row>
    <row r="886">
      <c r="A886" s="162"/>
      <c r="B886" s="162"/>
      <c r="C886" s="162"/>
      <c r="D886" s="163"/>
      <c r="E886" s="164"/>
      <c r="F886" s="165"/>
    </row>
    <row r="887">
      <c r="A887" s="162"/>
      <c r="B887" s="162"/>
      <c r="C887" s="162"/>
      <c r="D887" s="163"/>
      <c r="E887" s="164"/>
      <c r="F887" s="165"/>
    </row>
    <row r="888">
      <c r="A888" s="162"/>
      <c r="B888" s="162"/>
      <c r="C888" s="162"/>
      <c r="D888" s="163"/>
      <c r="E888" s="164"/>
      <c r="F888" s="165"/>
    </row>
    <row r="889">
      <c r="A889" s="162"/>
      <c r="B889" s="162"/>
      <c r="C889" s="162"/>
      <c r="D889" s="163"/>
      <c r="E889" s="164"/>
      <c r="F889" s="165"/>
    </row>
    <row r="890">
      <c r="A890" s="162"/>
      <c r="B890" s="162"/>
      <c r="C890" s="162"/>
      <c r="D890" s="163"/>
      <c r="E890" s="164"/>
      <c r="F890" s="165"/>
    </row>
    <row r="891">
      <c r="A891" s="162"/>
      <c r="B891" s="162"/>
      <c r="C891" s="162"/>
      <c r="D891" s="163"/>
      <c r="E891" s="164"/>
      <c r="F891" s="165"/>
    </row>
    <row r="892">
      <c r="A892" s="162"/>
      <c r="B892" s="162"/>
      <c r="C892" s="162"/>
      <c r="D892" s="163"/>
      <c r="E892" s="164"/>
      <c r="F892" s="165"/>
    </row>
    <row r="893">
      <c r="A893" s="162"/>
      <c r="B893" s="162"/>
      <c r="C893" s="162"/>
      <c r="D893" s="163"/>
      <c r="E893" s="164"/>
      <c r="F893" s="165"/>
    </row>
    <row r="894">
      <c r="A894" s="162"/>
      <c r="B894" s="162"/>
      <c r="C894" s="162"/>
      <c r="D894" s="163"/>
      <c r="E894" s="164"/>
      <c r="F894" s="165"/>
    </row>
    <row r="895">
      <c r="A895" s="162"/>
      <c r="B895" s="162"/>
      <c r="C895" s="162"/>
      <c r="D895" s="163"/>
      <c r="E895" s="164"/>
      <c r="F895" s="165"/>
    </row>
    <row r="896">
      <c r="A896" s="162"/>
      <c r="B896" s="162"/>
      <c r="C896" s="162"/>
      <c r="D896" s="163"/>
      <c r="E896" s="164"/>
      <c r="F896" s="165"/>
    </row>
    <row r="897">
      <c r="A897" s="162"/>
      <c r="B897" s="162"/>
      <c r="C897" s="162"/>
      <c r="D897" s="163"/>
      <c r="E897" s="164"/>
      <c r="F897" s="165"/>
    </row>
    <row r="898">
      <c r="A898" s="162"/>
      <c r="B898" s="162"/>
      <c r="C898" s="162"/>
      <c r="D898" s="163"/>
      <c r="E898" s="164"/>
      <c r="F898" s="165"/>
    </row>
    <row r="899">
      <c r="A899" s="162"/>
      <c r="B899" s="162"/>
      <c r="C899" s="162"/>
      <c r="D899" s="163"/>
      <c r="E899" s="164"/>
      <c r="F899" s="165"/>
    </row>
    <row r="900">
      <c r="A900" s="162"/>
      <c r="B900" s="162"/>
      <c r="C900" s="162"/>
      <c r="D900" s="163"/>
      <c r="E900" s="164"/>
      <c r="F900" s="165"/>
    </row>
    <row r="901">
      <c r="A901" s="162"/>
      <c r="B901" s="162"/>
      <c r="C901" s="162"/>
      <c r="D901" s="163"/>
      <c r="E901" s="164"/>
      <c r="F901" s="165"/>
    </row>
    <row r="902">
      <c r="A902" s="162"/>
      <c r="B902" s="162"/>
      <c r="C902" s="162"/>
      <c r="D902" s="163"/>
      <c r="E902" s="164"/>
      <c r="F902" s="165"/>
    </row>
    <row r="903">
      <c r="A903" s="162"/>
      <c r="B903" s="162"/>
      <c r="C903" s="162"/>
      <c r="D903" s="163"/>
      <c r="E903" s="164"/>
      <c r="F903" s="165"/>
    </row>
    <row r="904">
      <c r="A904" s="162"/>
      <c r="B904" s="162"/>
      <c r="C904" s="162"/>
      <c r="D904" s="163"/>
      <c r="E904" s="164"/>
      <c r="F904" s="165"/>
    </row>
    <row r="905">
      <c r="A905" s="162"/>
      <c r="B905" s="162"/>
      <c r="C905" s="162"/>
      <c r="D905" s="163"/>
      <c r="E905" s="164"/>
      <c r="F905" s="165"/>
    </row>
    <row r="906">
      <c r="A906" s="162"/>
      <c r="B906" s="162"/>
      <c r="C906" s="162"/>
      <c r="D906" s="163"/>
      <c r="E906" s="164"/>
      <c r="F906" s="165"/>
    </row>
    <row r="907">
      <c r="A907" s="162"/>
      <c r="B907" s="162"/>
      <c r="C907" s="162"/>
      <c r="D907" s="163"/>
      <c r="E907" s="164"/>
      <c r="F907" s="165"/>
    </row>
    <row r="908">
      <c r="A908" s="162"/>
      <c r="B908" s="162"/>
      <c r="C908" s="162"/>
      <c r="D908" s="163"/>
      <c r="E908" s="164"/>
      <c r="F908" s="165"/>
    </row>
    <row r="909">
      <c r="A909" s="162"/>
      <c r="B909" s="162"/>
      <c r="C909" s="162"/>
      <c r="D909" s="163"/>
      <c r="E909" s="164"/>
      <c r="F909" s="165"/>
    </row>
    <row r="910">
      <c r="A910" s="162"/>
      <c r="B910" s="162"/>
      <c r="C910" s="162"/>
      <c r="D910" s="163"/>
      <c r="E910" s="164"/>
      <c r="F910" s="165"/>
    </row>
    <row r="911">
      <c r="A911" s="162"/>
      <c r="B911" s="162"/>
      <c r="C911" s="162"/>
      <c r="D911" s="163"/>
      <c r="E911" s="164"/>
      <c r="F911" s="165"/>
    </row>
    <row r="912">
      <c r="A912" s="162"/>
      <c r="B912" s="162"/>
      <c r="C912" s="162"/>
      <c r="D912" s="163"/>
      <c r="E912" s="164"/>
      <c r="F912" s="165"/>
    </row>
    <row r="913">
      <c r="A913" s="162"/>
      <c r="B913" s="162"/>
      <c r="C913" s="162"/>
      <c r="D913" s="163"/>
      <c r="E913" s="164"/>
      <c r="F913" s="165"/>
    </row>
    <row r="914">
      <c r="A914" s="162"/>
      <c r="B914" s="162"/>
      <c r="C914" s="162"/>
      <c r="D914" s="163"/>
      <c r="E914" s="164"/>
      <c r="F914" s="165"/>
    </row>
    <row r="915">
      <c r="A915" s="162"/>
      <c r="B915" s="162"/>
      <c r="C915" s="162"/>
      <c r="D915" s="163"/>
      <c r="E915" s="164"/>
      <c r="F915" s="165"/>
    </row>
    <row r="916">
      <c r="A916" s="162"/>
      <c r="B916" s="162"/>
      <c r="C916" s="162"/>
      <c r="D916" s="163"/>
      <c r="E916" s="164"/>
      <c r="F916" s="165"/>
    </row>
    <row r="917">
      <c r="A917" s="162"/>
      <c r="B917" s="162"/>
      <c r="C917" s="162"/>
      <c r="D917" s="163"/>
      <c r="E917" s="164"/>
      <c r="F917" s="165"/>
    </row>
    <row r="918">
      <c r="A918" s="162"/>
      <c r="B918" s="162"/>
      <c r="C918" s="162"/>
      <c r="D918" s="163"/>
      <c r="E918" s="164"/>
      <c r="F918" s="165"/>
    </row>
    <row r="919">
      <c r="A919" s="162"/>
      <c r="B919" s="162"/>
      <c r="C919" s="162"/>
      <c r="D919" s="163"/>
      <c r="E919" s="164"/>
      <c r="F919" s="165"/>
    </row>
    <row r="920">
      <c r="A920" s="162"/>
      <c r="B920" s="162"/>
      <c r="C920" s="162"/>
      <c r="D920" s="163"/>
      <c r="E920" s="164"/>
      <c r="F920" s="165"/>
    </row>
    <row r="921">
      <c r="A921" s="162"/>
      <c r="B921" s="162"/>
      <c r="C921" s="162"/>
      <c r="D921" s="163"/>
      <c r="E921" s="164"/>
      <c r="F921" s="165"/>
    </row>
    <row r="922">
      <c r="A922" s="162"/>
      <c r="B922" s="162"/>
      <c r="C922" s="162"/>
      <c r="D922" s="163"/>
      <c r="E922" s="164"/>
      <c r="F922" s="165"/>
    </row>
    <row r="923">
      <c r="A923" s="162"/>
      <c r="B923" s="162"/>
      <c r="C923" s="162"/>
      <c r="D923" s="163"/>
      <c r="E923" s="164"/>
      <c r="F923" s="165"/>
    </row>
    <row r="924">
      <c r="A924" s="162"/>
      <c r="B924" s="162"/>
      <c r="C924" s="162"/>
      <c r="D924" s="163"/>
      <c r="E924" s="164"/>
      <c r="F924" s="165"/>
    </row>
    <row r="925">
      <c r="A925" s="162"/>
      <c r="B925" s="162"/>
      <c r="C925" s="162"/>
      <c r="D925" s="163"/>
      <c r="E925" s="164"/>
      <c r="F925" s="165"/>
    </row>
    <row r="926">
      <c r="A926" s="162"/>
      <c r="B926" s="162"/>
      <c r="C926" s="162"/>
      <c r="D926" s="163"/>
      <c r="E926" s="164"/>
      <c r="F926" s="165"/>
    </row>
    <row r="927">
      <c r="A927" s="162"/>
      <c r="B927" s="162"/>
      <c r="C927" s="162"/>
      <c r="D927" s="163"/>
      <c r="E927" s="164"/>
      <c r="F927" s="165"/>
    </row>
    <row r="928">
      <c r="A928" s="162"/>
      <c r="B928" s="162"/>
      <c r="C928" s="162"/>
      <c r="D928" s="163"/>
      <c r="E928" s="164"/>
      <c r="F928" s="165"/>
    </row>
    <row r="929">
      <c r="A929" s="162"/>
      <c r="B929" s="162"/>
      <c r="C929" s="162"/>
      <c r="D929" s="163"/>
      <c r="E929" s="164"/>
      <c r="F929" s="165"/>
    </row>
    <row r="930">
      <c r="A930" s="162"/>
      <c r="B930" s="162"/>
      <c r="C930" s="162"/>
      <c r="D930" s="163"/>
      <c r="E930" s="164"/>
      <c r="F930" s="165"/>
    </row>
    <row r="931">
      <c r="A931" s="162"/>
      <c r="B931" s="162"/>
      <c r="C931" s="162"/>
      <c r="D931" s="163"/>
      <c r="E931" s="164"/>
      <c r="F931" s="165"/>
    </row>
    <row r="932">
      <c r="A932" s="162"/>
      <c r="B932" s="162"/>
      <c r="C932" s="162"/>
      <c r="D932" s="163"/>
      <c r="E932" s="164"/>
      <c r="F932" s="165"/>
    </row>
    <row r="933">
      <c r="A933" s="162"/>
      <c r="B933" s="162"/>
      <c r="C933" s="162"/>
      <c r="D933" s="163"/>
      <c r="E933" s="164"/>
      <c r="F933" s="165"/>
    </row>
    <row r="934">
      <c r="A934" s="162"/>
      <c r="B934" s="162"/>
      <c r="C934" s="162"/>
      <c r="D934" s="163"/>
      <c r="E934" s="164"/>
      <c r="F934" s="165"/>
    </row>
    <row r="935">
      <c r="A935" s="162"/>
      <c r="B935" s="162"/>
      <c r="C935" s="162"/>
      <c r="D935" s="163"/>
      <c r="E935" s="164"/>
      <c r="F935" s="165"/>
    </row>
    <row r="936">
      <c r="A936" s="162"/>
      <c r="B936" s="162"/>
      <c r="C936" s="162"/>
      <c r="D936" s="163"/>
      <c r="E936" s="164"/>
      <c r="F936" s="165"/>
    </row>
    <row r="937">
      <c r="A937" s="162"/>
      <c r="B937" s="162"/>
      <c r="C937" s="162"/>
      <c r="D937" s="163"/>
      <c r="E937" s="164"/>
      <c r="F937" s="165"/>
    </row>
    <row r="938">
      <c r="A938" s="162"/>
      <c r="B938" s="162"/>
      <c r="C938" s="162"/>
      <c r="D938" s="163"/>
      <c r="E938" s="164"/>
      <c r="F938" s="165"/>
    </row>
    <row r="939">
      <c r="A939" s="162"/>
      <c r="B939" s="162"/>
      <c r="C939" s="162"/>
      <c r="D939" s="163"/>
      <c r="E939" s="164"/>
      <c r="F939" s="165"/>
    </row>
    <row r="940">
      <c r="A940" s="162"/>
      <c r="B940" s="162"/>
      <c r="C940" s="162"/>
      <c r="D940" s="163"/>
      <c r="E940" s="164"/>
      <c r="F940" s="165"/>
    </row>
    <row r="941">
      <c r="A941" s="162"/>
      <c r="B941" s="162"/>
      <c r="C941" s="162"/>
      <c r="D941" s="163"/>
      <c r="E941" s="164"/>
      <c r="F941" s="165"/>
    </row>
    <row r="942">
      <c r="A942" s="162"/>
      <c r="B942" s="162"/>
      <c r="C942" s="162"/>
      <c r="D942" s="163"/>
      <c r="E942" s="164"/>
      <c r="F942" s="165"/>
    </row>
    <row r="943">
      <c r="A943" s="162"/>
      <c r="B943" s="162"/>
      <c r="C943" s="162"/>
      <c r="D943" s="163"/>
      <c r="E943" s="164"/>
      <c r="F943" s="165"/>
    </row>
    <row r="944">
      <c r="A944" s="162"/>
      <c r="B944" s="162"/>
      <c r="C944" s="162"/>
      <c r="D944" s="163"/>
      <c r="E944" s="164"/>
      <c r="F944" s="165"/>
    </row>
    <row r="945">
      <c r="A945" s="162"/>
      <c r="B945" s="162"/>
      <c r="C945" s="162"/>
      <c r="D945" s="163"/>
      <c r="E945" s="164"/>
      <c r="F945" s="165"/>
    </row>
    <row r="946">
      <c r="A946" s="162"/>
      <c r="B946" s="162"/>
      <c r="C946" s="162"/>
      <c r="D946" s="163"/>
      <c r="E946" s="164"/>
      <c r="F946" s="165"/>
    </row>
    <row r="947">
      <c r="A947" s="162"/>
      <c r="B947" s="162"/>
      <c r="C947" s="162"/>
      <c r="D947" s="163"/>
      <c r="E947" s="164"/>
      <c r="F947" s="165"/>
    </row>
    <row r="948">
      <c r="A948" s="162"/>
      <c r="B948" s="162"/>
      <c r="C948" s="162"/>
      <c r="D948" s="163"/>
      <c r="E948" s="164"/>
      <c r="F948" s="165"/>
    </row>
    <row r="949">
      <c r="A949" s="162"/>
      <c r="B949" s="162"/>
      <c r="C949" s="162"/>
      <c r="D949" s="163"/>
      <c r="E949" s="164"/>
      <c r="F949" s="165"/>
    </row>
    <row r="950">
      <c r="A950" s="162"/>
      <c r="B950" s="162"/>
      <c r="C950" s="162"/>
      <c r="D950" s="163"/>
      <c r="E950" s="164"/>
      <c r="F950" s="165"/>
    </row>
    <row r="951">
      <c r="A951" s="162"/>
      <c r="B951" s="162"/>
      <c r="C951" s="162"/>
      <c r="D951" s="163"/>
      <c r="E951" s="164"/>
      <c r="F951" s="165"/>
    </row>
    <row r="952">
      <c r="A952" s="162"/>
      <c r="B952" s="162"/>
      <c r="C952" s="162"/>
      <c r="D952" s="163"/>
      <c r="E952" s="164"/>
      <c r="F952" s="165"/>
    </row>
    <row r="953">
      <c r="A953" s="162"/>
      <c r="B953" s="162"/>
      <c r="C953" s="162"/>
      <c r="D953" s="163"/>
      <c r="E953" s="164"/>
      <c r="F953" s="165"/>
    </row>
    <row r="954">
      <c r="A954" s="162"/>
      <c r="B954" s="162"/>
      <c r="C954" s="162"/>
      <c r="D954" s="163"/>
      <c r="E954" s="164"/>
      <c r="F954" s="165"/>
    </row>
    <row r="955">
      <c r="A955" s="162"/>
      <c r="B955" s="162"/>
      <c r="C955" s="162"/>
      <c r="D955" s="163"/>
      <c r="E955" s="164"/>
      <c r="F955" s="165"/>
    </row>
    <row r="956">
      <c r="A956" s="162"/>
      <c r="B956" s="162"/>
      <c r="C956" s="162"/>
      <c r="D956" s="163"/>
      <c r="E956" s="164"/>
      <c r="F956" s="165"/>
    </row>
    <row r="957">
      <c r="A957" s="162"/>
      <c r="B957" s="162"/>
      <c r="C957" s="162"/>
      <c r="D957" s="163"/>
      <c r="E957" s="164"/>
      <c r="F957" s="165"/>
    </row>
    <row r="958">
      <c r="A958" s="162"/>
      <c r="B958" s="162"/>
      <c r="C958" s="162"/>
      <c r="D958" s="163"/>
      <c r="E958" s="164"/>
      <c r="F958" s="165"/>
    </row>
    <row r="959">
      <c r="A959" s="162"/>
      <c r="B959" s="162"/>
      <c r="C959" s="162"/>
      <c r="D959" s="163"/>
      <c r="E959" s="164"/>
      <c r="F959" s="165"/>
    </row>
    <row r="960">
      <c r="A960" s="162"/>
      <c r="B960" s="162"/>
      <c r="C960" s="162"/>
      <c r="D960" s="163"/>
      <c r="E960" s="164"/>
      <c r="F960" s="165"/>
    </row>
    <row r="961">
      <c r="A961" s="162"/>
      <c r="B961" s="162"/>
      <c r="C961" s="162"/>
      <c r="D961" s="163"/>
      <c r="E961" s="164"/>
      <c r="F961" s="165"/>
    </row>
    <row r="962">
      <c r="A962" s="162"/>
      <c r="B962" s="162"/>
      <c r="C962" s="162"/>
      <c r="D962" s="163"/>
      <c r="E962" s="164"/>
      <c r="F962" s="165"/>
    </row>
    <row r="963">
      <c r="A963" s="162"/>
      <c r="B963" s="162"/>
      <c r="C963" s="162"/>
      <c r="D963" s="163"/>
      <c r="E963" s="164"/>
      <c r="F963" s="165"/>
    </row>
    <row r="964">
      <c r="A964" s="162"/>
      <c r="B964" s="162"/>
      <c r="C964" s="162"/>
      <c r="D964" s="163"/>
      <c r="E964" s="164"/>
      <c r="F964" s="165"/>
    </row>
    <row r="965">
      <c r="A965" s="162"/>
      <c r="B965" s="162"/>
      <c r="C965" s="162"/>
      <c r="D965" s="163"/>
      <c r="E965" s="164"/>
      <c r="F965" s="165"/>
    </row>
    <row r="966">
      <c r="A966" s="162"/>
      <c r="B966" s="162"/>
      <c r="C966" s="162"/>
      <c r="D966" s="163"/>
      <c r="E966" s="164"/>
      <c r="F966" s="165"/>
    </row>
    <row r="967">
      <c r="A967" s="162"/>
      <c r="B967" s="162"/>
      <c r="C967" s="162"/>
      <c r="D967" s="163"/>
      <c r="E967" s="164"/>
      <c r="F967" s="165"/>
    </row>
    <row r="968">
      <c r="A968" s="162"/>
      <c r="B968" s="162"/>
      <c r="C968" s="162"/>
      <c r="D968" s="163"/>
      <c r="E968" s="164"/>
      <c r="F968" s="165"/>
    </row>
    <row r="969">
      <c r="A969" s="162"/>
      <c r="B969" s="162"/>
      <c r="C969" s="162"/>
      <c r="D969" s="163"/>
      <c r="E969" s="164"/>
      <c r="F969" s="165"/>
    </row>
    <row r="970">
      <c r="A970" s="162"/>
      <c r="B970" s="162"/>
      <c r="C970" s="162"/>
      <c r="D970" s="163"/>
      <c r="E970" s="164"/>
      <c r="F970" s="165"/>
    </row>
    <row r="971">
      <c r="A971" s="162"/>
      <c r="B971" s="162"/>
      <c r="C971" s="162"/>
      <c r="D971" s="163"/>
      <c r="E971" s="164"/>
      <c r="F971" s="165"/>
    </row>
    <row r="972">
      <c r="A972" s="162"/>
      <c r="B972" s="162"/>
      <c r="C972" s="162"/>
      <c r="D972" s="163"/>
      <c r="E972" s="164"/>
      <c r="F972" s="165"/>
    </row>
    <row r="973">
      <c r="A973" s="162"/>
      <c r="B973" s="162"/>
      <c r="C973" s="162"/>
      <c r="D973" s="163"/>
      <c r="E973" s="164"/>
      <c r="F973" s="165"/>
    </row>
    <row r="974">
      <c r="A974" s="162"/>
      <c r="B974" s="162"/>
      <c r="C974" s="162"/>
      <c r="D974" s="163"/>
      <c r="E974" s="164"/>
      <c r="F974" s="165"/>
    </row>
    <row r="975">
      <c r="A975" s="162"/>
      <c r="B975" s="162"/>
      <c r="C975" s="162"/>
      <c r="D975" s="163"/>
      <c r="E975" s="164"/>
      <c r="F975" s="165"/>
    </row>
    <row r="976">
      <c r="A976" s="162"/>
      <c r="B976" s="162"/>
      <c r="C976" s="162"/>
      <c r="D976" s="163"/>
      <c r="E976" s="164"/>
      <c r="F976" s="165"/>
    </row>
    <row r="977">
      <c r="A977" s="162"/>
      <c r="B977" s="162"/>
      <c r="C977" s="162"/>
      <c r="D977" s="163"/>
      <c r="E977" s="164"/>
      <c r="F977" s="165"/>
    </row>
    <row r="978">
      <c r="A978" s="162"/>
      <c r="B978" s="162"/>
      <c r="C978" s="162"/>
      <c r="D978" s="163"/>
      <c r="E978" s="164"/>
      <c r="F978" s="165"/>
    </row>
    <row r="979">
      <c r="A979" s="162"/>
      <c r="B979" s="162"/>
      <c r="C979" s="162"/>
      <c r="D979" s="163"/>
      <c r="E979" s="164"/>
      <c r="F979" s="165"/>
    </row>
    <row r="980">
      <c r="A980" s="162"/>
      <c r="B980" s="162"/>
      <c r="C980" s="162"/>
      <c r="D980" s="163"/>
      <c r="E980" s="164"/>
      <c r="F980" s="165"/>
    </row>
    <row r="981">
      <c r="A981" s="162"/>
      <c r="B981" s="162"/>
      <c r="C981" s="162"/>
      <c r="D981" s="163"/>
      <c r="E981" s="164"/>
      <c r="F981" s="165"/>
    </row>
    <row r="982">
      <c r="A982" s="162"/>
      <c r="B982" s="162"/>
      <c r="C982" s="162"/>
      <c r="D982" s="163"/>
      <c r="E982" s="164"/>
      <c r="F982" s="165"/>
    </row>
    <row r="983">
      <c r="A983" s="162"/>
      <c r="B983" s="162"/>
      <c r="C983" s="162"/>
      <c r="D983" s="163"/>
      <c r="E983" s="164"/>
      <c r="F983" s="165"/>
    </row>
    <row r="984">
      <c r="A984" s="162"/>
      <c r="B984" s="162"/>
      <c r="C984" s="162"/>
      <c r="D984" s="163"/>
      <c r="E984" s="164"/>
      <c r="F984" s="165"/>
    </row>
    <row r="985">
      <c r="A985" s="162"/>
      <c r="B985" s="162"/>
      <c r="C985" s="162"/>
      <c r="D985" s="163"/>
      <c r="E985" s="164"/>
      <c r="F985" s="165"/>
    </row>
    <row r="986">
      <c r="A986" s="162"/>
      <c r="B986" s="162"/>
      <c r="C986" s="162"/>
      <c r="D986" s="163"/>
      <c r="E986" s="164"/>
      <c r="F986" s="165"/>
    </row>
    <row r="987">
      <c r="A987" s="162"/>
      <c r="B987" s="162"/>
      <c r="C987" s="162"/>
      <c r="D987" s="163"/>
      <c r="E987" s="164"/>
      <c r="F987" s="165"/>
    </row>
    <row r="988">
      <c r="A988" s="162"/>
      <c r="B988" s="162"/>
      <c r="C988" s="162"/>
      <c r="D988" s="163"/>
      <c r="E988" s="164"/>
      <c r="F988" s="165"/>
    </row>
    <row r="989">
      <c r="A989" s="162"/>
      <c r="B989" s="162"/>
      <c r="C989" s="162"/>
      <c r="D989" s="163"/>
      <c r="E989" s="164"/>
      <c r="F989" s="165"/>
    </row>
    <row r="990">
      <c r="A990" s="162"/>
      <c r="B990" s="162"/>
      <c r="C990" s="162"/>
      <c r="D990" s="163"/>
      <c r="E990" s="164"/>
      <c r="F990" s="165"/>
    </row>
    <row r="991">
      <c r="A991" s="162"/>
      <c r="B991" s="162"/>
      <c r="C991" s="162"/>
      <c r="D991" s="163"/>
      <c r="E991" s="164"/>
      <c r="F991" s="165"/>
    </row>
    <row r="992">
      <c r="A992" s="162"/>
      <c r="B992" s="162"/>
      <c r="C992" s="162"/>
      <c r="D992" s="163"/>
      <c r="E992" s="164"/>
      <c r="F992" s="165"/>
    </row>
    <row r="993">
      <c r="A993" s="162"/>
      <c r="B993" s="162"/>
      <c r="C993" s="162"/>
      <c r="D993" s="163"/>
      <c r="E993" s="164"/>
      <c r="F993" s="165"/>
    </row>
    <row r="994">
      <c r="A994" s="162"/>
      <c r="B994" s="162"/>
      <c r="C994" s="162"/>
      <c r="D994" s="163"/>
      <c r="E994" s="164"/>
      <c r="F994" s="165"/>
    </row>
    <row r="995">
      <c r="A995" s="162"/>
      <c r="B995" s="162"/>
      <c r="C995" s="162"/>
      <c r="D995" s="163"/>
      <c r="E995" s="164"/>
      <c r="F995" s="165"/>
    </row>
    <row r="996">
      <c r="A996" s="162"/>
      <c r="B996" s="162"/>
      <c r="C996" s="162"/>
      <c r="D996" s="163"/>
      <c r="E996" s="164"/>
      <c r="F996" s="165"/>
    </row>
    <row r="997">
      <c r="A997" s="162"/>
      <c r="B997" s="162"/>
      <c r="C997" s="162"/>
      <c r="D997" s="163"/>
      <c r="E997" s="164"/>
      <c r="F997" s="165"/>
    </row>
    <row r="998">
      <c r="A998" s="162"/>
      <c r="B998" s="162"/>
      <c r="C998" s="162"/>
      <c r="D998" s="163"/>
      <c r="E998" s="164"/>
      <c r="F998" s="165"/>
    </row>
    <row r="999">
      <c r="A999" s="162"/>
      <c r="B999" s="162"/>
      <c r="C999" s="162"/>
      <c r="D999" s="163"/>
      <c r="E999" s="164"/>
      <c r="F999" s="165"/>
    </row>
  </sheetData>
  <mergeCells count="26">
    <mergeCell ref="A16:A106"/>
    <mergeCell ref="B17:B106"/>
    <mergeCell ref="C18:C106"/>
    <mergeCell ref="D32:D106"/>
    <mergeCell ref="A2:D4"/>
    <mergeCell ref="E2:E3"/>
    <mergeCell ref="A5:D15"/>
    <mergeCell ref="E5:E7"/>
    <mergeCell ref="E9:E10"/>
    <mergeCell ref="E12:E13"/>
    <mergeCell ref="B16:D16"/>
    <mergeCell ref="E41:E46"/>
    <mergeCell ref="E47:E50"/>
    <mergeCell ref="E51:E64"/>
    <mergeCell ref="E66:E69"/>
    <mergeCell ref="E75:E81"/>
    <mergeCell ref="E84:E85"/>
    <mergeCell ref="E86:E93"/>
    <mergeCell ref="E95:E103"/>
    <mergeCell ref="C17:D17"/>
    <mergeCell ref="D19:D31"/>
    <mergeCell ref="E19:E20"/>
    <mergeCell ref="E23:E24"/>
    <mergeCell ref="E25:E31"/>
    <mergeCell ref="E32:E33"/>
    <mergeCell ref="E35:E37"/>
  </mergeCells>
  <conditionalFormatting sqref="A1:A106">
    <cfRule type="containsText" dxfId="15" priority="1" operator="containsText" text="Streptophyta">
      <formula>NOT(ISERROR(SEARCH(("Streptophyta"),(A1))))</formula>
    </cfRule>
  </conditionalFormatting>
  <conditionalFormatting sqref="B16:B106">
    <cfRule type="containsText" dxfId="16" priority="2" operator="containsText" text="Tracheophyta">
      <formula>NOT(ISERROR(SEARCH(("Tracheophyta"),(B16))))</formula>
    </cfRule>
  </conditionalFormatting>
  <conditionalFormatting sqref="C17:C106">
    <cfRule type="containsText" dxfId="18" priority="3" operator="containsText" text="Magnoliopsida">
      <formula>NOT(ISERROR(SEARCH(("Magnoliopsida"),(C17))))</formula>
    </cfRule>
  </conditionalFormatting>
  <conditionalFormatting sqref="E2:E106 D18:D106">
    <cfRule type="containsText" dxfId="23" priority="4" operator="containsText" text="Icacinaceae">
      <formula>NOT(ISERROR(SEARCH(("Icacinaceae"),(E2))))</formula>
    </cfRule>
  </conditionalFormatting>
  <conditionalFormatting sqref="E2:E106 D18:D106">
    <cfRule type="containsText" dxfId="23" priority="5" operator="containsText" text="Metteniusaceae">
      <formula>NOT(ISERROR(SEARCH(("Metteniusaceae"),(E2))))</formula>
    </cfRule>
  </conditionalFormatting>
  <conditionalFormatting sqref="E2:E106 D18:D106">
    <cfRule type="containsText" dxfId="23" priority="6" operator="containsText" text="Oncothecaceae">
      <formula>NOT(ISERROR(SEARCH(("Oncothecaceae"),(E2))))</formula>
    </cfRule>
  </conditionalFormatting>
  <conditionalFormatting sqref="E2:E106 D18:D106">
    <cfRule type="containsText" dxfId="23" priority="7" operator="containsText" text="Vahliaceae">
      <formula>NOT(ISERROR(SEARCH(("Vahliaceae"),(E2))))</formula>
    </cfRule>
  </conditionalFormatting>
  <conditionalFormatting sqref="C17:C106">
    <cfRule type="containsText" dxfId="18" priority="8" operator="containsText" text="Polypodiopsida">
      <formula>NOT(ISERROR(SEARCH(("Polypodiopsida"),(C17))))</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hidden="1" min="1" max="2" width="5.88"/>
    <col customWidth="1" hidden="1" min="3" max="3" width="47.38"/>
    <col customWidth="1" hidden="1" min="4" max="4" width="4.38"/>
    <col customWidth="1" min="5" max="5" width="7.0"/>
    <col customWidth="1" min="6" max="6" width="11.75"/>
    <col customWidth="1" min="7" max="7" width="29.88"/>
    <col customWidth="1" min="8" max="8" width="4.38"/>
  </cols>
  <sheetData>
    <row r="1">
      <c r="A1" s="168"/>
      <c r="B1" s="168" t="s">
        <v>783</v>
      </c>
      <c r="C1" s="168" t="s">
        <v>435</v>
      </c>
      <c r="D1" s="169"/>
      <c r="E1" s="170" t="s">
        <v>1165</v>
      </c>
      <c r="F1" s="170" t="s">
        <v>1166</v>
      </c>
      <c r="G1" s="170" t="s">
        <v>1167</v>
      </c>
      <c r="H1" s="171" t="s">
        <v>1168</v>
      </c>
    </row>
    <row r="2">
      <c r="A2" s="169" t="s">
        <v>1169</v>
      </c>
      <c r="B2" s="171" t="s">
        <v>71</v>
      </c>
      <c r="C2" s="169" t="s">
        <v>1170</v>
      </c>
      <c r="D2" s="169"/>
      <c r="E2" s="172" t="s">
        <v>1171</v>
      </c>
      <c r="F2" s="170" t="s">
        <v>1172</v>
      </c>
      <c r="G2" s="170" t="s">
        <v>1173</v>
      </c>
      <c r="H2" s="171" t="s">
        <v>1174</v>
      </c>
    </row>
    <row r="3">
      <c r="A3" s="169" t="s">
        <v>1175</v>
      </c>
      <c r="B3" s="171" t="s">
        <v>75</v>
      </c>
      <c r="C3" s="169" t="s">
        <v>76</v>
      </c>
      <c r="D3" s="169"/>
      <c r="E3" s="170" t="s">
        <v>1171</v>
      </c>
      <c r="F3" s="170" t="s">
        <v>1172</v>
      </c>
      <c r="G3" s="170" t="s">
        <v>1176</v>
      </c>
      <c r="H3" s="171" t="s">
        <v>1177</v>
      </c>
    </row>
    <row r="4">
      <c r="A4" s="169" t="s">
        <v>1178</v>
      </c>
      <c r="B4" s="171" t="s">
        <v>79</v>
      </c>
      <c r="C4" s="169" t="s">
        <v>1179</v>
      </c>
      <c r="D4" s="169"/>
      <c r="E4" s="172" t="s">
        <v>1171</v>
      </c>
      <c r="F4" s="170" t="s">
        <v>813</v>
      </c>
      <c r="G4" s="170" t="s">
        <v>1180</v>
      </c>
      <c r="H4" s="171" t="s">
        <v>1181</v>
      </c>
    </row>
    <row r="5">
      <c r="A5" s="169" t="s">
        <v>1182</v>
      </c>
      <c r="B5" s="171" t="s">
        <v>83</v>
      </c>
      <c r="C5" s="169" t="s">
        <v>1183</v>
      </c>
      <c r="D5" s="169"/>
      <c r="E5" s="170" t="s">
        <v>1171</v>
      </c>
      <c r="F5" s="170" t="s">
        <v>1184</v>
      </c>
      <c r="G5" s="170" t="s">
        <v>1185</v>
      </c>
      <c r="H5" s="171" t="s">
        <v>1186</v>
      </c>
    </row>
    <row r="6">
      <c r="A6" s="169" t="s">
        <v>1187</v>
      </c>
      <c r="B6" s="171" t="s">
        <v>87</v>
      </c>
      <c r="C6" s="169" t="s">
        <v>88</v>
      </c>
      <c r="D6" s="169"/>
      <c r="E6" s="172" t="s">
        <v>1171</v>
      </c>
      <c r="F6" s="173" t="s">
        <v>942</v>
      </c>
      <c r="G6" s="170" t="s">
        <v>1188</v>
      </c>
      <c r="H6" s="171" t="s">
        <v>1189</v>
      </c>
    </row>
    <row r="7">
      <c r="A7" s="169" t="s">
        <v>1190</v>
      </c>
      <c r="B7" s="171" t="s">
        <v>91</v>
      </c>
      <c r="C7" s="169" t="s">
        <v>92</v>
      </c>
      <c r="D7" s="169"/>
      <c r="E7" s="172" t="s">
        <v>1171</v>
      </c>
      <c r="F7" s="170" t="s">
        <v>825</v>
      </c>
      <c r="G7" s="170" t="s">
        <v>1191</v>
      </c>
      <c r="H7" s="171" t="s">
        <v>1192</v>
      </c>
    </row>
    <row r="8">
      <c r="A8" s="169" t="s">
        <v>1193</v>
      </c>
      <c r="B8" s="171" t="s">
        <v>94</v>
      </c>
      <c r="C8" s="169" t="s">
        <v>1194</v>
      </c>
      <c r="D8" s="169"/>
      <c r="E8" s="172" t="s">
        <v>1171</v>
      </c>
      <c r="F8" s="174" t="s">
        <v>981</v>
      </c>
      <c r="G8" s="170" t="s">
        <v>1195</v>
      </c>
      <c r="H8" s="171" t="s">
        <v>1196</v>
      </c>
    </row>
    <row r="9">
      <c r="A9" s="169" t="s">
        <v>1197</v>
      </c>
      <c r="B9" s="171" t="s">
        <v>98</v>
      </c>
      <c r="C9" s="169" t="s">
        <v>99</v>
      </c>
      <c r="D9" s="169"/>
      <c r="E9" s="172" t="s">
        <v>1171</v>
      </c>
      <c r="F9" s="174" t="s">
        <v>981</v>
      </c>
      <c r="G9" s="170" t="s">
        <v>1198</v>
      </c>
      <c r="H9" s="171" t="s">
        <v>1199</v>
      </c>
    </row>
    <row r="10">
      <c r="A10" s="169" t="s">
        <v>1200</v>
      </c>
      <c r="B10" s="171" t="s">
        <v>102</v>
      </c>
      <c r="C10" s="169" t="s">
        <v>103</v>
      </c>
      <c r="D10" s="169"/>
      <c r="E10" s="170" t="s">
        <v>1171</v>
      </c>
      <c r="F10" s="170" t="s">
        <v>1020</v>
      </c>
      <c r="G10" s="170" t="s">
        <v>1201</v>
      </c>
      <c r="H10" s="171" t="s">
        <v>1202</v>
      </c>
    </row>
    <row r="11">
      <c r="A11" s="169" t="s">
        <v>1203</v>
      </c>
      <c r="B11" s="171" t="s">
        <v>106</v>
      </c>
      <c r="C11" s="169" t="s">
        <v>1204</v>
      </c>
      <c r="D11" s="169"/>
      <c r="E11" s="170" t="s">
        <v>1171</v>
      </c>
      <c r="F11" s="170" t="s">
        <v>1205</v>
      </c>
      <c r="G11" s="170" t="s">
        <v>1206</v>
      </c>
      <c r="H11" s="171" t="s">
        <v>1207</v>
      </c>
    </row>
    <row r="12">
      <c r="A12" s="169" t="s">
        <v>1208</v>
      </c>
      <c r="B12" s="171" t="s">
        <v>110</v>
      </c>
      <c r="C12" s="169" t="s">
        <v>111</v>
      </c>
      <c r="D12" s="169"/>
      <c r="E12" s="172" t="s">
        <v>1171</v>
      </c>
      <c r="F12" s="170" t="s">
        <v>1209</v>
      </c>
      <c r="G12" s="170" t="s">
        <v>1210</v>
      </c>
      <c r="H12" s="171" t="s">
        <v>1211</v>
      </c>
    </row>
    <row r="13">
      <c r="A13" s="169" t="s">
        <v>1212</v>
      </c>
      <c r="B13" s="171" t="s">
        <v>113</v>
      </c>
      <c r="C13" s="169" t="s">
        <v>1213</v>
      </c>
      <c r="D13" s="169"/>
      <c r="E13" s="172" t="s">
        <v>1171</v>
      </c>
      <c r="F13" s="170" t="s">
        <v>1214</v>
      </c>
      <c r="G13" s="170" t="s">
        <v>1215</v>
      </c>
      <c r="H13" s="171" t="s">
        <v>1216</v>
      </c>
    </row>
    <row r="14">
      <c r="A14" s="169" t="s">
        <v>1217</v>
      </c>
      <c r="B14" s="171" t="s">
        <v>116</v>
      </c>
      <c r="C14" s="169" t="s">
        <v>1218</v>
      </c>
      <c r="D14" s="169"/>
      <c r="E14" s="172" t="s">
        <v>1171</v>
      </c>
      <c r="F14" s="170" t="s">
        <v>1219</v>
      </c>
      <c r="G14" s="170" t="s">
        <v>1220</v>
      </c>
      <c r="H14" s="171" t="s">
        <v>1221</v>
      </c>
    </row>
    <row r="15">
      <c r="A15" s="169" t="s">
        <v>1222</v>
      </c>
      <c r="B15" s="171" t="s">
        <v>1196</v>
      </c>
      <c r="C15" s="175" t="s">
        <v>1195</v>
      </c>
      <c r="D15" s="169"/>
      <c r="E15" s="170" t="s">
        <v>1171</v>
      </c>
      <c r="F15" s="170" t="s">
        <v>859</v>
      </c>
      <c r="G15" s="170" t="s">
        <v>1223</v>
      </c>
      <c r="H15" s="171" t="s">
        <v>1224</v>
      </c>
    </row>
    <row r="16">
      <c r="A16" s="169" t="s">
        <v>1225</v>
      </c>
      <c r="B16" s="171" t="s">
        <v>1199</v>
      </c>
      <c r="C16" s="175" t="s">
        <v>1198</v>
      </c>
      <c r="D16" s="169"/>
      <c r="E16" s="170" t="s">
        <v>1171</v>
      </c>
      <c r="F16" s="170" t="s">
        <v>890</v>
      </c>
      <c r="G16" s="170" t="s">
        <v>1226</v>
      </c>
      <c r="H16" s="171" t="s">
        <v>1227</v>
      </c>
    </row>
    <row r="17">
      <c r="A17" s="169" t="s">
        <v>1228</v>
      </c>
      <c r="B17" s="171" t="s">
        <v>119</v>
      </c>
      <c r="C17" s="169" t="s">
        <v>1229</v>
      </c>
      <c r="D17" s="169"/>
      <c r="E17" s="172" t="s">
        <v>1171</v>
      </c>
      <c r="F17" s="173" t="s">
        <v>901</v>
      </c>
      <c r="G17" s="170" t="s">
        <v>1230</v>
      </c>
      <c r="H17" s="171" t="s">
        <v>1231</v>
      </c>
    </row>
    <row r="18">
      <c r="A18" s="169" t="s">
        <v>1232</v>
      </c>
      <c r="B18" s="171" t="s">
        <v>122</v>
      </c>
      <c r="C18" s="169" t="s">
        <v>1233</v>
      </c>
      <c r="D18" s="169"/>
      <c r="E18" s="170" t="s">
        <v>1234</v>
      </c>
      <c r="F18" s="170" t="s">
        <v>847</v>
      </c>
      <c r="G18" s="170" t="s">
        <v>1235</v>
      </c>
      <c r="H18" s="171" t="s">
        <v>1236</v>
      </c>
    </row>
    <row r="19">
      <c r="A19" s="169" t="s">
        <v>1237</v>
      </c>
      <c r="B19" s="171" t="s">
        <v>125</v>
      </c>
      <c r="C19" s="169" t="s">
        <v>1238</v>
      </c>
      <c r="D19" s="169"/>
      <c r="E19" s="170" t="s">
        <v>1234</v>
      </c>
      <c r="F19" s="170" t="s">
        <v>847</v>
      </c>
      <c r="G19" s="170" t="s">
        <v>1239</v>
      </c>
      <c r="H19" s="171" t="s">
        <v>1240</v>
      </c>
    </row>
    <row r="20">
      <c r="A20" s="169" t="s">
        <v>1241</v>
      </c>
      <c r="B20" s="171" t="s">
        <v>1242</v>
      </c>
      <c r="C20" s="169" t="s">
        <v>1243</v>
      </c>
      <c r="D20" s="169"/>
      <c r="E20" s="170" t="s">
        <v>1234</v>
      </c>
      <c r="F20" s="170" t="s">
        <v>847</v>
      </c>
      <c r="G20" s="170" t="s">
        <v>1244</v>
      </c>
      <c r="H20" s="171" t="s">
        <v>1245</v>
      </c>
    </row>
    <row r="21">
      <c r="A21" s="169" t="s">
        <v>1246</v>
      </c>
      <c r="B21" s="171" t="s">
        <v>128</v>
      </c>
      <c r="C21" s="169" t="s">
        <v>129</v>
      </c>
      <c r="D21" s="169"/>
      <c r="E21" s="170" t="s">
        <v>1234</v>
      </c>
      <c r="F21" s="170" t="s">
        <v>847</v>
      </c>
      <c r="G21" s="170" t="s">
        <v>1247</v>
      </c>
      <c r="H21" s="171" t="s">
        <v>1248</v>
      </c>
    </row>
    <row r="22">
      <c r="A22" s="169" t="s">
        <v>1249</v>
      </c>
      <c r="B22" s="171" t="s">
        <v>131</v>
      </c>
      <c r="C22" s="169" t="s">
        <v>132</v>
      </c>
      <c r="D22" s="168"/>
      <c r="E22" s="176"/>
      <c r="F22" s="176"/>
      <c r="G22" s="176"/>
      <c r="H22" s="168"/>
    </row>
    <row r="23">
      <c r="A23" s="169" t="s">
        <v>1250</v>
      </c>
      <c r="B23" s="171" t="s">
        <v>134</v>
      </c>
      <c r="C23" s="169" t="s">
        <v>1251</v>
      </c>
      <c r="D23" s="169"/>
      <c r="E23" s="170"/>
      <c r="F23" s="170"/>
      <c r="G23" s="170"/>
      <c r="H23" s="169"/>
    </row>
    <row r="24">
      <c r="A24" s="169" t="s">
        <v>1252</v>
      </c>
      <c r="B24" s="171" t="s">
        <v>137</v>
      </c>
      <c r="C24" s="169" t="s">
        <v>1253</v>
      </c>
      <c r="D24" s="169"/>
      <c r="E24" s="170"/>
      <c r="F24" s="170"/>
      <c r="G24" s="170"/>
      <c r="H24" s="169"/>
    </row>
    <row r="25">
      <c r="A25" s="169" t="s">
        <v>1254</v>
      </c>
      <c r="B25" s="171" t="s">
        <v>140</v>
      </c>
      <c r="C25" s="169" t="s">
        <v>141</v>
      </c>
      <c r="D25" s="169"/>
      <c r="E25" s="170"/>
      <c r="F25" s="170"/>
      <c r="G25" s="170"/>
      <c r="H25" s="169"/>
    </row>
    <row r="26">
      <c r="A26" s="169" t="s">
        <v>1255</v>
      </c>
      <c r="B26" s="171" t="s">
        <v>143</v>
      </c>
      <c r="C26" s="169" t="s">
        <v>144</v>
      </c>
      <c r="D26" s="169"/>
      <c r="E26" s="169"/>
      <c r="F26" s="169"/>
      <c r="G26" s="169"/>
      <c r="H26" s="169"/>
    </row>
    <row r="27">
      <c r="A27" s="169" t="s">
        <v>1256</v>
      </c>
      <c r="B27" s="171" t="s">
        <v>146</v>
      </c>
      <c r="C27" s="169" t="s">
        <v>1257</v>
      </c>
      <c r="D27" s="169"/>
      <c r="E27" s="169"/>
      <c r="F27" s="169"/>
      <c r="G27" s="169"/>
      <c r="H27" s="169"/>
    </row>
    <row r="28">
      <c r="A28" s="169" t="s">
        <v>1258</v>
      </c>
      <c r="B28" s="171" t="s">
        <v>149</v>
      </c>
      <c r="C28" s="169" t="s">
        <v>1259</v>
      </c>
      <c r="D28" s="169"/>
      <c r="E28" s="169"/>
      <c r="F28" s="169"/>
      <c r="G28" s="169"/>
      <c r="H28" s="169"/>
    </row>
    <row r="29">
      <c r="A29" s="169" t="s">
        <v>1260</v>
      </c>
      <c r="B29" s="171" t="s">
        <v>152</v>
      </c>
      <c r="C29" s="169" t="s">
        <v>1261</v>
      </c>
      <c r="D29" s="169"/>
      <c r="E29" s="169"/>
      <c r="F29" s="169"/>
      <c r="G29" s="169"/>
      <c r="H29" s="169"/>
    </row>
    <row r="30">
      <c r="A30" s="169" t="s">
        <v>1262</v>
      </c>
      <c r="B30" s="171" t="s">
        <v>1192</v>
      </c>
      <c r="C30" s="175" t="s">
        <v>1191</v>
      </c>
      <c r="D30" s="169"/>
      <c r="E30" s="169"/>
      <c r="F30" s="169"/>
      <c r="G30" s="169"/>
      <c r="H30" s="169"/>
    </row>
    <row r="31">
      <c r="A31" s="169" t="s">
        <v>1263</v>
      </c>
      <c r="B31" s="171" t="s">
        <v>155</v>
      </c>
      <c r="C31" s="169" t="s">
        <v>1264</v>
      </c>
      <c r="D31" s="169"/>
      <c r="E31" s="169"/>
      <c r="F31" s="169"/>
      <c r="G31" s="169"/>
      <c r="H31" s="169"/>
    </row>
    <row r="32">
      <c r="A32" s="169" t="s">
        <v>1265</v>
      </c>
      <c r="B32" s="171" t="s">
        <v>158</v>
      </c>
      <c r="C32" s="169" t="s">
        <v>159</v>
      </c>
      <c r="D32" s="169"/>
      <c r="E32" s="169"/>
      <c r="F32" s="169"/>
      <c r="G32" s="169"/>
      <c r="H32" s="169"/>
    </row>
    <row r="33">
      <c r="A33" s="169" t="s">
        <v>1266</v>
      </c>
      <c r="B33" s="171" t="s">
        <v>161</v>
      </c>
      <c r="C33" s="169" t="s">
        <v>1267</v>
      </c>
      <c r="D33" s="169"/>
      <c r="E33" s="169"/>
      <c r="F33" s="169"/>
      <c r="G33" s="169"/>
      <c r="H33" s="169"/>
    </row>
    <row r="34">
      <c r="A34" s="169" t="s">
        <v>1268</v>
      </c>
      <c r="B34" s="171" t="s">
        <v>164</v>
      </c>
      <c r="C34" s="169" t="s">
        <v>1269</v>
      </c>
      <c r="D34" s="169"/>
      <c r="E34" s="169"/>
      <c r="F34" s="169"/>
      <c r="G34" s="169"/>
      <c r="H34" s="169"/>
    </row>
    <row r="35">
      <c r="A35" s="169" t="s">
        <v>1270</v>
      </c>
      <c r="B35" s="171" t="s">
        <v>167</v>
      </c>
      <c r="C35" s="169" t="s">
        <v>1271</v>
      </c>
      <c r="D35" s="169"/>
      <c r="E35" s="169"/>
      <c r="F35" s="169"/>
      <c r="G35" s="169"/>
      <c r="H35" s="169"/>
    </row>
    <row r="36">
      <c r="A36" s="169" t="s">
        <v>1272</v>
      </c>
      <c r="B36" s="171" t="s">
        <v>1181</v>
      </c>
      <c r="C36" s="175" t="s">
        <v>1180</v>
      </c>
      <c r="D36" s="169"/>
      <c r="E36" s="169"/>
      <c r="F36" s="169"/>
      <c r="G36" s="169"/>
      <c r="H36" s="169"/>
    </row>
    <row r="37">
      <c r="A37" s="169" t="s">
        <v>1273</v>
      </c>
      <c r="B37" s="171" t="s">
        <v>170</v>
      </c>
      <c r="C37" s="169" t="s">
        <v>1274</v>
      </c>
      <c r="D37" s="169"/>
      <c r="E37" s="169"/>
      <c r="F37" s="169"/>
      <c r="G37" s="169"/>
      <c r="H37" s="169"/>
    </row>
    <row r="38">
      <c r="A38" s="169" t="s">
        <v>1275</v>
      </c>
      <c r="B38" s="171" t="s">
        <v>173</v>
      </c>
      <c r="C38" s="169" t="s">
        <v>1276</v>
      </c>
      <c r="D38" s="169"/>
      <c r="E38" s="169"/>
      <c r="F38" s="169"/>
      <c r="G38" s="169"/>
      <c r="H38" s="169"/>
    </row>
    <row r="39">
      <c r="A39" s="169" t="s">
        <v>1277</v>
      </c>
      <c r="B39" s="171" t="s">
        <v>176</v>
      </c>
      <c r="C39" s="169" t="s">
        <v>177</v>
      </c>
      <c r="D39" s="169"/>
      <c r="E39" s="169"/>
      <c r="F39" s="169"/>
      <c r="G39" s="169"/>
      <c r="H39" s="169"/>
    </row>
    <row r="40">
      <c r="A40" s="169" t="s">
        <v>1278</v>
      </c>
      <c r="B40" s="171" t="s">
        <v>179</v>
      </c>
      <c r="C40" s="169" t="s">
        <v>1279</v>
      </c>
      <c r="D40" s="169"/>
      <c r="E40" s="169"/>
      <c r="F40" s="169"/>
      <c r="G40" s="169"/>
      <c r="H40" s="169"/>
    </row>
    <row r="41">
      <c r="A41" s="169" t="s">
        <v>1280</v>
      </c>
      <c r="B41" s="171" t="s">
        <v>182</v>
      </c>
      <c r="C41" s="169" t="s">
        <v>1281</v>
      </c>
      <c r="D41" s="169"/>
      <c r="E41" s="169"/>
      <c r="F41" s="169"/>
      <c r="G41" s="169"/>
      <c r="H41" s="169"/>
    </row>
    <row r="42">
      <c r="A42" s="169" t="s">
        <v>1282</v>
      </c>
      <c r="B42" s="171" t="s">
        <v>185</v>
      </c>
      <c r="C42" s="169" t="s">
        <v>186</v>
      </c>
      <c r="D42" s="169"/>
      <c r="E42" s="169"/>
      <c r="F42" s="169"/>
      <c r="G42" s="169"/>
      <c r="H42" s="169"/>
    </row>
    <row r="43">
      <c r="A43" s="169" t="s">
        <v>1283</v>
      </c>
      <c r="B43" s="171" t="s">
        <v>1216</v>
      </c>
      <c r="C43" s="175" t="s">
        <v>1215</v>
      </c>
      <c r="D43" s="169"/>
      <c r="E43" s="169"/>
      <c r="F43" s="169"/>
      <c r="G43" s="169"/>
      <c r="H43" s="169"/>
    </row>
    <row r="44">
      <c r="A44" s="169" t="s">
        <v>1284</v>
      </c>
      <c r="B44" s="171" t="s">
        <v>188</v>
      </c>
      <c r="C44" s="169" t="s">
        <v>1285</v>
      </c>
      <c r="D44" s="169"/>
      <c r="E44" s="169"/>
      <c r="F44" s="169"/>
      <c r="G44" s="169"/>
      <c r="H44" s="169"/>
    </row>
    <row r="45">
      <c r="A45" s="169" t="s">
        <v>1286</v>
      </c>
      <c r="B45" s="171" t="s">
        <v>191</v>
      </c>
      <c r="C45" s="169" t="s">
        <v>1287</v>
      </c>
      <c r="D45" s="169"/>
      <c r="E45" s="169"/>
      <c r="F45" s="169"/>
      <c r="G45" s="169"/>
      <c r="H45" s="169"/>
    </row>
    <row r="46">
      <c r="A46" s="169" t="s">
        <v>1288</v>
      </c>
      <c r="B46" s="171" t="s">
        <v>194</v>
      </c>
      <c r="C46" s="169" t="s">
        <v>1289</v>
      </c>
      <c r="D46" s="169"/>
      <c r="E46" s="169"/>
      <c r="F46" s="169"/>
      <c r="G46" s="169"/>
      <c r="H46" s="169"/>
    </row>
    <row r="47">
      <c r="A47" s="169" t="s">
        <v>1290</v>
      </c>
      <c r="B47" s="171" t="s">
        <v>1189</v>
      </c>
      <c r="C47" s="175" t="s">
        <v>1188</v>
      </c>
      <c r="D47" s="169"/>
      <c r="E47" s="169"/>
      <c r="F47" s="169"/>
      <c r="G47" s="169"/>
      <c r="H47" s="169"/>
    </row>
    <row r="48">
      <c r="A48" s="169" t="s">
        <v>1291</v>
      </c>
      <c r="B48" s="171" t="s">
        <v>197</v>
      </c>
      <c r="C48" s="169" t="s">
        <v>198</v>
      </c>
      <c r="D48" s="169"/>
      <c r="E48" s="169"/>
      <c r="F48" s="169"/>
      <c r="G48" s="169"/>
      <c r="H48" s="169"/>
    </row>
    <row r="49">
      <c r="A49" s="169" t="s">
        <v>1292</v>
      </c>
      <c r="B49" s="171" t="s">
        <v>200</v>
      </c>
      <c r="C49" s="169" t="s">
        <v>1293</v>
      </c>
      <c r="D49" s="169"/>
      <c r="E49" s="169"/>
      <c r="F49" s="169"/>
      <c r="G49" s="169"/>
      <c r="H49" s="169"/>
    </row>
    <row r="50">
      <c r="A50" s="169" t="s">
        <v>1294</v>
      </c>
      <c r="B50" s="171" t="s">
        <v>1221</v>
      </c>
      <c r="C50" s="175" t="s">
        <v>1220</v>
      </c>
      <c r="D50" s="169"/>
      <c r="E50" s="169"/>
      <c r="F50" s="169"/>
      <c r="G50" s="169"/>
      <c r="H50" s="169"/>
    </row>
    <row r="51">
      <c r="A51" s="169" t="s">
        <v>1295</v>
      </c>
      <c r="B51" s="171" t="s">
        <v>203</v>
      </c>
      <c r="C51" s="169" t="s">
        <v>204</v>
      </c>
      <c r="D51" s="169"/>
      <c r="E51" s="169"/>
      <c r="F51" s="169"/>
      <c r="G51" s="169"/>
      <c r="H51" s="169"/>
    </row>
    <row r="52">
      <c r="A52" s="169" t="s">
        <v>1296</v>
      </c>
      <c r="B52" s="171" t="s">
        <v>206</v>
      </c>
      <c r="C52" s="169" t="s">
        <v>1297</v>
      </c>
      <c r="D52" s="169"/>
      <c r="E52" s="169"/>
      <c r="F52" s="169"/>
      <c r="G52" s="169"/>
      <c r="H52" s="169"/>
    </row>
    <row r="53">
      <c r="A53" s="169" t="s">
        <v>1298</v>
      </c>
      <c r="B53" s="171" t="s">
        <v>209</v>
      </c>
      <c r="C53" s="169" t="s">
        <v>1299</v>
      </c>
      <c r="D53" s="169"/>
      <c r="E53" s="169"/>
      <c r="F53" s="169"/>
      <c r="G53" s="169"/>
      <c r="H53" s="169"/>
    </row>
    <row r="54">
      <c r="A54" s="169" t="s">
        <v>1300</v>
      </c>
      <c r="B54" s="171" t="s">
        <v>212</v>
      </c>
      <c r="C54" s="169" t="s">
        <v>213</v>
      </c>
      <c r="D54" s="169"/>
      <c r="E54" s="169"/>
      <c r="F54" s="169"/>
      <c r="G54" s="169"/>
      <c r="H54" s="169"/>
    </row>
    <row r="55">
      <c r="A55" s="169" t="s">
        <v>1301</v>
      </c>
      <c r="B55" s="171" t="s">
        <v>215</v>
      </c>
      <c r="C55" s="169" t="s">
        <v>1302</v>
      </c>
      <c r="D55" s="169"/>
      <c r="E55" s="169"/>
      <c r="F55" s="169"/>
      <c r="G55" s="169"/>
      <c r="H55" s="169"/>
    </row>
    <row r="56">
      <c r="A56" s="169" t="s">
        <v>1303</v>
      </c>
      <c r="B56" s="171" t="s">
        <v>218</v>
      </c>
      <c r="C56" s="169" t="s">
        <v>219</v>
      </c>
      <c r="D56" s="169"/>
      <c r="E56" s="169"/>
      <c r="F56" s="169"/>
      <c r="G56" s="169"/>
      <c r="H56" s="169"/>
    </row>
    <row r="57">
      <c r="A57" s="169" t="s">
        <v>1304</v>
      </c>
      <c r="B57" s="171" t="s">
        <v>221</v>
      </c>
      <c r="C57" s="169" t="s">
        <v>1305</v>
      </c>
      <c r="D57" s="169"/>
      <c r="E57" s="169"/>
      <c r="F57" s="169"/>
      <c r="G57" s="169"/>
      <c r="H57" s="169"/>
    </row>
    <row r="58">
      <c r="A58" s="169" t="s">
        <v>1306</v>
      </c>
      <c r="B58" s="171" t="s">
        <v>224</v>
      </c>
      <c r="C58" s="169" t="s">
        <v>1307</v>
      </c>
      <c r="D58" s="169"/>
      <c r="E58" s="169"/>
      <c r="F58" s="169"/>
      <c r="G58" s="169"/>
      <c r="H58" s="169"/>
    </row>
    <row r="59">
      <c r="A59" s="169" t="s">
        <v>1308</v>
      </c>
      <c r="B59" s="171" t="s">
        <v>227</v>
      </c>
      <c r="C59" s="169" t="s">
        <v>1309</v>
      </c>
      <c r="D59" s="169"/>
      <c r="E59" s="169"/>
      <c r="F59" s="169"/>
      <c r="G59" s="169"/>
      <c r="H59" s="169"/>
    </row>
    <row r="60">
      <c r="A60" s="169" t="s">
        <v>1310</v>
      </c>
      <c r="B60" s="171" t="s">
        <v>230</v>
      </c>
      <c r="C60" s="169" t="s">
        <v>231</v>
      </c>
      <c r="D60" s="169"/>
      <c r="E60" s="169"/>
      <c r="F60" s="169"/>
      <c r="G60" s="169"/>
      <c r="H60" s="169"/>
    </row>
    <row r="61">
      <c r="A61" s="169" t="s">
        <v>1311</v>
      </c>
      <c r="B61" s="171" t="s">
        <v>1174</v>
      </c>
      <c r="C61" s="175" t="s">
        <v>1173</v>
      </c>
      <c r="D61" s="169"/>
      <c r="E61" s="169"/>
      <c r="F61" s="169"/>
      <c r="G61" s="169"/>
      <c r="H61" s="169"/>
    </row>
    <row r="62">
      <c r="A62" s="169" t="s">
        <v>1312</v>
      </c>
      <c r="B62" s="171" t="s">
        <v>233</v>
      </c>
      <c r="C62" s="169" t="s">
        <v>1313</v>
      </c>
      <c r="D62" s="169"/>
      <c r="E62" s="169"/>
      <c r="F62" s="169"/>
      <c r="G62" s="169"/>
      <c r="H62" s="169"/>
    </row>
    <row r="63">
      <c r="A63" s="169" t="s">
        <v>1314</v>
      </c>
      <c r="B63" s="171" t="s">
        <v>236</v>
      </c>
      <c r="C63" s="169" t="s">
        <v>1315</v>
      </c>
      <c r="D63" s="169"/>
      <c r="E63" s="169"/>
      <c r="F63" s="169"/>
      <c r="G63" s="169"/>
      <c r="H63" s="169"/>
    </row>
    <row r="64">
      <c r="A64" s="169" t="s">
        <v>1316</v>
      </c>
      <c r="B64" s="171" t="s">
        <v>1211</v>
      </c>
      <c r="C64" s="175" t="s">
        <v>1317</v>
      </c>
      <c r="D64" s="169"/>
      <c r="E64" s="169"/>
      <c r="F64" s="169"/>
      <c r="G64" s="169"/>
      <c r="H64" s="169"/>
    </row>
    <row r="65">
      <c r="A65" s="169" t="s">
        <v>1318</v>
      </c>
      <c r="B65" s="171" t="s">
        <v>1168</v>
      </c>
      <c r="C65" s="175" t="s">
        <v>1167</v>
      </c>
      <c r="D65" s="169"/>
      <c r="E65" s="169"/>
      <c r="F65" s="169"/>
      <c r="G65" s="169"/>
      <c r="H65" s="169"/>
    </row>
    <row r="66">
      <c r="A66" s="169" t="s">
        <v>1319</v>
      </c>
      <c r="B66" s="171" t="s">
        <v>239</v>
      </c>
      <c r="C66" s="169" t="s">
        <v>240</v>
      </c>
      <c r="D66" s="169"/>
      <c r="E66" s="169"/>
      <c r="F66" s="169"/>
      <c r="G66" s="169"/>
      <c r="H66" s="169"/>
    </row>
    <row r="67">
      <c r="A67" s="169" t="s">
        <v>1320</v>
      </c>
      <c r="B67" s="171" t="s">
        <v>1236</v>
      </c>
      <c r="C67" s="175" t="s">
        <v>1321</v>
      </c>
      <c r="D67" s="169"/>
      <c r="E67" s="169"/>
      <c r="F67" s="169"/>
      <c r="G67" s="169"/>
      <c r="H67" s="169"/>
    </row>
    <row r="68">
      <c r="A68" s="169" t="s">
        <v>1322</v>
      </c>
      <c r="B68" s="171" t="s">
        <v>242</v>
      </c>
      <c r="C68" s="169" t="s">
        <v>1323</v>
      </c>
      <c r="D68" s="169"/>
      <c r="E68" s="169"/>
      <c r="F68" s="169"/>
      <c r="G68" s="169"/>
      <c r="H68" s="169"/>
    </row>
    <row r="69">
      <c r="A69" s="169" t="s">
        <v>1324</v>
      </c>
      <c r="B69" s="171" t="s">
        <v>245</v>
      </c>
      <c r="C69" s="169" t="s">
        <v>1325</v>
      </c>
      <c r="D69" s="169"/>
      <c r="E69" s="169"/>
      <c r="F69" s="169"/>
      <c r="G69" s="169"/>
      <c r="H69" s="169"/>
    </row>
    <row r="70">
      <c r="A70" s="169" t="s">
        <v>1326</v>
      </c>
      <c r="B70" s="171" t="s">
        <v>248</v>
      </c>
      <c r="C70" s="169" t="s">
        <v>1327</v>
      </c>
      <c r="D70" s="169"/>
      <c r="E70" s="169"/>
      <c r="F70" s="169"/>
      <c r="G70" s="169"/>
      <c r="H70" s="169"/>
    </row>
    <row r="71">
      <c r="A71" s="169" t="s">
        <v>1328</v>
      </c>
      <c r="B71" s="171" t="s">
        <v>251</v>
      </c>
      <c r="C71" s="169" t="s">
        <v>1329</v>
      </c>
      <c r="D71" s="169"/>
      <c r="E71" s="169"/>
      <c r="F71" s="169"/>
      <c r="G71" s="169"/>
      <c r="H71" s="169"/>
    </row>
    <row r="72">
      <c r="A72" s="169" t="s">
        <v>1330</v>
      </c>
      <c r="B72" s="171" t="s">
        <v>254</v>
      </c>
      <c r="C72" s="169" t="s">
        <v>255</v>
      </c>
      <c r="D72" s="169"/>
      <c r="E72" s="169"/>
      <c r="F72" s="169"/>
      <c r="G72" s="169"/>
      <c r="H72" s="169"/>
    </row>
    <row r="73">
      <c r="A73" s="169" t="s">
        <v>1331</v>
      </c>
      <c r="B73" s="171" t="s">
        <v>257</v>
      </c>
      <c r="C73" s="169" t="s">
        <v>258</v>
      </c>
      <c r="D73" s="169"/>
      <c r="E73" s="169"/>
      <c r="F73" s="169"/>
      <c r="G73" s="169"/>
      <c r="H73" s="169"/>
    </row>
    <row r="74">
      <c r="A74" s="169" t="s">
        <v>1332</v>
      </c>
      <c r="B74" s="171" t="s">
        <v>259</v>
      </c>
      <c r="C74" s="169" t="s">
        <v>1333</v>
      </c>
      <c r="D74" s="169"/>
      <c r="E74" s="169"/>
      <c r="F74" s="169"/>
      <c r="G74" s="169"/>
      <c r="H74" s="169"/>
    </row>
    <row r="75">
      <c r="A75" s="169" t="s">
        <v>1334</v>
      </c>
      <c r="B75" s="171" t="s">
        <v>262</v>
      </c>
      <c r="C75" s="169" t="s">
        <v>263</v>
      </c>
      <c r="D75" s="169"/>
      <c r="E75" s="169"/>
      <c r="F75" s="169"/>
      <c r="G75" s="169"/>
      <c r="H75" s="169"/>
    </row>
    <row r="76">
      <c r="A76" s="169" t="s">
        <v>1335</v>
      </c>
      <c r="B76" s="171" t="s">
        <v>264</v>
      </c>
      <c r="C76" s="169" t="s">
        <v>1336</v>
      </c>
      <c r="D76" s="169"/>
      <c r="E76" s="169"/>
      <c r="F76" s="169"/>
      <c r="G76" s="169"/>
      <c r="H76" s="169"/>
    </row>
    <row r="77">
      <c r="A77" s="169" t="s">
        <v>1337</v>
      </c>
      <c r="B77" s="171" t="s">
        <v>1240</v>
      </c>
      <c r="C77" s="175" t="s">
        <v>1239</v>
      </c>
      <c r="D77" s="169"/>
      <c r="E77" s="169"/>
      <c r="F77" s="169"/>
      <c r="G77" s="169"/>
      <c r="H77" s="169"/>
    </row>
    <row r="78">
      <c r="A78" s="169" t="s">
        <v>1338</v>
      </c>
      <c r="B78" s="171" t="s">
        <v>267</v>
      </c>
      <c r="C78" s="169" t="s">
        <v>1339</v>
      </c>
      <c r="D78" s="169"/>
      <c r="E78" s="169"/>
      <c r="F78" s="169"/>
      <c r="G78" s="169"/>
      <c r="H78" s="169"/>
    </row>
    <row r="79">
      <c r="A79" s="169" t="s">
        <v>1340</v>
      </c>
      <c r="B79" s="171" t="s">
        <v>270</v>
      </c>
      <c r="C79" s="169" t="s">
        <v>271</v>
      </c>
      <c r="D79" s="169"/>
      <c r="E79" s="169"/>
      <c r="F79" s="169"/>
      <c r="G79" s="169"/>
      <c r="H79" s="169"/>
    </row>
    <row r="80">
      <c r="A80" s="169" t="s">
        <v>1341</v>
      </c>
      <c r="B80" s="171" t="s">
        <v>1177</v>
      </c>
      <c r="C80" s="175" t="s">
        <v>1176</v>
      </c>
      <c r="D80" s="169"/>
      <c r="E80" s="169"/>
      <c r="F80" s="169"/>
      <c r="G80" s="169"/>
      <c r="H80" s="169"/>
    </row>
    <row r="81">
      <c r="A81" s="169" t="s">
        <v>1342</v>
      </c>
      <c r="B81" s="171" t="s">
        <v>1227</v>
      </c>
      <c r="C81" s="175" t="s">
        <v>1226</v>
      </c>
      <c r="D81" s="169"/>
      <c r="E81" s="169"/>
      <c r="F81" s="169"/>
      <c r="G81" s="169"/>
      <c r="H81" s="169"/>
    </row>
    <row r="82">
      <c r="A82" s="169" t="s">
        <v>1343</v>
      </c>
      <c r="B82" s="171" t="s">
        <v>273</v>
      </c>
      <c r="C82" s="169" t="s">
        <v>274</v>
      </c>
      <c r="D82" s="169"/>
      <c r="E82" s="169"/>
      <c r="F82" s="169"/>
      <c r="G82" s="169"/>
      <c r="H82" s="169"/>
    </row>
    <row r="83">
      <c r="A83" s="169" t="s">
        <v>1344</v>
      </c>
      <c r="B83" s="171" t="s">
        <v>1224</v>
      </c>
      <c r="C83" s="175" t="s">
        <v>1223</v>
      </c>
      <c r="D83" s="169"/>
      <c r="E83" s="169"/>
      <c r="F83" s="169"/>
      <c r="G83" s="169"/>
      <c r="H83" s="169"/>
    </row>
    <row r="84">
      <c r="A84" s="169" t="s">
        <v>1345</v>
      </c>
      <c r="B84" s="171" t="s">
        <v>276</v>
      </c>
      <c r="C84" s="169" t="s">
        <v>1346</v>
      </c>
      <c r="D84" s="169"/>
      <c r="E84" s="169"/>
      <c r="F84" s="169"/>
      <c r="G84" s="169"/>
      <c r="H84" s="169"/>
    </row>
    <row r="85">
      <c r="A85" s="169" t="s">
        <v>1347</v>
      </c>
      <c r="B85" s="171" t="s">
        <v>279</v>
      </c>
      <c r="C85" s="169" t="s">
        <v>280</v>
      </c>
      <c r="D85" s="169"/>
      <c r="E85" s="169"/>
      <c r="F85" s="169"/>
      <c r="G85" s="169"/>
      <c r="H85" s="169"/>
    </row>
    <row r="86">
      <c r="A86" s="169" t="s">
        <v>1348</v>
      </c>
      <c r="B86" s="171" t="s">
        <v>282</v>
      </c>
      <c r="C86" s="169" t="s">
        <v>1349</v>
      </c>
      <c r="D86" s="169"/>
      <c r="E86" s="169"/>
      <c r="F86" s="169"/>
      <c r="G86" s="169"/>
      <c r="H86" s="169"/>
    </row>
    <row r="87">
      <c r="A87" s="169" t="s">
        <v>1350</v>
      </c>
      <c r="B87" s="171" t="s">
        <v>285</v>
      </c>
      <c r="C87" s="169" t="s">
        <v>1351</v>
      </c>
      <c r="D87" s="169"/>
      <c r="E87" s="169"/>
      <c r="F87" s="169"/>
      <c r="G87" s="169"/>
      <c r="H87" s="169"/>
    </row>
    <row r="88">
      <c r="A88" s="169" t="s">
        <v>1352</v>
      </c>
      <c r="B88" s="171" t="s">
        <v>291</v>
      </c>
      <c r="C88" s="169" t="s">
        <v>1353</v>
      </c>
      <c r="D88" s="169"/>
      <c r="E88" s="169"/>
      <c r="F88" s="169"/>
      <c r="G88" s="169"/>
      <c r="H88" s="169"/>
    </row>
    <row r="89">
      <c r="A89" s="169" t="s">
        <v>1354</v>
      </c>
      <c r="B89" s="171" t="s">
        <v>288</v>
      </c>
      <c r="C89" s="169" t="s">
        <v>1355</v>
      </c>
      <c r="D89" s="169"/>
      <c r="E89" s="169"/>
      <c r="F89" s="169"/>
      <c r="G89" s="169"/>
      <c r="H89" s="169"/>
    </row>
    <row r="90">
      <c r="A90" s="169" t="s">
        <v>1356</v>
      </c>
      <c r="B90" s="171" t="s">
        <v>293</v>
      </c>
      <c r="C90" s="169" t="s">
        <v>294</v>
      </c>
      <c r="D90" s="169"/>
      <c r="E90" s="169"/>
      <c r="F90" s="169"/>
      <c r="G90" s="169"/>
      <c r="H90" s="169"/>
    </row>
    <row r="91">
      <c r="A91" s="169" t="s">
        <v>1357</v>
      </c>
      <c r="B91" s="171" t="s">
        <v>296</v>
      </c>
      <c r="C91" s="169" t="s">
        <v>297</v>
      </c>
      <c r="D91" s="169"/>
      <c r="E91" s="169"/>
      <c r="F91" s="169"/>
      <c r="G91" s="169"/>
      <c r="H91" s="169"/>
    </row>
    <row r="92">
      <c r="A92" s="169" t="s">
        <v>1358</v>
      </c>
      <c r="B92" s="171" t="s">
        <v>1202</v>
      </c>
      <c r="C92" s="175" t="s">
        <v>1201</v>
      </c>
      <c r="D92" s="169"/>
      <c r="E92" s="169"/>
      <c r="F92" s="169"/>
      <c r="G92" s="169"/>
      <c r="H92" s="169"/>
    </row>
    <row r="93">
      <c r="A93" s="169" t="s">
        <v>1359</v>
      </c>
      <c r="B93" s="171" t="s">
        <v>299</v>
      </c>
      <c r="C93" s="169" t="s">
        <v>1360</v>
      </c>
      <c r="D93" s="169"/>
      <c r="E93" s="169"/>
      <c r="F93" s="169"/>
      <c r="G93" s="169"/>
      <c r="H93" s="169"/>
    </row>
    <row r="94">
      <c r="A94" s="169" t="s">
        <v>1361</v>
      </c>
      <c r="B94" s="171" t="s">
        <v>1207</v>
      </c>
      <c r="C94" s="175" t="s">
        <v>1206</v>
      </c>
      <c r="D94" s="169"/>
      <c r="E94" s="169"/>
      <c r="F94" s="169"/>
      <c r="G94" s="169"/>
      <c r="H94" s="169"/>
    </row>
    <row r="95">
      <c r="A95" s="169" t="s">
        <v>1362</v>
      </c>
      <c r="B95" s="171" t="s">
        <v>302</v>
      </c>
      <c r="C95" s="169" t="s">
        <v>303</v>
      </c>
      <c r="D95" s="169"/>
      <c r="E95" s="169"/>
      <c r="F95" s="169"/>
      <c r="G95" s="169"/>
      <c r="H95" s="169"/>
    </row>
    <row r="96">
      <c r="A96" s="169" t="s">
        <v>1363</v>
      </c>
      <c r="B96" s="171" t="s">
        <v>305</v>
      </c>
      <c r="C96" s="169" t="s">
        <v>1364</v>
      </c>
      <c r="D96" s="169"/>
      <c r="E96" s="169"/>
      <c r="F96" s="169"/>
      <c r="G96" s="169"/>
      <c r="H96" s="169"/>
    </row>
    <row r="97">
      <c r="A97" s="169" t="s">
        <v>1365</v>
      </c>
      <c r="B97" s="171" t="s">
        <v>308</v>
      </c>
      <c r="C97" s="169" t="s">
        <v>1366</v>
      </c>
      <c r="D97" s="169"/>
      <c r="E97" s="169"/>
      <c r="F97" s="169"/>
      <c r="G97" s="169"/>
      <c r="H97" s="169"/>
    </row>
    <row r="98">
      <c r="A98" s="169" t="s">
        <v>1367</v>
      </c>
      <c r="B98" s="171" t="s">
        <v>311</v>
      </c>
      <c r="C98" s="169" t="s">
        <v>312</v>
      </c>
      <c r="D98" s="169"/>
      <c r="E98" s="169"/>
      <c r="F98" s="169"/>
      <c r="G98" s="169"/>
      <c r="H98" s="169"/>
    </row>
    <row r="99">
      <c r="A99" s="169" t="s">
        <v>1368</v>
      </c>
      <c r="B99" s="171" t="s">
        <v>314</v>
      </c>
      <c r="C99" s="169" t="s">
        <v>1369</v>
      </c>
      <c r="D99" s="169"/>
      <c r="E99" s="169"/>
      <c r="F99" s="169"/>
      <c r="G99" s="169"/>
      <c r="H99" s="169"/>
    </row>
    <row r="100">
      <c r="A100" s="169" t="s">
        <v>1370</v>
      </c>
      <c r="B100" s="171" t="s">
        <v>1186</v>
      </c>
      <c r="C100" s="175" t="s">
        <v>1371</v>
      </c>
      <c r="D100" s="169"/>
      <c r="E100" s="169"/>
      <c r="F100" s="169"/>
      <c r="G100" s="169"/>
      <c r="H100" s="169"/>
    </row>
    <row r="101">
      <c r="A101" s="169" t="s">
        <v>1372</v>
      </c>
      <c r="B101" s="171" t="s">
        <v>1245</v>
      </c>
      <c r="C101" s="175" t="s">
        <v>1244</v>
      </c>
      <c r="D101" s="169"/>
      <c r="E101" s="169"/>
      <c r="F101" s="169"/>
      <c r="G101" s="169"/>
      <c r="H101" s="169"/>
    </row>
    <row r="102">
      <c r="A102" s="169" t="s">
        <v>1373</v>
      </c>
      <c r="B102" s="171" t="s">
        <v>317</v>
      </c>
      <c r="C102" s="169" t="s">
        <v>1374</v>
      </c>
      <c r="D102" s="169"/>
      <c r="E102" s="169"/>
      <c r="F102" s="169"/>
      <c r="G102" s="169"/>
      <c r="H102" s="169"/>
    </row>
    <row r="103">
      <c r="A103" s="169" t="s">
        <v>1375</v>
      </c>
      <c r="B103" s="171" t="s">
        <v>320</v>
      </c>
      <c r="C103" s="169" t="s">
        <v>1376</v>
      </c>
      <c r="D103" s="169"/>
      <c r="E103" s="169"/>
      <c r="F103" s="169"/>
      <c r="G103" s="169"/>
      <c r="H103" s="169"/>
    </row>
    <row r="104">
      <c r="A104" s="169" t="s">
        <v>1377</v>
      </c>
      <c r="B104" s="171" t="s">
        <v>323</v>
      </c>
      <c r="C104" s="169" t="s">
        <v>1378</v>
      </c>
      <c r="D104" s="169"/>
      <c r="E104" s="169"/>
      <c r="F104" s="169"/>
      <c r="G104" s="169"/>
      <c r="H104" s="169"/>
    </row>
    <row r="105">
      <c r="A105" s="169" t="s">
        <v>1379</v>
      </c>
      <c r="B105" s="171" t="s">
        <v>1248</v>
      </c>
      <c r="C105" s="175" t="s">
        <v>1247</v>
      </c>
      <c r="D105" s="169"/>
      <c r="E105" s="169"/>
      <c r="F105" s="169"/>
      <c r="G105" s="169"/>
      <c r="H105" s="169"/>
    </row>
    <row r="106">
      <c r="A106" s="169" t="s">
        <v>1380</v>
      </c>
      <c r="B106" s="171" t="s">
        <v>1231</v>
      </c>
      <c r="C106" s="175" t="s">
        <v>1230</v>
      </c>
      <c r="D106" s="169"/>
      <c r="E106" s="169"/>
      <c r="F106" s="169"/>
      <c r="G106" s="169"/>
      <c r="H106" s="169"/>
    </row>
    <row r="107">
      <c r="A107" s="169" t="s">
        <v>1381</v>
      </c>
      <c r="B107" s="171" t="s">
        <v>326</v>
      </c>
      <c r="C107" s="169" t="s">
        <v>1382</v>
      </c>
      <c r="D107" s="169"/>
      <c r="E107" s="169"/>
      <c r="F107" s="169"/>
      <c r="G107" s="169"/>
      <c r="H107" s="169"/>
    </row>
    <row r="108">
      <c r="A108" s="169" t="s">
        <v>1383</v>
      </c>
      <c r="B108" s="171" t="s">
        <v>329</v>
      </c>
      <c r="C108" s="169" t="s">
        <v>1384</v>
      </c>
      <c r="D108" s="169"/>
      <c r="E108" s="169"/>
      <c r="F108" s="169"/>
      <c r="G108" s="169"/>
      <c r="H108" s="169"/>
    </row>
    <row r="109">
      <c r="A109" s="169" t="s">
        <v>1385</v>
      </c>
      <c r="B109" s="171" t="s">
        <v>332</v>
      </c>
      <c r="C109" s="169" t="s">
        <v>1386</v>
      </c>
      <c r="D109" s="169"/>
      <c r="E109" s="169"/>
      <c r="F109" s="169"/>
      <c r="G109" s="169"/>
      <c r="H109" s="169"/>
    </row>
    <row r="110">
      <c r="A110" s="169" t="s">
        <v>1387</v>
      </c>
      <c r="B110" s="171" t="s">
        <v>335</v>
      </c>
      <c r="C110" s="169" t="s">
        <v>1388</v>
      </c>
      <c r="D110" s="169"/>
      <c r="E110" s="169"/>
      <c r="F110" s="169"/>
      <c r="G110" s="169"/>
      <c r="H110" s="169"/>
    </row>
    <row r="111">
      <c r="A111" s="169" t="s">
        <v>1389</v>
      </c>
      <c r="B111" s="171" t="s">
        <v>338</v>
      </c>
      <c r="C111" s="169" t="s">
        <v>1390</v>
      </c>
      <c r="D111" s="169"/>
      <c r="E111" s="169"/>
      <c r="F111" s="169"/>
      <c r="G111" s="169"/>
      <c r="H111" s="169"/>
    </row>
    <row r="112">
      <c r="A112" s="169" t="s">
        <v>1391</v>
      </c>
      <c r="B112" s="171" t="s">
        <v>341</v>
      </c>
      <c r="C112" s="169" t="s">
        <v>1392</v>
      </c>
      <c r="D112" s="169"/>
      <c r="E112" s="169"/>
      <c r="F112" s="169"/>
      <c r="G112" s="169"/>
      <c r="H112" s="169"/>
    </row>
    <row r="113">
      <c r="A113" s="169" t="s">
        <v>1393</v>
      </c>
      <c r="B113" s="171" t="s">
        <v>344</v>
      </c>
      <c r="C113" s="169" t="s">
        <v>345</v>
      </c>
      <c r="D113" s="169"/>
      <c r="E113" s="169"/>
      <c r="F113" s="169"/>
      <c r="G113" s="169"/>
      <c r="H113" s="169"/>
    </row>
    <row r="114">
      <c r="A114" s="169" t="s">
        <v>1394</v>
      </c>
      <c r="B114" s="171" t="s">
        <v>347</v>
      </c>
      <c r="C114" s="169" t="s">
        <v>1395</v>
      </c>
      <c r="D114" s="169"/>
      <c r="E114" s="169"/>
      <c r="F114" s="169"/>
      <c r="G114" s="169"/>
      <c r="H114" s="169"/>
    </row>
    <row r="115">
      <c r="A115" s="169" t="s">
        <v>1396</v>
      </c>
      <c r="B115" s="171" t="s">
        <v>350</v>
      </c>
      <c r="C115" s="169" t="s">
        <v>1397</v>
      </c>
      <c r="D115" s="169"/>
      <c r="E115" s="169"/>
      <c r="F115" s="169"/>
      <c r="G115" s="169"/>
      <c r="H115" s="169"/>
    </row>
    <row r="116">
      <c r="A116" s="169" t="s">
        <v>1398</v>
      </c>
      <c r="B116" s="171" t="s">
        <v>353</v>
      </c>
      <c r="C116" s="169" t="s">
        <v>1399</v>
      </c>
      <c r="D116" s="169"/>
      <c r="E116" s="169"/>
      <c r="F116" s="169"/>
      <c r="G116" s="169"/>
      <c r="H116" s="169"/>
    </row>
    <row r="117">
      <c r="A117" s="169" t="s">
        <v>1400</v>
      </c>
      <c r="B117" s="171" t="s">
        <v>356</v>
      </c>
      <c r="C117" s="169" t="s">
        <v>357</v>
      </c>
      <c r="D117" s="169"/>
      <c r="E117" s="169"/>
      <c r="F117" s="169"/>
      <c r="G117" s="169"/>
      <c r="H117" s="169"/>
    </row>
    <row r="118">
      <c r="A118" s="169" t="s">
        <v>1401</v>
      </c>
      <c r="B118" s="171" t="s">
        <v>359</v>
      </c>
      <c r="C118" s="169" t="s">
        <v>1402</v>
      </c>
      <c r="D118" s="169"/>
      <c r="E118" s="169"/>
      <c r="F118" s="169"/>
      <c r="G118" s="169"/>
      <c r="H118" s="169"/>
    </row>
    <row r="119">
      <c r="A119" s="169" t="s">
        <v>1403</v>
      </c>
      <c r="B119" s="171" t="s">
        <v>362</v>
      </c>
      <c r="C119" s="169" t="s">
        <v>1404</v>
      </c>
      <c r="D119" s="169"/>
      <c r="E119" s="169"/>
      <c r="F119" s="169"/>
      <c r="G119" s="169"/>
      <c r="H119" s="169"/>
    </row>
    <row r="120">
      <c r="A120" s="169" t="s">
        <v>1405</v>
      </c>
      <c r="B120" s="171" t="s">
        <v>365</v>
      </c>
      <c r="C120" s="169" t="s">
        <v>1406</v>
      </c>
      <c r="D120" s="169"/>
      <c r="E120" s="169"/>
      <c r="F120" s="169"/>
      <c r="G120" s="169"/>
      <c r="H120" s="169"/>
    </row>
    <row r="121">
      <c r="A121" s="169" t="s">
        <v>1407</v>
      </c>
      <c r="B121" s="171" t="s">
        <v>368</v>
      </c>
      <c r="C121" s="169" t="s">
        <v>1408</v>
      </c>
      <c r="D121" s="169"/>
      <c r="E121" s="169"/>
      <c r="F121" s="169"/>
      <c r="G121" s="169"/>
      <c r="H121" s="169"/>
    </row>
    <row r="122">
      <c r="A122" s="169" t="s">
        <v>1409</v>
      </c>
      <c r="B122" s="171" t="s">
        <v>371</v>
      </c>
      <c r="C122" s="169" t="s">
        <v>1410</v>
      </c>
      <c r="D122" s="169"/>
      <c r="E122" s="169"/>
      <c r="F122" s="169"/>
      <c r="G122" s="169"/>
      <c r="H122" s="169"/>
    </row>
    <row r="123">
      <c r="A123" s="169" t="s">
        <v>1411</v>
      </c>
      <c r="B123" s="171" t="s">
        <v>374</v>
      </c>
      <c r="C123" s="169" t="s">
        <v>1412</v>
      </c>
      <c r="D123" s="169"/>
      <c r="E123" s="169"/>
      <c r="F123" s="169"/>
      <c r="G123" s="169"/>
      <c r="H123" s="169"/>
    </row>
    <row r="124">
      <c r="A124" s="169" t="s">
        <v>1413</v>
      </c>
      <c r="B124" s="171" t="s">
        <v>377</v>
      </c>
      <c r="C124" s="169" t="s">
        <v>1414</v>
      </c>
      <c r="D124" s="169"/>
      <c r="E124" s="169"/>
      <c r="F124" s="169"/>
      <c r="G124" s="169"/>
      <c r="H124" s="169"/>
    </row>
    <row r="125">
      <c r="A125" s="169" t="s">
        <v>1415</v>
      </c>
      <c r="B125" s="171" t="s">
        <v>380</v>
      </c>
      <c r="C125" s="169" t="s">
        <v>1416</v>
      </c>
      <c r="D125" s="169"/>
      <c r="E125" s="169"/>
      <c r="F125" s="169"/>
      <c r="G125" s="169"/>
      <c r="H125" s="169"/>
    </row>
    <row r="126">
      <c r="A126" s="169" t="s">
        <v>1417</v>
      </c>
      <c r="B126" s="171" t="s">
        <v>383</v>
      </c>
      <c r="C126" s="169" t="s">
        <v>1418</v>
      </c>
      <c r="D126" s="169"/>
      <c r="E126" s="169"/>
      <c r="F126" s="169"/>
      <c r="G126" s="169"/>
      <c r="H126" s="169"/>
    </row>
    <row r="127">
      <c r="A127" s="169" t="s">
        <v>1419</v>
      </c>
      <c r="B127" s="171" t="s">
        <v>386</v>
      </c>
      <c r="C127" s="169" t="s">
        <v>387</v>
      </c>
      <c r="D127" s="169"/>
      <c r="E127" s="169"/>
      <c r="F127" s="169"/>
      <c r="G127" s="169"/>
      <c r="H127" s="169"/>
    </row>
    <row r="128">
      <c r="A128" s="169" t="s">
        <v>1420</v>
      </c>
      <c r="B128" s="171" t="s">
        <v>389</v>
      </c>
      <c r="C128" s="169" t="s">
        <v>1421</v>
      </c>
      <c r="D128" s="169"/>
      <c r="E128" s="169"/>
      <c r="F128" s="169"/>
      <c r="G128" s="169"/>
      <c r="H128" s="169"/>
    </row>
    <row r="129">
      <c r="A129" s="169" t="s">
        <v>1422</v>
      </c>
      <c r="B129" s="171" t="s">
        <v>392</v>
      </c>
      <c r="C129" s="169" t="s">
        <v>1423</v>
      </c>
      <c r="D129" s="169"/>
      <c r="E129" s="169"/>
      <c r="F129" s="169"/>
      <c r="G129" s="169"/>
      <c r="H129" s="169"/>
    </row>
  </sheetData>
  <hyperlinks>
    <hyperlink r:id="rId1" ref="H1"/>
    <hyperlink r:id="rId2" ref="B2"/>
    <hyperlink r:id="rId3" ref="H2"/>
    <hyperlink r:id="rId4" ref="B3"/>
    <hyperlink r:id="rId5" ref="H3"/>
    <hyperlink r:id="rId6" ref="B4"/>
    <hyperlink r:id="rId7" ref="H4"/>
    <hyperlink r:id="rId8" ref="B5"/>
    <hyperlink r:id="rId9" ref="H5"/>
    <hyperlink r:id="rId10" ref="B6"/>
    <hyperlink r:id="rId11" ref="H6"/>
    <hyperlink r:id="rId12" ref="B7"/>
    <hyperlink r:id="rId13" ref="H7"/>
    <hyperlink r:id="rId14" ref="B8"/>
    <hyperlink r:id="rId15" ref="H8"/>
    <hyperlink r:id="rId16" ref="B9"/>
    <hyperlink r:id="rId17" ref="H9"/>
    <hyperlink r:id="rId18" ref="B10"/>
    <hyperlink r:id="rId19" ref="H10"/>
    <hyperlink r:id="rId20" ref="B11"/>
    <hyperlink r:id="rId21" ref="H11"/>
    <hyperlink r:id="rId22" ref="B12"/>
    <hyperlink r:id="rId23" ref="H12"/>
    <hyperlink r:id="rId24" ref="B13"/>
    <hyperlink r:id="rId25" ref="H13"/>
    <hyperlink r:id="rId26" ref="B14"/>
    <hyperlink r:id="rId27" ref="H14"/>
    <hyperlink r:id="rId28" ref="B15"/>
    <hyperlink r:id="rId29" ref="H15"/>
    <hyperlink r:id="rId30" ref="B16"/>
    <hyperlink r:id="rId31" ref="H16"/>
    <hyperlink r:id="rId32" ref="B17"/>
    <hyperlink r:id="rId33" ref="H17"/>
    <hyperlink r:id="rId34" ref="B18"/>
    <hyperlink r:id="rId35" ref="H18"/>
    <hyperlink r:id="rId36" ref="B19"/>
    <hyperlink r:id="rId37" ref="H19"/>
    <hyperlink r:id="rId38" ref="B20"/>
    <hyperlink r:id="rId39" ref="H20"/>
    <hyperlink r:id="rId40" ref="B21"/>
    <hyperlink r:id="rId41" ref="H21"/>
    <hyperlink r:id="rId42" ref="B22"/>
    <hyperlink r:id="rId43" ref="B23"/>
    <hyperlink r:id="rId44" ref="B24"/>
    <hyperlink r:id="rId45" ref="B25"/>
    <hyperlink r:id="rId46" ref="B26"/>
    <hyperlink r:id="rId47" ref="B27"/>
    <hyperlink r:id="rId48" ref="B28"/>
    <hyperlink r:id="rId49" ref="B29"/>
    <hyperlink r:id="rId50" ref="B30"/>
    <hyperlink r:id="rId51" ref="B31"/>
    <hyperlink r:id="rId52" ref="B32"/>
    <hyperlink r:id="rId53" ref="B33"/>
    <hyperlink r:id="rId54" ref="B34"/>
    <hyperlink r:id="rId55" ref="B35"/>
    <hyperlink r:id="rId56" ref="B36"/>
    <hyperlink r:id="rId57" ref="B37"/>
    <hyperlink r:id="rId58" ref="B38"/>
    <hyperlink r:id="rId59" ref="B39"/>
    <hyperlink r:id="rId60" ref="B40"/>
    <hyperlink r:id="rId61" ref="B41"/>
    <hyperlink r:id="rId62" ref="B42"/>
    <hyperlink r:id="rId63" ref="B43"/>
    <hyperlink r:id="rId64" ref="B44"/>
    <hyperlink r:id="rId65" ref="B45"/>
    <hyperlink r:id="rId66" ref="B46"/>
    <hyperlink r:id="rId67" ref="B47"/>
    <hyperlink r:id="rId68" ref="B48"/>
    <hyperlink r:id="rId69" ref="B49"/>
    <hyperlink r:id="rId70" ref="B50"/>
    <hyperlink r:id="rId71" ref="B51"/>
    <hyperlink r:id="rId72" ref="B52"/>
    <hyperlink r:id="rId73" ref="B53"/>
    <hyperlink r:id="rId74" ref="B54"/>
    <hyperlink r:id="rId75" ref="B55"/>
    <hyperlink r:id="rId76" ref="B56"/>
    <hyperlink r:id="rId77" ref="B57"/>
    <hyperlink r:id="rId78" ref="B58"/>
    <hyperlink r:id="rId79" ref="B59"/>
    <hyperlink r:id="rId80" ref="B60"/>
    <hyperlink r:id="rId81" ref="B61"/>
    <hyperlink r:id="rId82" ref="B62"/>
    <hyperlink r:id="rId83" ref="B63"/>
    <hyperlink r:id="rId84" ref="B64"/>
    <hyperlink r:id="rId85" ref="B65"/>
    <hyperlink r:id="rId86" ref="B66"/>
    <hyperlink r:id="rId87" ref="B67"/>
    <hyperlink r:id="rId88" ref="B68"/>
    <hyperlink r:id="rId89" ref="B69"/>
    <hyperlink r:id="rId90" ref="B70"/>
    <hyperlink r:id="rId91" ref="B71"/>
    <hyperlink r:id="rId92" ref="B72"/>
    <hyperlink r:id="rId93" ref="B73"/>
    <hyperlink r:id="rId94" ref="B74"/>
    <hyperlink r:id="rId95" ref="B75"/>
    <hyperlink r:id="rId96" ref="B76"/>
    <hyperlink r:id="rId97" ref="B77"/>
    <hyperlink r:id="rId98" ref="B78"/>
    <hyperlink r:id="rId99" ref="B79"/>
    <hyperlink r:id="rId100" ref="B80"/>
    <hyperlink r:id="rId101" ref="B81"/>
    <hyperlink r:id="rId102" ref="B82"/>
    <hyperlink r:id="rId103" ref="B83"/>
    <hyperlink r:id="rId104" ref="B84"/>
    <hyperlink r:id="rId105" ref="B85"/>
    <hyperlink r:id="rId106" ref="B86"/>
    <hyperlink r:id="rId107" ref="B87"/>
    <hyperlink r:id="rId108" ref="B88"/>
    <hyperlink r:id="rId109" ref="B89"/>
    <hyperlink r:id="rId110" ref="B90"/>
    <hyperlink r:id="rId111" ref="B91"/>
    <hyperlink r:id="rId112" ref="B92"/>
    <hyperlink r:id="rId113" ref="B93"/>
    <hyperlink r:id="rId114" ref="B94"/>
    <hyperlink r:id="rId115" ref="B95"/>
    <hyperlink r:id="rId116" ref="B96"/>
    <hyperlink r:id="rId117" ref="B97"/>
    <hyperlink r:id="rId118" ref="B98"/>
    <hyperlink r:id="rId119" ref="B99"/>
    <hyperlink r:id="rId120" ref="B100"/>
    <hyperlink r:id="rId121" ref="B101"/>
    <hyperlink r:id="rId122" ref="B102"/>
    <hyperlink r:id="rId123" ref="B103"/>
    <hyperlink r:id="rId124" ref="B104"/>
    <hyperlink r:id="rId125" ref="B105"/>
    <hyperlink r:id="rId126" ref="B106"/>
    <hyperlink r:id="rId127" ref="B107"/>
    <hyperlink r:id="rId128" ref="B108"/>
    <hyperlink r:id="rId129" ref="B109"/>
    <hyperlink r:id="rId130" ref="B110"/>
    <hyperlink r:id="rId131" ref="B111"/>
    <hyperlink r:id="rId132" ref="B112"/>
    <hyperlink r:id="rId133" ref="B113"/>
    <hyperlink r:id="rId134" ref="B114"/>
    <hyperlink r:id="rId135" ref="B115"/>
    <hyperlink r:id="rId136" ref="B116"/>
    <hyperlink r:id="rId137" ref="B117"/>
    <hyperlink r:id="rId138" ref="B118"/>
    <hyperlink r:id="rId139" ref="B119"/>
    <hyperlink r:id="rId140" ref="B120"/>
    <hyperlink r:id="rId141" ref="B121"/>
    <hyperlink r:id="rId142" ref="B122"/>
    <hyperlink r:id="rId143" ref="B123"/>
    <hyperlink r:id="rId144" ref="B124"/>
    <hyperlink r:id="rId145" ref="B125"/>
    <hyperlink r:id="rId146" ref="B126"/>
    <hyperlink r:id="rId147" ref="B127"/>
    <hyperlink r:id="rId148" ref="B128"/>
    <hyperlink r:id="rId149" ref="B129"/>
  </hyperlinks>
  <drawing r:id="rId15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3.5"/>
    <col customWidth="1" min="2" max="2" width="17.13"/>
    <col customWidth="1" min="3" max="21" width="5.75"/>
  </cols>
  <sheetData>
    <row r="1">
      <c r="A1" s="177" t="s">
        <v>1424</v>
      </c>
      <c r="B1" s="178" t="s">
        <v>1425</v>
      </c>
      <c r="C1" s="179" t="s">
        <v>49</v>
      </c>
      <c r="D1" s="179" t="s">
        <v>52</v>
      </c>
      <c r="E1" s="180" t="s">
        <v>403</v>
      </c>
      <c r="F1" s="181" t="s">
        <v>53</v>
      </c>
      <c r="G1" s="179" t="s">
        <v>54</v>
      </c>
      <c r="H1" s="182" t="s">
        <v>402</v>
      </c>
      <c r="I1" s="181" t="s">
        <v>59</v>
      </c>
      <c r="J1" s="179" t="s">
        <v>60</v>
      </c>
      <c r="K1" s="180" t="s">
        <v>405</v>
      </c>
      <c r="L1" s="179" t="s">
        <v>62</v>
      </c>
      <c r="M1" s="180" t="s">
        <v>406</v>
      </c>
      <c r="N1" s="179" t="s">
        <v>63</v>
      </c>
      <c r="O1" s="180" t="s">
        <v>407</v>
      </c>
      <c r="P1" s="179" t="s">
        <v>64</v>
      </c>
      <c r="Q1" s="180" t="s">
        <v>408</v>
      </c>
      <c r="R1" s="179" t="s">
        <v>65</v>
      </c>
      <c r="S1" s="180" t="s">
        <v>409</v>
      </c>
      <c r="T1" s="179" t="s">
        <v>66</v>
      </c>
      <c r="U1" s="180" t="s">
        <v>410</v>
      </c>
    </row>
    <row r="2">
      <c r="C2" s="183" t="s">
        <v>132</v>
      </c>
      <c r="D2" s="183" t="s">
        <v>117</v>
      </c>
      <c r="E2" s="184"/>
      <c r="F2" s="185" t="s">
        <v>207</v>
      </c>
      <c r="G2" s="185" t="s">
        <v>384</v>
      </c>
      <c r="H2" s="184" t="s">
        <v>384</v>
      </c>
      <c r="I2" s="185" t="s">
        <v>234</v>
      </c>
      <c r="J2" s="185" t="s">
        <v>207</v>
      </c>
      <c r="K2" s="184" t="s">
        <v>123</v>
      </c>
      <c r="L2" s="183" t="s">
        <v>84</v>
      </c>
      <c r="M2" s="184" t="s">
        <v>150</v>
      </c>
      <c r="N2" s="185" t="s">
        <v>183</v>
      </c>
      <c r="O2" s="184" t="s">
        <v>183</v>
      </c>
      <c r="P2" s="185" t="s">
        <v>268</v>
      </c>
      <c r="Q2" s="184"/>
      <c r="R2" s="185" t="s">
        <v>117</v>
      </c>
      <c r="S2" s="184" t="s">
        <v>156</v>
      </c>
      <c r="T2" s="183" t="s">
        <v>84</v>
      </c>
      <c r="U2" s="186" t="s">
        <v>84</v>
      </c>
    </row>
    <row r="3">
      <c r="C3" s="185" t="s">
        <v>183</v>
      </c>
      <c r="D3" s="185" t="s">
        <v>135</v>
      </c>
      <c r="F3" s="183" t="s">
        <v>268</v>
      </c>
      <c r="G3" s="183" t="s">
        <v>390</v>
      </c>
      <c r="H3" s="184" t="s">
        <v>390</v>
      </c>
      <c r="I3" s="183" t="s">
        <v>268</v>
      </c>
      <c r="J3" s="183" t="s">
        <v>321</v>
      </c>
      <c r="K3" s="184" t="s">
        <v>306</v>
      </c>
      <c r="L3" s="185" t="s">
        <v>95</v>
      </c>
      <c r="M3" s="184" t="s">
        <v>306</v>
      </c>
      <c r="N3" s="183" t="s">
        <v>132</v>
      </c>
      <c r="O3" s="184"/>
      <c r="P3" s="183" t="s">
        <v>381</v>
      </c>
      <c r="Q3" s="184"/>
      <c r="R3" s="183" t="s">
        <v>207</v>
      </c>
      <c r="S3" s="187"/>
      <c r="T3" s="185" t="s">
        <v>95</v>
      </c>
      <c r="U3" s="184" t="s">
        <v>150</v>
      </c>
    </row>
    <row r="4">
      <c r="A4" s="183" t="s">
        <v>84</v>
      </c>
      <c r="B4" s="178">
        <f>countif(imp.agi,rept("?",6)&amp;"*")+
countif(imp.hwb,rept("?",6)&amp;"*")+
countif(imp.epc,rept("?",6)&amp;"*")+
countif(imp.gkxn,rept("?",6)&amp;"*")+
countif(imp.gen,rept("?",6)&amp;"*")+
countif(imp.kmp,rept("?",6)&amp;"*")+
countif(imp.lu2,rept("?",6)&amp;"*")+
countif(imp.myc,rept("?",6)&amp;"*")+
countif(imp.nar,rept("?",6)&amp;"*")+
countif(imp.que,rept("?",6)&amp;"*")</f>
        <v>52</v>
      </c>
      <c r="C4" s="183" t="s">
        <v>283</v>
      </c>
      <c r="D4" s="183" t="s">
        <v>237</v>
      </c>
      <c r="F4" s="183" t="s">
        <v>372</v>
      </c>
      <c r="G4" s="92"/>
      <c r="H4" s="187"/>
      <c r="I4" s="183" t="s">
        <v>384</v>
      </c>
      <c r="J4" s="183" t="s">
        <v>378</v>
      </c>
      <c r="K4" s="184" t="s">
        <v>378</v>
      </c>
      <c r="L4" s="183" t="s">
        <v>117</v>
      </c>
      <c r="M4" s="184" t="s">
        <v>268</v>
      </c>
      <c r="N4" s="183" t="s">
        <v>117</v>
      </c>
      <c r="O4" s="184"/>
      <c r="P4" s="183"/>
      <c r="Q4" s="184"/>
      <c r="R4" s="183" t="s">
        <v>327</v>
      </c>
      <c r="S4" s="187"/>
      <c r="T4" s="183" t="s">
        <v>150</v>
      </c>
      <c r="U4" s="186" t="s">
        <v>234</v>
      </c>
    </row>
    <row r="5">
      <c r="A5" s="183" t="s">
        <v>95</v>
      </c>
      <c r="B5" s="178" t="s">
        <v>1426</v>
      </c>
      <c r="C5" s="183" t="s">
        <v>339</v>
      </c>
      <c r="D5" s="183" t="s">
        <v>381</v>
      </c>
      <c r="F5" s="183" t="s">
        <v>384</v>
      </c>
      <c r="G5" s="92"/>
      <c r="H5" s="187"/>
      <c r="I5" s="92"/>
      <c r="J5" s="183" t="s">
        <v>381</v>
      </c>
      <c r="K5" s="184" t="s">
        <v>381</v>
      </c>
      <c r="L5" s="183" t="s">
        <v>150</v>
      </c>
      <c r="M5" s="187"/>
      <c r="N5" s="183" t="s">
        <v>268</v>
      </c>
      <c r="O5" s="184"/>
      <c r="P5" s="183"/>
      <c r="Q5" s="184"/>
      <c r="R5" s="183" t="s">
        <v>390</v>
      </c>
      <c r="S5" s="187"/>
      <c r="T5" s="183" t="s">
        <v>183</v>
      </c>
      <c r="U5" s="184" t="s">
        <v>237</v>
      </c>
    </row>
    <row r="6">
      <c r="A6" s="183" t="s">
        <v>117</v>
      </c>
      <c r="C6" s="92"/>
      <c r="D6" s="183" t="s">
        <v>384</v>
      </c>
      <c r="F6" s="183" t="s">
        <v>360</v>
      </c>
      <c r="G6" s="92"/>
      <c r="H6" s="187"/>
      <c r="I6" s="92"/>
      <c r="J6" s="92"/>
      <c r="K6" s="187"/>
      <c r="L6" s="183" t="s">
        <v>165</v>
      </c>
      <c r="M6" s="187"/>
      <c r="N6" s="95" t="s">
        <v>260</v>
      </c>
      <c r="O6" s="184"/>
      <c r="P6" s="183"/>
      <c r="Q6" s="184"/>
      <c r="R6" s="183"/>
      <c r="S6" s="187"/>
      <c r="T6" s="183" t="s">
        <v>237</v>
      </c>
      <c r="U6" s="184" t="s">
        <v>268</v>
      </c>
    </row>
    <row r="7">
      <c r="A7" s="183" t="s">
        <v>123</v>
      </c>
      <c r="C7" s="92"/>
      <c r="D7" s="183" t="s">
        <v>390</v>
      </c>
      <c r="F7" s="92"/>
      <c r="G7" s="92"/>
      <c r="H7" s="187"/>
      <c r="I7" s="92"/>
      <c r="J7" s="92"/>
      <c r="K7" s="187"/>
      <c r="L7" s="183" t="s">
        <v>183</v>
      </c>
      <c r="M7" s="187"/>
      <c r="N7" s="92"/>
      <c r="O7" s="184"/>
      <c r="P7" s="183"/>
      <c r="Q7" s="184"/>
      <c r="R7" s="183"/>
      <c r="S7" s="187"/>
      <c r="T7" s="183" t="s">
        <v>300</v>
      </c>
      <c r="U7" s="186" t="s">
        <v>306</v>
      </c>
    </row>
    <row r="8">
      <c r="A8" s="183" t="s">
        <v>132</v>
      </c>
      <c r="B8" s="178">
        <f>
countif(imp.hwb.sim,rept("?",6)&amp;"*")+
countif(imp.epc.sim,rept("?",6)&amp;"*")+
countif(imp.ecg,rept("?",6)&amp;"*")+
countif(imp.gen.sim,rept("?",6)&amp;"*")+
countif(imp.kmp.sim,rept("?",6)&amp;"*")+
countif(imp.lu2.sim,rept("?",6)&amp;"*")+
countif(imp.myc.sim,rept("?",6)&amp;"*")+
countif(imp.nar.sim,rept("?",6)&amp;"*")+
countif(imp.que.sim,rept("?",6)&amp;"*")</f>
        <v>21</v>
      </c>
      <c r="C8" s="92"/>
      <c r="D8" s="92"/>
      <c r="F8" s="92"/>
      <c r="G8" s="92"/>
      <c r="H8" s="187"/>
      <c r="I8" s="92"/>
      <c r="J8" s="92"/>
      <c r="K8" s="187"/>
      <c r="L8" s="183" t="s">
        <v>207</v>
      </c>
      <c r="M8" s="187"/>
      <c r="N8" s="92"/>
      <c r="O8" s="184"/>
      <c r="P8" s="183"/>
      <c r="Q8" s="184"/>
      <c r="R8" s="183"/>
      <c r="S8" s="187"/>
      <c r="T8" s="95" t="s">
        <v>306</v>
      </c>
      <c r="U8" s="186" t="s">
        <v>339</v>
      </c>
    </row>
    <row r="9">
      <c r="A9" s="183" t="s">
        <v>135</v>
      </c>
      <c r="B9" s="188"/>
      <c r="C9" s="92"/>
      <c r="D9" s="92"/>
      <c r="F9" s="92"/>
      <c r="G9" s="92"/>
      <c r="H9" s="187"/>
      <c r="I9" s="92"/>
      <c r="J9" s="92"/>
      <c r="K9" s="187"/>
      <c r="L9" s="183" t="s">
        <v>268</v>
      </c>
      <c r="M9" s="187"/>
      <c r="N9" s="92"/>
      <c r="O9" s="184"/>
      <c r="P9" s="183"/>
      <c r="Q9" s="184"/>
      <c r="R9" s="183"/>
      <c r="S9" s="187"/>
      <c r="T9" s="183"/>
      <c r="U9" s="187"/>
    </row>
    <row r="10">
      <c r="A10" s="183" t="s">
        <v>150</v>
      </c>
      <c r="C10" s="92"/>
      <c r="D10" s="92"/>
      <c r="F10" s="92"/>
      <c r="G10" s="92"/>
      <c r="H10" s="187"/>
      <c r="I10" s="92"/>
      <c r="J10" s="92"/>
      <c r="K10" s="187"/>
      <c r="L10" s="183" t="s">
        <v>300</v>
      </c>
      <c r="M10" s="187"/>
      <c r="N10" s="92"/>
      <c r="O10" s="184"/>
      <c r="P10" s="183"/>
      <c r="Q10" s="184"/>
      <c r="R10" s="183"/>
      <c r="S10" s="187"/>
      <c r="T10" s="183"/>
      <c r="U10" s="187"/>
    </row>
    <row r="11">
      <c r="A11" s="183" t="s">
        <v>156</v>
      </c>
      <c r="B11" s="178"/>
      <c r="C11" s="92"/>
      <c r="D11" s="92"/>
      <c r="F11" s="92"/>
      <c r="G11" s="92"/>
      <c r="H11" s="187"/>
      <c r="I11" s="92"/>
      <c r="J11" s="92"/>
      <c r="K11" s="187"/>
      <c r="L11" s="183" t="s">
        <v>327</v>
      </c>
      <c r="M11" s="187"/>
      <c r="N11" s="92"/>
      <c r="O11" s="184"/>
      <c r="P11" s="183"/>
      <c r="Q11" s="184"/>
      <c r="R11" s="183"/>
      <c r="S11" s="187"/>
      <c r="T11" s="183"/>
      <c r="U11" s="187"/>
    </row>
    <row r="12">
      <c r="A12" s="183" t="s">
        <v>165</v>
      </c>
      <c r="B12" s="178"/>
      <c r="C12" s="92"/>
      <c r="D12" s="92"/>
      <c r="F12" s="92"/>
      <c r="G12" s="92"/>
      <c r="H12" s="187"/>
      <c r="I12" s="92"/>
      <c r="J12" s="92"/>
      <c r="K12" s="187"/>
      <c r="L12" s="183" t="s">
        <v>381</v>
      </c>
      <c r="M12" s="187"/>
      <c r="N12" s="92"/>
      <c r="O12" s="184"/>
      <c r="P12" s="183"/>
      <c r="Q12" s="184"/>
      <c r="R12" s="183"/>
      <c r="S12" s="187"/>
      <c r="T12" s="183"/>
      <c r="U12" s="187"/>
    </row>
    <row r="13">
      <c r="A13" s="183" t="s">
        <v>183</v>
      </c>
      <c r="B13" s="178"/>
      <c r="C13" s="92"/>
      <c r="D13" s="92"/>
      <c r="F13" s="92"/>
      <c r="G13" s="92"/>
      <c r="H13" s="187"/>
      <c r="I13" s="92"/>
      <c r="J13" s="92"/>
      <c r="K13" s="187"/>
      <c r="L13" s="183" t="s">
        <v>390</v>
      </c>
      <c r="M13" s="187"/>
      <c r="N13" s="92"/>
      <c r="O13" s="184"/>
      <c r="P13" s="183"/>
      <c r="Q13" s="184"/>
      <c r="R13" s="183"/>
      <c r="S13" s="187"/>
      <c r="T13" s="183"/>
      <c r="U13" s="187"/>
    </row>
    <row r="14">
      <c r="A14" s="183" t="s">
        <v>207</v>
      </c>
      <c r="B14" s="178"/>
      <c r="C14" s="92"/>
      <c r="D14" s="92"/>
      <c r="F14" s="92"/>
      <c r="G14" s="92"/>
      <c r="H14" s="187"/>
      <c r="I14" s="92"/>
      <c r="J14" s="92"/>
      <c r="K14" s="187"/>
      <c r="L14" s="92"/>
      <c r="M14" s="187"/>
      <c r="N14" s="92"/>
      <c r="O14" s="184"/>
      <c r="P14" s="183"/>
      <c r="Q14" s="184"/>
      <c r="R14" s="183"/>
      <c r="S14" s="187"/>
      <c r="T14" s="183"/>
      <c r="U14" s="187"/>
    </row>
    <row r="15">
      <c r="A15" s="183" t="s">
        <v>234</v>
      </c>
      <c r="B15" s="178"/>
      <c r="C15" s="92"/>
      <c r="D15" s="92"/>
      <c r="F15" s="92"/>
      <c r="G15" s="92"/>
      <c r="H15" s="187"/>
      <c r="I15" s="92"/>
      <c r="J15" s="92"/>
      <c r="K15" s="187"/>
      <c r="L15" s="92"/>
      <c r="M15" s="187"/>
      <c r="N15" s="92"/>
      <c r="O15" s="184"/>
      <c r="P15" s="183"/>
      <c r="Q15" s="184"/>
      <c r="R15" s="183"/>
      <c r="S15" s="187"/>
      <c r="T15" s="183"/>
      <c r="U15" s="187"/>
    </row>
    <row r="16">
      <c r="A16" s="183" t="s">
        <v>237</v>
      </c>
      <c r="B16" s="178"/>
      <c r="C16" s="92"/>
      <c r="D16" s="92"/>
      <c r="F16" s="92"/>
      <c r="G16" s="92"/>
      <c r="H16" s="187"/>
      <c r="I16" s="92"/>
      <c r="J16" s="92"/>
      <c r="K16" s="187"/>
      <c r="L16" s="92"/>
      <c r="M16" s="187"/>
      <c r="N16" s="92"/>
      <c r="O16" s="184"/>
      <c r="P16" s="183"/>
      <c r="Q16" s="184"/>
      <c r="R16" s="183"/>
      <c r="S16" s="187"/>
      <c r="T16" s="183"/>
      <c r="U16" s="187"/>
    </row>
    <row r="17">
      <c r="A17" s="95" t="s">
        <v>260</v>
      </c>
      <c r="C17" s="92"/>
      <c r="D17" s="92"/>
      <c r="F17" s="92"/>
      <c r="G17" s="92"/>
      <c r="H17" s="187"/>
      <c r="I17" s="92"/>
      <c r="J17" s="92"/>
      <c r="K17" s="187"/>
      <c r="L17" s="92"/>
      <c r="M17" s="187"/>
      <c r="N17" s="92"/>
      <c r="O17" s="184"/>
      <c r="P17" s="183"/>
      <c r="Q17" s="184"/>
      <c r="R17" s="183"/>
      <c r="S17" s="187"/>
      <c r="T17" s="183"/>
      <c r="U17" s="187"/>
    </row>
    <row r="18">
      <c r="A18" s="183" t="s">
        <v>268</v>
      </c>
      <c r="B18" s="189"/>
      <c r="C18" s="92"/>
      <c r="D18" s="92"/>
      <c r="F18" s="92"/>
      <c r="G18" s="92"/>
      <c r="H18" s="187"/>
      <c r="I18" s="92"/>
      <c r="J18" s="92"/>
      <c r="K18" s="187"/>
      <c r="L18" s="92"/>
      <c r="M18" s="187"/>
      <c r="N18" s="92"/>
      <c r="O18" s="184"/>
      <c r="P18" s="183"/>
      <c r="Q18" s="184"/>
      <c r="R18" s="183"/>
      <c r="S18" s="187"/>
      <c r="T18" s="183"/>
      <c r="U18" s="187"/>
    </row>
    <row r="19">
      <c r="A19" s="183" t="s">
        <v>283</v>
      </c>
      <c r="B19" s="189"/>
      <c r="C19" s="92"/>
      <c r="D19" s="92"/>
      <c r="F19" s="92"/>
      <c r="G19" s="92"/>
      <c r="H19" s="187"/>
      <c r="I19" s="92"/>
      <c r="J19" s="92"/>
      <c r="K19" s="187"/>
      <c r="L19" s="92"/>
      <c r="M19" s="187"/>
      <c r="N19" s="92"/>
      <c r="O19" s="184"/>
      <c r="P19" s="183"/>
      <c r="Q19" s="184"/>
      <c r="R19" s="183"/>
      <c r="S19" s="187"/>
      <c r="T19" s="183"/>
      <c r="U19" s="187"/>
    </row>
    <row r="20">
      <c r="A20" s="183" t="s">
        <v>300</v>
      </c>
      <c r="B20" s="189"/>
      <c r="C20" s="92"/>
      <c r="D20" s="92"/>
      <c r="F20" s="92"/>
      <c r="G20" s="92"/>
      <c r="H20" s="187"/>
      <c r="I20" s="92"/>
      <c r="J20" s="92"/>
      <c r="K20" s="187"/>
      <c r="L20" s="92"/>
      <c r="M20" s="187"/>
      <c r="N20" s="92"/>
      <c r="O20" s="184"/>
      <c r="P20" s="183"/>
      <c r="Q20" s="184"/>
      <c r="R20" s="183"/>
      <c r="S20" s="187"/>
      <c r="T20" s="183"/>
      <c r="U20" s="187"/>
    </row>
    <row r="21" ht="15.75" customHeight="1">
      <c r="A21" s="183" t="s">
        <v>306</v>
      </c>
      <c r="B21" s="189"/>
      <c r="C21" s="92"/>
      <c r="D21" s="92"/>
      <c r="F21" s="92"/>
      <c r="G21" s="92"/>
      <c r="H21" s="187"/>
      <c r="I21" s="92"/>
      <c r="J21" s="92"/>
      <c r="K21" s="187"/>
      <c r="L21" s="92"/>
      <c r="M21" s="187"/>
      <c r="N21" s="92"/>
      <c r="O21" s="184"/>
      <c r="P21" s="183"/>
      <c r="Q21" s="184"/>
      <c r="R21" s="183"/>
      <c r="S21" s="184"/>
      <c r="T21" s="183"/>
      <c r="U21" s="184"/>
    </row>
    <row r="22" ht="15.75" customHeight="1">
      <c r="A22" s="183" t="s">
        <v>321</v>
      </c>
      <c r="B22" s="189"/>
      <c r="C22" s="92"/>
      <c r="D22" s="92"/>
      <c r="F22" s="92"/>
      <c r="G22" s="92"/>
      <c r="H22" s="187"/>
      <c r="I22" s="92"/>
      <c r="J22" s="92"/>
      <c r="K22" s="187"/>
      <c r="L22" s="92"/>
      <c r="M22" s="187"/>
      <c r="N22" s="92"/>
      <c r="O22" s="184"/>
      <c r="P22" s="183"/>
      <c r="Q22" s="184"/>
      <c r="R22" s="183"/>
      <c r="S22" s="184"/>
      <c r="T22" s="183"/>
      <c r="U22" s="184"/>
    </row>
    <row r="23" ht="15.75" customHeight="1">
      <c r="A23" s="183" t="s">
        <v>327</v>
      </c>
      <c r="B23" s="189"/>
      <c r="C23" s="92"/>
      <c r="D23" s="92"/>
      <c r="F23" s="92"/>
      <c r="G23" s="92"/>
      <c r="H23" s="187"/>
      <c r="I23" s="92"/>
      <c r="J23" s="92"/>
      <c r="K23" s="187"/>
      <c r="L23" s="92"/>
      <c r="M23" s="187"/>
      <c r="N23" s="92"/>
      <c r="O23" s="184"/>
      <c r="P23" s="183"/>
      <c r="Q23" s="184"/>
      <c r="R23" s="183"/>
      <c r="S23" s="184"/>
      <c r="T23" s="183"/>
      <c r="U23" s="184"/>
    </row>
    <row r="24" ht="15.75" customHeight="1">
      <c r="A24" s="183" t="s">
        <v>339</v>
      </c>
      <c r="B24" s="189"/>
      <c r="C24" s="92"/>
      <c r="D24" s="92"/>
      <c r="F24" s="92"/>
      <c r="G24" s="92"/>
      <c r="H24" s="187"/>
      <c r="I24" s="92"/>
      <c r="J24" s="92"/>
      <c r="K24" s="187"/>
      <c r="L24" s="92"/>
      <c r="M24" s="187"/>
      <c r="N24" s="92"/>
      <c r="O24" s="184"/>
      <c r="P24" s="183"/>
      <c r="Q24" s="184"/>
      <c r="R24" s="183"/>
      <c r="S24" s="184"/>
      <c r="T24" s="183"/>
      <c r="U24" s="184"/>
    </row>
    <row r="25" ht="15.75" customHeight="1">
      <c r="A25" s="183" t="s">
        <v>360</v>
      </c>
      <c r="B25" s="189"/>
      <c r="C25" s="92"/>
      <c r="D25" s="92"/>
      <c r="F25" s="92"/>
      <c r="G25" s="92"/>
      <c r="H25" s="187"/>
      <c r="I25" s="92"/>
      <c r="J25" s="92"/>
      <c r="K25" s="187"/>
      <c r="L25" s="92"/>
      <c r="M25" s="187"/>
      <c r="N25" s="92"/>
      <c r="O25" s="184"/>
      <c r="P25" s="183"/>
      <c r="Q25" s="184"/>
      <c r="R25" s="183"/>
      <c r="S25" s="184"/>
      <c r="T25" s="183"/>
      <c r="U25" s="184"/>
    </row>
    <row r="26" ht="15.75" customHeight="1">
      <c r="A26" s="183" t="s">
        <v>372</v>
      </c>
      <c r="B26" s="189"/>
      <c r="C26" s="92"/>
      <c r="D26" s="92"/>
      <c r="F26" s="92"/>
      <c r="G26" s="92"/>
      <c r="H26" s="187"/>
      <c r="I26" s="92"/>
      <c r="J26" s="92"/>
      <c r="K26" s="187"/>
      <c r="L26" s="92"/>
      <c r="M26" s="187"/>
      <c r="N26" s="92"/>
      <c r="O26" s="184"/>
      <c r="P26" s="183"/>
      <c r="Q26" s="184"/>
      <c r="R26" s="183"/>
      <c r="S26" s="184"/>
      <c r="T26" s="183"/>
      <c r="U26" s="184"/>
    </row>
    <row r="27" ht="15.75" customHeight="1">
      <c r="A27" s="183" t="s">
        <v>378</v>
      </c>
      <c r="B27" s="189"/>
      <c r="C27" s="92"/>
      <c r="D27" s="92"/>
      <c r="F27" s="92"/>
      <c r="G27" s="92"/>
      <c r="H27" s="187"/>
      <c r="I27" s="92"/>
      <c r="J27" s="92"/>
      <c r="K27" s="187"/>
      <c r="L27" s="92"/>
      <c r="M27" s="187"/>
      <c r="N27" s="92"/>
      <c r="O27" s="184"/>
      <c r="P27" s="183"/>
      <c r="Q27" s="184"/>
      <c r="R27" s="183"/>
      <c r="S27" s="184"/>
      <c r="T27" s="183"/>
      <c r="U27" s="184"/>
    </row>
    <row r="28" ht="15.75" customHeight="1">
      <c r="A28" s="183" t="s">
        <v>381</v>
      </c>
      <c r="B28" s="189"/>
      <c r="C28" s="92"/>
      <c r="D28" s="92"/>
      <c r="F28" s="92"/>
      <c r="G28" s="92"/>
      <c r="H28" s="187"/>
      <c r="I28" s="92"/>
      <c r="J28" s="92"/>
      <c r="K28" s="187"/>
      <c r="L28" s="92"/>
      <c r="M28" s="187"/>
      <c r="N28" s="92"/>
      <c r="O28" s="184"/>
      <c r="P28" s="183"/>
      <c r="Q28" s="184"/>
      <c r="R28" s="183"/>
      <c r="S28" s="184"/>
      <c r="T28" s="183"/>
      <c r="U28" s="184"/>
    </row>
    <row r="29" ht="15.75" customHeight="1">
      <c r="A29" s="183" t="s">
        <v>384</v>
      </c>
      <c r="B29" s="189"/>
      <c r="C29" s="92"/>
      <c r="D29" s="92"/>
      <c r="F29" s="92"/>
      <c r="G29" s="92"/>
      <c r="H29" s="187"/>
      <c r="I29" s="92"/>
      <c r="J29" s="92"/>
      <c r="K29" s="187"/>
      <c r="L29" s="92"/>
      <c r="M29" s="187"/>
      <c r="N29" s="92"/>
      <c r="O29" s="184"/>
      <c r="P29" s="183"/>
      <c r="Q29" s="184"/>
      <c r="R29" s="183"/>
      <c r="S29" s="184"/>
      <c r="T29" s="183"/>
      <c r="U29" s="184"/>
    </row>
    <row r="30" ht="15.75" customHeight="1">
      <c r="A30" s="183" t="s">
        <v>390</v>
      </c>
      <c r="B30" s="189"/>
      <c r="C30" s="92"/>
      <c r="D30" s="92"/>
      <c r="F30" s="92"/>
      <c r="G30" s="92"/>
      <c r="H30" s="187"/>
      <c r="I30" s="92"/>
      <c r="J30" s="92"/>
      <c r="K30" s="187"/>
      <c r="L30" s="92"/>
      <c r="M30" s="187"/>
      <c r="N30" s="92"/>
      <c r="O30" s="184"/>
      <c r="P30" s="183"/>
      <c r="Q30" s="184"/>
      <c r="R30" s="183"/>
      <c r="S30" s="184"/>
      <c r="T30" s="183"/>
      <c r="U30" s="184"/>
    </row>
    <row r="31" ht="15.75" customHeight="1">
      <c r="B31" s="189"/>
      <c r="C31" s="92"/>
      <c r="D31" s="92"/>
      <c r="F31" s="92"/>
      <c r="G31" s="92"/>
      <c r="H31" s="187"/>
      <c r="I31" s="92"/>
      <c r="J31" s="92"/>
      <c r="K31" s="187"/>
      <c r="L31" s="92"/>
      <c r="M31" s="187"/>
      <c r="N31" s="92"/>
      <c r="O31" s="184"/>
      <c r="P31" s="183"/>
      <c r="Q31" s="184"/>
      <c r="R31" s="183"/>
      <c r="S31" s="184"/>
      <c r="T31" s="183"/>
      <c r="U31" s="184"/>
    </row>
    <row r="32" ht="15.75" customHeight="1">
      <c r="B32" s="189"/>
      <c r="C32" s="92"/>
      <c r="D32" s="92"/>
      <c r="F32" s="92"/>
      <c r="G32" s="92"/>
      <c r="H32" s="187"/>
      <c r="I32" s="92"/>
      <c r="J32" s="92"/>
      <c r="K32" s="187"/>
      <c r="L32" s="92"/>
      <c r="M32" s="187"/>
      <c r="N32" s="92"/>
      <c r="O32" s="184"/>
      <c r="P32" s="183"/>
      <c r="Q32" s="184"/>
      <c r="R32" s="183"/>
      <c r="S32" s="184"/>
      <c r="T32" s="183"/>
      <c r="U32" s="184"/>
    </row>
    <row r="33" ht="15.75" customHeight="1">
      <c r="B33" s="189"/>
      <c r="C33" s="92"/>
      <c r="D33" s="92"/>
      <c r="F33" s="92"/>
      <c r="G33" s="92"/>
      <c r="H33" s="187"/>
      <c r="I33" s="92"/>
      <c r="J33" s="92"/>
      <c r="K33" s="187"/>
      <c r="L33" s="92"/>
      <c r="M33" s="187"/>
      <c r="N33" s="92"/>
      <c r="O33" s="184"/>
      <c r="P33" s="183"/>
      <c r="Q33" s="184"/>
      <c r="R33" s="183"/>
      <c r="S33" s="184"/>
      <c r="T33" s="183"/>
      <c r="U33" s="184"/>
    </row>
    <row r="34" ht="15.75" customHeight="1">
      <c r="B34" s="189"/>
      <c r="C34" s="92"/>
      <c r="D34" s="92"/>
      <c r="F34" s="92"/>
      <c r="G34" s="92"/>
      <c r="H34" s="187"/>
      <c r="I34" s="92"/>
      <c r="J34" s="92"/>
      <c r="K34" s="187"/>
      <c r="L34" s="92"/>
      <c r="M34" s="187"/>
      <c r="N34" s="92"/>
      <c r="O34" s="184"/>
      <c r="P34" s="183"/>
      <c r="Q34" s="184"/>
      <c r="R34" s="183"/>
      <c r="S34" s="184"/>
      <c r="T34" s="183"/>
      <c r="U34" s="184"/>
    </row>
    <row r="35" ht="15.75" customHeight="1">
      <c r="B35" s="189"/>
      <c r="C35" s="92"/>
      <c r="D35" s="92"/>
      <c r="F35" s="92"/>
      <c r="G35" s="92"/>
      <c r="H35" s="187"/>
      <c r="I35" s="92"/>
      <c r="J35" s="92"/>
      <c r="K35" s="187"/>
      <c r="L35" s="92"/>
      <c r="M35" s="187"/>
      <c r="N35" s="92"/>
      <c r="O35" s="184"/>
      <c r="P35" s="183"/>
      <c r="Q35" s="184"/>
      <c r="R35" s="183"/>
      <c r="S35" s="184"/>
      <c r="T35" s="183"/>
      <c r="U35" s="184"/>
    </row>
    <row r="36" ht="15.75" customHeight="1">
      <c r="B36" s="189"/>
      <c r="C36" s="92"/>
      <c r="D36" s="92"/>
      <c r="F36" s="92"/>
      <c r="G36" s="92"/>
      <c r="H36" s="187"/>
      <c r="I36" s="92"/>
      <c r="J36" s="92"/>
      <c r="K36" s="187"/>
      <c r="L36" s="92"/>
      <c r="M36" s="187"/>
      <c r="N36" s="92"/>
      <c r="O36" s="184"/>
      <c r="P36" s="183"/>
      <c r="Q36" s="184"/>
      <c r="R36" s="183"/>
      <c r="S36" s="184"/>
      <c r="T36" s="183"/>
      <c r="U36" s="184"/>
    </row>
    <row r="37" ht="15.75" customHeight="1">
      <c r="B37" s="189"/>
      <c r="C37" s="92"/>
      <c r="D37" s="92"/>
      <c r="F37" s="92"/>
      <c r="G37" s="92"/>
      <c r="H37" s="187"/>
      <c r="I37" s="92"/>
      <c r="J37" s="92"/>
      <c r="K37" s="187"/>
      <c r="L37" s="92"/>
      <c r="M37" s="187"/>
      <c r="N37" s="92"/>
      <c r="O37" s="184"/>
      <c r="P37" s="183"/>
      <c r="Q37" s="184"/>
      <c r="R37" s="183"/>
      <c r="S37" s="184"/>
      <c r="T37" s="183"/>
      <c r="U37" s="184"/>
    </row>
    <row r="38" ht="15.75" customHeight="1">
      <c r="B38" s="189"/>
      <c r="C38" s="92"/>
      <c r="D38" s="92"/>
      <c r="F38" s="92"/>
      <c r="G38" s="92"/>
      <c r="H38" s="187"/>
      <c r="I38" s="92"/>
      <c r="J38" s="92"/>
      <c r="K38" s="187"/>
      <c r="L38" s="92"/>
      <c r="M38" s="187"/>
      <c r="N38" s="92"/>
      <c r="O38" s="184"/>
      <c r="P38" s="183"/>
      <c r="Q38" s="184"/>
      <c r="R38" s="183"/>
      <c r="S38" s="184"/>
      <c r="T38" s="183"/>
      <c r="U38" s="184"/>
    </row>
    <row r="39" ht="15.75" customHeight="1">
      <c r="B39" s="189"/>
      <c r="C39" s="92"/>
      <c r="D39" s="92"/>
      <c r="F39" s="92"/>
      <c r="G39" s="92"/>
      <c r="H39" s="187"/>
      <c r="I39" s="92"/>
      <c r="J39" s="92"/>
      <c r="K39" s="187"/>
      <c r="L39" s="92"/>
      <c r="M39" s="187"/>
      <c r="N39" s="92"/>
      <c r="O39" s="184"/>
      <c r="P39" s="183"/>
      <c r="Q39" s="184"/>
      <c r="R39" s="183"/>
      <c r="S39" s="184"/>
      <c r="T39" s="183"/>
      <c r="U39" s="184"/>
    </row>
    <row r="40" ht="15.75" customHeight="1">
      <c r="B40" s="189"/>
      <c r="C40" s="92"/>
      <c r="D40" s="92"/>
      <c r="F40" s="92"/>
      <c r="G40" s="92"/>
      <c r="H40" s="187"/>
      <c r="I40" s="92"/>
      <c r="J40" s="92"/>
      <c r="K40" s="187"/>
      <c r="L40" s="92"/>
      <c r="M40" s="187"/>
      <c r="N40" s="92"/>
      <c r="O40" s="184"/>
      <c r="P40" s="183"/>
      <c r="Q40" s="184"/>
      <c r="R40" s="183"/>
      <c r="S40" s="184"/>
      <c r="T40" s="183"/>
      <c r="U40" s="184"/>
    </row>
    <row r="41" ht="15.75" customHeight="1">
      <c r="B41" s="189"/>
      <c r="C41" s="92"/>
      <c r="D41" s="92"/>
      <c r="F41" s="92"/>
      <c r="G41" s="92"/>
      <c r="H41" s="187"/>
      <c r="I41" s="92"/>
      <c r="J41" s="92"/>
      <c r="K41" s="187"/>
      <c r="L41" s="92"/>
      <c r="M41" s="187"/>
      <c r="N41" s="92"/>
      <c r="O41" s="184"/>
      <c r="P41" s="183"/>
      <c r="Q41" s="184"/>
      <c r="R41" s="183"/>
      <c r="S41" s="184"/>
      <c r="T41" s="183"/>
      <c r="U41" s="184"/>
    </row>
    <row r="42" ht="15.75" customHeight="1">
      <c r="B42" s="189"/>
      <c r="C42" s="92"/>
      <c r="D42" s="92"/>
      <c r="F42" s="92"/>
      <c r="G42" s="92"/>
      <c r="H42" s="187"/>
      <c r="I42" s="92"/>
      <c r="J42" s="92"/>
      <c r="K42" s="187"/>
      <c r="L42" s="92"/>
      <c r="M42" s="187"/>
      <c r="N42" s="92"/>
      <c r="O42" s="184"/>
      <c r="P42" s="183"/>
      <c r="Q42" s="184"/>
      <c r="R42" s="183"/>
      <c r="S42" s="184"/>
      <c r="T42" s="183"/>
      <c r="U42" s="184"/>
    </row>
    <row r="43" ht="15.75" customHeight="1">
      <c r="B43" s="189"/>
      <c r="C43" s="92"/>
      <c r="D43" s="92"/>
      <c r="F43" s="92"/>
      <c r="G43" s="92"/>
      <c r="H43" s="187"/>
      <c r="I43" s="92"/>
      <c r="J43" s="92"/>
      <c r="K43" s="187"/>
      <c r="L43" s="92"/>
      <c r="M43" s="187"/>
      <c r="N43" s="92"/>
      <c r="O43" s="184"/>
      <c r="P43" s="183"/>
      <c r="Q43" s="184"/>
      <c r="R43" s="183"/>
      <c r="S43" s="184"/>
      <c r="T43" s="183"/>
      <c r="U43" s="184"/>
    </row>
    <row r="44" ht="15.75" customHeight="1">
      <c r="B44" s="189"/>
      <c r="C44" s="92"/>
      <c r="D44" s="92"/>
      <c r="F44" s="92"/>
      <c r="G44" s="92"/>
      <c r="H44" s="187"/>
      <c r="I44" s="92"/>
      <c r="J44" s="92"/>
      <c r="K44" s="187"/>
      <c r="L44" s="92"/>
      <c r="M44" s="187"/>
      <c r="N44" s="92"/>
      <c r="O44" s="184"/>
      <c r="P44" s="183"/>
      <c r="Q44" s="184"/>
      <c r="R44" s="183"/>
      <c r="S44" s="184"/>
      <c r="T44" s="183"/>
      <c r="U44" s="184"/>
    </row>
    <row r="45" ht="15.75" customHeight="1">
      <c r="B45" s="189"/>
      <c r="C45" s="92"/>
      <c r="D45" s="92"/>
      <c r="F45" s="92"/>
      <c r="G45" s="92"/>
      <c r="H45" s="187"/>
      <c r="I45" s="92"/>
      <c r="J45" s="92"/>
      <c r="K45" s="187"/>
      <c r="L45" s="92"/>
      <c r="M45" s="187"/>
      <c r="N45" s="92"/>
      <c r="O45" s="184"/>
      <c r="P45" s="183"/>
      <c r="Q45" s="184"/>
      <c r="R45" s="183"/>
      <c r="S45" s="184"/>
      <c r="T45" s="183"/>
      <c r="U45" s="184"/>
    </row>
    <row r="46" ht="15.75" customHeight="1">
      <c r="B46" s="190"/>
      <c r="C46" s="92"/>
      <c r="D46" s="92"/>
      <c r="F46" s="92"/>
      <c r="G46" s="92"/>
      <c r="H46" s="187"/>
      <c r="I46" s="92"/>
      <c r="J46" s="92"/>
      <c r="K46" s="187"/>
      <c r="L46" s="92"/>
      <c r="M46" s="187"/>
      <c r="N46" s="92"/>
      <c r="O46" s="187"/>
      <c r="P46" s="92"/>
      <c r="Q46" s="187"/>
      <c r="R46" s="92"/>
      <c r="S46" s="187"/>
      <c r="T46" s="92"/>
      <c r="U46" s="187"/>
    </row>
    <row r="47" ht="15.75" customHeight="1">
      <c r="B47" s="190"/>
      <c r="C47" s="92"/>
      <c r="D47" s="92"/>
      <c r="F47" s="92"/>
      <c r="G47" s="92"/>
      <c r="H47" s="187"/>
      <c r="I47" s="92"/>
      <c r="J47" s="92"/>
      <c r="K47" s="187"/>
      <c r="L47" s="92"/>
      <c r="M47" s="187"/>
      <c r="N47" s="92"/>
      <c r="O47" s="187"/>
      <c r="P47" s="92"/>
      <c r="Q47" s="187"/>
      <c r="R47" s="92"/>
      <c r="S47" s="187"/>
      <c r="T47" s="92"/>
      <c r="U47" s="187"/>
    </row>
    <row r="48" ht="15.75" customHeight="1">
      <c r="B48" s="190"/>
      <c r="C48" s="92"/>
      <c r="D48" s="92"/>
      <c r="F48" s="92"/>
      <c r="G48" s="92"/>
      <c r="H48" s="187"/>
      <c r="I48" s="92"/>
      <c r="J48" s="92"/>
      <c r="K48" s="187"/>
      <c r="L48" s="92"/>
      <c r="M48" s="187"/>
      <c r="N48" s="92"/>
      <c r="O48" s="187"/>
      <c r="P48" s="92"/>
      <c r="Q48" s="187"/>
      <c r="R48" s="92"/>
      <c r="S48" s="187"/>
      <c r="T48" s="92"/>
      <c r="U48" s="187"/>
    </row>
    <row r="49" ht="15.75" customHeight="1">
      <c r="B49" s="190"/>
      <c r="C49" s="92"/>
      <c r="D49" s="92"/>
      <c r="F49" s="92"/>
      <c r="G49" s="92"/>
      <c r="H49" s="187"/>
      <c r="I49" s="92"/>
      <c r="J49" s="92"/>
      <c r="K49" s="187"/>
      <c r="L49" s="92"/>
      <c r="M49" s="187"/>
      <c r="N49" s="92"/>
      <c r="O49" s="187"/>
      <c r="P49" s="92"/>
      <c r="Q49" s="187"/>
      <c r="R49" s="92"/>
      <c r="S49" s="187"/>
      <c r="T49" s="92"/>
      <c r="U49" s="187"/>
    </row>
    <row r="50" ht="15.75" customHeight="1">
      <c r="B50" s="190"/>
      <c r="C50" s="92"/>
      <c r="D50" s="92"/>
      <c r="F50" s="92"/>
      <c r="G50" s="92"/>
      <c r="H50" s="187"/>
      <c r="I50" s="92"/>
      <c r="J50" s="92"/>
      <c r="K50" s="187"/>
      <c r="L50" s="92"/>
      <c r="M50" s="187"/>
      <c r="N50" s="92"/>
      <c r="O50" s="187"/>
      <c r="P50" s="92"/>
      <c r="Q50" s="187"/>
      <c r="R50" s="92"/>
      <c r="S50" s="187"/>
      <c r="T50" s="92"/>
      <c r="U50" s="187"/>
    </row>
    <row r="51" ht="15.75" customHeight="1">
      <c r="B51" s="190"/>
      <c r="C51" s="92"/>
      <c r="D51" s="92"/>
      <c r="F51" s="92"/>
      <c r="G51" s="92"/>
      <c r="H51" s="187"/>
      <c r="I51" s="92"/>
      <c r="J51" s="92"/>
      <c r="K51" s="187"/>
      <c r="L51" s="92"/>
      <c r="M51" s="187"/>
      <c r="N51" s="92"/>
      <c r="O51" s="187"/>
      <c r="P51" s="92"/>
      <c r="Q51" s="187"/>
      <c r="R51" s="92"/>
      <c r="S51" s="187"/>
      <c r="T51" s="92"/>
      <c r="U51" s="187"/>
    </row>
    <row r="52" ht="15.75" customHeight="1">
      <c r="B52" s="190"/>
      <c r="C52" s="92"/>
      <c r="D52" s="92"/>
      <c r="F52" s="92"/>
      <c r="G52" s="92"/>
      <c r="H52" s="187"/>
      <c r="I52" s="92"/>
      <c r="J52" s="92"/>
      <c r="K52" s="187"/>
      <c r="L52" s="92"/>
      <c r="M52" s="187"/>
      <c r="N52" s="92"/>
      <c r="O52" s="187"/>
      <c r="P52" s="92"/>
      <c r="Q52" s="187"/>
      <c r="R52" s="92"/>
      <c r="S52" s="187"/>
      <c r="T52" s="92"/>
      <c r="U52" s="187"/>
    </row>
    <row r="53" ht="15.75" customHeight="1">
      <c r="B53" s="190"/>
      <c r="C53" s="92"/>
      <c r="D53" s="92"/>
      <c r="F53" s="92"/>
      <c r="G53" s="92"/>
      <c r="H53" s="187"/>
      <c r="I53" s="92"/>
      <c r="J53" s="92"/>
      <c r="K53" s="187"/>
      <c r="L53" s="92"/>
      <c r="M53" s="187"/>
      <c r="N53" s="92"/>
      <c r="O53" s="187"/>
      <c r="P53" s="92"/>
      <c r="Q53" s="187"/>
      <c r="R53" s="92"/>
      <c r="S53" s="187"/>
      <c r="T53" s="92"/>
      <c r="U53" s="187"/>
    </row>
    <row r="54" ht="15.75" customHeight="1">
      <c r="B54" s="190"/>
      <c r="C54" s="92"/>
      <c r="D54" s="92"/>
      <c r="F54" s="92"/>
      <c r="G54" s="92"/>
      <c r="H54" s="187"/>
      <c r="I54" s="92"/>
      <c r="J54" s="92"/>
      <c r="K54" s="187"/>
      <c r="L54" s="92"/>
      <c r="M54" s="187"/>
      <c r="N54" s="92"/>
      <c r="O54" s="187"/>
      <c r="P54" s="92"/>
      <c r="Q54" s="187"/>
      <c r="R54" s="92"/>
      <c r="S54" s="187"/>
      <c r="T54" s="92"/>
      <c r="U54" s="187"/>
    </row>
    <row r="55" ht="15.75" customHeight="1">
      <c r="B55" s="190"/>
      <c r="C55" s="92"/>
      <c r="D55" s="92"/>
      <c r="F55" s="92"/>
      <c r="G55" s="92"/>
      <c r="H55" s="187"/>
      <c r="I55" s="92"/>
      <c r="J55" s="92"/>
      <c r="K55" s="187"/>
      <c r="L55" s="92"/>
      <c r="M55" s="187"/>
      <c r="N55" s="92"/>
      <c r="O55" s="187"/>
      <c r="P55" s="92"/>
      <c r="Q55" s="187"/>
      <c r="R55" s="92"/>
      <c r="S55" s="187"/>
      <c r="T55" s="92"/>
      <c r="U55" s="187"/>
    </row>
    <row r="56" ht="15.75" customHeight="1">
      <c r="B56" s="190"/>
      <c r="C56" s="92"/>
      <c r="D56" s="92"/>
      <c r="F56" s="92"/>
      <c r="G56" s="92"/>
      <c r="H56" s="187"/>
      <c r="I56" s="92"/>
      <c r="J56" s="92"/>
      <c r="K56" s="187"/>
      <c r="L56" s="92"/>
      <c r="M56" s="187"/>
      <c r="N56" s="92"/>
      <c r="O56" s="187"/>
      <c r="P56" s="92"/>
      <c r="Q56" s="187"/>
      <c r="R56" s="92"/>
      <c r="S56" s="187"/>
      <c r="T56" s="92"/>
      <c r="U56" s="187"/>
    </row>
    <row r="57" ht="15.75" customHeight="1">
      <c r="B57" s="190"/>
      <c r="C57" s="92"/>
      <c r="D57" s="92"/>
      <c r="F57" s="92"/>
      <c r="G57" s="92"/>
      <c r="H57" s="187"/>
      <c r="I57" s="92"/>
      <c r="J57" s="92"/>
      <c r="K57" s="187"/>
      <c r="L57" s="92"/>
      <c r="M57" s="187"/>
      <c r="N57" s="92"/>
      <c r="O57" s="187"/>
      <c r="P57" s="92"/>
      <c r="Q57" s="187"/>
      <c r="R57" s="92"/>
      <c r="S57" s="187"/>
      <c r="T57" s="92"/>
      <c r="U57" s="187"/>
    </row>
    <row r="58" ht="15.75" customHeight="1">
      <c r="B58" s="190"/>
      <c r="C58" s="92"/>
      <c r="D58" s="92"/>
      <c r="F58" s="92"/>
      <c r="G58" s="92"/>
      <c r="H58" s="187"/>
      <c r="I58" s="92"/>
      <c r="J58" s="92"/>
      <c r="K58" s="187"/>
      <c r="L58" s="92"/>
      <c r="M58" s="187"/>
      <c r="N58" s="92"/>
      <c r="O58" s="187"/>
      <c r="P58" s="92"/>
      <c r="Q58" s="187"/>
      <c r="R58" s="92"/>
      <c r="S58" s="187"/>
      <c r="T58" s="92"/>
      <c r="U58" s="187"/>
    </row>
    <row r="59" ht="15.75" customHeight="1">
      <c r="B59" s="190"/>
      <c r="C59" s="92"/>
      <c r="D59" s="92"/>
      <c r="F59" s="92"/>
      <c r="G59" s="92"/>
      <c r="H59" s="187"/>
      <c r="I59" s="92"/>
      <c r="J59" s="92"/>
      <c r="K59" s="187"/>
      <c r="L59" s="92"/>
      <c r="M59" s="187"/>
      <c r="N59" s="92"/>
      <c r="O59" s="187"/>
      <c r="P59" s="92"/>
      <c r="Q59" s="187"/>
      <c r="R59" s="92"/>
      <c r="S59" s="187"/>
      <c r="T59" s="92"/>
      <c r="U59" s="187"/>
    </row>
    <row r="60" ht="15.75" customHeight="1">
      <c r="B60" s="190"/>
      <c r="C60" s="92"/>
      <c r="D60" s="92"/>
      <c r="F60" s="92"/>
      <c r="G60" s="92"/>
      <c r="H60" s="187"/>
      <c r="I60" s="92"/>
      <c r="J60" s="92"/>
      <c r="K60" s="187"/>
      <c r="L60" s="92"/>
      <c r="M60" s="187"/>
      <c r="N60" s="92"/>
      <c r="O60" s="187"/>
      <c r="P60" s="92"/>
      <c r="Q60" s="187"/>
      <c r="R60" s="92"/>
      <c r="S60" s="187"/>
      <c r="T60" s="92"/>
      <c r="U60" s="187"/>
    </row>
    <row r="61" ht="15.75" customHeight="1">
      <c r="B61" s="190"/>
      <c r="C61" s="92"/>
      <c r="D61" s="92"/>
      <c r="F61" s="92"/>
      <c r="G61" s="92"/>
      <c r="H61" s="187"/>
      <c r="I61" s="92"/>
      <c r="J61" s="92"/>
      <c r="K61" s="187"/>
      <c r="L61" s="92"/>
      <c r="M61" s="187"/>
      <c r="N61" s="92"/>
      <c r="O61" s="187"/>
      <c r="P61" s="92"/>
      <c r="Q61" s="187"/>
      <c r="R61" s="92"/>
      <c r="S61" s="187"/>
      <c r="T61" s="92"/>
      <c r="U61" s="187"/>
    </row>
    <row r="62" ht="15.75" customHeight="1">
      <c r="B62" s="190"/>
      <c r="C62" s="92"/>
      <c r="D62" s="92"/>
      <c r="F62" s="92"/>
      <c r="G62" s="92"/>
      <c r="H62" s="187"/>
      <c r="I62" s="92"/>
      <c r="J62" s="92"/>
      <c r="K62" s="187"/>
      <c r="L62" s="92"/>
      <c r="M62" s="187"/>
      <c r="N62" s="92"/>
      <c r="O62" s="187"/>
      <c r="P62" s="92"/>
      <c r="Q62" s="187"/>
      <c r="R62" s="92"/>
      <c r="S62" s="187"/>
      <c r="T62" s="92"/>
      <c r="U62" s="187"/>
    </row>
    <row r="63" ht="15.75" customHeight="1">
      <c r="B63" s="190"/>
      <c r="C63" s="92"/>
      <c r="D63" s="92"/>
      <c r="F63" s="92"/>
      <c r="G63" s="92"/>
      <c r="H63" s="187"/>
      <c r="I63" s="92"/>
      <c r="J63" s="92"/>
      <c r="K63" s="187"/>
      <c r="L63" s="92"/>
      <c r="M63" s="187"/>
      <c r="N63" s="92"/>
      <c r="O63" s="187"/>
      <c r="P63" s="92"/>
      <c r="Q63" s="187"/>
      <c r="R63" s="92"/>
      <c r="S63" s="187"/>
      <c r="T63" s="92"/>
      <c r="U63" s="187"/>
    </row>
    <row r="64" ht="15.75" customHeight="1">
      <c r="B64" s="190"/>
      <c r="C64" s="92"/>
      <c r="D64" s="92"/>
      <c r="F64" s="92"/>
      <c r="G64" s="92"/>
      <c r="H64" s="187"/>
      <c r="I64" s="92"/>
      <c r="J64" s="92"/>
      <c r="K64" s="187"/>
      <c r="L64" s="92"/>
      <c r="M64" s="187"/>
      <c r="N64" s="92"/>
      <c r="O64" s="187"/>
      <c r="P64" s="92"/>
      <c r="Q64" s="187"/>
      <c r="R64" s="92"/>
      <c r="S64" s="187"/>
      <c r="T64" s="92"/>
      <c r="U64" s="187"/>
    </row>
    <row r="65" ht="15.75" customHeight="1">
      <c r="B65" s="190"/>
      <c r="C65" s="92"/>
      <c r="D65" s="92"/>
      <c r="F65" s="92"/>
      <c r="G65" s="92"/>
      <c r="H65" s="187"/>
      <c r="I65" s="92"/>
      <c r="J65" s="92"/>
      <c r="K65" s="187"/>
      <c r="L65" s="92"/>
      <c r="M65" s="187"/>
      <c r="N65" s="92"/>
      <c r="O65" s="187"/>
      <c r="P65" s="92"/>
      <c r="Q65" s="187"/>
      <c r="R65" s="92"/>
      <c r="S65" s="187"/>
      <c r="T65" s="92"/>
      <c r="U65" s="187"/>
    </row>
    <row r="66" ht="15.75" customHeight="1">
      <c r="B66" s="190"/>
      <c r="C66" s="92"/>
      <c r="D66" s="92"/>
      <c r="F66" s="92"/>
      <c r="G66" s="92"/>
      <c r="H66" s="187"/>
      <c r="I66" s="92"/>
      <c r="J66" s="92"/>
      <c r="K66" s="187"/>
      <c r="L66" s="92"/>
      <c r="M66" s="187"/>
      <c r="N66" s="92"/>
      <c r="O66" s="187"/>
      <c r="P66" s="92"/>
      <c r="Q66" s="187"/>
      <c r="R66" s="92"/>
      <c r="S66" s="187"/>
      <c r="T66" s="92"/>
      <c r="U66" s="187"/>
    </row>
    <row r="67" ht="15.75" customHeight="1">
      <c r="B67" s="190"/>
      <c r="C67" s="92"/>
      <c r="D67" s="92"/>
      <c r="F67" s="92"/>
      <c r="G67" s="92"/>
      <c r="H67" s="187"/>
      <c r="I67" s="92"/>
      <c r="J67" s="92"/>
      <c r="K67" s="187"/>
      <c r="L67" s="92"/>
      <c r="M67" s="187"/>
      <c r="N67" s="92"/>
      <c r="O67" s="187"/>
      <c r="P67" s="92"/>
      <c r="Q67" s="187"/>
      <c r="R67" s="92"/>
      <c r="S67" s="187"/>
      <c r="T67" s="92"/>
      <c r="U67" s="187"/>
    </row>
    <row r="68" ht="15.75" customHeight="1">
      <c r="B68" s="190"/>
      <c r="C68" s="92"/>
      <c r="D68" s="92"/>
      <c r="F68" s="92"/>
      <c r="G68" s="92"/>
      <c r="H68" s="187"/>
      <c r="I68" s="92"/>
      <c r="J68" s="92"/>
      <c r="K68" s="187"/>
      <c r="L68" s="92"/>
      <c r="M68" s="187"/>
      <c r="N68" s="92"/>
      <c r="O68" s="187"/>
      <c r="P68" s="92"/>
      <c r="Q68" s="187"/>
      <c r="R68" s="92"/>
      <c r="S68" s="187"/>
      <c r="T68" s="92"/>
      <c r="U68" s="187"/>
    </row>
    <row r="69" ht="15.75" customHeight="1">
      <c r="A69" s="92"/>
      <c r="B69" s="190"/>
      <c r="C69" s="92"/>
      <c r="D69" s="92"/>
      <c r="F69" s="92"/>
      <c r="G69" s="92"/>
      <c r="H69" s="187"/>
      <c r="I69" s="92"/>
      <c r="J69" s="92"/>
      <c r="K69" s="187"/>
      <c r="L69" s="92"/>
      <c r="M69" s="187"/>
      <c r="N69" s="92"/>
      <c r="O69" s="187"/>
      <c r="P69" s="92"/>
      <c r="Q69" s="187"/>
      <c r="R69" s="92"/>
      <c r="S69" s="187"/>
      <c r="T69" s="92"/>
      <c r="U69" s="187"/>
    </row>
    <row r="70" ht="15.75" customHeight="1">
      <c r="A70" s="92"/>
      <c r="B70" s="190"/>
      <c r="C70" s="92"/>
      <c r="D70" s="92"/>
      <c r="F70" s="92"/>
      <c r="G70" s="92"/>
      <c r="H70" s="187"/>
      <c r="I70" s="92"/>
      <c r="J70" s="92"/>
      <c r="K70" s="187"/>
      <c r="L70" s="92"/>
      <c r="M70" s="187"/>
      <c r="N70" s="92"/>
      <c r="O70" s="187"/>
      <c r="P70" s="92"/>
      <c r="Q70" s="187"/>
      <c r="R70" s="92"/>
      <c r="S70" s="187"/>
      <c r="T70" s="92"/>
      <c r="U70" s="187"/>
    </row>
    <row r="71" ht="15.75" customHeight="1">
      <c r="A71" s="92"/>
      <c r="B71" s="190"/>
      <c r="C71" s="92"/>
      <c r="D71" s="92"/>
      <c r="F71" s="92"/>
      <c r="G71" s="92"/>
      <c r="H71" s="187"/>
      <c r="I71" s="92"/>
      <c r="J71" s="92"/>
      <c r="K71" s="187"/>
      <c r="L71" s="92"/>
      <c r="M71" s="187"/>
      <c r="N71" s="92"/>
      <c r="O71" s="187"/>
      <c r="P71" s="92"/>
      <c r="Q71" s="187"/>
      <c r="R71" s="92"/>
      <c r="S71" s="187"/>
      <c r="T71" s="92"/>
      <c r="U71" s="187"/>
    </row>
    <row r="72" ht="15.75" customHeight="1">
      <c r="A72" s="92"/>
      <c r="B72" s="190"/>
      <c r="C72" s="92"/>
      <c r="D72" s="92"/>
      <c r="F72" s="92"/>
      <c r="G72" s="92"/>
      <c r="H72" s="187"/>
      <c r="I72" s="92"/>
      <c r="J72" s="92"/>
      <c r="K72" s="187"/>
      <c r="L72" s="92"/>
      <c r="M72" s="187"/>
      <c r="N72" s="92"/>
      <c r="O72" s="187"/>
      <c r="P72" s="92"/>
      <c r="Q72" s="187"/>
      <c r="R72" s="92"/>
      <c r="S72" s="187"/>
      <c r="T72" s="92"/>
      <c r="U72" s="187"/>
    </row>
    <row r="73" ht="15.75" customHeight="1">
      <c r="A73" s="92"/>
      <c r="B73" s="190"/>
      <c r="C73" s="92"/>
      <c r="D73" s="92"/>
      <c r="F73" s="92"/>
      <c r="G73" s="92"/>
      <c r="H73" s="187"/>
      <c r="I73" s="92"/>
      <c r="J73" s="92"/>
      <c r="K73" s="187"/>
      <c r="L73" s="92"/>
      <c r="M73" s="187"/>
      <c r="N73" s="92"/>
      <c r="O73" s="187"/>
      <c r="P73" s="92"/>
      <c r="Q73" s="187"/>
      <c r="R73" s="92"/>
      <c r="S73" s="187"/>
      <c r="T73" s="92"/>
      <c r="U73" s="187"/>
    </row>
    <row r="74" ht="15.75" customHeight="1">
      <c r="A74" s="92"/>
      <c r="B74" s="190"/>
      <c r="C74" s="92"/>
      <c r="D74" s="92"/>
      <c r="F74" s="92"/>
      <c r="G74" s="92"/>
      <c r="H74" s="187"/>
      <c r="I74" s="92"/>
      <c r="J74" s="92"/>
      <c r="K74" s="187"/>
      <c r="L74" s="92"/>
      <c r="M74" s="187"/>
      <c r="N74" s="92"/>
      <c r="O74" s="187"/>
      <c r="P74" s="92"/>
      <c r="Q74" s="187"/>
      <c r="R74" s="92"/>
      <c r="S74" s="187"/>
      <c r="T74" s="92"/>
      <c r="U74" s="187"/>
    </row>
    <row r="75" ht="15.75" customHeight="1">
      <c r="A75" s="92"/>
      <c r="B75" s="190"/>
      <c r="C75" s="92"/>
      <c r="D75" s="92"/>
      <c r="F75" s="92"/>
      <c r="G75" s="92"/>
      <c r="H75" s="187"/>
      <c r="I75" s="92"/>
      <c r="J75" s="92"/>
      <c r="K75" s="187"/>
      <c r="L75" s="92"/>
      <c r="M75" s="187"/>
      <c r="N75" s="92"/>
      <c r="O75" s="187"/>
      <c r="P75" s="92"/>
      <c r="Q75" s="187"/>
      <c r="R75" s="92"/>
      <c r="S75" s="187"/>
      <c r="T75" s="92"/>
      <c r="U75" s="187"/>
    </row>
    <row r="76" ht="15.75" customHeight="1">
      <c r="A76" s="92"/>
      <c r="B76" s="190"/>
      <c r="C76" s="92"/>
      <c r="D76" s="92"/>
      <c r="F76" s="92"/>
      <c r="G76" s="92"/>
      <c r="H76" s="187"/>
      <c r="I76" s="92"/>
      <c r="J76" s="92"/>
      <c r="K76" s="187"/>
      <c r="L76" s="92"/>
      <c r="M76" s="187"/>
      <c r="N76" s="92"/>
      <c r="O76" s="187"/>
      <c r="P76" s="92"/>
      <c r="Q76" s="187"/>
      <c r="R76" s="92"/>
      <c r="S76" s="187"/>
      <c r="T76" s="92"/>
      <c r="U76" s="187"/>
    </row>
    <row r="77" ht="15.75" customHeight="1">
      <c r="A77" s="92"/>
      <c r="B77" s="190"/>
      <c r="C77" s="92"/>
      <c r="D77" s="92"/>
      <c r="F77" s="92"/>
      <c r="G77" s="92"/>
      <c r="H77" s="187"/>
      <c r="I77" s="92"/>
      <c r="J77" s="92"/>
      <c r="K77" s="187"/>
      <c r="L77" s="92"/>
      <c r="M77" s="187"/>
      <c r="N77" s="92"/>
      <c r="O77" s="187"/>
      <c r="P77" s="92"/>
      <c r="Q77" s="187"/>
      <c r="R77" s="92"/>
      <c r="S77" s="187"/>
      <c r="T77" s="92"/>
      <c r="U77" s="187"/>
    </row>
    <row r="78" ht="15.75" customHeight="1">
      <c r="A78" s="92"/>
      <c r="B78" s="190"/>
      <c r="C78" s="92"/>
      <c r="D78" s="92"/>
      <c r="F78" s="92"/>
      <c r="G78" s="92"/>
      <c r="H78" s="187"/>
      <c r="I78" s="92"/>
      <c r="J78" s="92"/>
      <c r="K78" s="187"/>
      <c r="L78" s="92"/>
      <c r="M78" s="187"/>
      <c r="N78" s="92"/>
      <c r="O78" s="187"/>
      <c r="P78" s="92"/>
      <c r="Q78" s="187"/>
      <c r="R78" s="92"/>
      <c r="S78" s="187"/>
      <c r="T78" s="92"/>
      <c r="U78" s="187"/>
    </row>
    <row r="79" ht="15.75" customHeight="1">
      <c r="A79" s="92"/>
      <c r="B79" s="190"/>
      <c r="C79" s="92"/>
      <c r="D79" s="92"/>
      <c r="F79" s="92"/>
      <c r="G79" s="92"/>
      <c r="H79" s="187"/>
      <c r="I79" s="92"/>
      <c r="J79" s="92"/>
      <c r="K79" s="187"/>
      <c r="L79" s="92"/>
      <c r="M79" s="187"/>
      <c r="N79" s="92"/>
      <c r="O79" s="187"/>
      <c r="P79" s="92"/>
      <c r="Q79" s="187"/>
      <c r="R79" s="92"/>
      <c r="S79" s="187"/>
      <c r="T79" s="92"/>
      <c r="U79" s="187"/>
    </row>
    <row r="80" ht="15.75" customHeight="1">
      <c r="A80" s="92"/>
      <c r="B80" s="190"/>
      <c r="C80" s="92"/>
      <c r="D80" s="92"/>
      <c r="F80" s="92"/>
      <c r="G80" s="92"/>
      <c r="H80" s="187"/>
      <c r="I80" s="92"/>
      <c r="J80" s="92"/>
      <c r="K80" s="187"/>
      <c r="L80" s="92"/>
      <c r="M80" s="187"/>
      <c r="N80" s="92"/>
      <c r="O80" s="187"/>
      <c r="P80" s="92"/>
      <c r="Q80" s="187"/>
      <c r="R80" s="92"/>
      <c r="S80" s="187"/>
      <c r="T80" s="92"/>
      <c r="U80" s="187"/>
    </row>
    <row r="81" ht="15.75" customHeight="1">
      <c r="A81" s="92"/>
      <c r="B81" s="190"/>
      <c r="C81" s="92"/>
      <c r="D81" s="92"/>
      <c r="F81" s="92"/>
      <c r="G81" s="92"/>
      <c r="H81" s="187"/>
      <c r="I81" s="92"/>
      <c r="J81" s="92"/>
      <c r="K81" s="187"/>
      <c r="L81" s="92"/>
      <c r="M81" s="187"/>
      <c r="N81" s="92"/>
      <c r="O81" s="187"/>
      <c r="P81" s="92"/>
      <c r="Q81" s="187"/>
      <c r="R81" s="92"/>
      <c r="S81" s="187"/>
      <c r="T81" s="92"/>
      <c r="U81" s="187"/>
    </row>
    <row r="82" ht="15.75" customHeight="1">
      <c r="A82" s="92"/>
      <c r="B82" s="190"/>
      <c r="C82" s="92"/>
      <c r="D82" s="92"/>
      <c r="F82" s="92"/>
      <c r="G82" s="92"/>
      <c r="H82" s="187"/>
      <c r="I82" s="92"/>
      <c r="J82" s="92"/>
      <c r="K82" s="187"/>
      <c r="L82" s="92"/>
      <c r="M82" s="187"/>
      <c r="N82" s="92"/>
      <c r="O82" s="187"/>
      <c r="P82" s="92"/>
      <c r="Q82" s="187"/>
      <c r="R82" s="92"/>
      <c r="S82" s="187"/>
      <c r="T82" s="92"/>
      <c r="U82" s="187"/>
    </row>
    <row r="83" ht="15.75" customHeight="1">
      <c r="A83" s="92"/>
      <c r="B83" s="190"/>
      <c r="C83" s="92"/>
      <c r="D83" s="92"/>
      <c r="F83" s="92"/>
      <c r="G83" s="92"/>
      <c r="H83" s="187"/>
      <c r="I83" s="92"/>
      <c r="J83" s="92"/>
      <c r="K83" s="187"/>
      <c r="L83" s="92"/>
      <c r="M83" s="187"/>
      <c r="N83" s="92"/>
      <c r="O83" s="187"/>
      <c r="P83" s="92"/>
      <c r="Q83" s="187"/>
      <c r="R83" s="92"/>
      <c r="S83" s="187"/>
      <c r="T83" s="92"/>
      <c r="U83" s="187"/>
    </row>
    <row r="84" ht="15.75" customHeight="1">
      <c r="A84" s="92"/>
      <c r="B84" s="190"/>
      <c r="C84" s="92"/>
      <c r="D84" s="92"/>
      <c r="F84" s="92"/>
      <c r="G84" s="92"/>
      <c r="H84" s="187"/>
      <c r="I84" s="92"/>
      <c r="J84" s="92"/>
      <c r="K84" s="187"/>
      <c r="L84" s="92"/>
      <c r="M84" s="187"/>
      <c r="N84" s="92"/>
      <c r="O84" s="187"/>
      <c r="P84" s="92"/>
      <c r="Q84" s="187"/>
      <c r="R84" s="92"/>
      <c r="S84" s="187"/>
      <c r="T84" s="92"/>
      <c r="U84" s="187"/>
    </row>
    <row r="85" ht="15.75" customHeight="1">
      <c r="A85" s="92"/>
      <c r="B85" s="190"/>
      <c r="C85" s="92"/>
      <c r="D85" s="92"/>
      <c r="F85" s="92"/>
      <c r="G85" s="92"/>
      <c r="H85" s="187"/>
      <c r="I85" s="92"/>
      <c r="J85" s="92"/>
      <c r="K85" s="187"/>
      <c r="L85" s="92"/>
      <c r="M85" s="187"/>
      <c r="N85" s="92"/>
      <c r="O85" s="187"/>
      <c r="P85" s="92"/>
      <c r="Q85" s="187"/>
      <c r="R85" s="92"/>
      <c r="S85" s="187"/>
      <c r="T85" s="92"/>
      <c r="U85" s="187"/>
    </row>
    <row r="86" ht="15.75" customHeight="1">
      <c r="A86" s="92"/>
      <c r="B86" s="190"/>
      <c r="C86" s="92"/>
      <c r="D86" s="92"/>
      <c r="F86" s="92"/>
      <c r="G86" s="92"/>
      <c r="H86" s="187"/>
      <c r="I86" s="92"/>
      <c r="J86" s="92"/>
      <c r="K86" s="187"/>
      <c r="L86" s="92"/>
      <c r="M86" s="187"/>
      <c r="N86" s="92"/>
      <c r="O86" s="187"/>
      <c r="P86" s="92"/>
      <c r="Q86" s="187"/>
      <c r="R86" s="92"/>
      <c r="S86" s="187"/>
      <c r="T86" s="92"/>
      <c r="U86" s="187"/>
    </row>
    <row r="87" ht="15.75" customHeight="1">
      <c r="A87" s="92"/>
      <c r="B87" s="190"/>
      <c r="C87" s="92"/>
      <c r="D87" s="92"/>
      <c r="F87" s="92"/>
      <c r="G87" s="92"/>
      <c r="H87" s="187"/>
      <c r="I87" s="92"/>
      <c r="J87" s="92"/>
      <c r="K87" s="187"/>
      <c r="L87" s="92"/>
      <c r="M87" s="187"/>
      <c r="N87" s="92"/>
      <c r="O87" s="187"/>
      <c r="P87" s="92"/>
      <c r="Q87" s="187"/>
      <c r="R87" s="92"/>
      <c r="S87" s="187"/>
      <c r="T87" s="92"/>
      <c r="U87" s="187"/>
    </row>
    <row r="88" ht="15.75" customHeight="1">
      <c r="A88" s="92"/>
      <c r="B88" s="190"/>
      <c r="C88" s="92"/>
      <c r="D88" s="92"/>
      <c r="F88" s="92"/>
      <c r="G88" s="92"/>
      <c r="H88" s="187"/>
      <c r="I88" s="92"/>
      <c r="J88" s="92"/>
      <c r="K88" s="187"/>
      <c r="L88" s="92"/>
      <c r="M88" s="187"/>
      <c r="N88" s="92"/>
      <c r="O88" s="187"/>
      <c r="P88" s="92"/>
      <c r="Q88" s="187"/>
      <c r="R88" s="92"/>
      <c r="S88" s="187"/>
      <c r="T88" s="92"/>
      <c r="U88" s="187"/>
    </row>
    <row r="89" ht="15.75" customHeight="1">
      <c r="A89" s="92"/>
      <c r="B89" s="190"/>
      <c r="C89" s="92"/>
      <c r="D89" s="92"/>
      <c r="F89" s="92"/>
      <c r="G89" s="92"/>
      <c r="H89" s="187"/>
      <c r="I89" s="92"/>
      <c r="J89" s="92"/>
      <c r="K89" s="187"/>
      <c r="L89" s="92"/>
      <c r="M89" s="187"/>
      <c r="N89" s="92"/>
      <c r="O89" s="187"/>
      <c r="P89" s="92"/>
      <c r="Q89" s="187"/>
      <c r="R89" s="92"/>
      <c r="S89" s="187"/>
      <c r="T89" s="92"/>
      <c r="U89" s="187"/>
    </row>
    <row r="90" ht="15.75" customHeight="1">
      <c r="A90" s="92"/>
      <c r="B90" s="190"/>
      <c r="C90" s="92"/>
      <c r="D90" s="92"/>
      <c r="F90" s="92"/>
      <c r="G90" s="92"/>
      <c r="H90" s="187"/>
      <c r="I90" s="92"/>
      <c r="J90" s="92"/>
      <c r="K90" s="187"/>
      <c r="L90" s="92"/>
      <c r="M90" s="187"/>
      <c r="N90" s="92"/>
      <c r="O90" s="187"/>
      <c r="P90" s="92"/>
      <c r="Q90" s="187"/>
      <c r="R90" s="92"/>
      <c r="S90" s="187"/>
      <c r="T90" s="92"/>
      <c r="U90" s="187"/>
    </row>
    <row r="91" ht="15.75" customHeight="1">
      <c r="A91" s="92"/>
      <c r="B91" s="190"/>
      <c r="C91" s="92"/>
      <c r="D91" s="92"/>
      <c r="F91" s="92"/>
      <c r="G91" s="92"/>
      <c r="H91" s="187"/>
      <c r="I91" s="92"/>
      <c r="J91" s="92"/>
      <c r="K91" s="187"/>
      <c r="L91" s="92"/>
      <c r="M91" s="187"/>
      <c r="N91" s="92"/>
      <c r="O91" s="187"/>
      <c r="P91" s="92"/>
      <c r="Q91" s="187"/>
      <c r="R91" s="92"/>
      <c r="S91" s="187"/>
      <c r="T91" s="92"/>
      <c r="U91" s="187"/>
    </row>
    <row r="92" ht="15.75" customHeight="1">
      <c r="A92" s="92"/>
      <c r="B92" s="190"/>
      <c r="C92" s="92"/>
      <c r="D92" s="92"/>
      <c r="F92" s="92"/>
      <c r="G92" s="92"/>
      <c r="H92" s="187"/>
      <c r="I92" s="92"/>
      <c r="J92" s="92"/>
      <c r="K92" s="187"/>
      <c r="L92" s="92"/>
      <c r="M92" s="187"/>
      <c r="N92" s="92"/>
      <c r="O92" s="187"/>
      <c r="P92" s="92"/>
      <c r="Q92" s="187"/>
      <c r="R92" s="92"/>
      <c r="S92" s="187"/>
      <c r="T92" s="92"/>
      <c r="U92" s="187"/>
    </row>
    <row r="93" ht="15.75" customHeight="1">
      <c r="A93" s="92"/>
      <c r="B93" s="190"/>
      <c r="C93" s="92"/>
      <c r="D93" s="92"/>
      <c r="F93" s="92"/>
      <c r="G93" s="92"/>
      <c r="H93" s="187"/>
      <c r="I93" s="92"/>
      <c r="J93" s="92"/>
      <c r="K93" s="187"/>
      <c r="L93" s="92"/>
      <c r="M93" s="187"/>
      <c r="N93" s="92"/>
      <c r="O93" s="187"/>
      <c r="P93" s="92"/>
      <c r="Q93" s="187"/>
      <c r="R93" s="92"/>
      <c r="S93" s="187"/>
      <c r="T93" s="92"/>
      <c r="U93" s="187"/>
    </row>
    <row r="94" ht="15.75" customHeight="1">
      <c r="A94" s="92"/>
      <c r="B94" s="190"/>
      <c r="C94" s="92"/>
      <c r="D94" s="92"/>
      <c r="F94" s="92"/>
      <c r="G94" s="92"/>
      <c r="H94" s="187"/>
      <c r="I94" s="92"/>
      <c r="J94" s="92"/>
      <c r="K94" s="187"/>
      <c r="L94" s="92"/>
      <c r="M94" s="187"/>
      <c r="N94" s="92"/>
      <c r="O94" s="187"/>
      <c r="P94" s="92"/>
      <c r="Q94" s="187"/>
      <c r="R94" s="92"/>
      <c r="S94" s="187"/>
      <c r="T94" s="92"/>
      <c r="U94" s="187"/>
    </row>
    <row r="95" ht="15.75" customHeight="1">
      <c r="A95" s="92"/>
      <c r="B95" s="190"/>
      <c r="C95" s="92"/>
      <c r="D95" s="92"/>
      <c r="F95" s="92"/>
      <c r="G95" s="92"/>
      <c r="H95" s="187"/>
      <c r="I95" s="92"/>
      <c r="J95" s="92"/>
      <c r="K95" s="187"/>
      <c r="L95" s="92"/>
      <c r="M95" s="187"/>
      <c r="N95" s="92"/>
      <c r="O95" s="187"/>
      <c r="P95" s="92"/>
      <c r="Q95" s="187"/>
      <c r="R95" s="92"/>
      <c r="S95" s="187"/>
      <c r="T95" s="92"/>
      <c r="U95" s="187"/>
    </row>
    <row r="96" ht="15.75" customHeight="1">
      <c r="A96" s="92"/>
      <c r="B96" s="190"/>
      <c r="C96" s="92"/>
      <c r="D96" s="92"/>
      <c r="F96" s="92"/>
      <c r="G96" s="92"/>
      <c r="H96" s="187"/>
      <c r="I96" s="92"/>
      <c r="J96" s="92"/>
      <c r="K96" s="187"/>
      <c r="L96" s="92"/>
      <c r="M96" s="187"/>
      <c r="N96" s="92"/>
      <c r="O96" s="187"/>
      <c r="P96" s="92"/>
      <c r="Q96" s="187"/>
      <c r="R96" s="92"/>
      <c r="S96" s="187"/>
      <c r="T96" s="92"/>
      <c r="U96" s="187"/>
    </row>
    <row r="97" ht="15.75" customHeight="1">
      <c r="A97" s="92"/>
      <c r="B97" s="190"/>
      <c r="C97" s="92"/>
      <c r="D97" s="92"/>
      <c r="F97" s="92"/>
      <c r="G97" s="92"/>
      <c r="H97" s="187"/>
      <c r="I97" s="92"/>
      <c r="J97" s="92"/>
      <c r="K97" s="187"/>
      <c r="L97" s="92"/>
      <c r="M97" s="187"/>
      <c r="N97" s="92"/>
      <c r="O97" s="187"/>
      <c r="P97" s="92"/>
      <c r="Q97" s="187"/>
      <c r="R97" s="92"/>
      <c r="S97" s="187"/>
      <c r="T97" s="92"/>
      <c r="U97" s="187"/>
    </row>
    <row r="98" ht="15.75" customHeight="1">
      <c r="A98" s="92"/>
      <c r="B98" s="190"/>
      <c r="C98" s="92"/>
      <c r="D98" s="92"/>
      <c r="F98" s="92"/>
      <c r="G98" s="92"/>
      <c r="H98" s="187"/>
      <c r="I98" s="92"/>
      <c r="J98" s="92"/>
      <c r="K98" s="187"/>
      <c r="L98" s="92"/>
      <c r="M98" s="187"/>
      <c r="N98" s="92"/>
      <c r="O98" s="187"/>
      <c r="P98" s="92"/>
      <c r="Q98" s="187"/>
      <c r="R98" s="92"/>
      <c r="S98" s="187"/>
      <c r="T98" s="92"/>
      <c r="U98" s="187"/>
    </row>
    <row r="99" ht="15.75" customHeight="1">
      <c r="A99" s="92"/>
      <c r="B99" s="190"/>
      <c r="C99" s="92"/>
      <c r="D99" s="92"/>
      <c r="F99" s="92"/>
      <c r="G99" s="92"/>
      <c r="H99" s="187"/>
      <c r="I99" s="92"/>
      <c r="J99" s="92"/>
      <c r="K99" s="187"/>
      <c r="L99" s="92"/>
      <c r="M99" s="187"/>
      <c r="N99" s="92"/>
      <c r="O99" s="187"/>
      <c r="P99" s="92"/>
      <c r="Q99" s="187"/>
      <c r="R99" s="92"/>
      <c r="S99" s="187"/>
      <c r="T99" s="92"/>
      <c r="U99" s="187"/>
    </row>
    <row r="100" ht="15.75" customHeight="1">
      <c r="A100" s="92"/>
      <c r="B100" s="190"/>
      <c r="C100" s="92"/>
      <c r="D100" s="92"/>
      <c r="F100" s="92"/>
      <c r="G100" s="92"/>
      <c r="H100" s="187"/>
      <c r="I100" s="92"/>
      <c r="J100" s="92"/>
      <c r="K100" s="187"/>
      <c r="L100" s="92"/>
      <c r="M100" s="187"/>
      <c r="N100" s="92"/>
      <c r="O100" s="187"/>
      <c r="P100" s="92"/>
      <c r="Q100" s="187"/>
      <c r="R100" s="92"/>
      <c r="S100" s="187"/>
      <c r="T100" s="92"/>
      <c r="U100" s="187"/>
    </row>
    <row r="101" ht="15.75" customHeight="1">
      <c r="A101" s="92"/>
      <c r="B101" s="190"/>
      <c r="C101" s="92"/>
      <c r="D101" s="92"/>
      <c r="F101" s="92"/>
      <c r="G101" s="92"/>
      <c r="H101" s="187"/>
      <c r="I101" s="92"/>
      <c r="J101" s="92"/>
      <c r="K101" s="187"/>
      <c r="L101" s="92"/>
      <c r="M101" s="187"/>
      <c r="N101" s="92"/>
      <c r="O101" s="187"/>
      <c r="P101" s="92"/>
      <c r="Q101" s="187"/>
      <c r="R101" s="92"/>
      <c r="S101" s="187"/>
      <c r="T101" s="92"/>
      <c r="U101" s="187"/>
    </row>
    <row r="102" ht="15.75" customHeight="1">
      <c r="A102" s="92"/>
      <c r="B102" s="190"/>
      <c r="C102" s="92"/>
      <c r="D102" s="92"/>
      <c r="F102" s="92"/>
      <c r="G102" s="92"/>
      <c r="H102" s="187"/>
      <c r="I102" s="92"/>
      <c r="J102" s="92"/>
      <c r="K102" s="187"/>
      <c r="L102" s="92"/>
      <c r="M102" s="187"/>
      <c r="N102" s="92"/>
      <c r="O102" s="187"/>
      <c r="P102" s="92"/>
      <c r="Q102" s="187"/>
      <c r="R102" s="92"/>
      <c r="S102" s="187"/>
      <c r="T102" s="92"/>
      <c r="U102" s="187"/>
    </row>
    <row r="103" ht="15.75" customHeight="1">
      <c r="A103" s="92"/>
      <c r="B103" s="190"/>
      <c r="C103" s="92"/>
      <c r="D103" s="92"/>
      <c r="F103" s="92"/>
      <c r="G103" s="92"/>
      <c r="H103" s="187"/>
      <c r="I103" s="92"/>
      <c r="J103" s="92"/>
      <c r="K103" s="187"/>
      <c r="L103" s="92"/>
      <c r="M103" s="187"/>
      <c r="N103" s="92"/>
      <c r="O103" s="187"/>
      <c r="P103" s="92"/>
      <c r="Q103" s="187"/>
      <c r="R103" s="92"/>
      <c r="S103" s="187"/>
      <c r="T103" s="92"/>
      <c r="U103" s="187"/>
    </row>
    <row r="104" ht="15.75" customHeight="1">
      <c r="A104" s="92"/>
      <c r="B104" s="190"/>
      <c r="C104" s="92"/>
      <c r="D104" s="92"/>
      <c r="F104" s="92"/>
      <c r="G104" s="92"/>
      <c r="H104" s="187"/>
      <c r="I104" s="92"/>
      <c r="J104" s="92"/>
      <c r="K104" s="187"/>
      <c r="L104" s="92"/>
      <c r="M104" s="187"/>
      <c r="N104" s="92"/>
      <c r="O104" s="187"/>
      <c r="P104" s="92"/>
      <c r="Q104" s="187"/>
      <c r="R104" s="92"/>
      <c r="S104" s="187"/>
      <c r="T104" s="92"/>
      <c r="U104" s="187"/>
    </row>
    <row r="105" ht="15.75" customHeight="1">
      <c r="A105" s="92"/>
      <c r="B105" s="190"/>
      <c r="C105" s="92"/>
      <c r="D105" s="92"/>
      <c r="F105" s="92"/>
      <c r="G105" s="92"/>
      <c r="H105" s="187"/>
      <c r="I105" s="92"/>
      <c r="J105" s="92"/>
      <c r="K105" s="187"/>
      <c r="L105" s="92"/>
      <c r="M105" s="187"/>
      <c r="N105" s="92"/>
      <c r="O105" s="187"/>
      <c r="P105" s="92"/>
      <c r="Q105" s="187"/>
      <c r="R105" s="92"/>
      <c r="S105" s="187"/>
      <c r="T105" s="92"/>
      <c r="U105" s="187"/>
    </row>
    <row r="106" ht="15.75" customHeight="1">
      <c r="A106" s="92"/>
      <c r="B106" s="190"/>
      <c r="C106" s="92"/>
      <c r="D106" s="92"/>
      <c r="F106" s="92"/>
      <c r="G106" s="92"/>
      <c r="H106" s="187"/>
      <c r="I106" s="92"/>
      <c r="J106" s="92"/>
      <c r="K106" s="187"/>
      <c r="L106" s="92"/>
      <c r="M106" s="187"/>
      <c r="N106" s="92"/>
      <c r="O106" s="187"/>
      <c r="P106" s="92"/>
      <c r="Q106" s="187"/>
      <c r="R106" s="92"/>
      <c r="S106" s="187"/>
      <c r="T106" s="92"/>
      <c r="U106" s="187"/>
    </row>
    <row r="107" ht="15.75" customHeight="1">
      <c r="A107" s="92"/>
      <c r="B107" s="190"/>
      <c r="C107" s="92"/>
      <c r="D107" s="92"/>
      <c r="F107" s="92"/>
      <c r="G107" s="92"/>
      <c r="H107" s="187"/>
      <c r="I107" s="92"/>
      <c r="J107" s="92"/>
      <c r="K107" s="187"/>
      <c r="L107" s="92"/>
      <c r="M107" s="187"/>
      <c r="N107" s="92"/>
      <c r="O107" s="187"/>
      <c r="P107" s="92"/>
      <c r="Q107" s="187"/>
      <c r="R107" s="92"/>
      <c r="S107" s="187"/>
      <c r="T107" s="92"/>
      <c r="U107" s="187"/>
    </row>
    <row r="108" ht="15.75" customHeight="1">
      <c r="A108" s="92"/>
      <c r="B108" s="190"/>
      <c r="C108" s="92"/>
      <c r="D108" s="92"/>
      <c r="F108" s="92"/>
      <c r="G108" s="92"/>
      <c r="H108" s="187"/>
      <c r="I108" s="92"/>
      <c r="J108" s="92"/>
      <c r="K108" s="187"/>
      <c r="L108" s="92"/>
      <c r="M108" s="187"/>
      <c r="N108" s="92"/>
      <c r="O108" s="187"/>
      <c r="P108" s="92"/>
      <c r="Q108" s="187"/>
      <c r="R108" s="92"/>
      <c r="S108" s="187"/>
      <c r="T108" s="92"/>
      <c r="U108" s="187"/>
    </row>
    <row r="109" ht="15.75" customHeight="1">
      <c r="A109" s="92"/>
      <c r="B109" s="190"/>
      <c r="C109" s="92"/>
      <c r="D109" s="92"/>
      <c r="F109" s="92"/>
      <c r="G109" s="92"/>
      <c r="H109" s="187"/>
      <c r="I109" s="92"/>
      <c r="J109" s="92"/>
      <c r="K109" s="187"/>
      <c r="L109" s="92"/>
      <c r="M109" s="187"/>
      <c r="N109" s="92"/>
      <c r="O109" s="187"/>
      <c r="P109" s="92"/>
      <c r="Q109" s="187"/>
      <c r="R109" s="92"/>
      <c r="S109" s="187"/>
      <c r="T109" s="92"/>
      <c r="U109" s="187"/>
    </row>
    <row r="110" ht="15.75" customHeight="1">
      <c r="A110" s="92"/>
      <c r="B110" s="190"/>
      <c r="C110" s="92"/>
      <c r="D110" s="92"/>
      <c r="F110" s="92"/>
      <c r="G110" s="92"/>
      <c r="H110" s="187"/>
      <c r="I110" s="92"/>
      <c r="J110" s="92"/>
      <c r="K110" s="187"/>
      <c r="L110" s="92"/>
      <c r="M110" s="187"/>
      <c r="N110" s="92"/>
      <c r="O110" s="187"/>
      <c r="P110" s="92"/>
      <c r="Q110" s="187"/>
      <c r="R110" s="92"/>
      <c r="S110" s="187"/>
      <c r="T110" s="92"/>
      <c r="U110" s="187"/>
    </row>
    <row r="111" ht="15.75" customHeight="1">
      <c r="A111" s="92"/>
      <c r="B111" s="190"/>
      <c r="C111" s="92"/>
      <c r="D111" s="92"/>
      <c r="F111" s="92"/>
      <c r="G111" s="92"/>
      <c r="H111" s="187"/>
      <c r="I111" s="92"/>
      <c r="J111" s="92"/>
      <c r="K111" s="187"/>
      <c r="L111" s="92"/>
      <c r="M111" s="187"/>
      <c r="N111" s="92"/>
      <c r="O111" s="187"/>
      <c r="P111" s="92"/>
      <c r="Q111" s="187"/>
      <c r="R111" s="92"/>
      <c r="S111" s="187"/>
      <c r="T111" s="92"/>
      <c r="U111" s="187"/>
    </row>
    <row r="112" ht="15.75" customHeight="1">
      <c r="A112" s="92"/>
      <c r="B112" s="190"/>
      <c r="C112" s="92"/>
      <c r="D112" s="92"/>
      <c r="F112" s="92"/>
      <c r="G112" s="92"/>
      <c r="H112" s="187"/>
      <c r="I112" s="92"/>
      <c r="J112" s="92"/>
      <c r="K112" s="187"/>
      <c r="L112" s="92"/>
      <c r="M112" s="187"/>
      <c r="N112" s="92"/>
      <c r="O112" s="187"/>
      <c r="P112" s="92"/>
      <c r="Q112" s="187"/>
      <c r="R112" s="92"/>
      <c r="S112" s="187"/>
      <c r="T112" s="92"/>
      <c r="U112" s="187"/>
    </row>
    <row r="113" ht="15.75" customHeight="1">
      <c r="A113" s="92"/>
      <c r="B113" s="190"/>
      <c r="C113" s="92"/>
      <c r="D113" s="92"/>
      <c r="F113" s="92"/>
      <c r="G113" s="92"/>
      <c r="H113" s="187"/>
      <c r="I113" s="92"/>
      <c r="J113" s="92"/>
      <c r="K113" s="187"/>
      <c r="L113" s="92"/>
      <c r="M113" s="187"/>
      <c r="N113" s="92"/>
      <c r="O113" s="187"/>
      <c r="P113" s="92"/>
      <c r="Q113" s="187"/>
      <c r="R113" s="92"/>
      <c r="S113" s="187"/>
      <c r="T113" s="92"/>
      <c r="U113" s="187"/>
    </row>
    <row r="114" ht="15.75" customHeight="1">
      <c r="A114" s="92"/>
      <c r="B114" s="190"/>
      <c r="C114" s="92"/>
      <c r="D114" s="92"/>
      <c r="F114" s="92"/>
      <c r="G114" s="92"/>
      <c r="H114" s="187"/>
      <c r="I114" s="92"/>
      <c r="J114" s="92"/>
      <c r="K114" s="187"/>
      <c r="L114" s="92"/>
      <c r="M114" s="187"/>
      <c r="N114" s="92"/>
      <c r="O114" s="187"/>
      <c r="P114" s="92"/>
      <c r="Q114" s="187"/>
      <c r="R114" s="92"/>
      <c r="S114" s="187"/>
      <c r="T114" s="92"/>
      <c r="U114" s="187"/>
    </row>
    <row r="115" ht="15.75" customHeight="1">
      <c r="A115" s="92"/>
      <c r="B115" s="190"/>
      <c r="C115" s="92"/>
      <c r="D115" s="92"/>
      <c r="F115" s="92"/>
      <c r="G115" s="92"/>
      <c r="H115" s="187"/>
      <c r="I115" s="92"/>
      <c r="J115" s="92"/>
      <c r="K115" s="187"/>
      <c r="L115" s="92"/>
      <c r="M115" s="187"/>
      <c r="N115" s="92"/>
      <c r="O115" s="187"/>
      <c r="P115" s="92"/>
      <c r="Q115" s="187"/>
      <c r="R115" s="92"/>
      <c r="S115" s="187"/>
      <c r="T115" s="92"/>
      <c r="U115" s="187"/>
    </row>
    <row r="116" ht="15.75" customHeight="1">
      <c r="A116" s="92"/>
      <c r="B116" s="190"/>
      <c r="C116" s="92"/>
      <c r="D116" s="92"/>
      <c r="F116" s="92"/>
      <c r="G116" s="92"/>
      <c r="H116" s="187"/>
      <c r="I116" s="92"/>
      <c r="J116" s="92"/>
      <c r="K116" s="187"/>
      <c r="L116" s="92"/>
      <c r="M116" s="187"/>
      <c r="N116" s="92"/>
      <c r="O116" s="187"/>
      <c r="P116" s="92"/>
      <c r="Q116" s="187"/>
      <c r="R116" s="92"/>
      <c r="S116" s="187"/>
      <c r="T116" s="92"/>
      <c r="U116" s="187"/>
    </row>
    <row r="117" ht="15.75" customHeight="1">
      <c r="A117" s="92"/>
      <c r="B117" s="190"/>
      <c r="C117" s="92"/>
      <c r="D117" s="92"/>
      <c r="F117" s="92"/>
      <c r="G117" s="92"/>
      <c r="H117" s="187"/>
      <c r="I117" s="92"/>
      <c r="J117" s="92"/>
      <c r="K117" s="187"/>
      <c r="L117" s="92"/>
      <c r="M117" s="187"/>
      <c r="N117" s="92"/>
      <c r="O117" s="187"/>
      <c r="P117" s="92"/>
      <c r="Q117" s="187"/>
      <c r="R117" s="92"/>
      <c r="S117" s="187"/>
      <c r="T117" s="92"/>
      <c r="U117" s="187"/>
    </row>
    <row r="118" ht="15.75" customHeight="1">
      <c r="A118" s="92"/>
      <c r="B118" s="190"/>
      <c r="C118" s="92"/>
      <c r="D118" s="92"/>
      <c r="F118" s="92"/>
      <c r="G118" s="92"/>
      <c r="H118" s="187"/>
      <c r="I118" s="92"/>
      <c r="J118" s="92"/>
      <c r="K118" s="187"/>
      <c r="L118" s="92"/>
      <c r="M118" s="187"/>
      <c r="N118" s="92"/>
      <c r="O118" s="187"/>
      <c r="P118" s="92"/>
      <c r="Q118" s="187"/>
      <c r="R118" s="92"/>
      <c r="S118" s="187"/>
      <c r="T118" s="92"/>
      <c r="U118" s="187"/>
    </row>
    <row r="119" ht="15.75" customHeight="1">
      <c r="A119" s="92"/>
      <c r="B119" s="190"/>
      <c r="C119" s="92"/>
      <c r="D119" s="92"/>
      <c r="F119" s="92"/>
      <c r="G119" s="92"/>
      <c r="H119" s="187"/>
      <c r="I119" s="92"/>
      <c r="J119" s="92"/>
      <c r="K119" s="187"/>
      <c r="L119" s="92"/>
      <c r="M119" s="187"/>
      <c r="N119" s="92"/>
      <c r="O119" s="187"/>
      <c r="P119" s="92"/>
      <c r="Q119" s="187"/>
      <c r="R119" s="92"/>
      <c r="S119" s="187"/>
      <c r="T119" s="92"/>
      <c r="U119" s="187"/>
    </row>
    <row r="120" ht="15.75" customHeight="1">
      <c r="A120" s="92"/>
      <c r="B120" s="190"/>
      <c r="C120" s="92"/>
      <c r="D120" s="92"/>
      <c r="F120" s="92"/>
      <c r="G120" s="92"/>
      <c r="H120" s="187"/>
      <c r="I120" s="92"/>
      <c r="J120" s="92"/>
      <c r="K120" s="187"/>
      <c r="L120" s="92"/>
      <c r="M120" s="187"/>
      <c r="N120" s="92"/>
      <c r="O120" s="187"/>
      <c r="P120" s="92"/>
      <c r="Q120" s="187"/>
      <c r="R120" s="92"/>
      <c r="S120" s="187"/>
      <c r="T120" s="92"/>
      <c r="U120" s="187"/>
    </row>
    <row r="121" ht="15.75" customHeight="1">
      <c r="A121" s="92"/>
      <c r="B121" s="190"/>
      <c r="C121" s="92"/>
      <c r="D121" s="92"/>
      <c r="F121" s="92"/>
      <c r="G121" s="92"/>
      <c r="H121" s="187"/>
      <c r="I121" s="92"/>
      <c r="J121" s="92"/>
      <c r="K121" s="187"/>
      <c r="L121" s="92"/>
      <c r="M121" s="187"/>
      <c r="N121" s="92"/>
      <c r="O121" s="187"/>
      <c r="P121" s="92"/>
      <c r="Q121" s="187"/>
      <c r="R121" s="92"/>
      <c r="S121" s="187"/>
      <c r="T121" s="92"/>
      <c r="U121" s="187"/>
    </row>
    <row r="122" ht="15.75" customHeight="1">
      <c r="A122" s="92"/>
      <c r="B122" s="190"/>
      <c r="C122" s="92"/>
      <c r="D122" s="92"/>
      <c r="F122" s="92"/>
      <c r="G122" s="92"/>
      <c r="H122" s="187"/>
      <c r="I122" s="92"/>
      <c r="J122" s="92"/>
      <c r="K122" s="187"/>
      <c r="L122" s="92"/>
      <c r="M122" s="187"/>
      <c r="N122" s="92"/>
      <c r="O122" s="187"/>
      <c r="P122" s="92"/>
      <c r="Q122" s="187"/>
      <c r="R122" s="92"/>
      <c r="S122" s="187"/>
      <c r="T122" s="92"/>
      <c r="U122" s="187"/>
    </row>
    <row r="123" ht="15.75" customHeight="1">
      <c r="A123" s="92"/>
      <c r="B123" s="190"/>
      <c r="C123" s="92"/>
      <c r="D123" s="92"/>
      <c r="F123" s="92"/>
      <c r="G123" s="92"/>
      <c r="H123" s="187"/>
      <c r="I123" s="92"/>
      <c r="J123" s="92"/>
      <c r="K123" s="187"/>
      <c r="L123" s="92"/>
      <c r="M123" s="187"/>
      <c r="N123" s="92"/>
      <c r="O123" s="187"/>
      <c r="P123" s="92"/>
      <c r="Q123" s="187"/>
      <c r="R123" s="92"/>
      <c r="S123" s="187"/>
      <c r="T123" s="92"/>
      <c r="U123" s="187"/>
    </row>
    <row r="124" ht="15.75" customHeight="1">
      <c r="A124" s="92"/>
      <c r="B124" s="190"/>
      <c r="C124" s="92"/>
      <c r="D124" s="92"/>
      <c r="F124" s="92"/>
      <c r="G124" s="92"/>
      <c r="H124" s="187"/>
      <c r="I124" s="92"/>
      <c r="J124" s="92"/>
      <c r="K124" s="187"/>
      <c r="L124" s="92"/>
      <c r="M124" s="187"/>
      <c r="N124" s="92"/>
      <c r="O124" s="187"/>
      <c r="P124" s="92"/>
      <c r="Q124" s="187"/>
      <c r="R124" s="92"/>
      <c r="S124" s="187"/>
      <c r="T124" s="92"/>
      <c r="U124" s="187"/>
    </row>
    <row r="125" ht="15.75" customHeight="1">
      <c r="A125" s="92"/>
      <c r="B125" s="190"/>
      <c r="C125" s="92"/>
      <c r="D125" s="92"/>
      <c r="F125" s="92"/>
      <c r="G125" s="92"/>
      <c r="H125" s="187"/>
      <c r="I125" s="92"/>
      <c r="J125" s="92"/>
      <c r="K125" s="187"/>
      <c r="L125" s="92"/>
      <c r="M125" s="187"/>
      <c r="N125" s="92"/>
      <c r="O125" s="187"/>
      <c r="P125" s="92"/>
      <c r="Q125" s="187"/>
      <c r="R125" s="92"/>
      <c r="S125" s="187"/>
      <c r="T125" s="92"/>
      <c r="U125" s="187"/>
    </row>
    <row r="126" ht="15.75" customHeight="1">
      <c r="A126" s="92"/>
      <c r="B126" s="190"/>
      <c r="C126" s="92"/>
      <c r="D126" s="92"/>
      <c r="F126" s="92"/>
      <c r="G126" s="92"/>
      <c r="H126" s="187"/>
      <c r="I126" s="92"/>
      <c r="J126" s="92"/>
      <c r="K126" s="187"/>
      <c r="L126" s="92"/>
      <c r="M126" s="187"/>
      <c r="N126" s="92"/>
      <c r="O126" s="187"/>
      <c r="P126" s="92"/>
      <c r="Q126" s="187"/>
      <c r="R126" s="92"/>
      <c r="S126" s="187"/>
      <c r="T126" s="92"/>
      <c r="U126" s="187"/>
    </row>
    <row r="127" ht="15.75" customHeight="1">
      <c r="A127" s="92"/>
      <c r="B127" s="190"/>
      <c r="C127" s="92"/>
      <c r="D127" s="92"/>
      <c r="F127" s="92"/>
      <c r="G127" s="92"/>
      <c r="H127" s="187"/>
      <c r="I127" s="92"/>
      <c r="J127" s="92"/>
      <c r="K127" s="187"/>
      <c r="L127" s="92"/>
      <c r="M127" s="187"/>
      <c r="N127" s="92"/>
      <c r="O127" s="187"/>
      <c r="P127" s="92"/>
      <c r="Q127" s="187"/>
      <c r="R127" s="92"/>
      <c r="S127" s="187"/>
      <c r="T127" s="92"/>
      <c r="U127" s="187"/>
    </row>
    <row r="128" ht="15.75" customHeight="1">
      <c r="A128" s="92"/>
      <c r="B128" s="190"/>
      <c r="C128" s="92"/>
      <c r="D128" s="92"/>
      <c r="F128" s="92"/>
      <c r="G128" s="92"/>
      <c r="H128" s="187"/>
      <c r="I128" s="92"/>
      <c r="J128" s="92"/>
      <c r="K128" s="187"/>
      <c r="L128" s="92"/>
      <c r="M128" s="187"/>
      <c r="N128" s="92"/>
      <c r="O128" s="187"/>
      <c r="P128" s="92"/>
      <c r="Q128" s="187"/>
      <c r="R128" s="92"/>
      <c r="S128" s="187"/>
      <c r="T128" s="92"/>
      <c r="U128" s="187"/>
    </row>
    <row r="129" ht="15.75" customHeight="1">
      <c r="A129" s="92"/>
      <c r="B129" s="190"/>
      <c r="C129" s="92"/>
      <c r="D129" s="92"/>
      <c r="F129" s="92"/>
      <c r="G129" s="92"/>
      <c r="H129" s="187"/>
      <c r="I129" s="92"/>
      <c r="J129" s="92"/>
      <c r="K129" s="187"/>
      <c r="L129" s="92"/>
      <c r="M129" s="187"/>
      <c r="N129" s="92"/>
      <c r="O129" s="187"/>
      <c r="P129" s="92"/>
      <c r="Q129" s="187"/>
      <c r="R129" s="92"/>
      <c r="S129" s="187"/>
      <c r="T129" s="92"/>
      <c r="U129" s="187"/>
    </row>
    <row r="130" ht="15.75" customHeight="1">
      <c r="A130" s="92"/>
      <c r="B130" s="190"/>
      <c r="C130" s="92"/>
      <c r="D130" s="92"/>
      <c r="F130" s="92"/>
      <c r="G130" s="92"/>
      <c r="H130" s="187"/>
      <c r="I130" s="92"/>
      <c r="J130" s="92"/>
      <c r="K130" s="187"/>
      <c r="L130" s="92"/>
      <c r="M130" s="187"/>
      <c r="N130" s="92"/>
      <c r="O130" s="187"/>
      <c r="P130" s="92"/>
      <c r="Q130" s="187"/>
      <c r="R130" s="92"/>
      <c r="S130" s="187"/>
      <c r="T130" s="92"/>
      <c r="U130" s="187"/>
    </row>
    <row r="131" ht="15.75" customHeight="1">
      <c r="A131" s="92"/>
      <c r="B131" s="190"/>
      <c r="C131" s="92"/>
      <c r="D131" s="92"/>
      <c r="F131" s="92"/>
      <c r="G131" s="92"/>
      <c r="H131" s="187"/>
      <c r="I131" s="92"/>
      <c r="J131" s="92"/>
      <c r="K131" s="187"/>
      <c r="L131" s="92"/>
      <c r="M131" s="187"/>
      <c r="N131" s="92"/>
      <c r="O131" s="187"/>
      <c r="P131" s="92"/>
      <c r="Q131" s="187"/>
      <c r="R131" s="92"/>
      <c r="S131" s="187"/>
      <c r="T131" s="92"/>
      <c r="U131" s="187"/>
    </row>
    <row r="132" ht="15.75" customHeight="1">
      <c r="A132" s="92"/>
      <c r="B132" s="190"/>
      <c r="C132" s="92"/>
      <c r="D132" s="92"/>
      <c r="F132" s="92"/>
      <c r="G132" s="92"/>
      <c r="H132" s="187"/>
      <c r="I132" s="92"/>
      <c r="J132" s="92"/>
      <c r="K132" s="187"/>
      <c r="L132" s="92"/>
      <c r="M132" s="187"/>
      <c r="N132" s="92"/>
      <c r="O132" s="187"/>
      <c r="P132" s="92"/>
      <c r="Q132" s="187"/>
      <c r="R132" s="92"/>
      <c r="S132" s="187"/>
      <c r="T132" s="92"/>
      <c r="U132" s="187"/>
    </row>
    <row r="133" ht="15.75" customHeight="1">
      <c r="A133" s="92"/>
      <c r="B133" s="190"/>
      <c r="C133" s="92"/>
      <c r="D133" s="92"/>
      <c r="F133" s="92"/>
      <c r="G133" s="92"/>
      <c r="H133" s="187"/>
      <c r="I133" s="92"/>
      <c r="J133" s="92"/>
      <c r="K133" s="187"/>
      <c r="L133" s="92"/>
      <c r="M133" s="187"/>
      <c r="N133" s="92"/>
      <c r="O133" s="187"/>
      <c r="P133" s="92"/>
      <c r="Q133" s="187"/>
      <c r="R133" s="92"/>
      <c r="S133" s="187"/>
      <c r="T133" s="92"/>
      <c r="U133" s="187"/>
    </row>
    <row r="134" ht="15.75" customHeight="1">
      <c r="A134" s="92"/>
      <c r="B134" s="190"/>
      <c r="C134" s="92"/>
      <c r="D134" s="92"/>
      <c r="F134" s="92"/>
      <c r="G134" s="92"/>
      <c r="H134" s="187"/>
      <c r="I134" s="92"/>
      <c r="J134" s="92"/>
      <c r="K134" s="187"/>
      <c r="L134" s="92"/>
      <c r="M134" s="187"/>
      <c r="N134" s="92"/>
      <c r="O134" s="187"/>
      <c r="P134" s="92"/>
      <c r="Q134" s="187"/>
      <c r="R134" s="92"/>
      <c r="S134" s="187"/>
      <c r="T134" s="92"/>
      <c r="U134" s="187"/>
    </row>
    <row r="135" ht="15.75" customHeight="1">
      <c r="A135" s="92"/>
      <c r="B135" s="190"/>
      <c r="C135" s="92"/>
      <c r="D135" s="92"/>
      <c r="F135" s="92"/>
      <c r="G135" s="92"/>
      <c r="H135" s="187"/>
      <c r="I135" s="92"/>
      <c r="J135" s="92"/>
      <c r="K135" s="187"/>
      <c r="L135" s="92"/>
      <c r="M135" s="187"/>
      <c r="N135" s="92"/>
      <c r="O135" s="187"/>
      <c r="P135" s="92"/>
      <c r="Q135" s="187"/>
      <c r="R135" s="92"/>
      <c r="S135" s="187"/>
      <c r="T135" s="92"/>
      <c r="U135" s="187"/>
    </row>
    <row r="136" ht="15.75" customHeight="1">
      <c r="A136" s="92"/>
      <c r="B136" s="190"/>
      <c r="C136" s="92"/>
      <c r="D136" s="92"/>
      <c r="F136" s="92"/>
      <c r="G136" s="92"/>
      <c r="H136" s="187"/>
      <c r="I136" s="92"/>
      <c r="J136" s="92"/>
      <c r="K136" s="187"/>
      <c r="L136" s="92"/>
      <c r="M136" s="187"/>
      <c r="N136" s="92"/>
      <c r="O136" s="187"/>
      <c r="P136" s="92"/>
      <c r="Q136" s="187"/>
      <c r="R136" s="92"/>
      <c r="S136" s="187"/>
      <c r="T136" s="92"/>
      <c r="U136" s="187"/>
    </row>
    <row r="137" ht="15.75" customHeight="1">
      <c r="A137" s="92"/>
      <c r="B137" s="190"/>
      <c r="C137" s="92"/>
      <c r="D137" s="92"/>
      <c r="F137" s="92"/>
      <c r="G137" s="92"/>
      <c r="H137" s="187"/>
      <c r="I137" s="92"/>
      <c r="J137" s="92"/>
      <c r="K137" s="187"/>
      <c r="L137" s="92"/>
      <c r="M137" s="187"/>
      <c r="N137" s="92"/>
      <c r="O137" s="187"/>
      <c r="P137" s="92"/>
      <c r="Q137" s="187"/>
      <c r="R137" s="92"/>
      <c r="S137" s="187"/>
      <c r="T137" s="92"/>
      <c r="U137" s="187"/>
    </row>
    <row r="138" ht="15.75" customHeight="1">
      <c r="A138" s="92"/>
      <c r="B138" s="190"/>
      <c r="C138" s="92"/>
      <c r="D138" s="92"/>
      <c r="F138" s="92"/>
      <c r="G138" s="92"/>
      <c r="H138" s="187"/>
      <c r="I138" s="92"/>
      <c r="J138" s="92"/>
      <c r="K138" s="187"/>
      <c r="L138" s="92"/>
      <c r="M138" s="187"/>
      <c r="N138" s="92"/>
      <c r="O138" s="187"/>
      <c r="P138" s="92"/>
      <c r="Q138" s="187"/>
      <c r="R138" s="92"/>
      <c r="S138" s="187"/>
      <c r="T138" s="92"/>
      <c r="U138" s="187"/>
    </row>
    <row r="139" ht="15.75" customHeight="1">
      <c r="A139" s="92"/>
      <c r="B139" s="190"/>
      <c r="C139" s="92"/>
      <c r="D139" s="92"/>
      <c r="F139" s="92"/>
      <c r="G139" s="92"/>
      <c r="H139" s="187"/>
      <c r="I139" s="92"/>
      <c r="J139" s="92"/>
      <c r="K139" s="187"/>
      <c r="L139" s="92"/>
      <c r="M139" s="187"/>
      <c r="N139" s="92"/>
      <c r="O139" s="187"/>
      <c r="P139" s="92"/>
      <c r="Q139" s="187"/>
      <c r="R139" s="92"/>
      <c r="S139" s="187"/>
      <c r="T139" s="92"/>
      <c r="U139" s="187"/>
    </row>
    <row r="140" ht="15.75" customHeight="1">
      <c r="A140" s="92"/>
      <c r="B140" s="190"/>
      <c r="C140" s="92"/>
      <c r="D140" s="92"/>
      <c r="F140" s="92"/>
      <c r="G140" s="92"/>
      <c r="H140" s="187"/>
      <c r="I140" s="92"/>
      <c r="J140" s="92"/>
      <c r="K140" s="187"/>
      <c r="L140" s="92"/>
      <c r="M140" s="187"/>
      <c r="N140" s="92"/>
      <c r="O140" s="187"/>
      <c r="P140" s="92"/>
      <c r="Q140" s="187"/>
      <c r="R140" s="92"/>
      <c r="S140" s="187"/>
      <c r="T140" s="92"/>
      <c r="U140" s="187"/>
    </row>
    <row r="141" ht="15.75" customHeight="1">
      <c r="A141" s="92"/>
      <c r="B141" s="190"/>
      <c r="C141" s="92"/>
      <c r="D141" s="92"/>
      <c r="F141" s="92"/>
      <c r="G141" s="92"/>
      <c r="H141" s="187"/>
      <c r="I141" s="92"/>
      <c r="J141" s="92"/>
      <c r="K141" s="187"/>
      <c r="L141" s="92"/>
      <c r="M141" s="187"/>
      <c r="N141" s="92"/>
      <c r="O141" s="187"/>
      <c r="P141" s="92"/>
      <c r="Q141" s="187"/>
      <c r="R141" s="92"/>
      <c r="S141" s="187"/>
      <c r="T141" s="92"/>
      <c r="U141" s="187"/>
    </row>
    <row r="142" ht="15.75" customHeight="1">
      <c r="A142" s="92"/>
      <c r="B142" s="190"/>
      <c r="C142" s="92"/>
      <c r="D142" s="92"/>
      <c r="F142" s="92"/>
      <c r="G142" s="92"/>
      <c r="H142" s="187"/>
      <c r="I142" s="92"/>
      <c r="J142" s="92"/>
      <c r="K142" s="187"/>
      <c r="L142" s="92"/>
      <c r="M142" s="187"/>
      <c r="N142" s="92"/>
      <c r="O142" s="187"/>
      <c r="P142" s="92"/>
      <c r="Q142" s="187"/>
      <c r="R142" s="92"/>
      <c r="S142" s="187"/>
      <c r="T142" s="92"/>
      <c r="U142" s="187"/>
    </row>
    <row r="143" ht="15.75" customHeight="1">
      <c r="A143" s="92"/>
      <c r="B143" s="190"/>
      <c r="C143" s="92"/>
      <c r="D143" s="92"/>
      <c r="F143" s="92"/>
      <c r="G143" s="92"/>
      <c r="H143" s="187"/>
      <c r="I143" s="92"/>
      <c r="J143" s="92"/>
      <c r="K143" s="187"/>
      <c r="L143" s="92"/>
      <c r="M143" s="187"/>
      <c r="N143" s="92"/>
      <c r="O143" s="187"/>
      <c r="P143" s="92"/>
      <c r="Q143" s="187"/>
      <c r="R143" s="92"/>
      <c r="S143" s="187"/>
      <c r="T143" s="92"/>
      <c r="U143" s="187"/>
    </row>
    <row r="144" ht="15.75" customHeight="1">
      <c r="A144" s="92"/>
      <c r="B144" s="190"/>
      <c r="C144" s="92"/>
      <c r="D144" s="92"/>
      <c r="F144" s="92"/>
      <c r="G144" s="92"/>
      <c r="H144" s="187"/>
      <c r="I144" s="92"/>
      <c r="J144" s="92"/>
      <c r="K144" s="187"/>
      <c r="L144" s="92"/>
      <c r="M144" s="187"/>
      <c r="N144" s="92"/>
      <c r="O144" s="187"/>
      <c r="P144" s="92"/>
      <c r="Q144" s="187"/>
      <c r="R144" s="92"/>
      <c r="S144" s="187"/>
      <c r="T144" s="92"/>
      <c r="U144" s="187"/>
    </row>
    <row r="145" ht="15.75" customHeight="1">
      <c r="A145" s="92"/>
      <c r="B145" s="190"/>
      <c r="C145" s="92"/>
      <c r="D145" s="92"/>
      <c r="F145" s="92"/>
      <c r="G145" s="92"/>
      <c r="H145" s="187"/>
      <c r="I145" s="92"/>
      <c r="J145" s="92"/>
      <c r="K145" s="187"/>
      <c r="L145" s="92"/>
      <c r="M145" s="187"/>
      <c r="N145" s="92"/>
      <c r="O145" s="187"/>
      <c r="P145" s="92"/>
      <c r="Q145" s="187"/>
      <c r="R145" s="92"/>
      <c r="S145" s="187"/>
      <c r="T145" s="92"/>
      <c r="U145" s="187"/>
    </row>
    <row r="146" ht="15.75" customHeight="1">
      <c r="A146" s="92"/>
      <c r="B146" s="190"/>
      <c r="C146" s="92"/>
      <c r="D146" s="92"/>
      <c r="F146" s="92"/>
      <c r="G146" s="92"/>
      <c r="H146" s="187"/>
      <c r="I146" s="92"/>
      <c r="J146" s="92"/>
      <c r="K146" s="187"/>
      <c r="L146" s="92"/>
      <c r="M146" s="187"/>
      <c r="N146" s="92"/>
      <c r="O146" s="187"/>
      <c r="P146" s="92"/>
      <c r="Q146" s="187"/>
      <c r="R146" s="92"/>
      <c r="S146" s="187"/>
      <c r="T146" s="92"/>
      <c r="U146" s="187"/>
    </row>
    <row r="147" ht="15.75" customHeight="1">
      <c r="A147" s="92"/>
      <c r="B147" s="190"/>
      <c r="C147" s="92"/>
      <c r="D147" s="92"/>
      <c r="F147" s="92"/>
      <c r="G147" s="92"/>
      <c r="H147" s="187"/>
      <c r="I147" s="92"/>
      <c r="J147" s="92"/>
      <c r="K147" s="187"/>
      <c r="L147" s="92"/>
      <c r="M147" s="187"/>
      <c r="N147" s="92"/>
      <c r="O147" s="187"/>
      <c r="P147" s="92"/>
      <c r="Q147" s="187"/>
      <c r="R147" s="92"/>
      <c r="S147" s="187"/>
      <c r="T147" s="92"/>
      <c r="U147" s="187"/>
    </row>
    <row r="148" ht="15.75" customHeight="1">
      <c r="A148" s="92"/>
      <c r="B148" s="190"/>
      <c r="C148" s="92"/>
      <c r="D148" s="92"/>
      <c r="F148" s="92"/>
      <c r="G148" s="92"/>
      <c r="H148" s="187"/>
      <c r="I148" s="92"/>
      <c r="J148" s="92"/>
      <c r="K148" s="187"/>
      <c r="L148" s="92"/>
      <c r="M148" s="187"/>
      <c r="N148" s="92"/>
      <c r="O148" s="187"/>
      <c r="P148" s="92"/>
      <c r="Q148" s="187"/>
      <c r="R148" s="92"/>
      <c r="S148" s="187"/>
      <c r="T148" s="92"/>
      <c r="U148" s="187"/>
    </row>
    <row r="149" ht="15.75" customHeight="1">
      <c r="A149" s="92"/>
      <c r="B149" s="190"/>
      <c r="C149" s="92"/>
      <c r="D149" s="92"/>
      <c r="F149" s="92"/>
      <c r="G149" s="92"/>
      <c r="H149" s="187"/>
      <c r="I149" s="92"/>
      <c r="J149" s="92"/>
      <c r="K149" s="187"/>
      <c r="L149" s="92"/>
      <c r="M149" s="187"/>
      <c r="N149" s="92"/>
      <c r="O149" s="187"/>
      <c r="P149" s="92"/>
      <c r="Q149" s="187"/>
      <c r="R149" s="92"/>
      <c r="S149" s="187"/>
      <c r="T149" s="92"/>
      <c r="U149" s="187"/>
    </row>
    <row r="150" ht="15.75" customHeight="1">
      <c r="A150" s="92"/>
      <c r="B150" s="190"/>
      <c r="C150" s="92"/>
      <c r="D150" s="92"/>
      <c r="F150" s="92"/>
      <c r="G150" s="92"/>
      <c r="H150" s="187"/>
      <c r="I150" s="92"/>
      <c r="J150" s="92"/>
      <c r="K150" s="187"/>
      <c r="L150" s="92"/>
      <c r="M150" s="187"/>
      <c r="N150" s="92"/>
      <c r="O150" s="187"/>
      <c r="P150" s="92"/>
      <c r="Q150" s="187"/>
      <c r="R150" s="92"/>
      <c r="S150" s="187"/>
      <c r="T150" s="92"/>
      <c r="U150" s="187"/>
    </row>
    <row r="151" ht="15.75" customHeight="1">
      <c r="A151" s="92"/>
      <c r="B151" s="190"/>
      <c r="C151" s="92"/>
      <c r="D151" s="92"/>
      <c r="F151" s="92"/>
      <c r="G151" s="92"/>
      <c r="H151" s="187"/>
      <c r="I151" s="92"/>
      <c r="J151" s="92"/>
      <c r="K151" s="187"/>
      <c r="L151" s="92"/>
      <c r="M151" s="187"/>
      <c r="N151" s="92"/>
      <c r="O151" s="187"/>
      <c r="P151" s="92"/>
      <c r="Q151" s="187"/>
      <c r="R151" s="92"/>
      <c r="S151" s="187"/>
      <c r="T151" s="92"/>
      <c r="U151" s="187"/>
    </row>
    <row r="152" ht="15.75" customHeight="1">
      <c r="A152" s="92"/>
      <c r="B152" s="190"/>
      <c r="C152" s="92"/>
      <c r="D152" s="92"/>
      <c r="F152" s="92"/>
      <c r="G152" s="92"/>
      <c r="H152" s="187"/>
      <c r="I152" s="92"/>
      <c r="J152" s="92"/>
      <c r="K152" s="187"/>
      <c r="L152" s="92"/>
      <c r="M152" s="187"/>
      <c r="N152" s="92"/>
      <c r="O152" s="187"/>
      <c r="P152" s="92"/>
      <c r="Q152" s="187"/>
      <c r="R152" s="92"/>
      <c r="S152" s="187"/>
      <c r="T152" s="92"/>
      <c r="U152" s="187"/>
    </row>
    <row r="153" ht="15.75" customHeight="1">
      <c r="A153" s="92"/>
      <c r="B153" s="190"/>
      <c r="C153" s="92"/>
      <c r="D153" s="92"/>
      <c r="F153" s="92"/>
      <c r="G153" s="92"/>
      <c r="H153" s="187"/>
      <c r="I153" s="92"/>
      <c r="J153" s="92"/>
      <c r="K153" s="187"/>
      <c r="L153" s="92"/>
      <c r="M153" s="187"/>
      <c r="N153" s="92"/>
      <c r="O153" s="187"/>
      <c r="P153" s="92"/>
      <c r="Q153" s="187"/>
      <c r="R153" s="92"/>
      <c r="S153" s="187"/>
      <c r="T153" s="92"/>
      <c r="U153" s="187"/>
    </row>
    <row r="154" ht="15.75" customHeight="1">
      <c r="A154" s="92"/>
      <c r="B154" s="190"/>
      <c r="C154" s="92"/>
      <c r="D154" s="92"/>
      <c r="F154" s="92"/>
      <c r="G154" s="92"/>
      <c r="H154" s="187"/>
      <c r="I154" s="92"/>
      <c r="J154" s="92"/>
      <c r="K154" s="187"/>
      <c r="L154" s="92"/>
      <c r="M154" s="187"/>
      <c r="N154" s="92"/>
      <c r="O154" s="187"/>
      <c r="P154" s="92"/>
      <c r="Q154" s="187"/>
      <c r="R154" s="92"/>
      <c r="S154" s="187"/>
      <c r="T154" s="92"/>
      <c r="U154" s="187"/>
    </row>
    <row r="155" ht="15.75" customHeight="1">
      <c r="A155" s="92"/>
      <c r="B155" s="190"/>
      <c r="C155" s="92"/>
      <c r="D155" s="92"/>
      <c r="F155" s="92"/>
      <c r="G155" s="92"/>
      <c r="H155" s="187"/>
      <c r="I155" s="92"/>
      <c r="J155" s="92"/>
      <c r="K155" s="187"/>
      <c r="L155" s="92"/>
      <c r="M155" s="187"/>
      <c r="N155" s="92"/>
      <c r="O155" s="187"/>
      <c r="P155" s="92"/>
      <c r="Q155" s="187"/>
      <c r="R155" s="92"/>
      <c r="S155" s="187"/>
      <c r="T155" s="92"/>
      <c r="U155" s="187"/>
    </row>
    <row r="156" ht="15.75" customHeight="1">
      <c r="A156" s="92"/>
      <c r="B156" s="190"/>
      <c r="C156" s="92"/>
      <c r="D156" s="92"/>
      <c r="F156" s="92"/>
      <c r="G156" s="92"/>
      <c r="H156" s="187"/>
      <c r="I156" s="92"/>
      <c r="J156" s="92"/>
      <c r="K156" s="187"/>
      <c r="L156" s="92"/>
      <c r="M156" s="187"/>
      <c r="N156" s="92"/>
      <c r="O156" s="187"/>
      <c r="P156" s="92"/>
      <c r="Q156" s="187"/>
      <c r="R156" s="92"/>
      <c r="S156" s="187"/>
      <c r="T156" s="92"/>
      <c r="U156" s="187"/>
    </row>
    <row r="157" ht="15.75" customHeight="1">
      <c r="A157" s="92"/>
      <c r="B157" s="190"/>
      <c r="C157" s="92"/>
      <c r="D157" s="92"/>
      <c r="F157" s="92"/>
      <c r="G157" s="92"/>
      <c r="H157" s="187"/>
      <c r="I157" s="92"/>
      <c r="J157" s="92"/>
      <c r="K157" s="187"/>
      <c r="L157" s="92"/>
      <c r="M157" s="187"/>
      <c r="N157" s="92"/>
      <c r="O157" s="187"/>
      <c r="P157" s="92"/>
      <c r="Q157" s="187"/>
      <c r="R157" s="92"/>
      <c r="S157" s="187"/>
      <c r="T157" s="92"/>
      <c r="U157" s="187"/>
    </row>
    <row r="158" ht="15.75" customHeight="1">
      <c r="A158" s="92"/>
      <c r="B158" s="190"/>
      <c r="C158" s="92"/>
      <c r="D158" s="92"/>
      <c r="F158" s="92"/>
      <c r="G158" s="92"/>
      <c r="H158" s="187"/>
      <c r="I158" s="92"/>
      <c r="J158" s="92"/>
      <c r="K158" s="187"/>
      <c r="L158" s="92"/>
      <c r="M158" s="187"/>
      <c r="N158" s="92"/>
      <c r="O158" s="187"/>
      <c r="P158" s="92"/>
      <c r="Q158" s="187"/>
      <c r="R158" s="92"/>
      <c r="S158" s="187"/>
      <c r="T158" s="92"/>
      <c r="U158" s="187"/>
    </row>
    <row r="159" ht="15.75" customHeight="1">
      <c r="A159" s="92"/>
      <c r="B159" s="190"/>
      <c r="C159" s="92"/>
      <c r="D159" s="92"/>
      <c r="F159" s="92"/>
      <c r="G159" s="92"/>
      <c r="H159" s="187"/>
      <c r="I159" s="92"/>
      <c r="J159" s="92"/>
      <c r="K159" s="187"/>
      <c r="L159" s="92"/>
      <c r="M159" s="187"/>
      <c r="N159" s="92"/>
      <c r="O159" s="187"/>
      <c r="P159" s="92"/>
      <c r="Q159" s="187"/>
      <c r="R159" s="92"/>
      <c r="S159" s="187"/>
      <c r="T159" s="92"/>
      <c r="U159" s="187"/>
    </row>
    <row r="160" ht="15.75" customHeight="1">
      <c r="A160" s="92"/>
      <c r="B160" s="190"/>
      <c r="C160" s="92"/>
      <c r="D160" s="92"/>
      <c r="F160" s="92"/>
      <c r="G160" s="92"/>
      <c r="H160" s="187"/>
      <c r="I160" s="92"/>
      <c r="J160" s="92"/>
      <c r="K160" s="187"/>
      <c r="L160" s="92"/>
      <c r="M160" s="187"/>
      <c r="N160" s="92"/>
      <c r="O160" s="187"/>
      <c r="P160" s="92"/>
      <c r="Q160" s="187"/>
      <c r="R160" s="92"/>
      <c r="S160" s="187"/>
      <c r="T160" s="92"/>
      <c r="U160" s="187"/>
    </row>
    <row r="161" ht="15.75" customHeight="1">
      <c r="A161" s="92"/>
      <c r="B161" s="190"/>
      <c r="C161" s="92"/>
      <c r="D161" s="92"/>
      <c r="F161" s="92"/>
      <c r="G161" s="92"/>
      <c r="H161" s="187"/>
      <c r="I161" s="92"/>
      <c r="J161" s="92"/>
      <c r="K161" s="187"/>
      <c r="L161" s="92"/>
      <c r="M161" s="187"/>
      <c r="N161" s="92"/>
      <c r="O161" s="187"/>
      <c r="P161" s="92"/>
      <c r="Q161" s="187"/>
      <c r="R161" s="92"/>
      <c r="S161" s="187"/>
      <c r="T161" s="92"/>
      <c r="U161" s="187"/>
    </row>
    <row r="162" ht="15.75" customHeight="1">
      <c r="A162" s="92"/>
      <c r="B162" s="190"/>
      <c r="C162" s="92"/>
      <c r="D162" s="92"/>
      <c r="F162" s="92"/>
      <c r="G162" s="92"/>
      <c r="H162" s="187"/>
      <c r="I162" s="92"/>
      <c r="J162" s="92"/>
      <c r="K162" s="187"/>
      <c r="L162" s="92"/>
      <c r="M162" s="187"/>
      <c r="N162" s="92"/>
      <c r="O162" s="187"/>
      <c r="P162" s="92"/>
      <c r="Q162" s="187"/>
      <c r="R162" s="92"/>
      <c r="S162" s="187"/>
      <c r="T162" s="92"/>
      <c r="U162" s="187"/>
    </row>
    <row r="163" ht="15.75" customHeight="1">
      <c r="A163" s="92"/>
      <c r="B163" s="190"/>
      <c r="C163" s="92"/>
      <c r="D163" s="92"/>
      <c r="F163" s="92"/>
      <c r="G163" s="92"/>
      <c r="H163" s="187"/>
      <c r="I163" s="92"/>
      <c r="J163" s="92"/>
      <c r="K163" s="187"/>
      <c r="L163" s="92"/>
      <c r="M163" s="187"/>
      <c r="N163" s="92"/>
      <c r="O163" s="187"/>
      <c r="P163" s="92"/>
      <c r="Q163" s="187"/>
      <c r="R163" s="92"/>
      <c r="S163" s="187"/>
      <c r="T163" s="92"/>
      <c r="U163" s="187"/>
    </row>
    <row r="164" ht="15.75" customHeight="1">
      <c r="A164" s="92"/>
      <c r="B164" s="190"/>
      <c r="C164" s="92"/>
      <c r="D164" s="92"/>
      <c r="F164" s="92"/>
      <c r="G164" s="92"/>
      <c r="H164" s="187"/>
      <c r="I164" s="92"/>
      <c r="J164" s="92"/>
      <c r="K164" s="187"/>
      <c r="L164" s="92"/>
      <c r="M164" s="187"/>
      <c r="N164" s="92"/>
      <c r="O164" s="187"/>
      <c r="P164" s="92"/>
      <c r="Q164" s="187"/>
      <c r="R164" s="92"/>
      <c r="S164" s="187"/>
      <c r="T164" s="92"/>
      <c r="U164" s="187"/>
    </row>
    <row r="165" ht="15.75" customHeight="1">
      <c r="A165" s="92"/>
      <c r="B165" s="190"/>
      <c r="C165" s="92"/>
      <c r="D165" s="92"/>
      <c r="F165" s="92"/>
      <c r="G165" s="92"/>
      <c r="H165" s="187"/>
      <c r="I165" s="92"/>
      <c r="J165" s="92"/>
      <c r="K165" s="187"/>
      <c r="L165" s="92"/>
      <c r="M165" s="187"/>
      <c r="N165" s="92"/>
      <c r="O165" s="187"/>
      <c r="P165" s="92"/>
      <c r="Q165" s="187"/>
      <c r="R165" s="92"/>
      <c r="S165" s="187"/>
      <c r="T165" s="92"/>
      <c r="U165" s="187"/>
    </row>
    <row r="166" ht="15.75" customHeight="1">
      <c r="A166" s="92"/>
      <c r="B166" s="190"/>
      <c r="C166" s="92"/>
      <c r="D166" s="92"/>
      <c r="F166" s="92"/>
      <c r="G166" s="92"/>
      <c r="H166" s="187"/>
      <c r="I166" s="92"/>
      <c r="J166" s="92"/>
      <c r="K166" s="187"/>
      <c r="L166" s="92"/>
      <c r="M166" s="187"/>
      <c r="N166" s="92"/>
      <c r="O166" s="187"/>
      <c r="P166" s="92"/>
      <c r="Q166" s="187"/>
      <c r="R166" s="92"/>
      <c r="S166" s="187"/>
      <c r="T166" s="92"/>
      <c r="U166" s="187"/>
    </row>
    <row r="167" ht="15.75" customHeight="1">
      <c r="A167" s="92"/>
      <c r="B167" s="190"/>
      <c r="C167" s="92"/>
      <c r="D167" s="92"/>
      <c r="F167" s="92"/>
      <c r="G167" s="92"/>
      <c r="H167" s="187"/>
      <c r="I167" s="92"/>
      <c r="J167" s="92"/>
      <c r="K167" s="187"/>
      <c r="L167" s="92"/>
      <c r="M167" s="187"/>
      <c r="N167" s="92"/>
      <c r="O167" s="187"/>
      <c r="P167" s="92"/>
      <c r="Q167" s="187"/>
      <c r="R167" s="92"/>
      <c r="S167" s="187"/>
      <c r="T167" s="92"/>
      <c r="U167" s="187"/>
    </row>
    <row r="168" ht="15.75" customHeight="1">
      <c r="A168" s="92"/>
      <c r="B168" s="190"/>
      <c r="C168" s="92"/>
      <c r="D168" s="92"/>
      <c r="F168" s="92"/>
      <c r="G168" s="92"/>
      <c r="H168" s="187"/>
      <c r="I168" s="92"/>
      <c r="J168" s="92"/>
      <c r="K168" s="187"/>
      <c r="L168" s="92"/>
      <c r="M168" s="187"/>
      <c r="N168" s="92"/>
      <c r="O168" s="187"/>
      <c r="P168" s="92"/>
      <c r="Q168" s="187"/>
      <c r="R168" s="92"/>
      <c r="S168" s="187"/>
      <c r="T168" s="92"/>
      <c r="U168" s="187"/>
    </row>
    <row r="169" ht="15.75" customHeight="1">
      <c r="A169" s="92"/>
      <c r="B169" s="190"/>
      <c r="C169" s="92"/>
      <c r="D169" s="92"/>
      <c r="F169" s="92"/>
      <c r="G169" s="92"/>
      <c r="H169" s="187"/>
      <c r="I169" s="92"/>
      <c r="J169" s="92"/>
      <c r="K169" s="187"/>
      <c r="L169" s="92"/>
      <c r="M169" s="187"/>
      <c r="N169" s="92"/>
      <c r="O169" s="187"/>
      <c r="P169" s="92"/>
      <c r="Q169" s="187"/>
      <c r="R169" s="92"/>
      <c r="S169" s="187"/>
      <c r="T169" s="92"/>
      <c r="U169" s="187"/>
    </row>
    <row r="170" ht="15.75" customHeight="1">
      <c r="A170" s="92"/>
      <c r="B170" s="190"/>
      <c r="C170" s="92"/>
      <c r="D170" s="92"/>
      <c r="F170" s="92"/>
      <c r="G170" s="92"/>
      <c r="H170" s="187"/>
      <c r="I170" s="92"/>
      <c r="J170" s="92"/>
      <c r="K170" s="187"/>
      <c r="L170" s="92"/>
      <c r="M170" s="187"/>
      <c r="N170" s="92"/>
      <c r="O170" s="187"/>
      <c r="P170" s="92"/>
      <c r="Q170" s="187"/>
      <c r="R170" s="92"/>
      <c r="S170" s="187"/>
      <c r="T170" s="92"/>
      <c r="U170" s="187"/>
    </row>
    <row r="171" ht="15.75" customHeight="1">
      <c r="A171" s="92"/>
      <c r="B171" s="190"/>
      <c r="C171" s="92"/>
      <c r="D171" s="92"/>
      <c r="F171" s="92"/>
      <c r="G171" s="92"/>
      <c r="H171" s="187"/>
      <c r="I171" s="92"/>
      <c r="J171" s="92"/>
      <c r="K171" s="187"/>
      <c r="L171" s="92"/>
      <c r="M171" s="187"/>
      <c r="N171" s="92"/>
      <c r="O171" s="187"/>
      <c r="P171" s="92"/>
      <c r="Q171" s="187"/>
      <c r="R171" s="92"/>
      <c r="S171" s="187"/>
      <c r="T171" s="92"/>
      <c r="U171" s="187"/>
    </row>
    <row r="172" ht="15.75" customHeight="1">
      <c r="A172" s="92"/>
      <c r="B172" s="190"/>
      <c r="C172" s="92"/>
      <c r="D172" s="92"/>
      <c r="F172" s="92"/>
      <c r="G172" s="92"/>
      <c r="H172" s="187"/>
      <c r="I172" s="92"/>
      <c r="J172" s="92"/>
      <c r="K172" s="187"/>
      <c r="L172" s="92"/>
      <c r="M172" s="187"/>
      <c r="N172" s="92"/>
      <c r="O172" s="187"/>
      <c r="P172" s="92"/>
      <c r="Q172" s="187"/>
      <c r="R172" s="92"/>
      <c r="S172" s="187"/>
      <c r="T172" s="92"/>
      <c r="U172" s="187"/>
    </row>
    <row r="173" ht="15.75" customHeight="1">
      <c r="A173" s="92"/>
      <c r="B173" s="190"/>
      <c r="C173" s="92"/>
      <c r="D173" s="92"/>
      <c r="F173" s="92"/>
      <c r="G173" s="92"/>
      <c r="H173" s="187"/>
      <c r="I173" s="92"/>
      <c r="J173" s="92"/>
      <c r="K173" s="187"/>
      <c r="L173" s="92"/>
      <c r="M173" s="187"/>
      <c r="N173" s="92"/>
      <c r="O173" s="187"/>
      <c r="P173" s="92"/>
      <c r="Q173" s="187"/>
      <c r="R173" s="92"/>
      <c r="S173" s="187"/>
      <c r="T173" s="92"/>
      <c r="U173" s="187"/>
    </row>
    <row r="174" ht="15.75" customHeight="1">
      <c r="A174" s="92"/>
      <c r="B174" s="190"/>
      <c r="C174" s="92"/>
      <c r="D174" s="92"/>
      <c r="F174" s="92"/>
      <c r="G174" s="92"/>
      <c r="H174" s="187"/>
      <c r="I174" s="92"/>
      <c r="J174" s="92"/>
      <c r="K174" s="187"/>
      <c r="L174" s="92"/>
      <c r="M174" s="187"/>
      <c r="N174" s="92"/>
      <c r="O174" s="187"/>
      <c r="P174" s="92"/>
      <c r="Q174" s="187"/>
      <c r="R174" s="92"/>
      <c r="S174" s="187"/>
      <c r="T174" s="92"/>
      <c r="U174" s="187"/>
    </row>
    <row r="175" ht="15.75" customHeight="1">
      <c r="A175" s="92"/>
      <c r="B175" s="190"/>
      <c r="C175" s="92"/>
      <c r="D175" s="92"/>
      <c r="F175" s="92"/>
      <c r="G175" s="92"/>
      <c r="H175" s="187"/>
      <c r="I175" s="92"/>
      <c r="J175" s="92"/>
      <c r="K175" s="187"/>
      <c r="L175" s="92"/>
      <c r="M175" s="187"/>
      <c r="N175" s="92"/>
      <c r="O175" s="187"/>
      <c r="P175" s="92"/>
      <c r="Q175" s="187"/>
      <c r="R175" s="92"/>
      <c r="S175" s="187"/>
      <c r="T175" s="92"/>
      <c r="U175" s="187"/>
    </row>
    <row r="176" ht="15.75" customHeight="1">
      <c r="A176" s="92"/>
      <c r="B176" s="190"/>
      <c r="C176" s="92"/>
      <c r="D176" s="92"/>
      <c r="F176" s="92"/>
      <c r="G176" s="92"/>
      <c r="H176" s="187"/>
      <c r="I176" s="92"/>
      <c r="J176" s="92"/>
      <c r="K176" s="187"/>
      <c r="L176" s="92"/>
      <c r="M176" s="187"/>
      <c r="N176" s="92"/>
      <c r="O176" s="187"/>
      <c r="P176" s="92"/>
      <c r="Q176" s="187"/>
      <c r="R176" s="92"/>
      <c r="S176" s="187"/>
      <c r="T176" s="92"/>
      <c r="U176" s="187"/>
    </row>
    <row r="177" ht="15.75" customHeight="1">
      <c r="A177" s="92"/>
      <c r="B177" s="190"/>
      <c r="C177" s="92"/>
      <c r="D177" s="92"/>
      <c r="F177" s="92"/>
      <c r="G177" s="92"/>
      <c r="H177" s="187"/>
      <c r="I177" s="92"/>
      <c r="J177" s="92"/>
      <c r="K177" s="187"/>
      <c r="L177" s="92"/>
      <c r="M177" s="187"/>
      <c r="N177" s="92"/>
      <c r="O177" s="187"/>
      <c r="P177" s="92"/>
      <c r="Q177" s="187"/>
      <c r="R177" s="92"/>
      <c r="S177" s="187"/>
      <c r="T177" s="92"/>
      <c r="U177" s="187"/>
    </row>
    <row r="178" ht="15.75" customHeight="1">
      <c r="A178" s="92"/>
      <c r="B178" s="190"/>
      <c r="C178" s="92"/>
      <c r="D178" s="92"/>
      <c r="F178" s="92"/>
      <c r="G178" s="92"/>
      <c r="H178" s="187"/>
      <c r="I178" s="92"/>
      <c r="J178" s="92"/>
      <c r="K178" s="187"/>
      <c r="L178" s="92"/>
      <c r="M178" s="187"/>
      <c r="N178" s="92"/>
      <c r="O178" s="187"/>
      <c r="P178" s="92"/>
      <c r="Q178" s="187"/>
      <c r="R178" s="92"/>
      <c r="S178" s="187"/>
      <c r="T178" s="92"/>
      <c r="U178" s="187"/>
    </row>
    <row r="179" ht="15.75" customHeight="1">
      <c r="A179" s="92"/>
      <c r="B179" s="190"/>
      <c r="C179" s="92"/>
      <c r="D179" s="92"/>
      <c r="F179" s="92"/>
      <c r="G179" s="92"/>
      <c r="H179" s="187"/>
      <c r="I179" s="92"/>
      <c r="J179" s="92"/>
      <c r="K179" s="187"/>
      <c r="L179" s="92"/>
      <c r="M179" s="187"/>
      <c r="N179" s="92"/>
      <c r="O179" s="187"/>
      <c r="P179" s="92"/>
      <c r="Q179" s="187"/>
      <c r="R179" s="92"/>
      <c r="S179" s="187"/>
      <c r="T179" s="92"/>
      <c r="U179" s="187"/>
    </row>
    <row r="180" ht="15.75" customHeight="1">
      <c r="A180" s="92"/>
      <c r="B180" s="190"/>
      <c r="C180" s="92"/>
      <c r="D180" s="92"/>
      <c r="F180" s="92"/>
      <c r="G180" s="92"/>
      <c r="H180" s="187"/>
      <c r="I180" s="92"/>
      <c r="J180" s="92"/>
      <c r="K180" s="187"/>
      <c r="L180" s="92"/>
      <c r="M180" s="187"/>
      <c r="N180" s="92"/>
      <c r="O180" s="187"/>
      <c r="P180" s="92"/>
      <c r="Q180" s="187"/>
      <c r="R180" s="92"/>
      <c r="S180" s="187"/>
      <c r="T180" s="92"/>
      <c r="U180" s="187"/>
    </row>
    <row r="181" ht="15.75" customHeight="1">
      <c r="A181" s="92"/>
      <c r="B181" s="190"/>
      <c r="C181" s="92"/>
      <c r="D181" s="92"/>
      <c r="F181" s="92"/>
      <c r="G181" s="92"/>
      <c r="H181" s="187"/>
      <c r="I181" s="92"/>
      <c r="J181" s="92"/>
      <c r="K181" s="187"/>
      <c r="L181" s="92"/>
      <c r="M181" s="187"/>
      <c r="N181" s="92"/>
      <c r="O181" s="187"/>
      <c r="P181" s="92"/>
      <c r="Q181" s="187"/>
      <c r="R181" s="92"/>
      <c r="S181" s="187"/>
      <c r="T181" s="92"/>
      <c r="U181" s="187"/>
    </row>
    <row r="182" ht="15.75" customHeight="1">
      <c r="A182" s="92"/>
      <c r="B182" s="190"/>
      <c r="C182" s="92"/>
      <c r="D182" s="92"/>
      <c r="F182" s="92"/>
      <c r="G182" s="92"/>
      <c r="H182" s="187"/>
      <c r="I182" s="92"/>
      <c r="J182" s="92"/>
      <c r="K182" s="187"/>
      <c r="L182" s="92"/>
      <c r="M182" s="187"/>
      <c r="N182" s="92"/>
      <c r="O182" s="187"/>
      <c r="P182" s="92"/>
      <c r="Q182" s="187"/>
      <c r="R182" s="92"/>
      <c r="S182" s="187"/>
      <c r="T182" s="92"/>
      <c r="U182" s="187"/>
    </row>
    <row r="183" ht="15.75" customHeight="1">
      <c r="A183" s="92"/>
      <c r="B183" s="190"/>
      <c r="C183" s="92"/>
      <c r="D183" s="92"/>
      <c r="F183" s="92"/>
      <c r="G183" s="92"/>
      <c r="H183" s="187"/>
      <c r="I183" s="92"/>
      <c r="J183" s="92"/>
      <c r="K183" s="187"/>
      <c r="L183" s="92"/>
      <c r="M183" s="187"/>
      <c r="N183" s="92"/>
      <c r="O183" s="187"/>
      <c r="P183" s="92"/>
      <c r="Q183" s="187"/>
      <c r="R183" s="92"/>
      <c r="S183" s="187"/>
      <c r="T183" s="92"/>
      <c r="U183" s="187"/>
    </row>
    <row r="184" ht="15.75" customHeight="1">
      <c r="A184" s="92"/>
      <c r="B184" s="190"/>
      <c r="C184" s="92"/>
      <c r="D184" s="92"/>
      <c r="F184" s="92"/>
      <c r="G184" s="92"/>
      <c r="H184" s="187"/>
      <c r="I184" s="92"/>
      <c r="J184" s="92"/>
      <c r="K184" s="187"/>
      <c r="L184" s="92"/>
      <c r="M184" s="187"/>
      <c r="N184" s="92"/>
      <c r="O184" s="187"/>
      <c r="P184" s="92"/>
      <c r="Q184" s="187"/>
      <c r="R184" s="92"/>
      <c r="S184" s="187"/>
      <c r="T184" s="92"/>
      <c r="U184" s="187"/>
    </row>
    <row r="185" ht="15.75" customHeight="1">
      <c r="A185" s="92"/>
      <c r="B185" s="190"/>
      <c r="C185" s="92"/>
      <c r="D185" s="92"/>
      <c r="F185" s="92"/>
      <c r="G185" s="92"/>
      <c r="H185" s="187"/>
      <c r="I185" s="92"/>
      <c r="J185" s="92"/>
      <c r="K185" s="187"/>
      <c r="L185" s="92"/>
      <c r="M185" s="187"/>
      <c r="N185" s="92"/>
      <c r="O185" s="187"/>
      <c r="P185" s="92"/>
      <c r="Q185" s="187"/>
      <c r="R185" s="92"/>
      <c r="S185" s="187"/>
      <c r="T185" s="92"/>
      <c r="U185" s="187"/>
    </row>
    <row r="186" ht="15.75" customHeight="1">
      <c r="A186" s="92"/>
      <c r="B186" s="190"/>
      <c r="C186" s="92"/>
      <c r="D186" s="92"/>
      <c r="F186" s="92"/>
      <c r="G186" s="92"/>
      <c r="H186" s="187"/>
      <c r="I186" s="92"/>
      <c r="J186" s="92"/>
      <c r="K186" s="187"/>
      <c r="L186" s="92"/>
      <c r="M186" s="187"/>
      <c r="N186" s="92"/>
      <c r="O186" s="187"/>
      <c r="P186" s="92"/>
      <c r="Q186" s="187"/>
      <c r="R186" s="92"/>
      <c r="S186" s="187"/>
      <c r="T186" s="92"/>
      <c r="U186" s="187"/>
    </row>
    <row r="187" ht="15.75" customHeight="1">
      <c r="A187" s="92"/>
      <c r="B187" s="190"/>
      <c r="C187" s="92"/>
      <c r="D187" s="92"/>
      <c r="F187" s="92"/>
      <c r="G187" s="92"/>
      <c r="H187" s="187"/>
      <c r="I187" s="92"/>
      <c r="J187" s="92"/>
      <c r="K187" s="187"/>
      <c r="L187" s="92"/>
      <c r="M187" s="187"/>
      <c r="N187" s="92"/>
      <c r="O187" s="187"/>
      <c r="P187" s="92"/>
      <c r="Q187" s="187"/>
      <c r="R187" s="92"/>
      <c r="S187" s="187"/>
      <c r="T187" s="92"/>
      <c r="U187" s="187"/>
    </row>
    <row r="188" ht="15.75" customHeight="1">
      <c r="A188" s="92"/>
      <c r="B188" s="190"/>
      <c r="C188" s="92"/>
      <c r="D188" s="92"/>
      <c r="F188" s="92"/>
      <c r="G188" s="92"/>
      <c r="H188" s="187"/>
      <c r="I188" s="92"/>
      <c r="J188" s="92"/>
      <c r="K188" s="187"/>
      <c r="L188" s="92"/>
      <c r="M188" s="187"/>
      <c r="N188" s="92"/>
      <c r="O188" s="187"/>
      <c r="P188" s="92"/>
      <c r="Q188" s="187"/>
      <c r="R188" s="92"/>
      <c r="S188" s="187"/>
      <c r="T188" s="92"/>
      <c r="U188" s="187"/>
    </row>
    <row r="189" ht="15.75" customHeight="1">
      <c r="A189" s="92"/>
      <c r="B189" s="190"/>
      <c r="C189" s="92"/>
      <c r="D189" s="92"/>
      <c r="F189" s="92"/>
      <c r="G189" s="92"/>
      <c r="H189" s="187"/>
      <c r="I189" s="92"/>
      <c r="J189" s="92"/>
      <c r="K189" s="187"/>
      <c r="L189" s="92"/>
      <c r="M189" s="187"/>
      <c r="N189" s="92"/>
      <c r="O189" s="187"/>
      <c r="P189" s="92"/>
      <c r="Q189" s="187"/>
      <c r="R189" s="92"/>
      <c r="S189" s="187"/>
      <c r="T189" s="92"/>
      <c r="U189" s="187"/>
    </row>
    <row r="190" ht="15.75" customHeight="1">
      <c r="A190" s="92"/>
      <c r="B190" s="190"/>
      <c r="C190" s="92"/>
      <c r="D190" s="92"/>
      <c r="F190" s="92"/>
      <c r="G190" s="92"/>
      <c r="H190" s="187"/>
      <c r="I190" s="92"/>
      <c r="J190" s="92"/>
      <c r="K190" s="187"/>
      <c r="L190" s="92"/>
      <c r="M190" s="187"/>
      <c r="N190" s="92"/>
      <c r="O190" s="187"/>
      <c r="P190" s="92"/>
      <c r="Q190" s="187"/>
      <c r="R190" s="92"/>
      <c r="S190" s="187"/>
      <c r="T190" s="92"/>
      <c r="U190" s="187"/>
    </row>
    <row r="191" ht="15.75" customHeight="1">
      <c r="A191" s="92"/>
      <c r="B191" s="190"/>
      <c r="C191" s="92"/>
      <c r="D191" s="92"/>
      <c r="F191" s="92"/>
      <c r="G191" s="92"/>
      <c r="H191" s="187"/>
      <c r="I191" s="92"/>
      <c r="J191" s="92"/>
      <c r="K191" s="187"/>
      <c r="L191" s="92"/>
      <c r="M191" s="187"/>
      <c r="N191" s="92"/>
      <c r="O191" s="187"/>
      <c r="P191" s="92"/>
      <c r="Q191" s="187"/>
      <c r="R191" s="92"/>
      <c r="S191" s="187"/>
      <c r="T191" s="92"/>
      <c r="U191" s="187"/>
    </row>
    <row r="192" ht="15.75" customHeight="1">
      <c r="A192" s="92"/>
      <c r="B192" s="190"/>
      <c r="C192" s="92"/>
      <c r="D192" s="92"/>
      <c r="F192" s="92"/>
      <c r="G192" s="92"/>
      <c r="H192" s="187"/>
      <c r="I192" s="92"/>
      <c r="J192" s="92"/>
      <c r="K192" s="187"/>
      <c r="L192" s="92"/>
      <c r="M192" s="187"/>
      <c r="N192" s="92"/>
      <c r="O192" s="187"/>
      <c r="P192" s="92"/>
      <c r="Q192" s="187"/>
      <c r="R192" s="92"/>
      <c r="S192" s="187"/>
      <c r="T192" s="92"/>
      <c r="U192" s="187"/>
    </row>
    <row r="193" ht="15.75" customHeight="1">
      <c r="A193" s="92"/>
      <c r="B193" s="190"/>
      <c r="C193" s="92"/>
      <c r="D193" s="92"/>
      <c r="F193" s="92"/>
      <c r="G193" s="92"/>
      <c r="H193" s="187"/>
      <c r="I193" s="92"/>
      <c r="J193" s="92"/>
      <c r="K193" s="187"/>
      <c r="L193" s="92"/>
      <c r="M193" s="187"/>
      <c r="N193" s="92"/>
      <c r="O193" s="187"/>
      <c r="P193" s="92"/>
      <c r="Q193" s="187"/>
      <c r="R193" s="92"/>
      <c r="S193" s="187"/>
      <c r="T193" s="92"/>
      <c r="U193" s="187"/>
    </row>
    <row r="194" ht="15.75" customHeight="1">
      <c r="A194" s="92"/>
      <c r="B194" s="190"/>
      <c r="C194" s="92"/>
      <c r="D194" s="92"/>
      <c r="F194" s="92"/>
      <c r="G194" s="92"/>
      <c r="H194" s="187"/>
      <c r="I194" s="92"/>
      <c r="J194" s="92"/>
      <c r="K194" s="187"/>
      <c r="L194" s="92"/>
      <c r="M194" s="187"/>
      <c r="N194" s="92"/>
      <c r="O194" s="187"/>
      <c r="P194" s="92"/>
      <c r="Q194" s="187"/>
      <c r="R194" s="92"/>
      <c r="S194" s="187"/>
      <c r="T194" s="92"/>
      <c r="U194" s="187"/>
    </row>
    <row r="195" ht="15.75" customHeight="1">
      <c r="A195" s="92"/>
      <c r="B195" s="190"/>
      <c r="C195" s="92"/>
      <c r="D195" s="92"/>
      <c r="F195" s="92"/>
      <c r="G195" s="92"/>
      <c r="H195" s="187"/>
      <c r="I195" s="92"/>
      <c r="J195" s="92"/>
      <c r="K195" s="187"/>
      <c r="L195" s="92"/>
      <c r="M195" s="187"/>
      <c r="N195" s="92"/>
      <c r="O195" s="187"/>
      <c r="P195" s="92"/>
      <c r="Q195" s="187"/>
      <c r="R195" s="92"/>
      <c r="S195" s="187"/>
      <c r="T195" s="92"/>
      <c r="U195" s="187"/>
    </row>
    <row r="196" ht="15.75" customHeight="1">
      <c r="A196" s="92"/>
      <c r="B196" s="190"/>
      <c r="C196" s="92"/>
      <c r="D196" s="92"/>
      <c r="F196" s="92"/>
      <c r="G196" s="92"/>
      <c r="H196" s="187"/>
      <c r="I196" s="92"/>
      <c r="J196" s="92"/>
      <c r="K196" s="187"/>
      <c r="L196" s="92"/>
      <c r="M196" s="187"/>
      <c r="N196" s="92"/>
      <c r="O196" s="187"/>
      <c r="P196" s="92"/>
      <c r="Q196" s="187"/>
      <c r="R196" s="92"/>
      <c r="S196" s="187"/>
      <c r="T196" s="92"/>
      <c r="U196" s="187"/>
    </row>
    <row r="197" ht="15.75" customHeight="1">
      <c r="A197" s="92"/>
      <c r="B197" s="190"/>
      <c r="C197" s="92"/>
      <c r="D197" s="92"/>
      <c r="F197" s="92"/>
      <c r="G197" s="92"/>
      <c r="H197" s="187"/>
      <c r="I197" s="92"/>
      <c r="J197" s="92"/>
      <c r="K197" s="187"/>
      <c r="L197" s="92"/>
      <c r="M197" s="187"/>
      <c r="N197" s="92"/>
      <c r="O197" s="187"/>
      <c r="P197" s="92"/>
      <c r="Q197" s="187"/>
      <c r="R197" s="92"/>
      <c r="S197" s="187"/>
      <c r="T197" s="92"/>
      <c r="U197" s="187"/>
    </row>
    <row r="198" ht="15.75" customHeight="1">
      <c r="A198" s="92"/>
      <c r="B198" s="190"/>
      <c r="C198" s="92"/>
      <c r="D198" s="92"/>
      <c r="F198" s="92"/>
      <c r="G198" s="92"/>
      <c r="H198" s="187"/>
      <c r="I198" s="92"/>
      <c r="J198" s="92"/>
      <c r="K198" s="187"/>
      <c r="L198" s="92"/>
      <c r="M198" s="187"/>
      <c r="N198" s="92"/>
      <c r="O198" s="187"/>
      <c r="P198" s="92"/>
      <c r="Q198" s="187"/>
      <c r="R198" s="92"/>
      <c r="S198" s="187"/>
      <c r="T198" s="92"/>
      <c r="U198" s="187"/>
    </row>
    <row r="199" ht="15.75" customHeight="1">
      <c r="A199" s="92"/>
      <c r="B199" s="190"/>
      <c r="C199" s="92"/>
      <c r="D199" s="92"/>
      <c r="F199" s="92"/>
      <c r="G199" s="92"/>
      <c r="H199" s="187"/>
      <c r="I199" s="92"/>
      <c r="J199" s="92"/>
      <c r="K199" s="187"/>
      <c r="L199" s="92"/>
      <c r="M199" s="187"/>
      <c r="N199" s="92"/>
      <c r="O199" s="187"/>
      <c r="P199" s="92"/>
      <c r="Q199" s="187"/>
      <c r="R199" s="92"/>
      <c r="S199" s="187"/>
      <c r="T199" s="92"/>
      <c r="U199" s="187"/>
    </row>
    <row r="200" ht="15.75" customHeight="1">
      <c r="A200" s="92"/>
      <c r="B200" s="190"/>
      <c r="C200" s="92"/>
      <c r="D200" s="92"/>
      <c r="F200" s="92"/>
      <c r="G200" s="92"/>
      <c r="H200" s="187"/>
      <c r="I200" s="92"/>
      <c r="J200" s="92"/>
      <c r="K200" s="187"/>
      <c r="L200" s="92"/>
      <c r="M200" s="187"/>
      <c r="N200" s="92"/>
      <c r="O200" s="187"/>
      <c r="P200" s="92"/>
      <c r="Q200" s="187"/>
      <c r="R200" s="92"/>
      <c r="S200" s="187"/>
      <c r="T200" s="92"/>
      <c r="U200" s="187"/>
    </row>
    <row r="201" ht="15.75" customHeight="1">
      <c r="A201" s="92"/>
      <c r="B201" s="190"/>
      <c r="C201" s="92"/>
      <c r="D201" s="92"/>
      <c r="F201" s="92"/>
      <c r="G201" s="92"/>
      <c r="H201" s="187"/>
      <c r="I201" s="92"/>
      <c r="J201" s="92"/>
      <c r="K201" s="187"/>
      <c r="L201" s="92"/>
      <c r="M201" s="187"/>
      <c r="N201" s="92"/>
      <c r="O201" s="187"/>
      <c r="P201" s="92"/>
      <c r="Q201" s="187"/>
      <c r="R201" s="92"/>
      <c r="S201" s="187"/>
      <c r="T201" s="92"/>
      <c r="U201" s="187"/>
    </row>
    <row r="202" ht="15.75" customHeight="1">
      <c r="A202" s="92"/>
      <c r="B202" s="190"/>
      <c r="C202" s="92"/>
      <c r="D202" s="92"/>
      <c r="F202" s="92"/>
      <c r="G202" s="92"/>
      <c r="H202" s="187"/>
      <c r="I202" s="92"/>
      <c r="J202" s="92"/>
      <c r="K202" s="187"/>
      <c r="L202" s="92"/>
      <c r="M202" s="187"/>
      <c r="N202" s="92"/>
      <c r="O202" s="187"/>
      <c r="P202" s="92"/>
      <c r="Q202" s="187"/>
      <c r="R202" s="92"/>
      <c r="S202" s="187"/>
      <c r="T202" s="92"/>
      <c r="U202" s="187"/>
    </row>
    <row r="203" ht="15.75" customHeight="1">
      <c r="A203" s="92"/>
      <c r="B203" s="190"/>
      <c r="C203" s="92"/>
      <c r="D203" s="92"/>
      <c r="F203" s="92"/>
      <c r="G203" s="92"/>
      <c r="H203" s="187"/>
      <c r="I203" s="92"/>
      <c r="J203" s="92"/>
      <c r="K203" s="187"/>
      <c r="L203" s="92"/>
      <c r="M203" s="187"/>
      <c r="N203" s="92"/>
      <c r="O203" s="187"/>
      <c r="P203" s="92"/>
      <c r="Q203" s="187"/>
      <c r="R203" s="92"/>
      <c r="S203" s="187"/>
      <c r="T203" s="92"/>
      <c r="U203" s="187"/>
    </row>
    <row r="204" ht="15.75" customHeight="1">
      <c r="A204" s="92"/>
      <c r="B204" s="190"/>
      <c r="C204" s="92"/>
      <c r="D204" s="92"/>
      <c r="F204" s="92"/>
      <c r="G204" s="92"/>
      <c r="H204" s="187"/>
      <c r="I204" s="92"/>
      <c r="J204" s="92"/>
      <c r="K204" s="187"/>
      <c r="L204" s="92"/>
      <c r="M204" s="187"/>
      <c r="N204" s="92"/>
      <c r="O204" s="187"/>
      <c r="P204" s="92"/>
      <c r="Q204" s="187"/>
      <c r="R204" s="92"/>
      <c r="S204" s="187"/>
      <c r="T204" s="92"/>
      <c r="U204" s="187"/>
    </row>
    <row r="205" ht="15.75" customHeight="1">
      <c r="A205" s="92"/>
      <c r="B205" s="190"/>
      <c r="C205" s="92"/>
      <c r="D205" s="92"/>
      <c r="F205" s="92"/>
      <c r="G205" s="92"/>
      <c r="H205" s="187"/>
      <c r="I205" s="92"/>
      <c r="J205" s="92"/>
      <c r="K205" s="187"/>
      <c r="L205" s="92"/>
      <c r="M205" s="187"/>
      <c r="N205" s="92"/>
      <c r="O205" s="187"/>
      <c r="P205" s="92"/>
      <c r="Q205" s="187"/>
      <c r="R205" s="92"/>
      <c r="S205" s="187"/>
      <c r="T205" s="92"/>
      <c r="U205" s="187"/>
    </row>
    <row r="206" ht="15.75" customHeight="1">
      <c r="A206" s="92"/>
      <c r="B206" s="190"/>
      <c r="C206" s="92"/>
      <c r="D206" s="92"/>
      <c r="F206" s="92"/>
      <c r="G206" s="92"/>
      <c r="H206" s="187"/>
      <c r="I206" s="92"/>
      <c r="J206" s="92"/>
      <c r="K206" s="187"/>
      <c r="L206" s="92"/>
      <c r="M206" s="187"/>
      <c r="N206" s="92"/>
      <c r="O206" s="187"/>
      <c r="P206" s="92"/>
      <c r="Q206" s="187"/>
      <c r="R206" s="92"/>
      <c r="S206" s="187"/>
      <c r="T206" s="92"/>
      <c r="U206" s="187"/>
    </row>
    <row r="207" ht="15.75" customHeight="1">
      <c r="A207" s="92"/>
      <c r="B207" s="190"/>
      <c r="C207" s="92"/>
      <c r="D207" s="92"/>
      <c r="F207" s="92"/>
      <c r="G207" s="92"/>
      <c r="H207" s="187"/>
      <c r="I207" s="92"/>
      <c r="J207" s="92"/>
      <c r="K207" s="187"/>
      <c r="L207" s="92"/>
      <c r="M207" s="187"/>
      <c r="N207" s="92"/>
      <c r="O207" s="187"/>
      <c r="P207" s="92"/>
      <c r="Q207" s="187"/>
      <c r="R207" s="92"/>
      <c r="S207" s="187"/>
      <c r="T207" s="92"/>
      <c r="U207" s="187"/>
    </row>
    <row r="208" ht="15.75" customHeight="1">
      <c r="A208" s="92"/>
      <c r="B208" s="190"/>
      <c r="C208" s="92"/>
      <c r="D208" s="92"/>
      <c r="F208" s="92"/>
      <c r="G208" s="92"/>
      <c r="H208" s="187"/>
      <c r="I208" s="92"/>
      <c r="J208" s="92"/>
      <c r="K208" s="187"/>
      <c r="L208" s="92"/>
      <c r="M208" s="187"/>
      <c r="N208" s="92"/>
      <c r="O208" s="187"/>
      <c r="P208" s="92"/>
      <c r="Q208" s="187"/>
      <c r="R208" s="92"/>
      <c r="S208" s="187"/>
      <c r="T208" s="92"/>
      <c r="U208" s="187"/>
    </row>
    <row r="209" ht="15.75" customHeight="1">
      <c r="A209" s="92"/>
      <c r="B209" s="190"/>
      <c r="C209" s="92"/>
      <c r="D209" s="92"/>
      <c r="F209" s="92"/>
      <c r="G209" s="92"/>
      <c r="H209" s="187"/>
      <c r="I209" s="92"/>
      <c r="J209" s="92"/>
      <c r="K209" s="187"/>
      <c r="L209" s="92"/>
      <c r="M209" s="187"/>
      <c r="N209" s="92"/>
      <c r="O209" s="187"/>
      <c r="P209" s="92"/>
      <c r="Q209" s="187"/>
      <c r="R209" s="92"/>
      <c r="S209" s="187"/>
      <c r="T209" s="92"/>
      <c r="U209" s="187"/>
    </row>
    <row r="210" ht="15.75" customHeight="1">
      <c r="A210" s="92"/>
      <c r="B210" s="190"/>
      <c r="C210" s="92"/>
      <c r="D210" s="92"/>
      <c r="F210" s="92"/>
      <c r="G210" s="92"/>
      <c r="H210" s="187"/>
      <c r="I210" s="92"/>
      <c r="J210" s="92"/>
      <c r="K210" s="187"/>
      <c r="L210" s="92"/>
      <c r="M210" s="187"/>
      <c r="N210" s="92"/>
      <c r="O210" s="187"/>
      <c r="P210" s="92"/>
      <c r="Q210" s="187"/>
      <c r="R210" s="92"/>
      <c r="S210" s="187"/>
      <c r="T210" s="92"/>
      <c r="U210" s="187"/>
    </row>
    <row r="211" ht="15.75" customHeight="1">
      <c r="A211" s="92"/>
      <c r="B211" s="190"/>
      <c r="C211" s="92"/>
      <c r="D211" s="92"/>
      <c r="F211" s="92"/>
      <c r="G211" s="92"/>
      <c r="H211" s="187"/>
      <c r="I211" s="92"/>
      <c r="J211" s="92"/>
      <c r="K211" s="187"/>
      <c r="L211" s="92"/>
      <c r="M211" s="187"/>
      <c r="N211" s="92"/>
      <c r="O211" s="187"/>
      <c r="P211" s="92"/>
      <c r="Q211" s="187"/>
      <c r="R211" s="92"/>
      <c r="S211" s="187"/>
      <c r="T211" s="92"/>
      <c r="U211" s="187"/>
    </row>
    <row r="212" ht="15.75" customHeight="1">
      <c r="A212" s="92"/>
      <c r="B212" s="190"/>
      <c r="C212" s="92"/>
      <c r="D212" s="92"/>
      <c r="F212" s="92"/>
      <c r="G212" s="92"/>
      <c r="H212" s="187"/>
      <c r="I212" s="92"/>
      <c r="J212" s="92"/>
      <c r="K212" s="187"/>
      <c r="L212" s="92"/>
      <c r="M212" s="187"/>
      <c r="N212" s="92"/>
      <c r="O212" s="187"/>
      <c r="P212" s="92"/>
      <c r="Q212" s="187"/>
      <c r="R212" s="92"/>
      <c r="S212" s="187"/>
      <c r="T212" s="92"/>
      <c r="U212" s="187"/>
    </row>
    <row r="213" ht="15.75" customHeight="1">
      <c r="A213" s="92"/>
      <c r="B213" s="190"/>
      <c r="C213" s="92"/>
      <c r="D213" s="92"/>
      <c r="F213" s="92"/>
      <c r="G213" s="92"/>
      <c r="H213" s="187"/>
      <c r="I213" s="92"/>
      <c r="J213" s="92"/>
      <c r="K213" s="187"/>
      <c r="L213" s="92"/>
      <c r="M213" s="187"/>
      <c r="N213" s="92"/>
      <c r="O213" s="187"/>
      <c r="P213" s="92"/>
      <c r="Q213" s="187"/>
      <c r="R213" s="92"/>
      <c r="S213" s="187"/>
      <c r="T213" s="92"/>
      <c r="U213" s="187"/>
    </row>
    <row r="214" ht="15.75" customHeight="1">
      <c r="A214" s="92"/>
      <c r="B214" s="190"/>
      <c r="C214" s="92"/>
      <c r="D214" s="92"/>
      <c r="F214" s="92"/>
      <c r="G214" s="92"/>
      <c r="H214" s="187"/>
      <c r="I214" s="92"/>
      <c r="J214" s="92"/>
      <c r="K214" s="187"/>
      <c r="L214" s="92"/>
      <c r="M214" s="187"/>
      <c r="N214" s="92"/>
      <c r="O214" s="187"/>
      <c r="P214" s="92"/>
      <c r="Q214" s="187"/>
      <c r="R214" s="92"/>
      <c r="S214" s="187"/>
      <c r="T214" s="92"/>
      <c r="U214" s="187"/>
    </row>
    <row r="215" ht="15.75" customHeight="1">
      <c r="A215" s="92"/>
      <c r="B215" s="190"/>
      <c r="C215" s="92"/>
      <c r="D215" s="92"/>
      <c r="F215" s="92"/>
      <c r="G215" s="92"/>
      <c r="H215" s="187"/>
      <c r="I215" s="92"/>
      <c r="J215" s="92"/>
      <c r="K215" s="187"/>
      <c r="L215" s="92"/>
      <c r="M215" s="187"/>
      <c r="N215" s="92"/>
      <c r="O215" s="187"/>
      <c r="P215" s="92"/>
      <c r="Q215" s="187"/>
      <c r="R215" s="92"/>
      <c r="S215" s="187"/>
      <c r="T215" s="92"/>
      <c r="U215" s="187"/>
    </row>
    <row r="216" ht="15.75" customHeight="1">
      <c r="A216" s="92"/>
      <c r="B216" s="190"/>
      <c r="C216" s="92"/>
      <c r="D216" s="92"/>
      <c r="F216" s="92"/>
      <c r="G216" s="92"/>
      <c r="H216" s="187"/>
      <c r="I216" s="92"/>
      <c r="J216" s="92"/>
      <c r="K216" s="187"/>
      <c r="L216" s="92"/>
      <c r="M216" s="187"/>
      <c r="N216" s="92"/>
      <c r="O216" s="187"/>
      <c r="P216" s="92"/>
      <c r="Q216" s="187"/>
      <c r="R216" s="92"/>
      <c r="S216" s="187"/>
      <c r="T216" s="92"/>
      <c r="U216" s="187"/>
    </row>
    <row r="217" ht="15.75" customHeight="1">
      <c r="A217" s="92"/>
      <c r="B217" s="190"/>
      <c r="C217" s="92"/>
      <c r="D217" s="92"/>
      <c r="F217" s="92"/>
      <c r="G217" s="92"/>
      <c r="H217" s="187"/>
      <c r="I217" s="92"/>
      <c r="J217" s="92"/>
      <c r="K217" s="187"/>
      <c r="L217" s="92"/>
      <c r="M217" s="187"/>
      <c r="N217" s="92"/>
      <c r="O217" s="187"/>
      <c r="P217" s="92"/>
      <c r="Q217" s="187"/>
      <c r="R217" s="92"/>
      <c r="S217" s="187"/>
      <c r="T217" s="92"/>
      <c r="U217" s="187"/>
    </row>
    <row r="218" ht="15.75" customHeight="1">
      <c r="A218" s="92"/>
      <c r="B218" s="190"/>
      <c r="C218" s="92"/>
      <c r="D218" s="92"/>
      <c r="F218" s="92"/>
      <c r="G218" s="92"/>
      <c r="H218" s="187"/>
      <c r="I218" s="92"/>
      <c r="J218" s="92"/>
      <c r="K218" s="187"/>
      <c r="L218" s="92"/>
      <c r="M218" s="187"/>
      <c r="N218" s="92"/>
      <c r="O218" s="187"/>
      <c r="P218" s="92"/>
      <c r="Q218" s="187"/>
      <c r="R218" s="92"/>
      <c r="S218" s="187"/>
      <c r="T218" s="92"/>
      <c r="U218" s="187"/>
    </row>
    <row r="219" ht="15.75" customHeight="1">
      <c r="A219" s="92"/>
      <c r="B219" s="190"/>
      <c r="C219" s="92"/>
      <c r="D219" s="92"/>
      <c r="F219" s="92"/>
      <c r="G219" s="92"/>
      <c r="H219" s="187"/>
      <c r="I219" s="92"/>
      <c r="J219" s="92"/>
      <c r="K219" s="187"/>
      <c r="L219" s="92"/>
      <c r="M219" s="187"/>
      <c r="N219" s="92"/>
      <c r="O219" s="187"/>
      <c r="P219" s="92"/>
      <c r="Q219" s="187"/>
      <c r="R219" s="92"/>
      <c r="S219" s="187"/>
      <c r="T219" s="92"/>
      <c r="U219" s="187"/>
    </row>
    <row r="220" ht="15.75" customHeight="1">
      <c r="A220" s="92"/>
      <c r="B220" s="190"/>
      <c r="C220" s="92"/>
      <c r="D220" s="92"/>
      <c r="F220" s="92"/>
      <c r="G220" s="92"/>
      <c r="H220" s="187"/>
      <c r="I220" s="92"/>
      <c r="J220" s="92"/>
      <c r="K220" s="187"/>
      <c r="L220" s="92"/>
      <c r="M220" s="187"/>
      <c r="N220" s="92"/>
      <c r="O220" s="187"/>
      <c r="P220" s="92"/>
      <c r="Q220" s="187"/>
      <c r="R220" s="92"/>
      <c r="S220" s="187"/>
      <c r="T220" s="92"/>
      <c r="U220" s="187"/>
    </row>
    <row r="221" ht="15.75" customHeight="1">
      <c r="A221" s="92"/>
      <c r="B221" s="190"/>
      <c r="C221" s="92"/>
      <c r="D221" s="92"/>
      <c r="F221" s="92"/>
      <c r="G221" s="92"/>
      <c r="H221" s="187"/>
      <c r="I221" s="92"/>
      <c r="J221" s="92"/>
      <c r="K221" s="187"/>
      <c r="L221" s="92"/>
      <c r="M221" s="187"/>
      <c r="N221" s="92"/>
      <c r="O221" s="187"/>
      <c r="P221" s="92"/>
      <c r="Q221" s="187"/>
      <c r="R221" s="92"/>
      <c r="S221" s="187"/>
      <c r="T221" s="92"/>
      <c r="U221" s="187"/>
    </row>
    <row r="222" ht="15.75" customHeight="1">
      <c r="A222" s="92"/>
      <c r="B222" s="190"/>
      <c r="C222" s="92"/>
      <c r="D222" s="92"/>
      <c r="F222" s="92"/>
      <c r="G222" s="92"/>
      <c r="H222" s="187"/>
      <c r="I222" s="92"/>
      <c r="J222" s="92"/>
      <c r="K222" s="187"/>
      <c r="L222" s="92"/>
      <c r="M222" s="187"/>
      <c r="N222" s="92"/>
      <c r="O222" s="187"/>
      <c r="P222" s="92"/>
      <c r="Q222" s="187"/>
      <c r="R222" s="92"/>
      <c r="S222" s="187"/>
      <c r="T222" s="92"/>
      <c r="U222" s="187"/>
    </row>
    <row r="223" ht="15.75" customHeight="1">
      <c r="A223" s="92"/>
      <c r="B223" s="190"/>
      <c r="C223" s="92"/>
      <c r="D223" s="92"/>
      <c r="F223" s="92"/>
      <c r="G223" s="92"/>
      <c r="H223" s="187"/>
      <c r="I223" s="92"/>
      <c r="J223" s="92"/>
      <c r="K223" s="187"/>
      <c r="L223" s="92"/>
      <c r="M223" s="187"/>
      <c r="N223" s="92"/>
      <c r="O223" s="187"/>
      <c r="P223" s="92"/>
      <c r="Q223" s="187"/>
      <c r="R223" s="92"/>
      <c r="S223" s="187"/>
      <c r="T223" s="92"/>
      <c r="U223" s="187"/>
    </row>
    <row r="224" ht="15.75" customHeight="1">
      <c r="A224" s="92"/>
      <c r="B224" s="190"/>
      <c r="C224" s="92"/>
      <c r="D224" s="92"/>
      <c r="F224" s="92"/>
      <c r="G224" s="92"/>
      <c r="H224" s="187"/>
      <c r="I224" s="92"/>
      <c r="J224" s="92"/>
      <c r="K224" s="187"/>
      <c r="L224" s="92"/>
      <c r="M224" s="187"/>
      <c r="N224" s="92"/>
      <c r="O224" s="187"/>
      <c r="P224" s="92"/>
      <c r="Q224" s="187"/>
      <c r="R224" s="92"/>
      <c r="S224" s="187"/>
      <c r="T224" s="92"/>
      <c r="U224" s="187"/>
    </row>
    <row r="225" ht="15.75" customHeight="1">
      <c r="A225" s="92"/>
      <c r="B225" s="190"/>
      <c r="C225" s="92"/>
      <c r="D225" s="92"/>
      <c r="F225" s="92"/>
      <c r="G225" s="92"/>
      <c r="H225" s="187"/>
      <c r="I225" s="92"/>
      <c r="J225" s="92"/>
      <c r="K225" s="187"/>
      <c r="L225" s="92"/>
      <c r="M225" s="187"/>
      <c r="N225" s="92"/>
      <c r="O225" s="187"/>
      <c r="P225" s="92"/>
      <c r="Q225" s="187"/>
      <c r="R225" s="92"/>
      <c r="S225" s="187"/>
      <c r="T225" s="92"/>
      <c r="U225" s="187"/>
    </row>
    <row r="226" ht="15.75" customHeight="1">
      <c r="A226" s="92"/>
      <c r="B226" s="190"/>
      <c r="C226" s="92"/>
      <c r="D226" s="92"/>
      <c r="F226" s="92"/>
      <c r="G226" s="92"/>
      <c r="H226" s="187"/>
      <c r="I226" s="92"/>
      <c r="J226" s="92"/>
      <c r="K226" s="187"/>
      <c r="L226" s="92"/>
      <c r="M226" s="187"/>
      <c r="N226" s="92"/>
      <c r="O226" s="187"/>
      <c r="P226" s="92"/>
      <c r="Q226" s="187"/>
      <c r="R226" s="92"/>
      <c r="S226" s="187"/>
      <c r="T226" s="92"/>
      <c r="U226" s="187"/>
    </row>
    <row r="227" ht="15.75" customHeight="1">
      <c r="A227" s="92"/>
      <c r="B227" s="190"/>
      <c r="C227" s="92"/>
      <c r="D227" s="92"/>
      <c r="F227" s="92"/>
      <c r="G227" s="92"/>
      <c r="H227" s="187"/>
      <c r="I227" s="92"/>
      <c r="J227" s="92"/>
      <c r="K227" s="187"/>
      <c r="L227" s="92"/>
      <c r="M227" s="187"/>
      <c r="N227" s="92"/>
      <c r="O227" s="187"/>
      <c r="P227" s="92"/>
      <c r="Q227" s="187"/>
      <c r="R227" s="92"/>
      <c r="S227" s="187"/>
      <c r="T227" s="92"/>
      <c r="U227" s="187"/>
    </row>
    <row r="228" ht="15.75" customHeight="1">
      <c r="A228" s="92"/>
      <c r="B228" s="190"/>
      <c r="C228" s="92"/>
      <c r="D228" s="92"/>
      <c r="F228" s="92"/>
      <c r="G228" s="92"/>
      <c r="H228" s="187"/>
      <c r="I228" s="92"/>
      <c r="J228" s="92"/>
      <c r="K228" s="187"/>
      <c r="L228" s="92"/>
      <c r="M228" s="187"/>
      <c r="N228" s="92"/>
      <c r="O228" s="187"/>
      <c r="P228" s="92"/>
      <c r="Q228" s="187"/>
      <c r="R228" s="92"/>
      <c r="S228" s="187"/>
      <c r="T228" s="92"/>
      <c r="U228" s="187"/>
    </row>
    <row r="229" ht="15.75" customHeight="1">
      <c r="A229" s="92"/>
      <c r="B229" s="190"/>
      <c r="C229" s="92"/>
      <c r="D229" s="92"/>
      <c r="F229" s="92"/>
      <c r="G229" s="92"/>
      <c r="H229" s="187"/>
      <c r="I229" s="92"/>
      <c r="J229" s="92"/>
      <c r="K229" s="187"/>
      <c r="L229" s="92"/>
      <c r="M229" s="187"/>
      <c r="N229" s="92"/>
      <c r="O229" s="187"/>
      <c r="P229" s="92"/>
      <c r="Q229" s="187"/>
      <c r="R229" s="92"/>
      <c r="S229" s="187"/>
      <c r="T229" s="92"/>
      <c r="U229" s="187"/>
    </row>
    <row r="230" ht="15.75" customHeight="1">
      <c r="A230" s="92"/>
      <c r="B230" s="190"/>
      <c r="C230" s="92"/>
      <c r="D230" s="92"/>
      <c r="F230" s="92"/>
      <c r="G230" s="92"/>
      <c r="H230" s="187"/>
      <c r="I230" s="92"/>
      <c r="J230" s="92"/>
      <c r="K230" s="187"/>
      <c r="L230" s="92"/>
      <c r="M230" s="187"/>
      <c r="N230" s="92"/>
      <c r="O230" s="187"/>
      <c r="P230" s="92"/>
      <c r="Q230" s="187"/>
      <c r="R230" s="92"/>
      <c r="S230" s="187"/>
      <c r="T230" s="92"/>
      <c r="U230" s="187"/>
    </row>
    <row r="231" ht="15.75" customHeight="1">
      <c r="A231" s="92"/>
      <c r="B231" s="190"/>
      <c r="C231" s="92"/>
      <c r="D231" s="92"/>
      <c r="F231" s="92"/>
      <c r="G231" s="92"/>
      <c r="H231" s="187"/>
      <c r="I231" s="92"/>
      <c r="J231" s="92"/>
      <c r="K231" s="187"/>
      <c r="L231" s="92"/>
      <c r="M231" s="187"/>
      <c r="N231" s="92"/>
      <c r="O231" s="187"/>
      <c r="P231" s="92"/>
      <c r="Q231" s="187"/>
      <c r="R231" s="92"/>
      <c r="S231" s="187"/>
      <c r="T231" s="92"/>
      <c r="U231" s="187"/>
    </row>
    <row r="232" ht="15.75" customHeight="1">
      <c r="A232" s="92"/>
      <c r="B232" s="190"/>
      <c r="C232" s="92"/>
      <c r="D232" s="92"/>
      <c r="F232" s="92"/>
      <c r="G232" s="92"/>
      <c r="H232" s="187"/>
      <c r="I232" s="92"/>
      <c r="J232" s="92"/>
      <c r="K232" s="187"/>
      <c r="L232" s="92"/>
      <c r="M232" s="187"/>
      <c r="N232" s="92"/>
      <c r="O232" s="187"/>
      <c r="P232" s="92"/>
      <c r="Q232" s="187"/>
      <c r="R232" s="92"/>
      <c r="S232" s="187"/>
      <c r="T232" s="92"/>
      <c r="U232" s="187"/>
    </row>
    <row r="233" ht="15.75" customHeight="1">
      <c r="A233" s="92"/>
      <c r="B233" s="190"/>
      <c r="C233" s="92"/>
      <c r="D233" s="92"/>
      <c r="F233" s="92"/>
      <c r="G233" s="92"/>
      <c r="H233" s="187"/>
      <c r="I233" s="92"/>
      <c r="J233" s="92"/>
      <c r="K233" s="187"/>
      <c r="L233" s="92"/>
      <c r="M233" s="187"/>
      <c r="N233" s="92"/>
      <c r="O233" s="187"/>
      <c r="P233" s="92"/>
      <c r="Q233" s="187"/>
      <c r="R233" s="92"/>
      <c r="S233" s="187"/>
      <c r="T233" s="92"/>
      <c r="U233" s="187"/>
    </row>
    <row r="234" ht="15.75" customHeight="1">
      <c r="A234" s="92"/>
      <c r="B234" s="190"/>
      <c r="C234" s="92"/>
      <c r="D234" s="92"/>
      <c r="F234" s="92"/>
      <c r="G234" s="92"/>
      <c r="H234" s="187"/>
      <c r="I234" s="92"/>
      <c r="J234" s="92"/>
      <c r="K234" s="187"/>
      <c r="L234" s="92"/>
      <c r="M234" s="187"/>
      <c r="N234" s="92"/>
      <c r="O234" s="187"/>
      <c r="P234" s="92"/>
      <c r="Q234" s="187"/>
      <c r="R234" s="92"/>
      <c r="S234" s="187"/>
      <c r="T234" s="92"/>
      <c r="U234" s="187"/>
    </row>
    <row r="235" ht="15.75" customHeight="1">
      <c r="A235" s="92"/>
      <c r="B235" s="190"/>
      <c r="C235" s="92"/>
      <c r="D235" s="92"/>
      <c r="F235" s="92"/>
      <c r="G235" s="92"/>
      <c r="H235" s="187"/>
      <c r="I235" s="92"/>
      <c r="J235" s="92"/>
      <c r="K235" s="187"/>
      <c r="L235" s="92"/>
      <c r="M235" s="187"/>
      <c r="N235" s="92"/>
      <c r="O235" s="187"/>
      <c r="P235" s="92"/>
      <c r="Q235" s="187"/>
      <c r="R235" s="92"/>
      <c r="S235" s="187"/>
      <c r="T235" s="92"/>
      <c r="U235" s="187"/>
    </row>
    <row r="236" ht="15.75" customHeight="1">
      <c r="A236" s="92"/>
      <c r="B236" s="190"/>
      <c r="C236" s="92"/>
      <c r="D236" s="92"/>
      <c r="F236" s="92"/>
      <c r="G236" s="92"/>
      <c r="H236" s="187"/>
      <c r="I236" s="92"/>
      <c r="J236" s="92"/>
      <c r="K236" s="187"/>
      <c r="L236" s="92"/>
      <c r="M236" s="187"/>
      <c r="N236" s="92"/>
      <c r="O236" s="187"/>
      <c r="P236" s="92"/>
      <c r="Q236" s="187"/>
      <c r="R236" s="92"/>
      <c r="S236" s="187"/>
      <c r="T236" s="92"/>
      <c r="U236" s="187"/>
    </row>
    <row r="237" ht="15.75" customHeight="1">
      <c r="A237" s="92"/>
      <c r="B237" s="190"/>
      <c r="C237" s="92"/>
      <c r="D237" s="92"/>
      <c r="F237" s="92"/>
      <c r="G237" s="92"/>
      <c r="H237" s="187"/>
      <c r="I237" s="92"/>
      <c r="J237" s="92"/>
      <c r="K237" s="187"/>
      <c r="L237" s="92"/>
      <c r="M237" s="187"/>
      <c r="N237" s="92"/>
      <c r="O237" s="187"/>
      <c r="P237" s="92"/>
      <c r="Q237" s="187"/>
      <c r="R237" s="92"/>
      <c r="S237" s="187"/>
      <c r="T237" s="92"/>
      <c r="U237" s="187"/>
    </row>
    <row r="238" ht="15.75" customHeight="1">
      <c r="A238" s="92"/>
      <c r="B238" s="190"/>
      <c r="C238" s="92"/>
      <c r="D238" s="92"/>
      <c r="F238" s="92"/>
      <c r="G238" s="92"/>
      <c r="H238" s="187"/>
      <c r="I238" s="92"/>
      <c r="J238" s="92"/>
      <c r="K238" s="187"/>
      <c r="L238" s="92"/>
      <c r="M238" s="187"/>
      <c r="N238" s="92"/>
      <c r="O238" s="187"/>
      <c r="P238" s="92"/>
      <c r="Q238" s="187"/>
      <c r="R238" s="92"/>
      <c r="S238" s="187"/>
      <c r="T238" s="92"/>
      <c r="U238" s="187"/>
    </row>
    <row r="239" ht="15.75" customHeight="1">
      <c r="A239" s="92"/>
      <c r="B239" s="190"/>
      <c r="C239" s="92"/>
      <c r="D239" s="92"/>
      <c r="F239" s="92"/>
      <c r="G239" s="92"/>
      <c r="H239" s="187"/>
      <c r="I239" s="92"/>
      <c r="J239" s="92"/>
      <c r="K239" s="187"/>
      <c r="L239" s="92"/>
      <c r="M239" s="187"/>
      <c r="N239" s="92"/>
      <c r="O239" s="187"/>
      <c r="P239" s="92"/>
      <c r="Q239" s="187"/>
      <c r="R239" s="92"/>
      <c r="S239" s="187"/>
      <c r="T239" s="92"/>
      <c r="U239" s="187"/>
    </row>
    <row r="240" ht="15.75" customHeight="1">
      <c r="A240" s="92"/>
      <c r="B240" s="190"/>
      <c r="C240" s="92"/>
      <c r="D240" s="92"/>
      <c r="F240" s="92"/>
      <c r="G240" s="92"/>
      <c r="H240" s="187"/>
      <c r="I240" s="92"/>
      <c r="J240" s="92"/>
      <c r="K240" s="187"/>
      <c r="L240" s="92"/>
      <c r="M240" s="187"/>
      <c r="N240" s="92"/>
      <c r="O240" s="187"/>
      <c r="P240" s="92"/>
      <c r="Q240" s="187"/>
      <c r="R240" s="92"/>
      <c r="S240" s="187"/>
      <c r="T240" s="92"/>
      <c r="U240" s="187"/>
    </row>
    <row r="241" ht="15.75" customHeight="1">
      <c r="A241" s="92"/>
      <c r="B241" s="190"/>
      <c r="C241" s="92"/>
      <c r="D241" s="92"/>
      <c r="F241" s="92"/>
      <c r="G241" s="92"/>
      <c r="H241" s="187"/>
      <c r="I241" s="92"/>
      <c r="J241" s="92"/>
      <c r="K241" s="187"/>
      <c r="L241" s="92"/>
      <c r="M241" s="187"/>
      <c r="N241" s="92"/>
      <c r="O241" s="187"/>
      <c r="P241" s="92"/>
      <c r="Q241" s="187"/>
      <c r="R241" s="92"/>
      <c r="S241" s="187"/>
      <c r="T241" s="92"/>
      <c r="U241" s="187"/>
    </row>
    <row r="242" ht="15.75" customHeight="1">
      <c r="A242" s="92"/>
      <c r="B242" s="190"/>
      <c r="C242" s="92"/>
      <c r="D242" s="92"/>
      <c r="F242" s="92"/>
      <c r="G242" s="92"/>
      <c r="H242" s="187"/>
      <c r="I242" s="92"/>
      <c r="J242" s="92"/>
      <c r="K242" s="187"/>
      <c r="L242" s="92"/>
      <c r="M242" s="187"/>
      <c r="N242" s="92"/>
      <c r="O242" s="187"/>
      <c r="P242" s="92"/>
      <c r="Q242" s="187"/>
      <c r="R242" s="92"/>
      <c r="S242" s="187"/>
      <c r="T242" s="92"/>
      <c r="U242" s="187"/>
    </row>
    <row r="243" ht="15.75" customHeight="1">
      <c r="A243" s="92"/>
      <c r="B243" s="190"/>
      <c r="C243" s="92"/>
      <c r="D243" s="92"/>
      <c r="F243" s="92"/>
      <c r="G243" s="92"/>
      <c r="H243" s="187"/>
      <c r="I243" s="92"/>
      <c r="J243" s="92"/>
      <c r="K243" s="187"/>
      <c r="L243" s="92"/>
      <c r="M243" s="187"/>
      <c r="N243" s="92"/>
      <c r="O243" s="187"/>
      <c r="P243" s="92"/>
      <c r="Q243" s="187"/>
      <c r="R243" s="92"/>
      <c r="S243" s="187"/>
      <c r="T243" s="92"/>
      <c r="U243" s="187"/>
    </row>
    <row r="244" ht="15.75" customHeight="1">
      <c r="A244" s="92"/>
      <c r="B244" s="190"/>
      <c r="C244" s="92"/>
      <c r="D244" s="92"/>
      <c r="F244" s="92"/>
      <c r="G244" s="92"/>
      <c r="H244" s="187"/>
      <c r="I244" s="92"/>
      <c r="J244" s="92"/>
      <c r="K244" s="187"/>
      <c r="L244" s="92"/>
      <c r="M244" s="187"/>
      <c r="N244" s="92"/>
      <c r="O244" s="187"/>
      <c r="P244" s="92"/>
      <c r="Q244" s="187"/>
      <c r="R244" s="92"/>
      <c r="S244" s="187"/>
      <c r="T244" s="92"/>
      <c r="U244" s="187"/>
    </row>
    <row r="245" ht="15.75" customHeight="1">
      <c r="A245" s="92"/>
      <c r="B245" s="190"/>
      <c r="C245" s="92"/>
      <c r="D245" s="92"/>
      <c r="F245" s="92"/>
      <c r="G245" s="92"/>
      <c r="H245" s="187"/>
      <c r="I245" s="92"/>
      <c r="J245" s="92"/>
      <c r="K245" s="187"/>
      <c r="L245" s="92"/>
      <c r="M245" s="187"/>
      <c r="N245" s="92"/>
      <c r="O245" s="187"/>
      <c r="P245" s="92"/>
      <c r="Q245" s="187"/>
      <c r="R245" s="92"/>
      <c r="S245" s="187"/>
      <c r="T245" s="92"/>
      <c r="U245" s="187"/>
    </row>
    <row r="246" ht="15.75" customHeight="1">
      <c r="A246" s="92"/>
      <c r="B246" s="190"/>
      <c r="C246" s="92"/>
      <c r="D246" s="92"/>
      <c r="F246" s="92"/>
      <c r="G246" s="92"/>
      <c r="H246" s="187"/>
      <c r="I246" s="92"/>
      <c r="J246" s="92"/>
      <c r="K246" s="187"/>
      <c r="L246" s="92"/>
      <c r="M246" s="187"/>
      <c r="N246" s="92"/>
      <c r="O246" s="187"/>
      <c r="P246" s="92"/>
      <c r="Q246" s="187"/>
      <c r="R246" s="92"/>
      <c r="S246" s="187"/>
      <c r="T246" s="92"/>
      <c r="U246" s="187"/>
    </row>
    <row r="247" ht="15.75" customHeight="1">
      <c r="A247" s="92"/>
      <c r="B247" s="190"/>
      <c r="C247" s="92"/>
      <c r="D247" s="92"/>
      <c r="F247" s="92"/>
      <c r="G247" s="92"/>
      <c r="H247" s="187"/>
      <c r="I247" s="92"/>
      <c r="J247" s="92"/>
      <c r="K247" s="187"/>
      <c r="L247" s="92"/>
      <c r="M247" s="187"/>
      <c r="N247" s="92"/>
      <c r="O247" s="187"/>
      <c r="P247" s="92"/>
      <c r="Q247" s="187"/>
      <c r="R247" s="92"/>
      <c r="S247" s="187"/>
      <c r="T247" s="92"/>
      <c r="U247" s="187"/>
    </row>
    <row r="248" ht="15.75" customHeight="1">
      <c r="A248" s="92"/>
      <c r="B248" s="190"/>
      <c r="C248" s="92"/>
      <c r="D248" s="92"/>
      <c r="F248" s="92"/>
      <c r="G248" s="92"/>
      <c r="H248" s="187"/>
      <c r="I248" s="92"/>
      <c r="J248" s="92"/>
      <c r="K248" s="187"/>
      <c r="L248" s="92"/>
      <c r="M248" s="187"/>
      <c r="N248" s="92"/>
      <c r="O248" s="187"/>
      <c r="P248" s="92"/>
      <c r="Q248" s="187"/>
      <c r="R248" s="92"/>
      <c r="S248" s="187"/>
      <c r="T248" s="92"/>
      <c r="U248" s="187"/>
    </row>
    <row r="249" ht="15.75" customHeight="1">
      <c r="A249" s="92"/>
      <c r="B249" s="190"/>
      <c r="C249" s="92"/>
      <c r="D249" s="92"/>
      <c r="F249" s="92"/>
      <c r="G249" s="92"/>
      <c r="H249" s="187"/>
      <c r="I249" s="92"/>
      <c r="J249" s="92"/>
      <c r="K249" s="187"/>
      <c r="L249" s="92"/>
      <c r="M249" s="187"/>
      <c r="N249" s="92"/>
      <c r="O249" s="187"/>
      <c r="P249" s="92"/>
      <c r="Q249" s="187"/>
      <c r="R249" s="92"/>
      <c r="S249" s="187"/>
      <c r="T249" s="92"/>
      <c r="U249" s="187"/>
    </row>
    <row r="250" ht="15.75" customHeight="1">
      <c r="A250" s="92"/>
      <c r="B250" s="190"/>
      <c r="C250" s="92"/>
      <c r="D250" s="92"/>
      <c r="F250" s="92"/>
      <c r="G250" s="92"/>
      <c r="H250" s="187"/>
      <c r="I250" s="92"/>
      <c r="J250" s="92"/>
      <c r="K250" s="187"/>
      <c r="L250" s="92"/>
      <c r="M250" s="187"/>
      <c r="N250" s="92"/>
      <c r="O250" s="187"/>
      <c r="P250" s="92"/>
      <c r="Q250" s="187"/>
      <c r="R250" s="92"/>
      <c r="S250" s="187"/>
      <c r="T250" s="92"/>
      <c r="U250" s="187"/>
    </row>
    <row r="251" ht="15.75" customHeight="1">
      <c r="A251" s="92"/>
      <c r="B251" s="190"/>
      <c r="C251" s="92"/>
      <c r="D251" s="92"/>
      <c r="F251" s="92"/>
      <c r="G251" s="92"/>
      <c r="H251" s="187"/>
      <c r="I251" s="92"/>
      <c r="J251" s="92"/>
      <c r="K251" s="187"/>
      <c r="L251" s="92"/>
      <c r="M251" s="187"/>
      <c r="N251" s="92"/>
      <c r="O251" s="187"/>
      <c r="P251" s="92"/>
      <c r="Q251" s="187"/>
      <c r="R251" s="92"/>
      <c r="S251" s="187"/>
      <c r="T251" s="92"/>
      <c r="U251" s="187"/>
    </row>
    <row r="252" ht="15.75" customHeight="1">
      <c r="A252" s="92"/>
      <c r="B252" s="190"/>
      <c r="C252" s="92"/>
      <c r="D252" s="92"/>
      <c r="F252" s="92"/>
      <c r="G252" s="92"/>
      <c r="H252" s="187"/>
      <c r="I252" s="92"/>
      <c r="J252" s="92"/>
      <c r="K252" s="187"/>
      <c r="L252" s="92"/>
      <c r="M252" s="187"/>
      <c r="N252" s="92"/>
      <c r="O252" s="187"/>
      <c r="P252" s="92"/>
      <c r="Q252" s="187"/>
      <c r="R252" s="92"/>
      <c r="S252" s="187"/>
      <c r="T252" s="92"/>
      <c r="U252" s="187"/>
    </row>
    <row r="253" ht="15.75" customHeight="1">
      <c r="A253" s="92"/>
      <c r="B253" s="190"/>
      <c r="C253" s="92"/>
      <c r="D253" s="92"/>
      <c r="F253" s="92"/>
      <c r="G253" s="92"/>
      <c r="H253" s="187"/>
      <c r="I253" s="92"/>
      <c r="J253" s="92"/>
      <c r="K253" s="187"/>
      <c r="L253" s="92"/>
      <c r="M253" s="187"/>
      <c r="N253" s="92"/>
      <c r="O253" s="187"/>
      <c r="P253" s="92"/>
      <c r="Q253" s="187"/>
      <c r="R253" s="92"/>
      <c r="S253" s="187"/>
      <c r="T253" s="92"/>
      <c r="U253" s="187"/>
    </row>
    <row r="254" ht="15.75" customHeight="1">
      <c r="A254" s="92"/>
      <c r="B254" s="190"/>
      <c r="C254" s="92"/>
      <c r="D254" s="92"/>
      <c r="F254" s="92"/>
      <c r="G254" s="92"/>
      <c r="H254" s="187"/>
      <c r="I254" s="92"/>
      <c r="J254" s="92"/>
      <c r="K254" s="187"/>
      <c r="L254" s="92"/>
      <c r="M254" s="187"/>
      <c r="N254" s="92"/>
      <c r="O254" s="187"/>
      <c r="P254" s="92"/>
      <c r="Q254" s="187"/>
      <c r="R254" s="92"/>
      <c r="S254" s="187"/>
      <c r="T254" s="92"/>
      <c r="U254" s="187"/>
    </row>
    <row r="255" ht="15.75" customHeight="1">
      <c r="A255" s="92"/>
      <c r="B255" s="190"/>
      <c r="C255" s="92"/>
      <c r="D255" s="92"/>
      <c r="F255" s="92"/>
      <c r="G255" s="92"/>
      <c r="H255" s="187"/>
      <c r="I255" s="92"/>
      <c r="J255" s="92"/>
      <c r="K255" s="187"/>
      <c r="L255" s="92"/>
      <c r="M255" s="187"/>
      <c r="N255" s="92"/>
      <c r="O255" s="187"/>
      <c r="P255" s="92"/>
      <c r="Q255" s="187"/>
      <c r="R255" s="92"/>
      <c r="S255" s="187"/>
      <c r="T255" s="92"/>
      <c r="U255" s="187"/>
    </row>
    <row r="256" ht="15.75" customHeight="1">
      <c r="A256" s="92"/>
      <c r="B256" s="190"/>
      <c r="C256" s="92"/>
      <c r="D256" s="92"/>
      <c r="F256" s="92"/>
      <c r="G256" s="92"/>
      <c r="H256" s="187"/>
      <c r="I256" s="92"/>
      <c r="J256" s="92"/>
      <c r="K256" s="187"/>
      <c r="L256" s="92"/>
      <c r="M256" s="187"/>
      <c r="N256" s="92"/>
      <c r="O256" s="187"/>
      <c r="P256" s="92"/>
      <c r="Q256" s="187"/>
      <c r="R256" s="92"/>
      <c r="S256" s="187"/>
      <c r="T256" s="92"/>
      <c r="U256" s="187"/>
    </row>
    <row r="257" ht="15.75" customHeight="1">
      <c r="A257" s="92"/>
      <c r="B257" s="190"/>
      <c r="C257" s="92"/>
      <c r="D257" s="92"/>
      <c r="F257" s="92"/>
      <c r="G257" s="92"/>
      <c r="H257" s="187"/>
      <c r="I257" s="92"/>
      <c r="J257" s="92"/>
      <c r="K257" s="187"/>
      <c r="L257" s="92"/>
      <c r="M257" s="187"/>
      <c r="N257" s="92"/>
      <c r="O257" s="187"/>
      <c r="P257" s="92"/>
      <c r="Q257" s="187"/>
      <c r="R257" s="92"/>
      <c r="S257" s="187"/>
      <c r="T257" s="92"/>
      <c r="U257" s="187"/>
    </row>
    <row r="258" ht="15.75" customHeight="1">
      <c r="A258" s="92"/>
      <c r="B258" s="190"/>
      <c r="C258" s="92"/>
      <c r="D258" s="92"/>
      <c r="F258" s="92"/>
      <c r="G258" s="92"/>
      <c r="H258" s="187"/>
      <c r="I258" s="92"/>
      <c r="J258" s="92"/>
      <c r="K258" s="187"/>
      <c r="L258" s="92"/>
      <c r="M258" s="187"/>
      <c r="N258" s="92"/>
      <c r="O258" s="187"/>
      <c r="P258" s="92"/>
      <c r="Q258" s="187"/>
      <c r="R258" s="92"/>
      <c r="S258" s="187"/>
      <c r="T258" s="92"/>
      <c r="U258" s="187"/>
    </row>
    <row r="259" ht="15.75" customHeight="1">
      <c r="A259" s="92"/>
      <c r="B259" s="190"/>
      <c r="C259" s="92"/>
      <c r="D259" s="92"/>
      <c r="F259" s="92"/>
      <c r="G259" s="92"/>
      <c r="H259" s="187"/>
      <c r="I259" s="92"/>
      <c r="J259" s="92"/>
      <c r="K259" s="187"/>
      <c r="L259" s="92"/>
      <c r="M259" s="187"/>
      <c r="N259" s="92"/>
      <c r="O259" s="187"/>
      <c r="P259" s="92"/>
      <c r="Q259" s="187"/>
      <c r="R259" s="92"/>
      <c r="S259" s="187"/>
      <c r="T259" s="92"/>
      <c r="U259" s="187"/>
    </row>
    <row r="260" ht="15.75" customHeight="1">
      <c r="A260" s="92"/>
      <c r="B260" s="190"/>
      <c r="C260" s="92"/>
      <c r="D260" s="92"/>
      <c r="F260" s="92"/>
      <c r="G260" s="92"/>
      <c r="H260" s="187"/>
      <c r="I260" s="92"/>
      <c r="J260" s="92"/>
      <c r="K260" s="187"/>
      <c r="L260" s="92"/>
      <c r="M260" s="187"/>
      <c r="N260" s="92"/>
      <c r="O260" s="187"/>
      <c r="P260" s="92"/>
      <c r="Q260" s="187"/>
      <c r="R260" s="92"/>
      <c r="S260" s="187"/>
      <c r="T260" s="92"/>
      <c r="U260" s="187"/>
    </row>
    <row r="261" ht="15.75" customHeight="1">
      <c r="A261" s="92"/>
      <c r="B261" s="190"/>
      <c r="C261" s="92"/>
      <c r="D261" s="92"/>
      <c r="F261" s="92"/>
      <c r="G261" s="92"/>
      <c r="H261" s="187"/>
      <c r="I261" s="92"/>
      <c r="J261" s="92"/>
      <c r="K261" s="187"/>
      <c r="L261" s="92"/>
      <c r="M261" s="187"/>
      <c r="N261" s="92"/>
      <c r="O261" s="187"/>
      <c r="P261" s="92"/>
      <c r="Q261" s="187"/>
      <c r="R261" s="92"/>
      <c r="S261" s="187"/>
      <c r="T261" s="92"/>
      <c r="U261" s="187"/>
    </row>
    <row r="262" ht="15.75" customHeight="1">
      <c r="A262" s="92"/>
      <c r="B262" s="190"/>
      <c r="C262" s="92"/>
      <c r="D262" s="92"/>
      <c r="F262" s="92"/>
      <c r="G262" s="92"/>
      <c r="H262" s="187"/>
      <c r="I262" s="92"/>
      <c r="J262" s="92"/>
      <c r="K262" s="187"/>
      <c r="L262" s="92"/>
      <c r="M262" s="187"/>
      <c r="N262" s="92"/>
      <c r="O262" s="187"/>
      <c r="P262" s="92"/>
      <c r="Q262" s="187"/>
      <c r="R262" s="92"/>
      <c r="S262" s="187"/>
      <c r="T262" s="92"/>
      <c r="U262" s="187"/>
    </row>
    <row r="263" ht="15.75" customHeight="1">
      <c r="A263" s="92"/>
      <c r="B263" s="190"/>
      <c r="C263" s="92"/>
      <c r="D263" s="92"/>
      <c r="F263" s="92"/>
      <c r="G263" s="92"/>
      <c r="H263" s="187"/>
      <c r="I263" s="92"/>
      <c r="J263" s="92"/>
      <c r="K263" s="187"/>
      <c r="L263" s="92"/>
      <c r="M263" s="187"/>
      <c r="N263" s="92"/>
      <c r="O263" s="187"/>
      <c r="P263" s="92"/>
      <c r="Q263" s="187"/>
      <c r="R263" s="92"/>
      <c r="S263" s="187"/>
      <c r="T263" s="92"/>
      <c r="U263" s="187"/>
    </row>
    <row r="264" ht="15.75" customHeight="1">
      <c r="A264" s="92"/>
      <c r="B264" s="190"/>
      <c r="C264" s="92"/>
      <c r="D264" s="92"/>
      <c r="F264" s="92"/>
      <c r="G264" s="92"/>
      <c r="H264" s="187"/>
      <c r="I264" s="92"/>
      <c r="J264" s="92"/>
      <c r="K264" s="187"/>
      <c r="L264" s="92"/>
      <c r="M264" s="187"/>
      <c r="N264" s="92"/>
      <c r="O264" s="187"/>
      <c r="P264" s="92"/>
      <c r="Q264" s="187"/>
      <c r="R264" s="92"/>
      <c r="S264" s="187"/>
      <c r="T264" s="92"/>
      <c r="U264" s="187"/>
    </row>
    <row r="265" ht="15.75" customHeight="1">
      <c r="A265" s="92"/>
      <c r="B265" s="190"/>
      <c r="C265" s="92"/>
      <c r="D265" s="92"/>
      <c r="F265" s="92"/>
      <c r="G265" s="92"/>
      <c r="H265" s="187"/>
      <c r="I265" s="92"/>
      <c r="J265" s="92"/>
      <c r="K265" s="187"/>
      <c r="L265" s="92"/>
      <c r="M265" s="187"/>
      <c r="N265" s="92"/>
      <c r="O265" s="187"/>
      <c r="P265" s="92"/>
      <c r="Q265" s="187"/>
      <c r="R265" s="92"/>
      <c r="S265" s="187"/>
      <c r="T265" s="92"/>
      <c r="U265" s="187"/>
    </row>
    <row r="266" ht="15.75" customHeight="1">
      <c r="A266" s="92"/>
      <c r="B266" s="190"/>
      <c r="C266" s="92"/>
      <c r="D266" s="92"/>
      <c r="F266" s="92"/>
      <c r="G266" s="92"/>
      <c r="H266" s="187"/>
      <c r="I266" s="92"/>
      <c r="J266" s="92"/>
      <c r="K266" s="187"/>
      <c r="L266" s="92"/>
      <c r="M266" s="187"/>
      <c r="N266" s="92"/>
      <c r="O266" s="187"/>
      <c r="P266" s="92"/>
      <c r="Q266" s="187"/>
      <c r="R266" s="92"/>
      <c r="S266" s="187"/>
      <c r="T266" s="92"/>
      <c r="U266" s="187"/>
    </row>
    <row r="267" ht="15.75" customHeight="1">
      <c r="A267" s="92"/>
      <c r="B267" s="190"/>
      <c r="C267" s="92"/>
      <c r="D267" s="92"/>
      <c r="F267" s="92"/>
      <c r="G267" s="92"/>
      <c r="H267" s="187"/>
      <c r="I267" s="92"/>
      <c r="J267" s="92"/>
      <c r="K267" s="187"/>
      <c r="L267" s="92"/>
      <c r="M267" s="187"/>
      <c r="N267" s="92"/>
      <c r="O267" s="187"/>
      <c r="P267" s="92"/>
      <c r="Q267" s="187"/>
      <c r="R267" s="92"/>
      <c r="S267" s="187"/>
      <c r="T267" s="92"/>
      <c r="U267" s="187"/>
    </row>
    <row r="268" ht="15.75" customHeight="1">
      <c r="A268" s="92"/>
      <c r="B268" s="190"/>
      <c r="C268" s="92"/>
      <c r="D268" s="92"/>
      <c r="F268" s="92"/>
      <c r="G268" s="92"/>
      <c r="H268" s="187"/>
      <c r="I268" s="92"/>
      <c r="J268" s="92"/>
      <c r="K268" s="187"/>
      <c r="L268" s="92"/>
      <c r="M268" s="187"/>
      <c r="N268" s="92"/>
      <c r="O268" s="187"/>
      <c r="P268" s="92"/>
      <c r="Q268" s="187"/>
      <c r="R268" s="92"/>
      <c r="S268" s="187"/>
      <c r="T268" s="92"/>
      <c r="U268" s="187"/>
    </row>
    <row r="269" ht="15.75" customHeight="1">
      <c r="A269" s="92"/>
      <c r="B269" s="190"/>
      <c r="C269" s="92"/>
      <c r="D269" s="92"/>
      <c r="F269" s="92"/>
      <c r="G269" s="92"/>
      <c r="H269" s="187"/>
      <c r="I269" s="92"/>
      <c r="J269" s="92"/>
      <c r="K269" s="187"/>
      <c r="L269" s="92"/>
      <c r="M269" s="187"/>
      <c r="N269" s="92"/>
      <c r="O269" s="187"/>
      <c r="P269" s="92"/>
      <c r="Q269" s="187"/>
      <c r="R269" s="92"/>
      <c r="S269" s="187"/>
      <c r="T269" s="92"/>
      <c r="U269" s="187"/>
    </row>
    <row r="270" ht="15.75" customHeight="1">
      <c r="A270" s="92"/>
      <c r="B270" s="190"/>
      <c r="C270" s="92"/>
      <c r="D270" s="92"/>
      <c r="F270" s="92"/>
      <c r="G270" s="92"/>
      <c r="H270" s="187"/>
      <c r="I270" s="92"/>
      <c r="J270" s="92"/>
      <c r="K270" s="187"/>
      <c r="L270" s="92"/>
      <c r="M270" s="187"/>
      <c r="N270" s="92"/>
      <c r="O270" s="187"/>
      <c r="P270" s="92"/>
      <c r="Q270" s="187"/>
      <c r="R270" s="92"/>
      <c r="S270" s="187"/>
      <c r="T270" s="92"/>
      <c r="U270" s="187"/>
    </row>
    <row r="271" ht="15.75" customHeight="1">
      <c r="A271" s="92"/>
      <c r="B271" s="190"/>
      <c r="C271" s="92"/>
      <c r="D271" s="92"/>
      <c r="F271" s="92"/>
      <c r="G271" s="92"/>
      <c r="H271" s="187"/>
      <c r="I271" s="92"/>
      <c r="J271" s="92"/>
      <c r="K271" s="187"/>
      <c r="L271" s="92"/>
      <c r="M271" s="187"/>
      <c r="N271" s="92"/>
      <c r="O271" s="187"/>
      <c r="P271" s="92"/>
      <c r="Q271" s="187"/>
      <c r="R271" s="92"/>
      <c r="S271" s="187"/>
      <c r="T271" s="92"/>
      <c r="U271" s="187"/>
    </row>
    <row r="272" ht="15.75" customHeight="1">
      <c r="A272" s="92"/>
      <c r="B272" s="190"/>
      <c r="C272" s="92"/>
      <c r="D272" s="92"/>
      <c r="F272" s="92"/>
      <c r="G272" s="92"/>
      <c r="H272" s="187"/>
      <c r="I272" s="92"/>
      <c r="J272" s="92"/>
      <c r="K272" s="187"/>
      <c r="L272" s="92"/>
      <c r="M272" s="187"/>
      <c r="N272" s="92"/>
      <c r="O272" s="187"/>
      <c r="P272" s="92"/>
      <c r="Q272" s="187"/>
      <c r="R272" s="92"/>
      <c r="S272" s="187"/>
      <c r="T272" s="92"/>
      <c r="U272" s="187"/>
    </row>
    <row r="273" ht="15.75" customHeight="1">
      <c r="A273" s="92"/>
      <c r="B273" s="190"/>
      <c r="C273" s="92"/>
      <c r="D273" s="92"/>
      <c r="F273" s="92"/>
      <c r="G273" s="92"/>
      <c r="H273" s="187"/>
      <c r="I273" s="92"/>
      <c r="J273" s="92"/>
      <c r="K273" s="187"/>
      <c r="L273" s="92"/>
      <c r="M273" s="187"/>
      <c r="N273" s="92"/>
      <c r="O273" s="187"/>
      <c r="P273" s="92"/>
      <c r="Q273" s="187"/>
      <c r="R273" s="92"/>
      <c r="S273" s="187"/>
      <c r="T273" s="92"/>
      <c r="U273" s="187"/>
    </row>
    <row r="274" ht="15.75" customHeight="1">
      <c r="A274" s="92"/>
      <c r="B274" s="190"/>
      <c r="C274" s="92"/>
      <c r="D274" s="92"/>
      <c r="F274" s="92"/>
      <c r="G274" s="92"/>
      <c r="H274" s="187"/>
      <c r="I274" s="92"/>
      <c r="J274" s="92"/>
      <c r="K274" s="187"/>
      <c r="L274" s="92"/>
      <c r="M274" s="187"/>
      <c r="N274" s="92"/>
      <c r="O274" s="187"/>
      <c r="P274" s="92"/>
      <c r="Q274" s="187"/>
      <c r="R274" s="92"/>
      <c r="S274" s="187"/>
      <c r="T274" s="92"/>
      <c r="U274" s="187"/>
    </row>
    <row r="275" ht="15.75" customHeight="1">
      <c r="A275" s="92"/>
      <c r="B275" s="190"/>
      <c r="C275" s="92"/>
      <c r="D275" s="92"/>
      <c r="F275" s="92"/>
      <c r="G275" s="92"/>
      <c r="H275" s="187"/>
      <c r="I275" s="92"/>
      <c r="J275" s="92"/>
      <c r="K275" s="187"/>
      <c r="L275" s="92"/>
      <c r="M275" s="187"/>
      <c r="N275" s="92"/>
      <c r="O275" s="187"/>
      <c r="P275" s="92"/>
      <c r="Q275" s="187"/>
      <c r="R275" s="92"/>
      <c r="S275" s="187"/>
      <c r="T275" s="92"/>
      <c r="U275" s="187"/>
    </row>
    <row r="276" ht="15.75" customHeight="1">
      <c r="A276" s="92"/>
      <c r="B276" s="190"/>
      <c r="C276" s="92"/>
      <c r="D276" s="92"/>
      <c r="F276" s="92"/>
      <c r="G276" s="92"/>
      <c r="H276" s="187"/>
      <c r="I276" s="92"/>
      <c r="J276" s="92"/>
      <c r="K276" s="187"/>
      <c r="L276" s="92"/>
      <c r="M276" s="187"/>
      <c r="N276" s="92"/>
      <c r="O276" s="187"/>
      <c r="P276" s="92"/>
      <c r="Q276" s="187"/>
      <c r="R276" s="92"/>
      <c r="S276" s="187"/>
      <c r="T276" s="92"/>
      <c r="U276" s="187"/>
    </row>
    <row r="277" ht="15.75" customHeight="1">
      <c r="A277" s="92"/>
      <c r="B277" s="190"/>
      <c r="C277" s="92"/>
      <c r="D277" s="92"/>
      <c r="F277" s="92"/>
      <c r="G277" s="92"/>
      <c r="H277" s="187"/>
      <c r="I277" s="92"/>
      <c r="J277" s="92"/>
      <c r="K277" s="187"/>
      <c r="L277" s="92"/>
      <c r="M277" s="187"/>
      <c r="N277" s="92"/>
      <c r="O277" s="187"/>
      <c r="P277" s="92"/>
      <c r="Q277" s="187"/>
      <c r="R277" s="92"/>
      <c r="S277" s="187"/>
      <c r="T277" s="92"/>
      <c r="U277" s="187"/>
    </row>
    <row r="278" ht="15.75" customHeight="1">
      <c r="A278" s="92"/>
      <c r="B278" s="190"/>
      <c r="C278" s="92"/>
      <c r="D278" s="92"/>
      <c r="F278" s="92"/>
      <c r="G278" s="92"/>
      <c r="H278" s="187"/>
      <c r="I278" s="92"/>
      <c r="J278" s="92"/>
      <c r="K278" s="187"/>
      <c r="L278" s="92"/>
      <c r="M278" s="187"/>
      <c r="N278" s="92"/>
      <c r="O278" s="187"/>
      <c r="P278" s="92"/>
      <c r="Q278" s="187"/>
      <c r="R278" s="92"/>
      <c r="S278" s="187"/>
      <c r="T278" s="92"/>
      <c r="U278" s="187"/>
    </row>
    <row r="279" ht="15.75" customHeight="1">
      <c r="A279" s="92"/>
      <c r="B279" s="190"/>
      <c r="C279" s="92"/>
      <c r="D279" s="92"/>
      <c r="F279" s="92"/>
      <c r="G279" s="92"/>
      <c r="H279" s="187"/>
      <c r="I279" s="92"/>
      <c r="J279" s="92"/>
      <c r="K279" s="187"/>
      <c r="L279" s="92"/>
      <c r="M279" s="187"/>
      <c r="N279" s="92"/>
      <c r="O279" s="187"/>
      <c r="P279" s="92"/>
      <c r="Q279" s="187"/>
      <c r="R279" s="92"/>
      <c r="S279" s="187"/>
      <c r="T279" s="92"/>
      <c r="U279" s="187"/>
    </row>
    <row r="280" ht="15.75" customHeight="1">
      <c r="A280" s="92"/>
      <c r="B280" s="190"/>
      <c r="C280" s="92"/>
      <c r="D280" s="92"/>
      <c r="F280" s="92"/>
      <c r="G280" s="92"/>
      <c r="H280" s="187"/>
      <c r="I280" s="92"/>
      <c r="J280" s="92"/>
      <c r="K280" s="187"/>
      <c r="L280" s="92"/>
      <c r="M280" s="187"/>
      <c r="N280" s="92"/>
      <c r="O280" s="187"/>
      <c r="P280" s="92"/>
      <c r="Q280" s="187"/>
      <c r="R280" s="92"/>
      <c r="S280" s="187"/>
      <c r="T280" s="92"/>
      <c r="U280" s="187"/>
    </row>
    <row r="281" ht="15.75" customHeight="1">
      <c r="A281" s="92"/>
      <c r="B281" s="190"/>
      <c r="C281" s="92"/>
      <c r="D281" s="92"/>
      <c r="F281" s="92"/>
      <c r="G281" s="92"/>
      <c r="H281" s="187"/>
      <c r="I281" s="92"/>
      <c r="J281" s="92"/>
      <c r="K281" s="187"/>
      <c r="L281" s="92"/>
      <c r="M281" s="187"/>
      <c r="N281" s="92"/>
      <c r="O281" s="187"/>
      <c r="P281" s="92"/>
      <c r="Q281" s="187"/>
      <c r="R281" s="92"/>
      <c r="S281" s="187"/>
      <c r="T281" s="92"/>
      <c r="U281" s="187"/>
    </row>
    <row r="282" ht="15.75" customHeight="1">
      <c r="A282" s="92"/>
      <c r="B282" s="190"/>
      <c r="C282" s="92"/>
      <c r="D282" s="92"/>
      <c r="F282" s="92"/>
      <c r="G282" s="92"/>
      <c r="H282" s="187"/>
      <c r="I282" s="92"/>
      <c r="J282" s="92"/>
      <c r="K282" s="187"/>
      <c r="L282" s="92"/>
      <c r="M282" s="187"/>
      <c r="N282" s="92"/>
      <c r="O282" s="187"/>
      <c r="P282" s="92"/>
      <c r="Q282" s="187"/>
      <c r="R282" s="92"/>
      <c r="S282" s="187"/>
      <c r="T282" s="92"/>
      <c r="U282" s="187"/>
    </row>
    <row r="283" ht="15.75" customHeight="1">
      <c r="A283" s="92"/>
      <c r="B283" s="190"/>
      <c r="C283" s="92"/>
      <c r="D283" s="92"/>
      <c r="F283" s="92"/>
      <c r="G283" s="92"/>
      <c r="H283" s="187"/>
      <c r="I283" s="92"/>
      <c r="J283" s="92"/>
      <c r="K283" s="187"/>
      <c r="L283" s="92"/>
      <c r="M283" s="187"/>
      <c r="N283" s="92"/>
      <c r="O283" s="187"/>
      <c r="P283" s="92"/>
      <c r="Q283" s="187"/>
      <c r="R283" s="92"/>
      <c r="S283" s="187"/>
      <c r="T283" s="92"/>
      <c r="U283" s="187"/>
    </row>
    <row r="284" ht="15.75" customHeight="1">
      <c r="A284" s="92"/>
      <c r="B284" s="190"/>
      <c r="C284" s="92"/>
      <c r="D284" s="92"/>
      <c r="F284" s="92"/>
      <c r="G284" s="92"/>
      <c r="H284" s="187"/>
      <c r="I284" s="92"/>
      <c r="J284" s="92"/>
      <c r="K284" s="187"/>
      <c r="L284" s="92"/>
      <c r="M284" s="187"/>
      <c r="N284" s="92"/>
      <c r="O284" s="187"/>
      <c r="P284" s="92"/>
      <c r="Q284" s="187"/>
      <c r="R284" s="92"/>
      <c r="S284" s="187"/>
      <c r="T284" s="92"/>
      <c r="U284" s="187"/>
    </row>
    <row r="285" ht="15.75" customHeight="1">
      <c r="A285" s="92"/>
      <c r="B285" s="190"/>
      <c r="C285" s="92"/>
      <c r="D285" s="92"/>
      <c r="F285" s="92"/>
      <c r="G285" s="92"/>
      <c r="H285" s="187"/>
      <c r="I285" s="92"/>
      <c r="J285" s="92"/>
      <c r="K285" s="187"/>
      <c r="L285" s="92"/>
      <c r="M285" s="187"/>
      <c r="N285" s="92"/>
      <c r="O285" s="187"/>
      <c r="P285" s="92"/>
      <c r="Q285" s="187"/>
      <c r="R285" s="92"/>
      <c r="S285" s="187"/>
      <c r="T285" s="92"/>
      <c r="U285" s="187"/>
    </row>
    <row r="286" ht="15.75" customHeight="1">
      <c r="A286" s="92"/>
      <c r="B286" s="190"/>
      <c r="C286" s="92"/>
      <c r="D286" s="92"/>
      <c r="F286" s="92"/>
      <c r="G286" s="92"/>
      <c r="H286" s="187"/>
      <c r="I286" s="92"/>
      <c r="J286" s="92"/>
      <c r="K286" s="187"/>
      <c r="L286" s="92"/>
      <c r="M286" s="187"/>
      <c r="N286" s="92"/>
      <c r="O286" s="187"/>
      <c r="P286" s="92"/>
      <c r="Q286" s="187"/>
      <c r="R286" s="92"/>
      <c r="S286" s="187"/>
      <c r="T286" s="92"/>
      <c r="U286" s="187"/>
    </row>
    <row r="287" ht="15.75" customHeight="1">
      <c r="A287" s="92"/>
      <c r="B287" s="190"/>
      <c r="C287" s="92"/>
      <c r="D287" s="92"/>
      <c r="F287" s="92"/>
      <c r="G287" s="92"/>
      <c r="H287" s="187"/>
      <c r="I287" s="92"/>
      <c r="J287" s="92"/>
      <c r="K287" s="187"/>
      <c r="L287" s="92"/>
      <c r="M287" s="187"/>
      <c r="N287" s="92"/>
      <c r="O287" s="187"/>
      <c r="P287" s="92"/>
      <c r="Q287" s="187"/>
      <c r="R287" s="92"/>
      <c r="S287" s="187"/>
      <c r="T287" s="92"/>
      <c r="U287" s="187"/>
    </row>
    <row r="288" ht="15.75" customHeight="1">
      <c r="A288" s="92"/>
      <c r="B288" s="190"/>
      <c r="C288" s="92"/>
      <c r="D288" s="92"/>
      <c r="F288" s="92"/>
      <c r="G288" s="92"/>
      <c r="H288" s="187"/>
      <c r="I288" s="92"/>
      <c r="J288" s="92"/>
      <c r="K288" s="187"/>
      <c r="L288" s="92"/>
      <c r="M288" s="187"/>
      <c r="N288" s="92"/>
      <c r="O288" s="187"/>
      <c r="P288" s="92"/>
      <c r="Q288" s="187"/>
      <c r="R288" s="92"/>
      <c r="S288" s="187"/>
      <c r="T288" s="92"/>
      <c r="U288" s="187"/>
    </row>
    <row r="289" ht="15.75" customHeight="1">
      <c r="A289" s="92"/>
      <c r="B289" s="190"/>
      <c r="C289" s="92"/>
      <c r="D289" s="92"/>
      <c r="F289" s="92"/>
      <c r="G289" s="92"/>
      <c r="H289" s="187"/>
      <c r="I289" s="92"/>
      <c r="J289" s="92"/>
      <c r="K289" s="187"/>
      <c r="L289" s="92"/>
      <c r="M289" s="187"/>
      <c r="N289" s="92"/>
      <c r="O289" s="187"/>
      <c r="P289" s="92"/>
      <c r="Q289" s="187"/>
      <c r="R289" s="92"/>
      <c r="S289" s="187"/>
      <c r="T289" s="92"/>
      <c r="U289" s="187"/>
    </row>
    <row r="290" ht="15.75" customHeight="1">
      <c r="A290" s="92"/>
      <c r="B290" s="190"/>
      <c r="C290" s="92"/>
      <c r="D290" s="92"/>
      <c r="F290" s="92"/>
      <c r="G290" s="92"/>
      <c r="H290" s="187"/>
      <c r="I290" s="92"/>
      <c r="J290" s="92"/>
      <c r="K290" s="187"/>
      <c r="L290" s="92"/>
      <c r="M290" s="187"/>
      <c r="N290" s="92"/>
      <c r="O290" s="187"/>
      <c r="P290" s="92"/>
      <c r="Q290" s="187"/>
      <c r="R290" s="92"/>
      <c r="S290" s="187"/>
      <c r="T290" s="92"/>
      <c r="U290" s="187"/>
    </row>
    <row r="291" ht="15.75" customHeight="1">
      <c r="A291" s="92"/>
      <c r="B291" s="190"/>
      <c r="C291" s="92"/>
      <c r="D291" s="92"/>
      <c r="F291" s="92"/>
      <c r="G291" s="92"/>
      <c r="H291" s="187"/>
      <c r="I291" s="92"/>
      <c r="J291" s="92"/>
      <c r="K291" s="187"/>
      <c r="L291" s="92"/>
      <c r="M291" s="187"/>
      <c r="N291" s="92"/>
      <c r="O291" s="187"/>
      <c r="P291" s="92"/>
      <c r="Q291" s="187"/>
      <c r="R291" s="92"/>
      <c r="S291" s="187"/>
      <c r="T291" s="92"/>
      <c r="U291" s="187"/>
    </row>
    <row r="292" ht="15.75" customHeight="1">
      <c r="A292" s="92"/>
      <c r="B292" s="190"/>
      <c r="C292" s="92"/>
      <c r="D292" s="92"/>
      <c r="F292" s="92"/>
      <c r="G292" s="92"/>
      <c r="H292" s="187"/>
      <c r="I292" s="92"/>
      <c r="J292" s="92"/>
      <c r="K292" s="187"/>
      <c r="L292" s="92"/>
      <c r="M292" s="187"/>
      <c r="N292" s="92"/>
      <c r="O292" s="187"/>
      <c r="P292" s="92"/>
      <c r="Q292" s="187"/>
      <c r="R292" s="92"/>
      <c r="S292" s="187"/>
      <c r="T292" s="92"/>
      <c r="U292" s="187"/>
    </row>
    <row r="293" ht="15.75" customHeight="1">
      <c r="A293" s="92"/>
      <c r="B293" s="190"/>
      <c r="C293" s="92"/>
      <c r="D293" s="92"/>
      <c r="F293" s="92"/>
      <c r="G293" s="92"/>
      <c r="H293" s="187"/>
      <c r="I293" s="92"/>
      <c r="J293" s="92"/>
      <c r="K293" s="187"/>
      <c r="L293" s="92"/>
      <c r="M293" s="187"/>
      <c r="N293" s="92"/>
      <c r="O293" s="187"/>
      <c r="P293" s="92"/>
      <c r="Q293" s="187"/>
      <c r="R293" s="92"/>
      <c r="S293" s="187"/>
      <c r="T293" s="92"/>
      <c r="U293" s="187"/>
    </row>
    <row r="294" ht="15.75" customHeight="1">
      <c r="A294" s="92"/>
      <c r="B294" s="190"/>
      <c r="C294" s="92"/>
      <c r="D294" s="92"/>
      <c r="F294" s="92"/>
      <c r="G294" s="92"/>
      <c r="H294" s="187"/>
      <c r="I294" s="92"/>
      <c r="J294" s="92"/>
      <c r="K294" s="187"/>
      <c r="L294" s="92"/>
      <c r="M294" s="187"/>
      <c r="N294" s="92"/>
      <c r="O294" s="187"/>
      <c r="P294" s="92"/>
      <c r="Q294" s="187"/>
      <c r="R294" s="92"/>
      <c r="S294" s="187"/>
      <c r="T294" s="92"/>
      <c r="U294" s="187"/>
    </row>
    <row r="295" ht="15.75" customHeight="1">
      <c r="A295" s="92"/>
      <c r="B295" s="190"/>
      <c r="C295" s="92"/>
      <c r="D295" s="92"/>
      <c r="F295" s="92"/>
      <c r="G295" s="92"/>
      <c r="H295" s="187"/>
      <c r="I295" s="92"/>
      <c r="J295" s="92"/>
      <c r="K295" s="187"/>
      <c r="L295" s="92"/>
      <c r="M295" s="187"/>
      <c r="N295" s="92"/>
      <c r="O295" s="187"/>
      <c r="P295" s="92"/>
      <c r="Q295" s="187"/>
      <c r="R295" s="92"/>
      <c r="S295" s="187"/>
      <c r="T295" s="92"/>
      <c r="U295" s="187"/>
    </row>
    <row r="296" ht="15.75" customHeight="1">
      <c r="A296" s="92"/>
      <c r="B296" s="190"/>
      <c r="C296" s="92"/>
      <c r="D296" s="92"/>
      <c r="F296" s="92"/>
      <c r="G296" s="92"/>
      <c r="H296" s="187"/>
      <c r="I296" s="92"/>
      <c r="J296" s="92"/>
      <c r="K296" s="187"/>
      <c r="L296" s="92"/>
      <c r="M296" s="187"/>
      <c r="N296" s="92"/>
      <c r="O296" s="187"/>
      <c r="P296" s="92"/>
      <c r="Q296" s="187"/>
      <c r="R296" s="92"/>
      <c r="S296" s="187"/>
      <c r="T296" s="92"/>
      <c r="U296" s="187"/>
    </row>
    <row r="297" ht="15.75" customHeight="1">
      <c r="A297" s="92"/>
      <c r="B297" s="190"/>
      <c r="C297" s="92"/>
      <c r="D297" s="92"/>
      <c r="F297" s="92"/>
      <c r="G297" s="92"/>
      <c r="H297" s="187"/>
      <c r="I297" s="92"/>
      <c r="J297" s="92"/>
      <c r="K297" s="187"/>
      <c r="L297" s="92"/>
      <c r="M297" s="187"/>
      <c r="N297" s="92"/>
      <c r="O297" s="187"/>
      <c r="P297" s="92"/>
      <c r="Q297" s="187"/>
      <c r="R297" s="92"/>
      <c r="S297" s="187"/>
      <c r="T297" s="92"/>
      <c r="U297" s="187"/>
    </row>
    <row r="298" ht="15.75" customHeight="1">
      <c r="A298" s="92"/>
      <c r="B298" s="190"/>
      <c r="C298" s="92"/>
      <c r="D298" s="92"/>
      <c r="F298" s="92"/>
      <c r="G298" s="92"/>
      <c r="H298" s="187"/>
      <c r="I298" s="92"/>
      <c r="J298" s="92"/>
      <c r="K298" s="187"/>
      <c r="L298" s="92"/>
      <c r="M298" s="187"/>
      <c r="N298" s="92"/>
      <c r="O298" s="187"/>
      <c r="P298" s="92"/>
      <c r="Q298" s="187"/>
      <c r="R298" s="92"/>
      <c r="S298" s="187"/>
      <c r="T298" s="92"/>
      <c r="U298" s="187"/>
    </row>
    <row r="299" ht="15.75" customHeight="1">
      <c r="A299" s="92"/>
      <c r="B299" s="190"/>
      <c r="C299" s="92"/>
      <c r="D299" s="92"/>
      <c r="F299" s="92"/>
      <c r="G299" s="92"/>
      <c r="H299" s="187"/>
      <c r="I299" s="92"/>
      <c r="J299" s="92"/>
      <c r="K299" s="187"/>
      <c r="L299" s="92"/>
      <c r="M299" s="187"/>
      <c r="N299" s="92"/>
      <c r="O299" s="187"/>
      <c r="P299" s="92"/>
      <c r="Q299" s="187"/>
      <c r="R299" s="92"/>
      <c r="S299" s="187"/>
      <c r="T299" s="92"/>
      <c r="U299" s="187"/>
    </row>
    <row r="300" ht="15.75" customHeight="1">
      <c r="A300" s="92"/>
      <c r="B300" s="190"/>
      <c r="C300" s="92"/>
      <c r="D300" s="92"/>
      <c r="F300" s="92"/>
      <c r="G300" s="92"/>
      <c r="H300" s="187"/>
      <c r="I300" s="92"/>
      <c r="J300" s="92"/>
      <c r="K300" s="187"/>
      <c r="L300" s="92"/>
      <c r="M300" s="187"/>
      <c r="N300" s="92"/>
      <c r="O300" s="187"/>
      <c r="P300" s="92"/>
      <c r="Q300" s="187"/>
      <c r="R300" s="92"/>
      <c r="S300" s="187"/>
      <c r="T300" s="92"/>
      <c r="U300" s="187"/>
    </row>
    <row r="301" ht="15.75" customHeight="1">
      <c r="A301" s="92"/>
      <c r="B301" s="190"/>
      <c r="C301" s="92"/>
      <c r="D301" s="92"/>
      <c r="F301" s="92"/>
      <c r="G301" s="92"/>
      <c r="H301" s="187"/>
      <c r="I301" s="92"/>
      <c r="J301" s="92"/>
      <c r="K301" s="187"/>
      <c r="L301" s="92"/>
      <c r="M301" s="187"/>
      <c r="N301" s="92"/>
      <c r="O301" s="187"/>
      <c r="P301" s="92"/>
      <c r="Q301" s="187"/>
      <c r="R301" s="92"/>
      <c r="S301" s="187"/>
      <c r="T301" s="92"/>
      <c r="U301" s="187"/>
    </row>
    <row r="302" ht="15.75" customHeight="1">
      <c r="A302" s="92"/>
      <c r="B302" s="190"/>
      <c r="C302" s="92"/>
      <c r="D302" s="92"/>
      <c r="F302" s="92"/>
      <c r="G302" s="92"/>
      <c r="H302" s="187"/>
      <c r="I302" s="92"/>
      <c r="J302" s="92"/>
      <c r="K302" s="187"/>
      <c r="L302" s="92"/>
      <c r="M302" s="187"/>
      <c r="N302" s="92"/>
      <c r="O302" s="187"/>
      <c r="P302" s="92"/>
      <c r="Q302" s="187"/>
      <c r="R302" s="92"/>
      <c r="S302" s="187"/>
      <c r="T302" s="92"/>
      <c r="U302" s="187"/>
    </row>
    <row r="303" ht="15.75" customHeight="1">
      <c r="A303" s="92"/>
      <c r="B303" s="190"/>
      <c r="C303" s="92"/>
      <c r="D303" s="92"/>
      <c r="F303" s="92"/>
      <c r="G303" s="92"/>
      <c r="H303" s="187"/>
      <c r="I303" s="92"/>
      <c r="J303" s="92"/>
      <c r="K303" s="187"/>
      <c r="L303" s="92"/>
      <c r="M303" s="187"/>
      <c r="N303" s="92"/>
      <c r="O303" s="187"/>
      <c r="P303" s="92"/>
      <c r="Q303" s="187"/>
      <c r="R303" s="92"/>
      <c r="S303" s="187"/>
      <c r="T303" s="92"/>
      <c r="U303" s="187"/>
    </row>
    <row r="304" ht="15.75" customHeight="1">
      <c r="A304" s="92"/>
      <c r="B304" s="190"/>
      <c r="C304" s="92"/>
      <c r="D304" s="92"/>
      <c r="F304" s="92"/>
      <c r="G304" s="92"/>
      <c r="H304" s="187"/>
      <c r="I304" s="92"/>
      <c r="J304" s="92"/>
      <c r="K304" s="187"/>
      <c r="L304" s="92"/>
      <c r="M304" s="187"/>
      <c r="N304" s="92"/>
      <c r="O304" s="187"/>
      <c r="P304" s="92"/>
      <c r="Q304" s="187"/>
      <c r="R304" s="92"/>
      <c r="S304" s="187"/>
      <c r="T304" s="92"/>
      <c r="U304" s="187"/>
    </row>
    <row r="305" ht="15.75" customHeight="1">
      <c r="A305" s="92"/>
      <c r="B305" s="190"/>
      <c r="C305" s="92"/>
      <c r="D305" s="92"/>
      <c r="F305" s="92"/>
      <c r="G305" s="92"/>
      <c r="H305" s="187"/>
      <c r="I305" s="92"/>
      <c r="J305" s="92"/>
      <c r="K305" s="187"/>
      <c r="L305" s="92"/>
      <c r="M305" s="187"/>
      <c r="N305" s="92"/>
      <c r="O305" s="187"/>
      <c r="P305" s="92"/>
      <c r="Q305" s="187"/>
      <c r="R305" s="92"/>
      <c r="S305" s="187"/>
      <c r="T305" s="92"/>
      <c r="U305" s="187"/>
    </row>
    <row r="306" ht="15.75" customHeight="1">
      <c r="A306" s="92"/>
      <c r="B306" s="190"/>
      <c r="C306" s="92"/>
      <c r="D306" s="92"/>
      <c r="F306" s="92"/>
      <c r="G306" s="92"/>
      <c r="H306" s="187"/>
      <c r="I306" s="92"/>
      <c r="J306" s="92"/>
      <c r="K306" s="187"/>
      <c r="L306" s="92"/>
      <c r="M306" s="187"/>
      <c r="N306" s="92"/>
      <c r="O306" s="187"/>
      <c r="P306" s="92"/>
      <c r="Q306" s="187"/>
      <c r="R306" s="92"/>
      <c r="S306" s="187"/>
      <c r="T306" s="92"/>
      <c r="U306" s="187"/>
    </row>
    <row r="307" ht="15.75" customHeight="1">
      <c r="A307" s="92"/>
      <c r="B307" s="190"/>
      <c r="C307" s="92"/>
      <c r="D307" s="92"/>
      <c r="F307" s="92"/>
      <c r="G307" s="92"/>
      <c r="H307" s="187"/>
      <c r="I307" s="92"/>
      <c r="J307" s="92"/>
      <c r="K307" s="187"/>
      <c r="L307" s="92"/>
      <c r="M307" s="187"/>
      <c r="N307" s="92"/>
      <c r="O307" s="187"/>
      <c r="P307" s="92"/>
      <c r="Q307" s="187"/>
      <c r="R307" s="92"/>
      <c r="S307" s="187"/>
      <c r="T307" s="92"/>
      <c r="U307" s="187"/>
    </row>
    <row r="308" ht="15.75" customHeight="1">
      <c r="A308" s="92"/>
      <c r="B308" s="190"/>
      <c r="C308" s="92"/>
      <c r="D308" s="92"/>
      <c r="F308" s="92"/>
      <c r="G308" s="92"/>
      <c r="H308" s="187"/>
      <c r="I308" s="92"/>
      <c r="J308" s="92"/>
      <c r="K308" s="187"/>
      <c r="L308" s="92"/>
      <c r="M308" s="187"/>
      <c r="N308" s="92"/>
      <c r="O308" s="187"/>
      <c r="P308" s="92"/>
      <c r="Q308" s="187"/>
      <c r="R308" s="92"/>
      <c r="S308" s="187"/>
      <c r="T308" s="92"/>
      <c r="U308" s="187"/>
    </row>
    <row r="309" ht="15.75" customHeight="1">
      <c r="A309" s="92"/>
      <c r="B309" s="190"/>
      <c r="C309" s="92"/>
      <c r="D309" s="92"/>
      <c r="F309" s="92"/>
      <c r="G309" s="92"/>
      <c r="H309" s="187"/>
      <c r="I309" s="92"/>
      <c r="J309" s="92"/>
      <c r="K309" s="187"/>
      <c r="L309" s="92"/>
      <c r="M309" s="187"/>
      <c r="N309" s="92"/>
      <c r="O309" s="187"/>
      <c r="P309" s="92"/>
      <c r="Q309" s="187"/>
      <c r="R309" s="92"/>
      <c r="S309" s="187"/>
      <c r="T309" s="92"/>
      <c r="U309" s="187"/>
    </row>
    <row r="310" ht="15.75" customHeight="1">
      <c r="A310" s="92"/>
      <c r="B310" s="190"/>
      <c r="C310" s="92"/>
      <c r="D310" s="92"/>
      <c r="F310" s="92"/>
      <c r="G310" s="92"/>
      <c r="H310" s="187"/>
      <c r="I310" s="92"/>
      <c r="J310" s="92"/>
      <c r="K310" s="187"/>
      <c r="L310" s="92"/>
      <c r="M310" s="187"/>
      <c r="N310" s="92"/>
      <c r="O310" s="187"/>
      <c r="P310" s="92"/>
      <c r="Q310" s="187"/>
      <c r="R310" s="92"/>
      <c r="S310" s="187"/>
      <c r="T310" s="92"/>
      <c r="U310" s="187"/>
    </row>
    <row r="311" ht="15.75" customHeight="1">
      <c r="A311" s="92"/>
      <c r="B311" s="190"/>
      <c r="C311" s="92"/>
      <c r="D311" s="92"/>
      <c r="F311" s="92"/>
      <c r="G311" s="92"/>
      <c r="H311" s="187"/>
      <c r="I311" s="92"/>
      <c r="J311" s="92"/>
      <c r="K311" s="187"/>
      <c r="L311" s="92"/>
      <c r="M311" s="187"/>
      <c r="N311" s="92"/>
      <c r="O311" s="187"/>
      <c r="P311" s="92"/>
      <c r="Q311" s="187"/>
      <c r="R311" s="92"/>
      <c r="S311" s="187"/>
      <c r="T311" s="92"/>
      <c r="U311" s="187"/>
    </row>
    <row r="312" ht="15.75" customHeight="1">
      <c r="A312" s="92"/>
      <c r="B312" s="190"/>
      <c r="C312" s="92"/>
      <c r="D312" s="92"/>
      <c r="F312" s="92"/>
      <c r="G312" s="92"/>
      <c r="H312" s="187"/>
      <c r="I312" s="92"/>
      <c r="J312" s="92"/>
      <c r="K312" s="187"/>
      <c r="L312" s="92"/>
      <c r="M312" s="187"/>
      <c r="N312" s="92"/>
      <c r="O312" s="187"/>
      <c r="P312" s="92"/>
      <c r="Q312" s="187"/>
      <c r="R312" s="92"/>
      <c r="S312" s="187"/>
      <c r="T312" s="92"/>
      <c r="U312" s="187"/>
    </row>
    <row r="313" ht="15.75" customHeight="1">
      <c r="A313" s="92"/>
      <c r="B313" s="190"/>
      <c r="C313" s="92"/>
      <c r="D313" s="92"/>
      <c r="F313" s="92"/>
      <c r="G313" s="92"/>
      <c r="H313" s="187"/>
      <c r="I313" s="92"/>
      <c r="J313" s="92"/>
      <c r="K313" s="187"/>
      <c r="L313" s="92"/>
      <c r="M313" s="187"/>
      <c r="N313" s="92"/>
      <c r="O313" s="187"/>
      <c r="P313" s="92"/>
      <c r="Q313" s="187"/>
      <c r="R313" s="92"/>
      <c r="S313" s="187"/>
      <c r="T313" s="92"/>
      <c r="U313" s="187"/>
    </row>
    <row r="314" ht="15.75" customHeight="1">
      <c r="A314" s="92"/>
      <c r="B314" s="190"/>
      <c r="C314" s="92"/>
      <c r="D314" s="92"/>
      <c r="F314" s="92"/>
      <c r="G314" s="92"/>
      <c r="H314" s="187"/>
      <c r="I314" s="92"/>
      <c r="J314" s="92"/>
      <c r="K314" s="187"/>
      <c r="L314" s="92"/>
      <c r="M314" s="187"/>
      <c r="N314" s="92"/>
      <c r="O314" s="187"/>
      <c r="P314" s="92"/>
      <c r="Q314" s="187"/>
      <c r="R314" s="92"/>
      <c r="S314" s="187"/>
      <c r="T314" s="92"/>
      <c r="U314" s="187"/>
    </row>
    <row r="315" ht="15.75" customHeight="1">
      <c r="A315" s="92"/>
      <c r="B315" s="190"/>
      <c r="C315" s="92"/>
      <c r="D315" s="92"/>
      <c r="F315" s="92"/>
      <c r="G315" s="92"/>
      <c r="H315" s="187"/>
      <c r="I315" s="92"/>
      <c r="J315" s="92"/>
      <c r="K315" s="187"/>
      <c r="L315" s="92"/>
      <c r="M315" s="187"/>
      <c r="N315" s="92"/>
      <c r="O315" s="187"/>
      <c r="P315" s="92"/>
      <c r="Q315" s="187"/>
      <c r="R315" s="92"/>
      <c r="S315" s="187"/>
      <c r="T315" s="92"/>
      <c r="U315" s="187"/>
    </row>
    <row r="316" ht="15.75" customHeight="1">
      <c r="A316" s="92"/>
      <c r="B316" s="190"/>
      <c r="C316" s="92"/>
      <c r="D316" s="92"/>
      <c r="F316" s="92"/>
      <c r="G316" s="92"/>
      <c r="H316" s="187"/>
      <c r="I316" s="92"/>
      <c r="J316" s="92"/>
      <c r="K316" s="187"/>
      <c r="L316" s="92"/>
      <c r="M316" s="187"/>
      <c r="N316" s="92"/>
      <c r="O316" s="187"/>
      <c r="P316" s="92"/>
      <c r="Q316" s="187"/>
      <c r="R316" s="92"/>
      <c r="S316" s="187"/>
      <c r="T316" s="92"/>
      <c r="U316" s="187"/>
    </row>
    <row r="317" ht="15.75" customHeight="1">
      <c r="A317" s="92"/>
      <c r="B317" s="190"/>
      <c r="C317" s="92"/>
      <c r="D317" s="92"/>
      <c r="F317" s="92"/>
      <c r="G317" s="92"/>
      <c r="H317" s="187"/>
      <c r="I317" s="92"/>
      <c r="J317" s="92"/>
      <c r="K317" s="187"/>
      <c r="L317" s="92"/>
      <c r="M317" s="187"/>
      <c r="N317" s="92"/>
      <c r="O317" s="187"/>
      <c r="P317" s="92"/>
      <c r="Q317" s="187"/>
      <c r="R317" s="92"/>
      <c r="S317" s="187"/>
      <c r="T317" s="92"/>
      <c r="U317" s="187"/>
    </row>
    <row r="318" ht="15.75" customHeight="1">
      <c r="A318" s="92"/>
      <c r="B318" s="190"/>
      <c r="C318" s="92"/>
      <c r="D318" s="92"/>
      <c r="F318" s="92"/>
      <c r="G318" s="92"/>
      <c r="H318" s="187"/>
      <c r="I318" s="92"/>
      <c r="J318" s="92"/>
      <c r="K318" s="187"/>
      <c r="L318" s="92"/>
      <c r="M318" s="187"/>
      <c r="N318" s="92"/>
      <c r="O318" s="187"/>
      <c r="P318" s="92"/>
      <c r="Q318" s="187"/>
      <c r="R318" s="92"/>
      <c r="S318" s="187"/>
      <c r="T318" s="92"/>
      <c r="U318" s="187"/>
    </row>
    <row r="319" ht="15.75" customHeight="1">
      <c r="A319" s="92"/>
      <c r="B319" s="190"/>
      <c r="C319" s="92"/>
      <c r="D319" s="92"/>
      <c r="F319" s="92"/>
      <c r="G319" s="92"/>
      <c r="H319" s="187"/>
      <c r="I319" s="92"/>
      <c r="J319" s="92"/>
      <c r="K319" s="187"/>
      <c r="L319" s="92"/>
      <c r="M319" s="187"/>
      <c r="N319" s="92"/>
      <c r="O319" s="187"/>
      <c r="P319" s="92"/>
      <c r="Q319" s="187"/>
      <c r="R319" s="92"/>
      <c r="S319" s="187"/>
      <c r="T319" s="92"/>
      <c r="U319" s="187"/>
    </row>
    <row r="320" ht="15.75" customHeight="1">
      <c r="A320" s="92"/>
      <c r="B320" s="190"/>
      <c r="C320" s="92"/>
      <c r="D320" s="92"/>
      <c r="F320" s="92"/>
      <c r="G320" s="92"/>
      <c r="H320" s="187"/>
      <c r="I320" s="92"/>
      <c r="J320" s="92"/>
      <c r="K320" s="187"/>
      <c r="L320" s="92"/>
      <c r="M320" s="187"/>
      <c r="N320" s="92"/>
      <c r="O320" s="187"/>
      <c r="P320" s="92"/>
      <c r="Q320" s="187"/>
      <c r="R320" s="92"/>
      <c r="S320" s="187"/>
      <c r="T320" s="92"/>
      <c r="U320" s="187"/>
    </row>
    <row r="321" ht="15.75" customHeight="1">
      <c r="A321" s="92"/>
      <c r="B321" s="190"/>
      <c r="C321" s="92"/>
      <c r="D321" s="92"/>
      <c r="F321" s="92"/>
      <c r="G321" s="92"/>
      <c r="H321" s="187"/>
      <c r="I321" s="92"/>
      <c r="J321" s="92"/>
      <c r="K321" s="187"/>
      <c r="L321" s="92"/>
      <c r="M321" s="187"/>
      <c r="N321" s="92"/>
      <c r="O321" s="187"/>
      <c r="P321" s="92"/>
      <c r="Q321" s="187"/>
      <c r="R321" s="92"/>
      <c r="S321" s="187"/>
      <c r="T321" s="92"/>
      <c r="U321" s="187"/>
    </row>
    <row r="322" ht="15.75" customHeight="1">
      <c r="A322" s="92"/>
      <c r="B322" s="190"/>
      <c r="C322" s="92"/>
      <c r="D322" s="92"/>
      <c r="F322" s="92"/>
      <c r="G322" s="92"/>
      <c r="H322" s="187"/>
      <c r="I322" s="92"/>
      <c r="J322" s="92"/>
      <c r="K322" s="187"/>
      <c r="L322" s="92"/>
      <c r="M322" s="187"/>
      <c r="N322" s="92"/>
      <c r="O322" s="187"/>
      <c r="P322" s="92"/>
      <c r="Q322" s="187"/>
      <c r="R322" s="92"/>
      <c r="S322" s="187"/>
      <c r="T322" s="92"/>
      <c r="U322" s="187"/>
    </row>
    <row r="323" ht="15.75" customHeight="1">
      <c r="A323" s="92"/>
      <c r="B323" s="190"/>
      <c r="C323" s="92"/>
      <c r="D323" s="92"/>
      <c r="F323" s="92"/>
      <c r="G323" s="92"/>
      <c r="H323" s="187"/>
      <c r="I323" s="92"/>
      <c r="J323" s="92"/>
      <c r="K323" s="187"/>
      <c r="L323" s="92"/>
      <c r="M323" s="187"/>
      <c r="N323" s="92"/>
      <c r="O323" s="187"/>
      <c r="P323" s="92"/>
      <c r="Q323" s="187"/>
      <c r="R323" s="92"/>
      <c r="S323" s="187"/>
      <c r="T323" s="92"/>
      <c r="U323" s="187"/>
    </row>
    <row r="324" ht="15.75" customHeight="1">
      <c r="A324" s="92"/>
      <c r="B324" s="190"/>
      <c r="C324" s="92"/>
      <c r="D324" s="92"/>
      <c r="F324" s="92"/>
      <c r="G324" s="92"/>
      <c r="H324" s="187"/>
      <c r="I324" s="92"/>
      <c r="J324" s="92"/>
      <c r="K324" s="187"/>
      <c r="L324" s="92"/>
      <c r="M324" s="187"/>
      <c r="N324" s="92"/>
      <c r="O324" s="187"/>
      <c r="P324" s="92"/>
      <c r="Q324" s="187"/>
      <c r="R324" s="92"/>
      <c r="S324" s="187"/>
      <c r="T324" s="92"/>
      <c r="U324" s="187"/>
    </row>
    <row r="325" ht="15.75" customHeight="1">
      <c r="A325" s="92"/>
      <c r="B325" s="190"/>
      <c r="C325" s="92"/>
      <c r="D325" s="92"/>
      <c r="F325" s="92"/>
      <c r="G325" s="92"/>
      <c r="H325" s="187"/>
      <c r="I325" s="92"/>
      <c r="J325" s="92"/>
      <c r="K325" s="187"/>
      <c r="L325" s="92"/>
      <c r="M325" s="187"/>
      <c r="N325" s="92"/>
      <c r="O325" s="187"/>
      <c r="P325" s="92"/>
      <c r="Q325" s="187"/>
      <c r="R325" s="92"/>
      <c r="S325" s="187"/>
      <c r="T325" s="92"/>
      <c r="U325" s="187"/>
    </row>
    <row r="326" ht="15.75" customHeight="1">
      <c r="A326" s="92"/>
      <c r="B326" s="190"/>
      <c r="C326" s="92"/>
      <c r="D326" s="92"/>
      <c r="F326" s="92"/>
      <c r="G326" s="92"/>
      <c r="H326" s="187"/>
      <c r="I326" s="92"/>
      <c r="J326" s="92"/>
      <c r="K326" s="187"/>
      <c r="L326" s="92"/>
      <c r="M326" s="187"/>
      <c r="N326" s="92"/>
      <c r="O326" s="187"/>
      <c r="P326" s="92"/>
      <c r="Q326" s="187"/>
      <c r="R326" s="92"/>
      <c r="S326" s="187"/>
      <c r="T326" s="92"/>
      <c r="U326" s="187"/>
    </row>
    <row r="327" ht="15.75" customHeight="1">
      <c r="A327" s="92"/>
      <c r="B327" s="190"/>
      <c r="C327" s="92"/>
      <c r="D327" s="92"/>
      <c r="F327" s="92"/>
      <c r="G327" s="92"/>
      <c r="H327" s="187"/>
      <c r="I327" s="92"/>
      <c r="J327" s="92"/>
      <c r="K327" s="187"/>
      <c r="L327" s="92"/>
      <c r="M327" s="187"/>
      <c r="N327" s="92"/>
      <c r="O327" s="187"/>
      <c r="P327" s="92"/>
      <c r="Q327" s="187"/>
      <c r="R327" s="92"/>
      <c r="S327" s="187"/>
      <c r="T327" s="92"/>
      <c r="U327" s="187"/>
    </row>
    <row r="328" ht="15.75" customHeight="1">
      <c r="A328" s="92"/>
      <c r="B328" s="190"/>
      <c r="C328" s="92"/>
      <c r="D328" s="92"/>
      <c r="F328" s="92"/>
      <c r="G328" s="92"/>
      <c r="H328" s="187"/>
      <c r="I328" s="92"/>
      <c r="J328" s="92"/>
      <c r="K328" s="187"/>
      <c r="L328" s="92"/>
      <c r="M328" s="187"/>
      <c r="N328" s="92"/>
      <c r="O328" s="187"/>
      <c r="P328" s="92"/>
      <c r="Q328" s="187"/>
      <c r="R328" s="92"/>
      <c r="S328" s="187"/>
      <c r="T328" s="92"/>
      <c r="U328" s="187"/>
    </row>
    <row r="329" ht="15.75" customHeight="1">
      <c r="A329" s="92"/>
      <c r="B329" s="190"/>
      <c r="C329" s="92"/>
      <c r="D329" s="92"/>
      <c r="F329" s="92"/>
      <c r="G329" s="92"/>
      <c r="H329" s="187"/>
      <c r="I329" s="92"/>
      <c r="J329" s="92"/>
      <c r="K329" s="187"/>
      <c r="L329" s="92"/>
      <c r="M329" s="187"/>
      <c r="N329" s="92"/>
      <c r="O329" s="187"/>
      <c r="P329" s="92"/>
      <c r="Q329" s="187"/>
      <c r="R329" s="92"/>
      <c r="S329" s="187"/>
      <c r="T329" s="92"/>
      <c r="U329" s="187"/>
    </row>
    <row r="330" ht="15.75" customHeight="1">
      <c r="A330" s="92"/>
      <c r="B330" s="190"/>
      <c r="C330" s="92"/>
      <c r="D330" s="92"/>
      <c r="F330" s="92"/>
      <c r="G330" s="92"/>
      <c r="H330" s="187"/>
      <c r="I330" s="92"/>
      <c r="J330" s="92"/>
      <c r="K330" s="187"/>
      <c r="L330" s="92"/>
      <c r="M330" s="187"/>
      <c r="N330" s="92"/>
      <c r="O330" s="187"/>
      <c r="P330" s="92"/>
      <c r="Q330" s="187"/>
      <c r="R330" s="92"/>
      <c r="S330" s="187"/>
      <c r="T330" s="92"/>
      <c r="U330" s="187"/>
    </row>
    <row r="331" ht="15.75" customHeight="1">
      <c r="A331" s="92"/>
      <c r="B331" s="190"/>
      <c r="C331" s="92"/>
      <c r="D331" s="92"/>
      <c r="F331" s="92"/>
      <c r="G331" s="92"/>
      <c r="H331" s="187"/>
      <c r="I331" s="92"/>
      <c r="J331" s="92"/>
      <c r="K331" s="187"/>
      <c r="L331" s="92"/>
      <c r="M331" s="187"/>
      <c r="N331" s="92"/>
      <c r="O331" s="187"/>
      <c r="P331" s="92"/>
      <c r="Q331" s="187"/>
      <c r="R331" s="92"/>
      <c r="S331" s="187"/>
      <c r="T331" s="92"/>
      <c r="U331" s="187"/>
    </row>
    <row r="332" ht="15.75" customHeight="1">
      <c r="A332" s="92"/>
      <c r="B332" s="190"/>
      <c r="C332" s="92"/>
      <c r="D332" s="92"/>
      <c r="F332" s="92"/>
      <c r="G332" s="92"/>
      <c r="H332" s="187"/>
      <c r="I332" s="92"/>
      <c r="J332" s="92"/>
      <c r="K332" s="187"/>
      <c r="L332" s="92"/>
      <c r="M332" s="187"/>
      <c r="N332" s="92"/>
      <c r="O332" s="187"/>
      <c r="P332" s="92"/>
      <c r="Q332" s="187"/>
      <c r="R332" s="92"/>
      <c r="S332" s="187"/>
      <c r="T332" s="92"/>
      <c r="U332" s="187"/>
    </row>
    <row r="333" ht="15.75" customHeight="1">
      <c r="A333" s="92"/>
      <c r="B333" s="190"/>
      <c r="C333" s="92"/>
      <c r="D333" s="92"/>
      <c r="F333" s="92"/>
      <c r="G333" s="92"/>
      <c r="H333" s="187"/>
      <c r="I333" s="92"/>
      <c r="J333" s="92"/>
      <c r="K333" s="187"/>
      <c r="L333" s="92"/>
      <c r="M333" s="187"/>
      <c r="N333" s="92"/>
      <c r="O333" s="187"/>
      <c r="P333" s="92"/>
      <c r="Q333" s="187"/>
      <c r="R333" s="92"/>
      <c r="S333" s="187"/>
      <c r="T333" s="92"/>
      <c r="U333" s="187"/>
    </row>
    <row r="334" ht="15.75" customHeight="1">
      <c r="A334" s="92"/>
      <c r="B334" s="190"/>
      <c r="C334" s="92"/>
      <c r="D334" s="92"/>
      <c r="F334" s="92"/>
      <c r="G334" s="92"/>
      <c r="H334" s="187"/>
      <c r="I334" s="92"/>
      <c r="J334" s="92"/>
      <c r="K334" s="187"/>
      <c r="L334" s="92"/>
      <c r="M334" s="187"/>
      <c r="N334" s="92"/>
      <c r="O334" s="187"/>
      <c r="P334" s="92"/>
      <c r="Q334" s="187"/>
      <c r="R334" s="92"/>
      <c r="S334" s="187"/>
      <c r="T334" s="92"/>
      <c r="U334" s="187"/>
    </row>
    <row r="335" ht="15.75" customHeight="1">
      <c r="A335" s="92"/>
      <c r="B335" s="190"/>
      <c r="C335" s="92"/>
      <c r="D335" s="92"/>
      <c r="F335" s="92"/>
      <c r="G335" s="92"/>
      <c r="H335" s="187"/>
      <c r="I335" s="92"/>
      <c r="J335" s="92"/>
      <c r="K335" s="187"/>
      <c r="L335" s="92"/>
      <c r="M335" s="187"/>
      <c r="N335" s="92"/>
      <c r="O335" s="187"/>
      <c r="P335" s="92"/>
      <c r="Q335" s="187"/>
      <c r="R335" s="92"/>
      <c r="S335" s="187"/>
      <c r="T335" s="92"/>
      <c r="U335" s="187"/>
    </row>
    <row r="336" ht="15.75" customHeight="1">
      <c r="A336" s="92"/>
      <c r="B336" s="190"/>
      <c r="C336" s="92"/>
      <c r="D336" s="92"/>
      <c r="F336" s="92"/>
      <c r="G336" s="92"/>
      <c r="H336" s="187"/>
      <c r="I336" s="92"/>
      <c r="J336" s="92"/>
      <c r="K336" s="187"/>
      <c r="L336" s="92"/>
      <c r="M336" s="187"/>
      <c r="N336" s="92"/>
      <c r="O336" s="187"/>
      <c r="P336" s="92"/>
      <c r="Q336" s="187"/>
      <c r="R336" s="92"/>
      <c r="S336" s="187"/>
      <c r="T336" s="92"/>
      <c r="U336" s="187"/>
    </row>
    <row r="337" ht="15.75" customHeight="1">
      <c r="A337" s="92"/>
      <c r="B337" s="190"/>
      <c r="C337" s="92"/>
      <c r="D337" s="92"/>
      <c r="F337" s="92"/>
      <c r="G337" s="92"/>
      <c r="H337" s="187"/>
      <c r="I337" s="92"/>
      <c r="J337" s="92"/>
      <c r="K337" s="187"/>
      <c r="L337" s="92"/>
      <c r="M337" s="187"/>
      <c r="N337" s="92"/>
      <c r="O337" s="187"/>
      <c r="P337" s="92"/>
      <c r="Q337" s="187"/>
      <c r="R337" s="92"/>
      <c r="S337" s="187"/>
      <c r="T337" s="92"/>
      <c r="U337" s="187"/>
    </row>
    <row r="338" ht="15.75" customHeight="1">
      <c r="A338" s="92"/>
      <c r="B338" s="190"/>
      <c r="C338" s="92"/>
      <c r="D338" s="92"/>
      <c r="F338" s="92"/>
      <c r="G338" s="92"/>
      <c r="H338" s="187"/>
      <c r="I338" s="92"/>
      <c r="J338" s="92"/>
      <c r="K338" s="187"/>
      <c r="L338" s="92"/>
      <c r="M338" s="187"/>
      <c r="N338" s="92"/>
      <c r="O338" s="187"/>
      <c r="P338" s="92"/>
      <c r="Q338" s="187"/>
      <c r="R338" s="92"/>
      <c r="S338" s="187"/>
      <c r="T338" s="92"/>
      <c r="U338" s="187"/>
    </row>
    <row r="339" ht="15.75" customHeight="1">
      <c r="A339" s="92"/>
      <c r="B339" s="190"/>
      <c r="C339" s="92"/>
      <c r="D339" s="92"/>
      <c r="F339" s="92"/>
      <c r="G339" s="92"/>
      <c r="H339" s="187"/>
      <c r="I339" s="92"/>
      <c r="J339" s="92"/>
      <c r="K339" s="187"/>
      <c r="L339" s="92"/>
      <c r="M339" s="187"/>
      <c r="N339" s="92"/>
      <c r="O339" s="187"/>
      <c r="P339" s="92"/>
      <c r="Q339" s="187"/>
      <c r="R339" s="92"/>
      <c r="S339" s="187"/>
      <c r="T339" s="92"/>
      <c r="U339" s="187"/>
    </row>
    <row r="340" ht="15.75" customHeight="1">
      <c r="A340" s="92"/>
      <c r="B340" s="190"/>
      <c r="C340" s="92"/>
      <c r="D340" s="92"/>
      <c r="F340" s="92"/>
      <c r="G340" s="92"/>
      <c r="H340" s="187"/>
      <c r="I340" s="92"/>
      <c r="J340" s="92"/>
      <c r="K340" s="187"/>
      <c r="L340" s="92"/>
      <c r="M340" s="187"/>
      <c r="N340" s="92"/>
      <c r="O340" s="187"/>
      <c r="P340" s="92"/>
      <c r="Q340" s="187"/>
      <c r="R340" s="92"/>
      <c r="S340" s="187"/>
      <c r="T340" s="92"/>
      <c r="U340" s="187"/>
    </row>
    <row r="341" ht="15.75" customHeight="1">
      <c r="A341" s="92"/>
      <c r="B341" s="190"/>
      <c r="C341" s="92"/>
      <c r="D341" s="92"/>
      <c r="F341" s="92"/>
      <c r="G341" s="92"/>
      <c r="H341" s="187"/>
      <c r="I341" s="92"/>
      <c r="J341" s="92"/>
      <c r="K341" s="187"/>
      <c r="L341" s="92"/>
      <c r="M341" s="187"/>
      <c r="N341" s="92"/>
      <c r="O341" s="187"/>
      <c r="P341" s="92"/>
      <c r="Q341" s="187"/>
      <c r="R341" s="92"/>
      <c r="S341" s="187"/>
      <c r="T341" s="92"/>
      <c r="U341" s="187"/>
    </row>
    <row r="342" ht="15.75" customHeight="1">
      <c r="A342" s="92"/>
      <c r="B342" s="190"/>
      <c r="C342" s="92"/>
      <c r="D342" s="92"/>
      <c r="F342" s="92"/>
      <c r="G342" s="92"/>
      <c r="H342" s="187"/>
      <c r="I342" s="92"/>
      <c r="J342" s="92"/>
      <c r="K342" s="187"/>
      <c r="L342" s="92"/>
      <c r="M342" s="187"/>
      <c r="N342" s="92"/>
      <c r="O342" s="187"/>
      <c r="P342" s="92"/>
      <c r="Q342" s="187"/>
      <c r="R342" s="92"/>
      <c r="S342" s="187"/>
      <c r="T342" s="92"/>
      <c r="U342" s="187"/>
    </row>
    <row r="343" ht="15.75" customHeight="1">
      <c r="A343" s="92"/>
      <c r="B343" s="190"/>
      <c r="C343" s="92"/>
      <c r="D343" s="92"/>
      <c r="F343" s="92"/>
      <c r="G343" s="92"/>
      <c r="H343" s="187"/>
      <c r="I343" s="92"/>
      <c r="J343" s="92"/>
      <c r="K343" s="187"/>
      <c r="L343" s="92"/>
      <c r="M343" s="187"/>
      <c r="N343" s="92"/>
      <c r="O343" s="187"/>
      <c r="P343" s="92"/>
      <c r="Q343" s="187"/>
      <c r="R343" s="92"/>
      <c r="S343" s="187"/>
      <c r="T343" s="92"/>
      <c r="U343" s="187"/>
    </row>
    <row r="344" ht="15.75" customHeight="1">
      <c r="A344" s="92"/>
      <c r="B344" s="190"/>
      <c r="C344" s="92"/>
      <c r="D344" s="92"/>
      <c r="F344" s="92"/>
      <c r="G344" s="92"/>
      <c r="H344" s="187"/>
      <c r="I344" s="92"/>
      <c r="J344" s="92"/>
      <c r="K344" s="187"/>
      <c r="L344" s="92"/>
      <c r="M344" s="187"/>
      <c r="N344" s="92"/>
      <c r="O344" s="187"/>
      <c r="P344" s="92"/>
      <c r="Q344" s="187"/>
      <c r="R344" s="92"/>
      <c r="S344" s="187"/>
      <c r="T344" s="92"/>
      <c r="U344" s="187"/>
    </row>
    <row r="345" ht="15.75" customHeight="1">
      <c r="A345" s="92"/>
      <c r="B345" s="190"/>
      <c r="C345" s="92"/>
      <c r="D345" s="92"/>
      <c r="F345" s="92"/>
      <c r="G345" s="92"/>
      <c r="H345" s="187"/>
      <c r="I345" s="92"/>
      <c r="J345" s="92"/>
      <c r="K345" s="187"/>
      <c r="L345" s="92"/>
      <c r="M345" s="187"/>
      <c r="N345" s="92"/>
      <c r="O345" s="187"/>
      <c r="P345" s="92"/>
      <c r="Q345" s="187"/>
      <c r="R345" s="92"/>
      <c r="S345" s="187"/>
      <c r="T345" s="92"/>
      <c r="U345" s="187"/>
    </row>
    <row r="346" ht="15.75" customHeight="1">
      <c r="A346" s="92"/>
      <c r="B346" s="190"/>
      <c r="C346" s="92"/>
      <c r="D346" s="92"/>
      <c r="F346" s="92"/>
      <c r="G346" s="92"/>
      <c r="H346" s="187"/>
      <c r="I346" s="92"/>
      <c r="J346" s="92"/>
      <c r="K346" s="187"/>
      <c r="L346" s="92"/>
      <c r="M346" s="187"/>
      <c r="N346" s="92"/>
      <c r="O346" s="187"/>
      <c r="P346" s="92"/>
      <c r="Q346" s="187"/>
      <c r="R346" s="92"/>
      <c r="S346" s="187"/>
      <c r="T346" s="92"/>
      <c r="U346" s="187"/>
    </row>
    <row r="347" ht="15.75" customHeight="1">
      <c r="A347" s="92"/>
      <c r="B347" s="190"/>
      <c r="C347" s="92"/>
      <c r="D347" s="92"/>
      <c r="F347" s="92"/>
      <c r="G347" s="92"/>
      <c r="H347" s="187"/>
      <c r="I347" s="92"/>
      <c r="J347" s="92"/>
      <c r="K347" s="187"/>
      <c r="L347" s="92"/>
      <c r="M347" s="187"/>
      <c r="N347" s="92"/>
      <c r="O347" s="187"/>
      <c r="P347" s="92"/>
      <c r="Q347" s="187"/>
      <c r="R347" s="92"/>
      <c r="S347" s="187"/>
      <c r="T347" s="92"/>
      <c r="U347" s="187"/>
    </row>
    <row r="348" ht="15.75" customHeight="1">
      <c r="A348" s="92"/>
      <c r="B348" s="190"/>
      <c r="C348" s="92"/>
      <c r="D348" s="92"/>
      <c r="F348" s="92"/>
      <c r="G348" s="92"/>
      <c r="H348" s="187"/>
      <c r="I348" s="92"/>
      <c r="J348" s="92"/>
      <c r="K348" s="187"/>
      <c r="L348" s="92"/>
      <c r="M348" s="187"/>
      <c r="N348" s="92"/>
      <c r="O348" s="187"/>
      <c r="P348" s="92"/>
      <c r="Q348" s="187"/>
      <c r="R348" s="92"/>
      <c r="S348" s="187"/>
      <c r="T348" s="92"/>
      <c r="U348" s="187"/>
    </row>
    <row r="349" ht="15.75" customHeight="1">
      <c r="A349" s="92"/>
      <c r="B349" s="190"/>
      <c r="C349" s="92"/>
      <c r="D349" s="92"/>
      <c r="F349" s="92"/>
      <c r="G349" s="92"/>
      <c r="H349" s="187"/>
      <c r="I349" s="92"/>
      <c r="J349" s="92"/>
      <c r="K349" s="187"/>
      <c r="L349" s="92"/>
      <c r="M349" s="187"/>
      <c r="N349" s="92"/>
      <c r="O349" s="187"/>
      <c r="P349" s="92"/>
      <c r="Q349" s="187"/>
      <c r="R349" s="92"/>
      <c r="S349" s="187"/>
      <c r="T349" s="92"/>
      <c r="U349" s="187"/>
    </row>
    <row r="350" ht="15.75" customHeight="1">
      <c r="A350" s="92"/>
      <c r="B350" s="190"/>
      <c r="C350" s="92"/>
      <c r="D350" s="92"/>
      <c r="F350" s="92"/>
      <c r="G350" s="92"/>
      <c r="H350" s="187"/>
      <c r="I350" s="92"/>
      <c r="J350" s="92"/>
      <c r="K350" s="187"/>
      <c r="L350" s="92"/>
      <c r="M350" s="187"/>
      <c r="N350" s="92"/>
      <c r="O350" s="187"/>
      <c r="P350" s="92"/>
      <c r="Q350" s="187"/>
      <c r="R350" s="92"/>
      <c r="S350" s="187"/>
      <c r="T350" s="92"/>
      <c r="U350" s="187"/>
    </row>
    <row r="351" ht="15.75" customHeight="1">
      <c r="A351" s="92"/>
      <c r="B351" s="190"/>
      <c r="C351" s="92"/>
      <c r="D351" s="92"/>
      <c r="F351" s="92"/>
      <c r="G351" s="92"/>
      <c r="H351" s="187"/>
      <c r="I351" s="92"/>
      <c r="J351" s="92"/>
      <c r="K351" s="187"/>
      <c r="L351" s="92"/>
      <c r="M351" s="187"/>
      <c r="N351" s="92"/>
      <c r="O351" s="187"/>
      <c r="P351" s="92"/>
      <c r="Q351" s="187"/>
      <c r="R351" s="92"/>
      <c r="S351" s="187"/>
      <c r="T351" s="92"/>
      <c r="U351" s="187"/>
    </row>
    <row r="352" ht="15.75" customHeight="1">
      <c r="A352" s="92"/>
      <c r="B352" s="190"/>
      <c r="C352" s="92"/>
      <c r="D352" s="92"/>
      <c r="F352" s="92"/>
      <c r="G352" s="92"/>
      <c r="H352" s="187"/>
      <c r="I352" s="92"/>
      <c r="J352" s="92"/>
      <c r="K352" s="187"/>
      <c r="L352" s="92"/>
      <c r="M352" s="187"/>
      <c r="N352" s="92"/>
      <c r="O352" s="187"/>
      <c r="P352" s="92"/>
      <c r="Q352" s="187"/>
      <c r="R352" s="92"/>
      <c r="S352" s="187"/>
      <c r="T352" s="92"/>
      <c r="U352" s="187"/>
    </row>
    <row r="353" ht="15.75" customHeight="1">
      <c r="A353" s="92"/>
      <c r="B353" s="190"/>
      <c r="C353" s="92"/>
      <c r="D353" s="92"/>
      <c r="F353" s="92"/>
      <c r="G353" s="92"/>
      <c r="H353" s="187"/>
      <c r="I353" s="92"/>
      <c r="J353" s="92"/>
      <c r="K353" s="187"/>
      <c r="L353" s="92"/>
      <c r="M353" s="187"/>
      <c r="N353" s="92"/>
      <c r="O353" s="187"/>
      <c r="P353" s="92"/>
      <c r="Q353" s="187"/>
      <c r="R353" s="92"/>
      <c r="S353" s="187"/>
      <c r="T353" s="92"/>
      <c r="U353" s="187"/>
    </row>
    <row r="354" ht="15.75" customHeight="1">
      <c r="A354" s="92"/>
      <c r="B354" s="190"/>
      <c r="C354" s="92"/>
      <c r="D354" s="92"/>
      <c r="F354" s="92"/>
      <c r="G354" s="92"/>
      <c r="H354" s="187"/>
      <c r="I354" s="92"/>
      <c r="J354" s="92"/>
      <c r="K354" s="187"/>
      <c r="L354" s="92"/>
      <c r="M354" s="187"/>
      <c r="N354" s="92"/>
      <c r="O354" s="187"/>
      <c r="P354" s="92"/>
      <c r="Q354" s="187"/>
      <c r="R354" s="92"/>
      <c r="S354" s="187"/>
      <c r="T354" s="92"/>
      <c r="U354" s="187"/>
    </row>
    <row r="355" ht="15.75" customHeight="1">
      <c r="A355" s="92"/>
      <c r="B355" s="190"/>
      <c r="C355" s="92"/>
      <c r="D355" s="92"/>
      <c r="F355" s="92"/>
      <c r="G355" s="92"/>
      <c r="H355" s="187"/>
      <c r="I355" s="92"/>
      <c r="J355" s="92"/>
      <c r="K355" s="187"/>
      <c r="L355" s="92"/>
      <c r="M355" s="187"/>
      <c r="N355" s="92"/>
      <c r="O355" s="187"/>
      <c r="P355" s="92"/>
      <c r="Q355" s="187"/>
      <c r="R355" s="92"/>
      <c r="S355" s="187"/>
      <c r="T355" s="92"/>
      <c r="U355" s="187"/>
    </row>
    <row r="356" ht="15.75" customHeight="1">
      <c r="A356" s="92"/>
      <c r="B356" s="190"/>
      <c r="C356" s="92"/>
      <c r="D356" s="92"/>
      <c r="F356" s="92"/>
      <c r="G356" s="92"/>
      <c r="H356" s="187"/>
      <c r="I356" s="92"/>
      <c r="J356" s="92"/>
      <c r="K356" s="187"/>
      <c r="L356" s="92"/>
      <c r="M356" s="187"/>
      <c r="N356" s="92"/>
      <c r="O356" s="187"/>
      <c r="P356" s="92"/>
      <c r="Q356" s="187"/>
      <c r="R356" s="92"/>
      <c r="S356" s="187"/>
      <c r="T356" s="92"/>
      <c r="U356" s="187"/>
    </row>
    <row r="357" ht="15.75" customHeight="1">
      <c r="A357" s="92"/>
      <c r="B357" s="190"/>
      <c r="C357" s="92"/>
      <c r="D357" s="92"/>
      <c r="F357" s="92"/>
      <c r="G357" s="92"/>
      <c r="H357" s="187"/>
      <c r="I357" s="92"/>
      <c r="J357" s="92"/>
      <c r="K357" s="187"/>
      <c r="L357" s="92"/>
      <c r="M357" s="187"/>
      <c r="N357" s="92"/>
      <c r="O357" s="187"/>
      <c r="P357" s="92"/>
      <c r="Q357" s="187"/>
      <c r="R357" s="92"/>
      <c r="S357" s="187"/>
      <c r="T357" s="92"/>
      <c r="U357" s="187"/>
    </row>
    <row r="358" ht="15.75" customHeight="1">
      <c r="A358" s="92"/>
      <c r="B358" s="190"/>
      <c r="C358" s="92"/>
      <c r="D358" s="92"/>
      <c r="F358" s="92"/>
      <c r="G358" s="92"/>
      <c r="H358" s="187"/>
      <c r="I358" s="92"/>
      <c r="J358" s="92"/>
      <c r="K358" s="187"/>
      <c r="L358" s="92"/>
      <c r="M358" s="187"/>
      <c r="N358" s="92"/>
      <c r="O358" s="187"/>
      <c r="P358" s="92"/>
      <c r="Q358" s="187"/>
      <c r="R358" s="92"/>
      <c r="S358" s="187"/>
      <c r="T358" s="92"/>
      <c r="U358" s="187"/>
    </row>
    <row r="359" ht="15.75" customHeight="1">
      <c r="A359" s="92"/>
      <c r="B359" s="190"/>
      <c r="C359" s="92"/>
      <c r="D359" s="92"/>
      <c r="F359" s="92"/>
      <c r="G359" s="92"/>
      <c r="H359" s="187"/>
      <c r="I359" s="92"/>
      <c r="J359" s="92"/>
      <c r="K359" s="187"/>
      <c r="L359" s="92"/>
      <c r="M359" s="187"/>
      <c r="N359" s="92"/>
      <c r="O359" s="187"/>
      <c r="P359" s="92"/>
      <c r="Q359" s="187"/>
      <c r="R359" s="92"/>
      <c r="S359" s="187"/>
      <c r="T359" s="92"/>
      <c r="U359" s="187"/>
    </row>
    <row r="360" ht="15.75" customHeight="1">
      <c r="A360" s="92"/>
      <c r="B360" s="190"/>
      <c r="C360" s="92"/>
      <c r="D360" s="92"/>
      <c r="F360" s="92"/>
      <c r="G360" s="92"/>
      <c r="H360" s="187"/>
      <c r="I360" s="92"/>
      <c r="J360" s="92"/>
      <c r="K360" s="187"/>
      <c r="L360" s="92"/>
      <c r="M360" s="187"/>
      <c r="N360" s="92"/>
      <c r="O360" s="187"/>
      <c r="P360" s="92"/>
      <c r="Q360" s="187"/>
      <c r="R360" s="92"/>
      <c r="S360" s="187"/>
      <c r="T360" s="92"/>
      <c r="U360" s="187"/>
    </row>
    <row r="361" ht="15.75" customHeight="1">
      <c r="A361" s="92"/>
      <c r="B361" s="190"/>
      <c r="C361" s="92"/>
      <c r="D361" s="92"/>
      <c r="F361" s="92"/>
      <c r="G361" s="92"/>
      <c r="H361" s="187"/>
      <c r="I361" s="92"/>
      <c r="J361" s="92"/>
      <c r="K361" s="187"/>
      <c r="L361" s="92"/>
      <c r="M361" s="187"/>
      <c r="N361" s="92"/>
      <c r="O361" s="187"/>
      <c r="P361" s="92"/>
      <c r="Q361" s="187"/>
      <c r="R361" s="92"/>
      <c r="S361" s="187"/>
      <c r="T361" s="92"/>
      <c r="U361" s="187"/>
    </row>
    <row r="362" ht="15.75" customHeight="1">
      <c r="A362" s="92"/>
      <c r="B362" s="190"/>
      <c r="C362" s="92"/>
      <c r="D362" s="92"/>
      <c r="F362" s="92"/>
      <c r="G362" s="92"/>
      <c r="H362" s="187"/>
      <c r="I362" s="92"/>
      <c r="J362" s="92"/>
      <c r="K362" s="187"/>
      <c r="L362" s="92"/>
      <c r="M362" s="187"/>
      <c r="N362" s="92"/>
      <c r="O362" s="187"/>
      <c r="P362" s="92"/>
      <c r="Q362" s="187"/>
      <c r="R362" s="92"/>
      <c r="S362" s="187"/>
      <c r="T362" s="92"/>
      <c r="U362" s="187"/>
    </row>
    <row r="363" ht="15.75" customHeight="1">
      <c r="A363" s="92"/>
      <c r="B363" s="190"/>
      <c r="C363" s="92"/>
      <c r="D363" s="92"/>
      <c r="F363" s="92"/>
      <c r="G363" s="92"/>
      <c r="H363" s="187"/>
      <c r="I363" s="92"/>
      <c r="J363" s="92"/>
      <c r="K363" s="187"/>
      <c r="L363" s="92"/>
      <c r="M363" s="187"/>
      <c r="N363" s="92"/>
      <c r="O363" s="187"/>
      <c r="P363" s="92"/>
      <c r="Q363" s="187"/>
      <c r="R363" s="92"/>
      <c r="S363" s="187"/>
      <c r="T363" s="92"/>
      <c r="U363" s="187"/>
    </row>
    <row r="364" ht="15.75" customHeight="1">
      <c r="A364" s="92"/>
      <c r="B364" s="190"/>
      <c r="C364" s="92"/>
      <c r="D364" s="92"/>
      <c r="F364" s="92"/>
      <c r="G364" s="92"/>
      <c r="H364" s="187"/>
      <c r="I364" s="92"/>
      <c r="J364" s="92"/>
      <c r="K364" s="187"/>
      <c r="L364" s="92"/>
      <c r="M364" s="187"/>
      <c r="N364" s="92"/>
      <c r="O364" s="187"/>
      <c r="P364" s="92"/>
      <c r="Q364" s="187"/>
      <c r="R364" s="92"/>
      <c r="S364" s="187"/>
      <c r="T364" s="92"/>
      <c r="U364" s="187"/>
    </row>
    <row r="365" ht="15.75" customHeight="1">
      <c r="A365" s="92"/>
      <c r="B365" s="190"/>
      <c r="C365" s="92"/>
      <c r="D365" s="92"/>
      <c r="F365" s="92"/>
      <c r="G365" s="92"/>
      <c r="H365" s="187"/>
      <c r="I365" s="92"/>
      <c r="J365" s="92"/>
      <c r="K365" s="187"/>
      <c r="L365" s="92"/>
      <c r="M365" s="187"/>
      <c r="N365" s="92"/>
      <c r="O365" s="187"/>
      <c r="P365" s="92"/>
      <c r="Q365" s="187"/>
      <c r="R365" s="92"/>
      <c r="S365" s="187"/>
      <c r="T365" s="92"/>
      <c r="U365" s="187"/>
    </row>
    <row r="366" ht="15.75" customHeight="1">
      <c r="A366" s="92"/>
      <c r="B366" s="190"/>
      <c r="C366" s="92"/>
      <c r="D366" s="92"/>
      <c r="F366" s="92"/>
      <c r="G366" s="92"/>
      <c r="H366" s="187"/>
      <c r="I366" s="92"/>
      <c r="J366" s="92"/>
      <c r="K366" s="187"/>
      <c r="L366" s="92"/>
      <c r="M366" s="187"/>
      <c r="N366" s="92"/>
      <c r="O366" s="187"/>
      <c r="P366" s="92"/>
      <c r="Q366" s="187"/>
      <c r="R366" s="92"/>
      <c r="S366" s="187"/>
      <c r="T366" s="92"/>
      <c r="U366" s="187"/>
    </row>
    <row r="367" ht="15.75" customHeight="1">
      <c r="A367" s="92"/>
      <c r="B367" s="190"/>
      <c r="C367" s="92"/>
      <c r="D367" s="92"/>
      <c r="F367" s="92"/>
      <c r="G367" s="92"/>
      <c r="H367" s="187"/>
      <c r="I367" s="92"/>
      <c r="J367" s="92"/>
      <c r="K367" s="187"/>
      <c r="L367" s="92"/>
      <c r="M367" s="187"/>
      <c r="N367" s="92"/>
      <c r="O367" s="187"/>
      <c r="P367" s="92"/>
      <c r="Q367" s="187"/>
      <c r="R367" s="92"/>
      <c r="S367" s="187"/>
      <c r="T367" s="92"/>
      <c r="U367" s="187"/>
    </row>
    <row r="368" ht="15.75" customHeight="1">
      <c r="A368" s="92"/>
      <c r="B368" s="190"/>
      <c r="C368" s="92"/>
      <c r="D368" s="92"/>
      <c r="F368" s="92"/>
      <c r="G368" s="92"/>
      <c r="H368" s="187"/>
      <c r="I368" s="92"/>
      <c r="J368" s="92"/>
      <c r="K368" s="187"/>
      <c r="L368" s="92"/>
      <c r="M368" s="187"/>
      <c r="N368" s="92"/>
      <c r="O368" s="187"/>
      <c r="P368" s="92"/>
      <c r="Q368" s="187"/>
      <c r="R368" s="92"/>
      <c r="S368" s="187"/>
      <c r="T368" s="92"/>
      <c r="U368" s="187"/>
    </row>
    <row r="369" ht="15.75" customHeight="1">
      <c r="A369" s="92"/>
      <c r="B369" s="190"/>
      <c r="C369" s="92"/>
      <c r="D369" s="92"/>
      <c r="F369" s="92"/>
      <c r="G369" s="92"/>
      <c r="H369" s="187"/>
      <c r="I369" s="92"/>
      <c r="J369" s="92"/>
      <c r="K369" s="187"/>
      <c r="L369" s="92"/>
      <c r="M369" s="187"/>
      <c r="N369" s="92"/>
      <c r="O369" s="187"/>
      <c r="P369" s="92"/>
      <c r="Q369" s="187"/>
      <c r="R369" s="92"/>
      <c r="S369" s="187"/>
      <c r="T369" s="92"/>
      <c r="U369" s="187"/>
    </row>
    <row r="370" ht="15.75" customHeight="1">
      <c r="A370" s="92"/>
      <c r="B370" s="190"/>
      <c r="C370" s="92"/>
      <c r="D370" s="92"/>
      <c r="F370" s="92"/>
      <c r="G370" s="92"/>
      <c r="H370" s="187"/>
      <c r="I370" s="92"/>
      <c r="J370" s="92"/>
      <c r="K370" s="187"/>
      <c r="L370" s="92"/>
      <c r="M370" s="187"/>
      <c r="N370" s="92"/>
      <c r="O370" s="187"/>
      <c r="P370" s="92"/>
      <c r="Q370" s="187"/>
      <c r="R370" s="92"/>
      <c r="S370" s="187"/>
      <c r="T370" s="92"/>
      <c r="U370" s="187"/>
    </row>
    <row r="371" ht="15.75" customHeight="1">
      <c r="A371" s="92"/>
      <c r="B371" s="190"/>
      <c r="C371" s="92"/>
      <c r="D371" s="92"/>
      <c r="F371" s="92"/>
      <c r="G371" s="92"/>
      <c r="H371" s="187"/>
      <c r="I371" s="92"/>
      <c r="J371" s="92"/>
      <c r="K371" s="187"/>
      <c r="L371" s="92"/>
      <c r="M371" s="187"/>
      <c r="N371" s="92"/>
      <c r="O371" s="187"/>
      <c r="P371" s="92"/>
      <c r="Q371" s="187"/>
      <c r="R371" s="92"/>
      <c r="S371" s="187"/>
      <c r="T371" s="92"/>
      <c r="U371" s="187"/>
    </row>
    <row r="372" ht="15.75" customHeight="1">
      <c r="A372" s="92"/>
      <c r="B372" s="190"/>
      <c r="C372" s="92"/>
      <c r="D372" s="92"/>
      <c r="F372" s="92"/>
      <c r="G372" s="92"/>
      <c r="H372" s="187"/>
      <c r="I372" s="92"/>
      <c r="J372" s="92"/>
      <c r="K372" s="187"/>
      <c r="L372" s="92"/>
      <c r="M372" s="187"/>
      <c r="N372" s="92"/>
      <c r="O372" s="187"/>
      <c r="P372" s="92"/>
      <c r="Q372" s="187"/>
      <c r="R372" s="92"/>
      <c r="S372" s="187"/>
      <c r="T372" s="92"/>
      <c r="U372" s="187"/>
    </row>
    <row r="373" ht="15.75" customHeight="1">
      <c r="A373" s="92"/>
      <c r="B373" s="190"/>
      <c r="C373" s="92"/>
      <c r="D373" s="92"/>
      <c r="F373" s="92"/>
      <c r="G373" s="92"/>
      <c r="H373" s="187"/>
      <c r="I373" s="92"/>
      <c r="J373" s="92"/>
      <c r="K373" s="187"/>
      <c r="L373" s="92"/>
      <c r="M373" s="187"/>
      <c r="N373" s="92"/>
      <c r="O373" s="187"/>
      <c r="P373" s="92"/>
      <c r="Q373" s="187"/>
      <c r="R373" s="92"/>
      <c r="S373" s="187"/>
      <c r="T373" s="92"/>
      <c r="U373" s="187"/>
    </row>
    <row r="374" ht="15.75" customHeight="1">
      <c r="A374" s="92"/>
      <c r="B374" s="190"/>
      <c r="C374" s="92"/>
      <c r="D374" s="92"/>
      <c r="F374" s="92"/>
      <c r="G374" s="92"/>
      <c r="H374" s="187"/>
      <c r="I374" s="92"/>
      <c r="J374" s="92"/>
      <c r="K374" s="187"/>
      <c r="L374" s="92"/>
      <c r="M374" s="187"/>
      <c r="N374" s="92"/>
      <c r="O374" s="187"/>
      <c r="P374" s="92"/>
      <c r="Q374" s="187"/>
      <c r="R374" s="92"/>
      <c r="S374" s="187"/>
      <c r="T374" s="92"/>
      <c r="U374" s="187"/>
    </row>
    <row r="375" ht="15.75" customHeight="1">
      <c r="A375" s="92"/>
      <c r="B375" s="190"/>
      <c r="C375" s="92"/>
      <c r="D375" s="92"/>
      <c r="F375" s="92"/>
      <c r="G375" s="92"/>
      <c r="H375" s="187"/>
      <c r="I375" s="92"/>
      <c r="J375" s="92"/>
      <c r="K375" s="187"/>
      <c r="L375" s="92"/>
      <c r="M375" s="187"/>
      <c r="N375" s="92"/>
      <c r="O375" s="187"/>
      <c r="P375" s="92"/>
      <c r="Q375" s="187"/>
      <c r="R375" s="92"/>
      <c r="S375" s="187"/>
      <c r="T375" s="92"/>
      <c r="U375" s="187"/>
    </row>
    <row r="376" ht="15.75" customHeight="1">
      <c r="A376" s="92"/>
      <c r="B376" s="190"/>
      <c r="C376" s="92"/>
      <c r="D376" s="92"/>
      <c r="F376" s="92"/>
      <c r="G376" s="92"/>
      <c r="H376" s="187"/>
      <c r="I376" s="92"/>
      <c r="J376" s="92"/>
      <c r="K376" s="187"/>
      <c r="L376" s="92"/>
      <c r="M376" s="187"/>
      <c r="N376" s="92"/>
      <c r="O376" s="187"/>
      <c r="P376" s="92"/>
      <c r="Q376" s="187"/>
      <c r="R376" s="92"/>
      <c r="S376" s="187"/>
      <c r="T376" s="92"/>
      <c r="U376" s="187"/>
    </row>
    <row r="377" ht="15.75" customHeight="1">
      <c r="A377" s="92"/>
      <c r="B377" s="190"/>
      <c r="C377" s="92"/>
      <c r="D377" s="92"/>
      <c r="F377" s="92"/>
      <c r="G377" s="92"/>
      <c r="H377" s="187"/>
      <c r="I377" s="92"/>
      <c r="J377" s="92"/>
      <c r="K377" s="187"/>
      <c r="L377" s="92"/>
      <c r="M377" s="187"/>
      <c r="N377" s="92"/>
      <c r="O377" s="187"/>
      <c r="P377" s="92"/>
      <c r="Q377" s="187"/>
      <c r="R377" s="92"/>
      <c r="S377" s="187"/>
      <c r="T377" s="92"/>
      <c r="U377" s="187"/>
    </row>
    <row r="378" ht="15.75" customHeight="1">
      <c r="A378" s="92"/>
      <c r="B378" s="190"/>
      <c r="C378" s="92"/>
      <c r="D378" s="92"/>
      <c r="F378" s="92"/>
      <c r="G378" s="92"/>
      <c r="H378" s="187"/>
      <c r="I378" s="92"/>
      <c r="J378" s="92"/>
      <c r="K378" s="187"/>
      <c r="L378" s="92"/>
      <c r="M378" s="187"/>
      <c r="N378" s="92"/>
      <c r="O378" s="187"/>
      <c r="P378" s="92"/>
      <c r="Q378" s="187"/>
      <c r="R378" s="92"/>
      <c r="S378" s="187"/>
      <c r="T378" s="92"/>
      <c r="U378" s="187"/>
    </row>
    <row r="379" ht="15.75" customHeight="1">
      <c r="A379" s="92"/>
      <c r="B379" s="190"/>
      <c r="C379" s="92"/>
      <c r="D379" s="92"/>
      <c r="F379" s="92"/>
      <c r="G379" s="92"/>
      <c r="H379" s="187"/>
      <c r="I379" s="92"/>
      <c r="J379" s="92"/>
      <c r="K379" s="187"/>
      <c r="L379" s="92"/>
      <c r="M379" s="187"/>
      <c r="N379" s="92"/>
      <c r="O379" s="187"/>
      <c r="P379" s="92"/>
      <c r="Q379" s="187"/>
      <c r="R379" s="92"/>
      <c r="S379" s="187"/>
      <c r="T379" s="92"/>
      <c r="U379" s="187"/>
    </row>
    <row r="380" ht="15.75" customHeight="1">
      <c r="A380" s="92"/>
      <c r="B380" s="190"/>
      <c r="C380" s="92"/>
      <c r="D380" s="92"/>
      <c r="F380" s="92"/>
      <c r="G380" s="92"/>
      <c r="H380" s="187"/>
      <c r="I380" s="92"/>
      <c r="J380" s="92"/>
      <c r="K380" s="187"/>
      <c r="L380" s="92"/>
      <c r="M380" s="187"/>
      <c r="N380" s="92"/>
      <c r="O380" s="187"/>
      <c r="P380" s="92"/>
      <c r="Q380" s="187"/>
      <c r="R380" s="92"/>
      <c r="S380" s="187"/>
      <c r="T380" s="92"/>
      <c r="U380" s="187"/>
    </row>
    <row r="381" ht="15.75" customHeight="1">
      <c r="A381" s="92"/>
      <c r="B381" s="190"/>
      <c r="C381" s="92"/>
      <c r="D381" s="92"/>
      <c r="F381" s="92"/>
      <c r="G381" s="92"/>
      <c r="H381" s="187"/>
      <c r="I381" s="92"/>
      <c r="J381" s="92"/>
      <c r="K381" s="187"/>
      <c r="L381" s="92"/>
      <c r="M381" s="187"/>
      <c r="N381" s="92"/>
      <c r="O381" s="187"/>
      <c r="P381" s="92"/>
      <c r="Q381" s="187"/>
      <c r="R381" s="92"/>
      <c r="S381" s="187"/>
      <c r="T381" s="92"/>
      <c r="U381" s="187"/>
    </row>
    <row r="382" ht="15.75" customHeight="1">
      <c r="A382" s="92"/>
      <c r="B382" s="190"/>
      <c r="C382" s="92"/>
      <c r="D382" s="92"/>
      <c r="F382" s="92"/>
      <c r="G382" s="92"/>
      <c r="H382" s="187"/>
      <c r="I382" s="92"/>
      <c r="J382" s="92"/>
      <c r="K382" s="187"/>
      <c r="L382" s="92"/>
      <c r="M382" s="187"/>
      <c r="N382" s="92"/>
      <c r="O382" s="187"/>
      <c r="P382" s="92"/>
      <c r="Q382" s="187"/>
      <c r="R382" s="92"/>
      <c r="S382" s="187"/>
      <c r="T382" s="92"/>
      <c r="U382" s="187"/>
    </row>
    <row r="383" ht="15.75" customHeight="1">
      <c r="A383" s="92"/>
      <c r="B383" s="190"/>
      <c r="C383" s="92"/>
      <c r="D383" s="92"/>
      <c r="F383" s="92"/>
      <c r="G383" s="92"/>
      <c r="H383" s="187"/>
      <c r="I383" s="92"/>
      <c r="J383" s="92"/>
      <c r="K383" s="187"/>
      <c r="L383" s="92"/>
      <c r="M383" s="187"/>
      <c r="N383" s="92"/>
      <c r="O383" s="187"/>
      <c r="P383" s="92"/>
      <c r="Q383" s="187"/>
      <c r="R383" s="92"/>
      <c r="S383" s="187"/>
      <c r="T383" s="92"/>
      <c r="U383" s="187"/>
    </row>
    <row r="384" ht="15.75" customHeight="1">
      <c r="A384" s="92"/>
      <c r="B384" s="190"/>
      <c r="C384" s="92"/>
      <c r="D384" s="92"/>
      <c r="F384" s="92"/>
      <c r="G384" s="92"/>
      <c r="H384" s="187"/>
      <c r="I384" s="92"/>
      <c r="J384" s="92"/>
      <c r="K384" s="187"/>
      <c r="L384" s="92"/>
      <c r="M384" s="187"/>
      <c r="N384" s="92"/>
      <c r="O384" s="187"/>
      <c r="P384" s="92"/>
      <c r="Q384" s="187"/>
      <c r="R384" s="92"/>
      <c r="S384" s="187"/>
      <c r="T384" s="92"/>
      <c r="U384" s="187"/>
    </row>
    <row r="385" ht="15.75" customHeight="1">
      <c r="A385" s="92"/>
      <c r="B385" s="190"/>
      <c r="C385" s="92"/>
      <c r="D385" s="92"/>
      <c r="F385" s="92"/>
      <c r="G385" s="92"/>
      <c r="H385" s="187"/>
      <c r="I385" s="92"/>
      <c r="J385" s="92"/>
      <c r="K385" s="187"/>
      <c r="L385" s="92"/>
      <c r="M385" s="187"/>
      <c r="N385" s="92"/>
      <c r="O385" s="187"/>
      <c r="P385" s="92"/>
      <c r="Q385" s="187"/>
      <c r="R385" s="92"/>
      <c r="S385" s="187"/>
      <c r="T385" s="92"/>
      <c r="U385" s="187"/>
    </row>
    <row r="386" ht="15.75" customHeight="1">
      <c r="A386" s="92"/>
      <c r="B386" s="190"/>
      <c r="C386" s="92"/>
      <c r="D386" s="92"/>
      <c r="F386" s="92"/>
      <c r="G386" s="92"/>
      <c r="H386" s="187"/>
      <c r="I386" s="92"/>
      <c r="J386" s="92"/>
      <c r="K386" s="187"/>
      <c r="L386" s="92"/>
      <c r="M386" s="187"/>
      <c r="N386" s="92"/>
      <c r="O386" s="187"/>
      <c r="P386" s="92"/>
      <c r="Q386" s="187"/>
      <c r="R386" s="92"/>
      <c r="S386" s="187"/>
      <c r="T386" s="92"/>
      <c r="U386" s="187"/>
    </row>
    <row r="387" ht="15.75" customHeight="1">
      <c r="A387" s="92"/>
      <c r="B387" s="190"/>
      <c r="C387" s="92"/>
      <c r="D387" s="92"/>
      <c r="F387" s="92"/>
      <c r="G387" s="92"/>
      <c r="H387" s="187"/>
      <c r="I387" s="92"/>
      <c r="J387" s="92"/>
      <c r="K387" s="187"/>
      <c r="L387" s="92"/>
      <c r="M387" s="187"/>
      <c r="N387" s="92"/>
      <c r="O387" s="187"/>
      <c r="P387" s="92"/>
      <c r="Q387" s="187"/>
      <c r="R387" s="92"/>
      <c r="S387" s="187"/>
      <c r="T387" s="92"/>
      <c r="U387" s="187"/>
    </row>
    <row r="388" ht="15.75" customHeight="1">
      <c r="A388" s="92"/>
      <c r="B388" s="190"/>
      <c r="C388" s="92"/>
      <c r="D388" s="92"/>
      <c r="F388" s="92"/>
      <c r="G388" s="92"/>
      <c r="H388" s="187"/>
      <c r="I388" s="92"/>
      <c r="J388" s="92"/>
      <c r="K388" s="187"/>
      <c r="L388" s="92"/>
      <c r="M388" s="187"/>
      <c r="N388" s="92"/>
      <c r="O388" s="187"/>
      <c r="P388" s="92"/>
      <c r="Q388" s="187"/>
      <c r="R388" s="92"/>
      <c r="S388" s="187"/>
      <c r="T388" s="92"/>
      <c r="U388" s="187"/>
    </row>
    <row r="389" ht="15.75" customHeight="1">
      <c r="A389" s="92"/>
      <c r="B389" s="190"/>
      <c r="C389" s="92"/>
      <c r="D389" s="92"/>
      <c r="F389" s="92"/>
      <c r="G389" s="92"/>
      <c r="H389" s="187"/>
      <c r="I389" s="92"/>
      <c r="J389" s="92"/>
      <c r="K389" s="187"/>
      <c r="L389" s="92"/>
      <c r="M389" s="187"/>
      <c r="N389" s="92"/>
      <c r="O389" s="187"/>
      <c r="P389" s="92"/>
      <c r="Q389" s="187"/>
      <c r="R389" s="92"/>
      <c r="S389" s="187"/>
      <c r="T389" s="92"/>
      <c r="U389" s="187"/>
    </row>
    <row r="390" ht="15.75" customHeight="1">
      <c r="A390" s="92"/>
      <c r="B390" s="190"/>
      <c r="C390" s="92"/>
      <c r="D390" s="92"/>
      <c r="F390" s="92"/>
      <c r="G390" s="92"/>
      <c r="H390" s="187"/>
      <c r="I390" s="92"/>
      <c r="J390" s="92"/>
      <c r="K390" s="187"/>
      <c r="L390" s="92"/>
      <c r="M390" s="187"/>
      <c r="N390" s="92"/>
      <c r="O390" s="187"/>
      <c r="P390" s="92"/>
      <c r="Q390" s="187"/>
      <c r="R390" s="92"/>
      <c r="S390" s="187"/>
      <c r="T390" s="92"/>
      <c r="U390" s="187"/>
    </row>
    <row r="391" ht="15.75" customHeight="1">
      <c r="A391" s="92"/>
      <c r="B391" s="190"/>
      <c r="C391" s="92"/>
      <c r="D391" s="92"/>
      <c r="F391" s="92"/>
      <c r="G391" s="92"/>
      <c r="H391" s="187"/>
      <c r="I391" s="92"/>
      <c r="J391" s="92"/>
      <c r="K391" s="187"/>
      <c r="L391" s="92"/>
      <c r="M391" s="187"/>
      <c r="N391" s="92"/>
      <c r="O391" s="187"/>
      <c r="P391" s="92"/>
      <c r="Q391" s="187"/>
      <c r="R391" s="92"/>
      <c r="S391" s="187"/>
      <c r="T391" s="92"/>
      <c r="U391" s="187"/>
    </row>
    <row r="392" ht="15.75" customHeight="1">
      <c r="A392" s="92"/>
      <c r="B392" s="190"/>
      <c r="C392" s="92"/>
      <c r="D392" s="92"/>
      <c r="F392" s="92"/>
      <c r="G392" s="92"/>
      <c r="H392" s="187"/>
      <c r="I392" s="92"/>
      <c r="J392" s="92"/>
      <c r="K392" s="187"/>
      <c r="L392" s="92"/>
      <c r="M392" s="187"/>
      <c r="N392" s="92"/>
      <c r="O392" s="187"/>
      <c r="P392" s="92"/>
      <c r="Q392" s="187"/>
      <c r="R392" s="92"/>
      <c r="S392" s="187"/>
      <c r="T392" s="92"/>
      <c r="U392" s="187"/>
    </row>
    <row r="393" ht="15.75" customHeight="1">
      <c r="A393" s="92"/>
      <c r="B393" s="190"/>
      <c r="C393" s="92"/>
      <c r="D393" s="92"/>
      <c r="F393" s="92"/>
      <c r="G393" s="92"/>
      <c r="H393" s="187"/>
      <c r="I393" s="92"/>
      <c r="J393" s="92"/>
      <c r="K393" s="187"/>
      <c r="L393" s="92"/>
      <c r="M393" s="187"/>
      <c r="N393" s="92"/>
      <c r="O393" s="187"/>
      <c r="P393" s="92"/>
      <c r="Q393" s="187"/>
      <c r="R393" s="92"/>
      <c r="S393" s="187"/>
      <c r="T393" s="92"/>
      <c r="U393" s="187"/>
    </row>
    <row r="394" ht="15.75" customHeight="1">
      <c r="A394" s="92"/>
      <c r="B394" s="190"/>
      <c r="C394" s="92"/>
      <c r="D394" s="92"/>
      <c r="F394" s="92"/>
      <c r="G394" s="92"/>
      <c r="H394" s="187"/>
      <c r="I394" s="92"/>
      <c r="J394" s="92"/>
      <c r="K394" s="187"/>
      <c r="L394" s="92"/>
      <c r="M394" s="187"/>
      <c r="N394" s="92"/>
      <c r="O394" s="187"/>
      <c r="P394" s="92"/>
      <c r="Q394" s="187"/>
      <c r="R394" s="92"/>
      <c r="S394" s="187"/>
      <c r="T394" s="92"/>
      <c r="U394" s="187"/>
    </row>
    <row r="395" ht="15.75" customHeight="1">
      <c r="A395" s="92"/>
      <c r="B395" s="190"/>
      <c r="C395" s="92"/>
      <c r="D395" s="92"/>
      <c r="F395" s="92"/>
      <c r="G395" s="92"/>
      <c r="H395" s="187"/>
      <c r="I395" s="92"/>
      <c r="J395" s="92"/>
      <c r="K395" s="187"/>
      <c r="L395" s="92"/>
      <c r="M395" s="187"/>
      <c r="N395" s="92"/>
      <c r="O395" s="187"/>
      <c r="P395" s="92"/>
      <c r="Q395" s="187"/>
      <c r="R395" s="92"/>
      <c r="S395" s="187"/>
      <c r="T395" s="92"/>
      <c r="U395" s="187"/>
    </row>
    <row r="396" ht="15.75" customHeight="1">
      <c r="A396" s="92"/>
      <c r="B396" s="190"/>
      <c r="C396" s="92"/>
      <c r="D396" s="92"/>
      <c r="F396" s="92"/>
      <c r="G396" s="92"/>
      <c r="H396" s="187"/>
      <c r="I396" s="92"/>
      <c r="J396" s="92"/>
      <c r="K396" s="187"/>
      <c r="L396" s="92"/>
      <c r="M396" s="187"/>
      <c r="N396" s="92"/>
      <c r="O396" s="187"/>
      <c r="P396" s="92"/>
      <c r="Q396" s="187"/>
      <c r="R396" s="92"/>
      <c r="S396" s="187"/>
      <c r="T396" s="92"/>
      <c r="U396" s="187"/>
    </row>
    <row r="397" ht="15.75" customHeight="1">
      <c r="A397" s="92"/>
      <c r="B397" s="190"/>
      <c r="C397" s="92"/>
      <c r="D397" s="92"/>
      <c r="F397" s="92"/>
      <c r="G397" s="92"/>
      <c r="H397" s="187"/>
      <c r="I397" s="92"/>
      <c r="J397" s="92"/>
      <c r="K397" s="187"/>
      <c r="L397" s="92"/>
      <c r="M397" s="187"/>
      <c r="N397" s="92"/>
      <c r="O397" s="187"/>
      <c r="P397" s="92"/>
      <c r="Q397" s="187"/>
      <c r="R397" s="92"/>
      <c r="S397" s="187"/>
      <c r="T397" s="92"/>
      <c r="U397" s="187"/>
    </row>
    <row r="398" ht="15.75" customHeight="1">
      <c r="A398" s="92"/>
      <c r="B398" s="190"/>
      <c r="C398" s="92"/>
      <c r="D398" s="92"/>
      <c r="F398" s="92"/>
      <c r="G398" s="92"/>
      <c r="H398" s="187"/>
      <c r="I398" s="92"/>
      <c r="J398" s="92"/>
      <c r="K398" s="187"/>
      <c r="L398" s="92"/>
      <c r="M398" s="187"/>
      <c r="N398" s="92"/>
      <c r="O398" s="187"/>
      <c r="P398" s="92"/>
      <c r="Q398" s="187"/>
      <c r="R398" s="92"/>
      <c r="S398" s="187"/>
      <c r="T398" s="92"/>
      <c r="U398" s="187"/>
    </row>
    <row r="399" ht="15.75" customHeight="1">
      <c r="A399" s="92"/>
      <c r="B399" s="190"/>
      <c r="C399" s="92"/>
      <c r="D399" s="92"/>
      <c r="F399" s="92"/>
      <c r="G399" s="92"/>
      <c r="H399" s="187"/>
      <c r="I399" s="92"/>
      <c r="J399" s="92"/>
      <c r="K399" s="187"/>
      <c r="L399" s="92"/>
      <c r="M399" s="187"/>
      <c r="N399" s="92"/>
      <c r="O399" s="187"/>
      <c r="P399" s="92"/>
      <c r="Q399" s="187"/>
      <c r="R399" s="92"/>
      <c r="S399" s="187"/>
      <c r="T399" s="92"/>
      <c r="U399" s="187"/>
    </row>
    <row r="400" ht="15.75" customHeight="1">
      <c r="A400" s="92"/>
      <c r="B400" s="190"/>
      <c r="C400" s="92"/>
      <c r="D400" s="92"/>
      <c r="F400" s="92"/>
      <c r="G400" s="92"/>
      <c r="H400" s="187"/>
      <c r="I400" s="92"/>
      <c r="J400" s="92"/>
      <c r="K400" s="187"/>
      <c r="L400" s="92"/>
      <c r="M400" s="187"/>
      <c r="N400" s="92"/>
      <c r="O400" s="187"/>
      <c r="P400" s="92"/>
      <c r="Q400" s="187"/>
      <c r="R400" s="92"/>
      <c r="S400" s="187"/>
      <c r="T400" s="92"/>
      <c r="U400" s="187"/>
    </row>
    <row r="401" ht="15.75" customHeight="1">
      <c r="A401" s="92"/>
      <c r="B401" s="190"/>
      <c r="C401" s="92"/>
      <c r="D401" s="92"/>
      <c r="F401" s="92"/>
      <c r="G401" s="92"/>
      <c r="H401" s="187"/>
      <c r="I401" s="92"/>
      <c r="J401" s="92"/>
      <c r="K401" s="187"/>
      <c r="L401" s="92"/>
      <c r="M401" s="187"/>
      <c r="N401" s="92"/>
      <c r="O401" s="187"/>
      <c r="P401" s="92"/>
      <c r="Q401" s="187"/>
      <c r="R401" s="92"/>
      <c r="S401" s="187"/>
      <c r="T401" s="92"/>
      <c r="U401" s="187"/>
    </row>
    <row r="402" ht="15.75" customHeight="1">
      <c r="A402" s="92"/>
      <c r="B402" s="190"/>
      <c r="C402" s="92"/>
      <c r="D402" s="92"/>
      <c r="F402" s="92"/>
      <c r="G402" s="92"/>
      <c r="H402" s="187"/>
      <c r="I402" s="92"/>
      <c r="J402" s="92"/>
      <c r="K402" s="187"/>
      <c r="L402" s="92"/>
      <c r="M402" s="187"/>
      <c r="N402" s="92"/>
      <c r="O402" s="187"/>
      <c r="P402" s="92"/>
      <c r="Q402" s="187"/>
      <c r="R402" s="92"/>
      <c r="S402" s="187"/>
      <c r="T402" s="92"/>
      <c r="U402" s="187"/>
    </row>
    <row r="403" ht="15.75" customHeight="1">
      <c r="A403" s="92"/>
      <c r="B403" s="190"/>
      <c r="C403" s="92"/>
      <c r="D403" s="92"/>
      <c r="F403" s="92"/>
      <c r="G403" s="92"/>
      <c r="H403" s="187"/>
      <c r="I403" s="92"/>
      <c r="J403" s="92"/>
      <c r="K403" s="187"/>
      <c r="L403" s="92"/>
      <c r="M403" s="187"/>
      <c r="N403" s="92"/>
      <c r="O403" s="187"/>
      <c r="P403" s="92"/>
      <c r="Q403" s="187"/>
      <c r="R403" s="92"/>
      <c r="S403" s="187"/>
      <c r="T403" s="92"/>
      <c r="U403" s="187"/>
    </row>
    <row r="404" ht="15.75" customHeight="1">
      <c r="A404" s="92"/>
      <c r="B404" s="190"/>
      <c r="C404" s="92"/>
      <c r="D404" s="92"/>
      <c r="F404" s="92"/>
      <c r="G404" s="92"/>
      <c r="H404" s="187"/>
      <c r="I404" s="92"/>
      <c r="J404" s="92"/>
      <c r="K404" s="187"/>
      <c r="L404" s="92"/>
      <c r="M404" s="187"/>
      <c r="N404" s="92"/>
      <c r="O404" s="187"/>
      <c r="P404" s="92"/>
      <c r="Q404" s="187"/>
      <c r="R404" s="92"/>
      <c r="S404" s="187"/>
      <c r="T404" s="92"/>
      <c r="U404" s="187"/>
    </row>
    <row r="405" ht="15.75" customHeight="1">
      <c r="A405" s="92"/>
      <c r="B405" s="190"/>
      <c r="C405" s="92"/>
      <c r="D405" s="92"/>
      <c r="F405" s="92"/>
      <c r="G405" s="92"/>
      <c r="H405" s="187"/>
      <c r="I405" s="92"/>
      <c r="J405" s="92"/>
      <c r="K405" s="187"/>
      <c r="L405" s="92"/>
      <c r="M405" s="187"/>
      <c r="N405" s="92"/>
      <c r="O405" s="187"/>
      <c r="P405" s="92"/>
      <c r="Q405" s="187"/>
      <c r="R405" s="92"/>
      <c r="S405" s="187"/>
      <c r="T405" s="92"/>
      <c r="U405" s="187"/>
    </row>
    <row r="406" ht="15.75" customHeight="1">
      <c r="A406" s="92"/>
      <c r="B406" s="190"/>
      <c r="C406" s="92"/>
      <c r="D406" s="92"/>
      <c r="F406" s="92"/>
      <c r="G406" s="92"/>
      <c r="H406" s="187"/>
      <c r="I406" s="92"/>
      <c r="J406" s="92"/>
      <c r="K406" s="187"/>
      <c r="L406" s="92"/>
      <c r="M406" s="187"/>
      <c r="N406" s="92"/>
      <c r="O406" s="187"/>
      <c r="P406" s="92"/>
      <c r="Q406" s="187"/>
      <c r="R406" s="92"/>
      <c r="S406" s="187"/>
      <c r="T406" s="92"/>
      <c r="U406" s="187"/>
    </row>
    <row r="407" ht="15.75" customHeight="1">
      <c r="A407" s="92"/>
      <c r="B407" s="190"/>
      <c r="C407" s="92"/>
      <c r="D407" s="92"/>
      <c r="F407" s="92"/>
      <c r="G407" s="92"/>
      <c r="H407" s="187"/>
      <c r="I407" s="92"/>
      <c r="J407" s="92"/>
      <c r="K407" s="187"/>
      <c r="L407" s="92"/>
      <c r="M407" s="187"/>
      <c r="N407" s="92"/>
      <c r="O407" s="187"/>
      <c r="P407" s="92"/>
      <c r="Q407" s="187"/>
      <c r="R407" s="92"/>
      <c r="S407" s="187"/>
      <c r="T407" s="92"/>
      <c r="U407" s="187"/>
    </row>
    <row r="408" ht="15.75" customHeight="1">
      <c r="A408" s="92"/>
      <c r="B408" s="190"/>
      <c r="C408" s="92"/>
      <c r="D408" s="92"/>
      <c r="F408" s="92"/>
      <c r="G408" s="92"/>
      <c r="H408" s="187"/>
      <c r="I408" s="92"/>
      <c r="J408" s="92"/>
      <c r="K408" s="187"/>
      <c r="L408" s="92"/>
      <c r="M408" s="187"/>
      <c r="N408" s="92"/>
      <c r="O408" s="187"/>
      <c r="P408" s="92"/>
      <c r="Q408" s="187"/>
      <c r="R408" s="92"/>
      <c r="S408" s="187"/>
      <c r="T408" s="92"/>
      <c r="U408" s="187"/>
    </row>
    <row r="409" ht="15.75" customHeight="1">
      <c r="A409" s="92"/>
      <c r="B409" s="190"/>
      <c r="C409" s="92"/>
      <c r="D409" s="92"/>
      <c r="F409" s="92"/>
      <c r="G409" s="92"/>
      <c r="H409" s="187"/>
      <c r="I409" s="92"/>
      <c r="J409" s="92"/>
      <c r="K409" s="187"/>
      <c r="L409" s="92"/>
      <c r="M409" s="187"/>
      <c r="N409" s="92"/>
      <c r="O409" s="187"/>
      <c r="P409" s="92"/>
      <c r="Q409" s="187"/>
      <c r="R409" s="92"/>
      <c r="S409" s="187"/>
      <c r="T409" s="92"/>
      <c r="U409" s="187"/>
    </row>
    <row r="410" ht="15.75" customHeight="1">
      <c r="A410" s="92"/>
      <c r="B410" s="190"/>
      <c r="C410" s="92"/>
      <c r="D410" s="92"/>
      <c r="F410" s="92"/>
      <c r="G410" s="92"/>
      <c r="H410" s="187"/>
      <c r="I410" s="92"/>
      <c r="J410" s="92"/>
      <c r="K410" s="187"/>
      <c r="L410" s="92"/>
      <c r="M410" s="187"/>
      <c r="N410" s="92"/>
      <c r="O410" s="187"/>
      <c r="P410" s="92"/>
      <c r="Q410" s="187"/>
      <c r="R410" s="92"/>
      <c r="S410" s="187"/>
      <c r="T410" s="92"/>
      <c r="U410" s="187"/>
    </row>
    <row r="411" ht="15.75" customHeight="1">
      <c r="A411" s="92"/>
      <c r="B411" s="190"/>
      <c r="C411" s="92"/>
      <c r="D411" s="92"/>
      <c r="F411" s="92"/>
      <c r="G411" s="92"/>
      <c r="H411" s="187"/>
      <c r="I411" s="92"/>
      <c r="J411" s="92"/>
      <c r="K411" s="187"/>
      <c r="L411" s="92"/>
      <c r="M411" s="187"/>
      <c r="N411" s="92"/>
      <c r="O411" s="187"/>
      <c r="P411" s="92"/>
      <c r="Q411" s="187"/>
      <c r="R411" s="92"/>
      <c r="S411" s="187"/>
      <c r="T411" s="92"/>
      <c r="U411" s="187"/>
    </row>
    <row r="412" ht="15.75" customHeight="1">
      <c r="A412" s="92"/>
      <c r="B412" s="190"/>
      <c r="C412" s="92"/>
      <c r="D412" s="92"/>
      <c r="F412" s="92"/>
      <c r="G412" s="92"/>
      <c r="H412" s="187"/>
      <c r="I412" s="92"/>
      <c r="J412" s="92"/>
      <c r="K412" s="187"/>
      <c r="L412" s="92"/>
      <c r="M412" s="187"/>
      <c r="N412" s="92"/>
      <c r="O412" s="187"/>
      <c r="P412" s="92"/>
      <c r="Q412" s="187"/>
      <c r="R412" s="92"/>
      <c r="S412" s="187"/>
      <c r="T412" s="92"/>
      <c r="U412" s="187"/>
    </row>
    <row r="413" ht="15.75" customHeight="1">
      <c r="A413" s="92"/>
      <c r="B413" s="190"/>
      <c r="C413" s="92"/>
      <c r="D413" s="92"/>
      <c r="F413" s="92"/>
      <c r="G413" s="92"/>
      <c r="H413" s="187"/>
      <c r="I413" s="92"/>
      <c r="J413" s="92"/>
      <c r="K413" s="187"/>
      <c r="L413" s="92"/>
      <c r="M413" s="187"/>
      <c r="N413" s="92"/>
      <c r="O413" s="187"/>
      <c r="P413" s="92"/>
      <c r="Q413" s="187"/>
      <c r="R413" s="92"/>
      <c r="S413" s="187"/>
      <c r="T413" s="92"/>
      <c r="U413" s="187"/>
    </row>
    <row r="414" ht="15.75" customHeight="1">
      <c r="A414" s="92"/>
      <c r="B414" s="190"/>
      <c r="C414" s="92"/>
      <c r="D414" s="92"/>
      <c r="F414" s="92"/>
      <c r="G414" s="92"/>
      <c r="H414" s="187"/>
      <c r="I414" s="92"/>
      <c r="J414" s="92"/>
      <c r="K414" s="187"/>
      <c r="L414" s="92"/>
      <c r="M414" s="187"/>
      <c r="N414" s="92"/>
      <c r="O414" s="187"/>
      <c r="P414" s="92"/>
      <c r="Q414" s="187"/>
      <c r="R414" s="92"/>
      <c r="S414" s="187"/>
      <c r="T414" s="92"/>
      <c r="U414" s="187"/>
    </row>
    <row r="415" ht="15.75" customHeight="1">
      <c r="A415" s="92"/>
      <c r="B415" s="190"/>
      <c r="C415" s="92"/>
      <c r="D415" s="92"/>
      <c r="F415" s="92"/>
      <c r="G415" s="92"/>
      <c r="H415" s="187"/>
      <c r="I415" s="92"/>
      <c r="J415" s="92"/>
      <c r="K415" s="187"/>
      <c r="L415" s="92"/>
      <c r="M415" s="187"/>
      <c r="N415" s="92"/>
      <c r="O415" s="187"/>
      <c r="P415" s="92"/>
      <c r="Q415" s="187"/>
      <c r="R415" s="92"/>
      <c r="S415" s="187"/>
      <c r="T415" s="92"/>
      <c r="U415" s="187"/>
    </row>
    <row r="416" ht="15.75" customHeight="1">
      <c r="A416" s="92"/>
      <c r="B416" s="190"/>
      <c r="C416" s="92"/>
      <c r="D416" s="92"/>
      <c r="F416" s="92"/>
      <c r="G416" s="92"/>
      <c r="H416" s="187"/>
      <c r="I416" s="92"/>
      <c r="J416" s="92"/>
      <c r="K416" s="187"/>
      <c r="L416" s="92"/>
      <c r="M416" s="187"/>
      <c r="N416" s="92"/>
      <c r="O416" s="187"/>
      <c r="P416" s="92"/>
      <c r="Q416" s="187"/>
      <c r="R416" s="92"/>
      <c r="S416" s="187"/>
      <c r="T416" s="92"/>
      <c r="U416" s="187"/>
    </row>
    <row r="417" ht="15.75" customHeight="1">
      <c r="A417" s="92"/>
      <c r="B417" s="190"/>
      <c r="C417" s="92"/>
      <c r="D417" s="92"/>
      <c r="F417" s="92"/>
      <c r="G417" s="92"/>
      <c r="H417" s="187"/>
      <c r="I417" s="92"/>
      <c r="J417" s="92"/>
      <c r="K417" s="187"/>
      <c r="L417" s="92"/>
      <c r="M417" s="187"/>
      <c r="N417" s="92"/>
      <c r="O417" s="187"/>
      <c r="P417" s="92"/>
      <c r="Q417" s="187"/>
      <c r="R417" s="92"/>
      <c r="S417" s="187"/>
      <c r="T417" s="92"/>
      <c r="U417" s="187"/>
    </row>
    <row r="418" ht="15.75" customHeight="1">
      <c r="A418" s="92"/>
      <c r="B418" s="190"/>
      <c r="C418" s="92"/>
      <c r="D418" s="92"/>
      <c r="F418" s="92"/>
      <c r="G418" s="92"/>
      <c r="H418" s="187"/>
      <c r="I418" s="92"/>
      <c r="J418" s="92"/>
      <c r="K418" s="187"/>
      <c r="L418" s="92"/>
      <c r="M418" s="187"/>
      <c r="N418" s="92"/>
      <c r="O418" s="187"/>
      <c r="P418" s="92"/>
      <c r="Q418" s="187"/>
      <c r="R418" s="92"/>
      <c r="S418" s="187"/>
      <c r="T418" s="92"/>
      <c r="U418" s="187"/>
    </row>
    <row r="419" ht="15.75" customHeight="1">
      <c r="A419" s="92"/>
      <c r="B419" s="190"/>
      <c r="C419" s="92"/>
      <c r="D419" s="92"/>
      <c r="F419" s="92"/>
      <c r="G419" s="92"/>
      <c r="H419" s="187"/>
      <c r="I419" s="92"/>
      <c r="J419" s="92"/>
      <c r="K419" s="187"/>
      <c r="L419" s="92"/>
      <c r="M419" s="187"/>
      <c r="N419" s="92"/>
      <c r="O419" s="187"/>
      <c r="P419" s="92"/>
      <c r="Q419" s="187"/>
      <c r="R419" s="92"/>
      <c r="S419" s="187"/>
      <c r="T419" s="92"/>
      <c r="U419" s="187"/>
    </row>
    <row r="420" ht="15.75" customHeight="1">
      <c r="A420" s="92"/>
      <c r="B420" s="190"/>
      <c r="C420" s="92"/>
      <c r="D420" s="92"/>
      <c r="F420" s="92"/>
      <c r="G420" s="92"/>
      <c r="H420" s="187"/>
      <c r="I420" s="92"/>
      <c r="J420" s="92"/>
      <c r="K420" s="187"/>
      <c r="L420" s="92"/>
      <c r="M420" s="187"/>
      <c r="N420" s="92"/>
      <c r="O420" s="187"/>
      <c r="P420" s="92"/>
      <c r="Q420" s="187"/>
      <c r="R420" s="92"/>
      <c r="S420" s="187"/>
      <c r="T420" s="92"/>
      <c r="U420" s="187"/>
    </row>
    <row r="421" ht="15.75" customHeight="1">
      <c r="A421" s="92"/>
      <c r="B421" s="190"/>
      <c r="C421" s="92"/>
      <c r="D421" s="92"/>
      <c r="F421" s="92"/>
      <c r="G421" s="92"/>
      <c r="H421" s="187"/>
      <c r="I421" s="92"/>
      <c r="J421" s="92"/>
      <c r="K421" s="187"/>
      <c r="L421" s="92"/>
      <c r="M421" s="187"/>
      <c r="N421" s="92"/>
      <c r="O421" s="187"/>
      <c r="P421" s="92"/>
      <c r="Q421" s="187"/>
      <c r="R421" s="92"/>
      <c r="S421" s="187"/>
      <c r="T421" s="92"/>
      <c r="U421" s="187"/>
    </row>
    <row r="422" ht="15.75" customHeight="1">
      <c r="A422" s="92"/>
      <c r="B422" s="190"/>
      <c r="C422" s="92"/>
      <c r="D422" s="92"/>
      <c r="F422" s="92"/>
      <c r="G422" s="92"/>
      <c r="H422" s="187"/>
      <c r="I422" s="92"/>
      <c r="J422" s="92"/>
      <c r="K422" s="187"/>
      <c r="L422" s="92"/>
      <c r="M422" s="187"/>
      <c r="N422" s="92"/>
      <c r="O422" s="187"/>
      <c r="P422" s="92"/>
      <c r="Q422" s="187"/>
      <c r="R422" s="92"/>
      <c r="S422" s="187"/>
      <c r="T422" s="92"/>
      <c r="U422" s="187"/>
    </row>
    <row r="423" ht="15.75" customHeight="1">
      <c r="A423" s="92"/>
      <c r="B423" s="190"/>
      <c r="C423" s="92"/>
      <c r="D423" s="92"/>
      <c r="F423" s="92"/>
      <c r="G423" s="92"/>
      <c r="H423" s="187"/>
      <c r="I423" s="92"/>
      <c r="J423" s="92"/>
      <c r="K423" s="187"/>
      <c r="L423" s="92"/>
      <c r="M423" s="187"/>
      <c r="N423" s="92"/>
      <c r="O423" s="187"/>
      <c r="P423" s="92"/>
      <c r="Q423" s="187"/>
      <c r="R423" s="92"/>
      <c r="S423" s="187"/>
      <c r="T423" s="92"/>
      <c r="U423" s="187"/>
    </row>
    <row r="424" ht="15.75" customHeight="1">
      <c r="A424" s="92"/>
      <c r="B424" s="190"/>
      <c r="C424" s="92"/>
      <c r="D424" s="92"/>
      <c r="F424" s="92"/>
      <c r="G424" s="92"/>
      <c r="H424" s="187"/>
      <c r="I424" s="92"/>
      <c r="J424" s="92"/>
      <c r="K424" s="187"/>
      <c r="L424" s="92"/>
      <c r="M424" s="187"/>
      <c r="N424" s="92"/>
      <c r="O424" s="187"/>
      <c r="P424" s="92"/>
      <c r="Q424" s="187"/>
      <c r="R424" s="92"/>
      <c r="S424" s="187"/>
      <c r="T424" s="92"/>
      <c r="U424" s="187"/>
    </row>
    <row r="425" ht="15.75" customHeight="1">
      <c r="A425" s="92"/>
      <c r="B425" s="190"/>
      <c r="C425" s="92"/>
      <c r="D425" s="92"/>
      <c r="F425" s="92"/>
      <c r="G425" s="92"/>
      <c r="H425" s="187"/>
      <c r="I425" s="92"/>
      <c r="J425" s="92"/>
      <c r="K425" s="187"/>
      <c r="L425" s="92"/>
      <c r="M425" s="187"/>
      <c r="N425" s="92"/>
      <c r="O425" s="187"/>
      <c r="P425" s="92"/>
      <c r="Q425" s="187"/>
      <c r="R425" s="92"/>
      <c r="S425" s="187"/>
      <c r="T425" s="92"/>
      <c r="U425" s="187"/>
    </row>
    <row r="426" ht="15.75" customHeight="1">
      <c r="A426" s="92"/>
      <c r="B426" s="190"/>
      <c r="C426" s="92"/>
      <c r="D426" s="92"/>
      <c r="F426" s="92"/>
      <c r="G426" s="92"/>
      <c r="H426" s="187"/>
      <c r="I426" s="92"/>
      <c r="J426" s="92"/>
      <c r="K426" s="187"/>
      <c r="L426" s="92"/>
      <c r="M426" s="187"/>
      <c r="N426" s="92"/>
      <c r="O426" s="187"/>
      <c r="P426" s="92"/>
      <c r="Q426" s="187"/>
      <c r="R426" s="92"/>
      <c r="S426" s="187"/>
      <c r="T426" s="92"/>
      <c r="U426" s="187"/>
    </row>
    <row r="427" ht="15.75" customHeight="1">
      <c r="A427" s="92"/>
      <c r="B427" s="190"/>
      <c r="C427" s="92"/>
      <c r="D427" s="92"/>
      <c r="F427" s="92"/>
      <c r="G427" s="92"/>
      <c r="H427" s="187"/>
      <c r="I427" s="92"/>
      <c r="J427" s="92"/>
      <c r="K427" s="187"/>
      <c r="L427" s="92"/>
      <c r="M427" s="187"/>
      <c r="N427" s="92"/>
      <c r="O427" s="187"/>
      <c r="P427" s="92"/>
      <c r="Q427" s="187"/>
      <c r="R427" s="92"/>
      <c r="S427" s="187"/>
      <c r="T427" s="92"/>
      <c r="U427" s="187"/>
    </row>
    <row r="428" ht="15.75" customHeight="1">
      <c r="A428" s="92"/>
      <c r="B428" s="190"/>
      <c r="C428" s="92"/>
      <c r="D428" s="92"/>
      <c r="F428" s="92"/>
      <c r="G428" s="92"/>
      <c r="H428" s="187"/>
      <c r="I428" s="92"/>
      <c r="J428" s="92"/>
      <c r="K428" s="187"/>
      <c r="L428" s="92"/>
      <c r="M428" s="187"/>
      <c r="N428" s="92"/>
      <c r="O428" s="187"/>
      <c r="P428" s="92"/>
      <c r="Q428" s="187"/>
      <c r="R428" s="92"/>
      <c r="S428" s="187"/>
      <c r="T428" s="92"/>
      <c r="U428" s="187"/>
    </row>
    <row r="429" ht="15.75" customHeight="1">
      <c r="A429" s="92"/>
      <c r="B429" s="190"/>
      <c r="C429" s="92"/>
      <c r="D429" s="92"/>
      <c r="F429" s="92"/>
      <c r="G429" s="92"/>
      <c r="H429" s="187"/>
      <c r="I429" s="92"/>
      <c r="J429" s="92"/>
      <c r="K429" s="187"/>
      <c r="L429" s="92"/>
      <c r="M429" s="187"/>
      <c r="N429" s="92"/>
      <c r="O429" s="187"/>
      <c r="P429" s="92"/>
      <c r="Q429" s="187"/>
      <c r="R429" s="92"/>
      <c r="S429" s="187"/>
      <c r="T429" s="92"/>
      <c r="U429" s="187"/>
    </row>
    <row r="430" ht="15.75" customHeight="1">
      <c r="A430" s="92"/>
      <c r="B430" s="190"/>
      <c r="C430" s="92"/>
      <c r="D430" s="92"/>
      <c r="F430" s="92"/>
      <c r="G430" s="92"/>
      <c r="H430" s="187"/>
      <c r="I430" s="92"/>
      <c r="J430" s="92"/>
      <c r="K430" s="187"/>
      <c r="L430" s="92"/>
      <c r="M430" s="187"/>
      <c r="N430" s="92"/>
      <c r="O430" s="187"/>
      <c r="P430" s="92"/>
      <c r="Q430" s="187"/>
      <c r="R430" s="92"/>
      <c r="S430" s="187"/>
      <c r="T430" s="92"/>
      <c r="U430" s="187"/>
    </row>
    <row r="431" ht="15.75" customHeight="1">
      <c r="A431" s="92"/>
      <c r="B431" s="190"/>
      <c r="C431" s="92"/>
      <c r="D431" s="92"/>
      <c r="F431" s="92"/>
      <c r="G431" s="92"/>
      <c r="H431" s="187"/>
      <c r="I431" s="92"/>
      <c r="J431" s="92"/>
      <c r="K431" s="187"/>
      <c r="L431" s="92"/>
      <c r="M431" s="187"/>
      <c r="N431" s="92"/>
      <c r="O431" s="187"/>
      <c r="P431" s="92"/>
      <c r="Q431" s="187"/>
      <c r="R431" s="92"/>
      <c r="S431" s="187"/>
      <c r="T431" s="92"/>
      <c r="U431" s="187"/>
    </row>
    <row r="432" ht="15.75" customHeight="1">
      <c r="A432" s="92"/>
      <c r="B432" s="190"/>
      <c r="C432" s="92"/>
      <c r="D432" s="92"/>
      <c r="F432" s="92"/>
      <c r="G432" s="92"/>
      <c r="H432" s="187"/>
      <c r="I432" s="92"/>
      <c r="J432" s="92"/>
      <c r="K432" s="187"/>
      <c r="L432" s="92"/>
      <c r="M432" s="187"/>
      <c r="N432" s="92"/>
      <c r="O432" s="187"/>
      <c r="P432" s="92"/>
      <c r="Q432" s="187"/>
      <c r="R432" s="92"/>
      <c r="S432" s="187"/>
      <c r="T432" s="92"/>
      <c r="U432" s="187"/>
    </row>
    <row r="433" ht="15.75" customHeight="1">
      <c r="A433" s="92"/>
      <c r="B433" s="190"/>
      <c r="C433" s="92"/>
      <c r="D433" s="92"/>
      <c r="F433" s="92"/>
      <c r="G433" s="92"/>
      <c r="H433" s="187"/>
      <c r="I433" s="92"/>
      <c r="J433" s="92"/>
      <c r="K433" s="187"/>
      <c r="L433" s="92"/>
      <c r="M433" s="187"/>
      <c r="N433" s="92"/>
      <c r="O433" s="187"/>
      <c r="P433" s="92"/>
      <c r="Q433" s="187"/>
      <c r="R433" s="92"/>
      <c r="S433" s="187"/>
      <c r="T433" s="92"/>
      <c r="U433" s="187"/>
    </row>
    <row r="434" ht="15.75" customHeight="1">
      <c r="A434" s="92"/>
      <c r="B434" s="190"/>
      <c r="C434" s="92"/>
      <c r="D434" s="92"/>
      <c r="F434" s="92"/>
      <c r="G434" s="92"/>
      <c r="H434" s="187"/>
      <c r="I434" s="92"/>
      <c r="J434" s="92"/>
      <c r="K434" s="187"/>
      <c r="L434" s="92"/>
      <c r="M434" s="187"/>
      <c r="N434" s="92"/>
      <c r="O434" s="187"/>
      <c r="P434" s="92"/>
      <c r="Q434" s="187"/>
      <c r="R434" s="92"/>
      <c r="S434" s="187"/>
      <c r="T434" s="92"/>
      <c r="U434" s="187"/>
    </row>
    <row r="435" ht="15.75" customHeight="1">
      <c r="A435" s="92"/>
      <c r="B435" s="190"/>
      <c r="C435" s="92"/>
      <c r="D435" s="92"/>
      <c r="F435" s="92"/>
      <c r="G435" s="92"/>
      <c r="H435" s="187"/>
      <c r="I435" s="92"/>
      <c r="J435" s="92"/>
      <c r="K435" s="187"/>
      <c r="L435" s="92"/>
      <c r="M435" s="187"/>
      <c r="N435" s="92"/>
      <c r="O435" s="187"/>
      <c r="P435" s="92"/>
      <c r="Q435" s="187"/>
      <c r="R435" s="92"/>
      <c r="S435" s="187"/>
      <c r="T435" s="92"/>
      <c r="U435" s="187"/>
    </row>
    <row r="436" ht="15.75" customHeight="1">
      <c r="A436" s="92"/>
      <c r="B436" s="190"/>
      <c r="C436" s="92"/>
      <c r="D436" s="92"/>
      <c r="F436" s="92"/>
      <c r="G436" s="92"/>
      <c r="H436" s="187"/>
      <c r="I436" s="92"/>
      <c r="J436" s="92"/>
      <c r="K436" s="187"/>
      <c r="L436" s="92"/>
      <c r="M436" s="187"/>
      <c r="N436" s="92"/>
      <c r="O436" s="187"/>
      <c r="P436" s="92"/>
      <c r="Q436" s="187"/>
      <c r="R436" s="92"/>
      <c r="S436" s="187"/>
      <c r="T436" s="92"/>
      <c r="U436" s="187"/>
    </row>
    <row r="437" ht="15.75" customHeight="1">
      <c r="A437" s="92"/>
      <c r="B437" s="190"/>
      <c r="C437" s="92"/>
      <c r="D437" s="92"/>
      <c r="F437" s="92"/>
      <c r="G437" s="92"/>
      <c r="H437" s="187"/>
      <c r="I437" s="92"/>
      <c r="J437" s="92"/>
      <c r="K437" s="187"/>
      <c r="L437" s="92"/>
      <c r="M437" s="187"/>
      <c r="N437" s="92"/>
      <c r="O437" s="187"/>
      <c r="P437" s="92"/>
      <c r="Q437" s="187"/>
      <c r="R437" s="92"/>
      <c r="S437" s="187"/>
      <c r="T437" s="92"/>
      <c r="U437" s="187"/>
    </row>
    <row r="438" ht="15.75" customHeight="1">
      <c r="A438" s="92"/>
      <c r="B438" s="190"/>
      <c r="C438" s="92"/>
      <c r="D438" s="92"/>
      <c r="F438" s="92"/>
      <c r="G438" s="92"/>
      <c r="H438" s="187"/>
      <c r="I438" s="92"/>
      <c r="J438" s="92"/>
      <c r="K438" s="187"/>
      <c r="L438" s="92"/>
      <c r="M438" s="187"/>
      <c r="N438" s="92"/>
      <c r="O438" s="187"/>
      <c r="P438" s="92"/>
      <c r="Q438" s="187"/>
      <c r="R438" s="92"/>
      <c r="S438" s="187"/>
      <c r="T438" s="92"/>
      <c r="U438" s="187"/>
    </row>
    <row r="439" ht="15.75" customHeight="1">
      <c r="A439" s="92"/>
      <c r="B439" s="190"/>
      <c r="C439" s="92"/>
      <c r="D439" s="92"/>
      <c r="F439" s="92"/>
      <c r="G439" s="92"/>
      <c r="H439" s="187"/>
      <c r="I439" s="92"/>
      <c r="J439" s="92"/>
      <c r="K439" s="187"/>
      <c r="L439" s="92"/>
      <c r="M439" s="187"/>
      <c r="N439" s="92"/>
      <c r="O439" s="187"/>
      <c r="P439" s="92"/>
      <c r="Q439" s="187"/>
      <c r="R439" s="92"/>
      <c r="S439" s="187"/>
      <c r="T439" s="92"/>
      <c r="U439" s="187"/>
    </row>
    <row r="440" ht="15.75" customHeight="1">
      <c r="A440" s="92"/>
      <c r="B440" s="190"/>
      <c r="C440" s="92"/>
      <c r="D440" s="92"/>
      <c r="F440" s="92"/>
      <c r="G440" s="92"/>
      <c r="H440" s="187"/>
      <c r="I440" s="92"/>
      <c r="J440" s="92"/>
      <c r="K440" s="187"/>
      <c r="L440" s="92"/>
      <c r="M440" s="187"/>
      <c r="N440" s="92"/>
      <c r="O440" s="187"/>
      <c r="P440" s="92"/>
      <c r="Q440" s="187"/>
      <c r="R440" s="92"/>
      <c r="S440" s="187"/>
      <c r="T440" s="92"/>
      <c r="U440" s="187"/>
    </row>
    <row r="441" ht="15.75" customHeight="1">
      <c r="A441" s="92"/>
      <c r="B441" s="190"/>
      <c r="C441" s="92"/>
      <c r="D441" s="92"/>
      <c r="F441" s="92"/>
      <c r="G441" s="92"/>
      <c r="H441" s="187"/>
      <c r="I441" s="92"/>
      <c r="J441" s="92"/>
      <c r="K441" s="187"/>
      <c r="L441" s="92"/>
      <c r="M441" s="187"/>
      <c r="N441" s="92"/>
      <c r="O441" s="187"/>
      <c r="P441" s="92"/>
      <c r="Q441" s="187"/>
      <c r="R441" s="92"/>
      <c r="S441" s="187"/>
      <c r="T441" s="92"/>
      <c r="U441" s="187"/>
    </row>
    <row r="442" ht="15.75" customHeight="1">
      <c r="A442" s="92"/>
      <c r="B442" s="190"/>
      <c r="C442" s="92"/>
      <c r="D442" s="92"/>
      <c r="F442" s="92"/>
      <c r="G442" s="92"/>
      <c r="H442" s="187"/>
      <c r="I442" s="92"/>
      <c r="J442" s="92"/>
      <c r="K442" s="187"/>
      <c r="L442" s="92"/>
      <c r="M442" s="187"/>
      <c r="N442" s="92"/>
      <c r="O442" s="187"/>
      <c r="P442" s="92"/>
      <c r="Q442" s="187"/>
      <c r="R442" s="92"/>
      <c r="S442" s="187"/>
      <c r="T442" s="92"/>
      <c r="U442" s="187"/>
    </row>
    <row r="443" ht="15.75" customHeight="1">
      <c r="A443" s="92"/>
      <c r="B443" s="190"/>
      <c r="C443" s="92"/>
      <c r="D443" s="92"/>
      <c r="F443" s="92"/>
      <c r="G443" s="92"/>
      <c r="H443" s="187"/>
      <c r="I443" s="92"/>
      <c r="J443" s="92"/>
      <c r="K443" s="187"/>
      <c r="L443" s="92"/>
      <c r="M443" s="187"/>
      <c r="N443" s="92"/>
      <c r="O443" s="187"/>
      <c r="P443" s="92"/>
      <c r="Q443" s="187"/>
      <c r="R443" s="92"/>
      <c r="S443" s="187"/>
      <c r="T443" s="92"/>
      <c r="U443" s="187"/>
    </row>
    <row r="444" ht="15.75" customHeight="1">
      <c r="A444" s="92"/>
      <c r="B444" s="190"/>
      <c r="C444" s="92"/>
      <c r="D444" s="92"/>
      <c r="F444" s="92"/>
      <c r="G444" s="92"/>
      <c r="H444" s="187"/>
      <c r="I444" s="92"/>
      <c r="J444" s="92"/>
      <c r="K444" s="187"/>
      <c r="L444" s="92"/>
      <c r="M444" s="187"/>
      <c r="N444" s="92"/>
      <c r="O444" s="187"/>
      <c r="P444" s="92"/>
      <c r="Q444" s="187"/>
      <c r="R444" s="92"/>
      <c r="S444" s="187"/>
      <c r="T444" s="92"/>
      <c r="U444" s="187"/>
    </row>
    <row r="445" ht="15.75" customHeight="1">
      <c r="A445" s="92"/>
      <c r="B445" s="190"/>
      <c r="C445" s="92"/>
      <c r="D445" s="92"/>
      <c r="F445" s="92"/>
      <c r="G445" s="92"/>
      <c r="H445" s="187"/>
      <c r="I445" s="92"/>
      <c r="J445" s="92"/>
      <c r="K445" s="187"/>
      <c r="L445" s="92"/>
      <c r="M445" s="187"/>
      <c r="N445" s="92"/>
      <c r="O445" s="187"/>
      <c r="P445" s="92"/>
      <c r="Q445" s="187"/>
      <c r="R445" s="92"/>
      <c r="S445" s="187"/>
      <c r="T445" s="92"/>
      <c r="U445" s="187"/>
    </row>
    <row r="446" ht="15.75" customHeight="1">
      <c r="A446" s="92"/>
      <c r="B446" s="190"/>
      <c r="C446" s="92"/>
      <c r="D446" s="92"/>
      <c r="F446" s="92"/>
      <c r="G446" s="92"/>
      <c r="H446" s="187"/>
      <c r="I446" s="92"/>
      <c r="J446" s="92"/>
      <c r="K446" s="187"/>
      <c r="L446" s="92"/>
      <c r="M446" s="187"/>
      <c r="N446" s="92"/>
      <c r="O446" s="187"/>
      <c r="P446" s="92"/>
      <c r="Q446" s="187"/>
      <c r="R446" s="92"/>
      <c r="S446" s="187"/>
      <c r="T446" s="92"/>
      <c r="U446" s="187"/>
    </row>
    <row r="447" ht="15.75" customHeight="1">
      <c r="A447" s="92"/>
      <c r="B447" s="190"/>
      <c r="C447" s="92"/>
      <c r="D447" s="92"/>
      <c r="F447" s="92"/>
      <c r="G447" s="92"/>
      <c r="H447" s="187"/>
      <c r="I447" s="92"/>
      <c r="J447" s="92"/>
      <c r="K447" s="187"/>
      <c r="L447" s="92"/>
      <c r="M447" s="187"/>
      <c r="N447" s="92"/>
      <c r="O447" s="187"/>
      <c r="P447" s="92"/>
      <c r="Q447" s="187"/>
      <c r="R447" s="92"/>
      <c r="S447" s="187"/>
      <c r="T447" s="92"/>
      <c r="U447" s="187"/>
    </row>
    <row r="448" ht="15.75" customHeight="1">
      <c r="A448" s="92"/>
      <c r="B448" s="190"/>
      <c r="C448" s="92"/>
      <c r="D448" s="92"/>
      <c r="F448" s="92"/>
      <c r="G448" s="92"/>
      <c r="H448" s="187"/>
      <c r="I448" s="92"/>
      <c r="J448" s="92"/>
      <c r="K448" s="187"/>
      <c r="L448" s="92"/>
      <c r="M448" s="187"/>
      <c r="N448" s="92"/>
      <c r="O448" s="187"/>
      <c r="P448" s="92"/>
      <c r="Q448" s="187"/>
      <c r="R448" s="92"/>
      <c r="S448" s="187"/>
      <c r="T448" s="92"/>
      <c r="U448" s="187"/>
    </row>
    <row r="449" ht="15.75" customHeight="1">
      <c r="A449" s="92"/>
      <c r="B449" s="190"/>
      <c r="C449" s="92"/>
      <c r="D449" s="92"/>
      <c r="F449" s="92"/>
      <c r="G449" s="92"/>
      <c r="H449" s="187"/>
      <c r="I449" s="92"/>
      <c r="J449" s="92"/>
      <c r="K449" s="187"/>
      <c r="L449" s="92"/>
      <c r="M449" s="187"/>
      <c r="N449" s="92"/>
      <c r="O449" s="187"/>
      <c r="P449" s="92"/>
      <c r="Q449" s="187"/>
      <c r="R449" s="92"/>
      <c r="S449" s="187"/>
      <c r="T449" s="92"/>
      <c r="U449" s="187"/>
    </row>
    <row r="450" ht="15.75" customHeight="1">
      <c r="A450" s="92"/>
      <c r="B450" s="190"/>
      <c r="C450" s="92"/>
      <c r="D450" s="92"/>
      <c r="F450" s="92"/>
      <c r="G450" s="92"/>
      <c r="H450" s="187"/>
      <c r="I450" s="92"/>
      <c r="J450" s="92"/>
      <c r="K450" s="187"/>
      <c r="L450" s="92"/>
      <c r="M450" s="187"/>
      <c r="N450" s="92"/>
      <c r="O450" s="187"/>
      <c r="P450" s="92"/>
      <c r="Q450" s="187"/>
      <c r="R450" s="92"/>
      <c r="S450" s="187"/>
      <c r="T450" s="92"/>
      <c r="U450" s="187"/>
    </row>
    <row r="451" ht="15.75" customHeight="1">
      <c r="A451" s="92"/>
      <c r="B451" s="190"/>
      <c r="C451" s="92"/>
      <c r="D451" s="92"/>
      <c r="F451" s="92"/>
      <c r="G451" s="92"/>
      <c r="H451" s="187"/>
      <c r="I451" s="92"/>
      <c r="J451" s="92"/>
      <c r="K451" s="187"/>
      <c r="L451" s="92"/>
      <c r="M451" s="187"/>
      <c r="N451" s="92"/>
      <c r="O451" s="187"/>
      <c r="P451" s="92"/>
      <c r="Q451" s="187"/>
      <c r="R451" s="92"/>
      <c r="S451" s="187"/>
      <c r="T451" s="92"/>
      <c r="U451" s="187"/>
    </row>
    <row r="452" ht="15.75" customHeight="1">
      <c r="A452" s="92"/>
      <c r="B452" s="190"/>
      <c r="C452" s="92"/>
      <c r="D452" s="92"/>
      <c r="F452" s="92"/>
      <c r="G452" s="92"/>
      <c r="H452" s="187"/>
      <c r="I452" s="92"/>
      <c r="J452" s="92"/>
      <c r="K452" s="187"/>
      <c r="L452" s="92"/>
      <c r="M452" s="187"/>
      <c r="N452" s="92"/>
      <c r="O452" s="187"/>
      <c r="P452" s="92"/>
      <c r="Q452" s="187"/>
      <c r="R452" s="92"/>
      <c r="S452" s="187"/>
      <c r="T452" s="92"/>
      <c r="U452" s="187"/>
    </row>
    <row r="453" ht="15.75" customHeight="1">
      <c r="A453" s="92"/>
      <c r="B453" s="190"/>
      <c r="C453" s="92"/>
      <c r="D453" s="92"/>
      <c r="F453" s="92"/>
      <c r="G453" s="92"/>
      <c r="H453" s="187"/>
      <c r="I453" s="92"/>
      <c r="J453" s="92"/>
      <c r="K453" s="187"/>
      <c r="L453" s="92"/>
      <c r="M453" s="187"/>
      <c r="N453" s="92"/>
      <c r="O453" s="187"/>
      <c r="P453" s="92"/>
      <c r="Q453" s="187"/>
      <c r="R453" s="92"/>
      <c r="S453" s="187"/>
      <c r="T453" s="92"/>
      <c r="U453" s="187"/>
    </row>
    <row r="454" ht="15.75" customHeight="1">
      <c r="A454" s="92"/>
      <c r="B454" s="190"/>
      <c r="C454" s="92"/>
      <c r="D454" s="92"/>
      <c r="F454" s="92"/>
      <c r="G454" s="92"/>
      <c r="H454" s="187"/>
      <c r="I454" s="92"/>
      <c r="J454" s="92"/>
      <c r="K454" s="187"/>
      <c r="L454" s="92"/>
      <c r="M454" s="187"/>
      <c r="N454" s="92"/>
      <c r="O454" s="187"/>
      <c r="P454" s="92"/>
      <c r="Q454" s="187"/>
      <c r="R454" s="92"/>
      <c r="S454" s="187"/>
      <c r="T454" s="92"/>
      <c r="U454" s="187"/>
    </row>
    <row r="455" ht="15.75" customHeight="1">
      <c r="A455" s="92"/>
      <c r="B455" s="190"/>
      <c r="C455" s="92"/>
      <c r="D455" s="92"/>
      <c r="F455" s="92"/>
      <c r="G455" s="92"/>
      <c r="H455" s="187"/>
      <c r="I455" s="92"/>
      <c r="J455" s="92"/>
      <c r="K455" s="187"/>
      <c r="L455" s="92"/>
      <c r="M455" s="187"/>
      <c r="N455" s="92"/>
      <c r="O455" s="187"/>
      <c r="P455" s="92"/>
      <c r="Q455" s="187"/>
      <c r="R455" s="92"/>
      <c r="S455" s="187"/>
      <c r="T455" s="92"/>
      <c r="U455" s="187"/>
    </row>
    <row r="456" ht="15.75" customHeight="1">
      <c r="A456" s="92"/>
      <c r="B456" s="190"/>
      <c r="C456" s="92"/>
      <c r="D456" s="92"/>
      <c r="F456" s="92"/>
      <c r="G456" s="92"/>
      <c r="H456" s="187"/>
      <c r="I456" s="92"/>
      <c r="J456" s="92"/>
      <c r="K456" s="187"/>
      <c r="L456" s="92"/>
      <c r="M456" s="187"/>
      <c r="N456" s="92"/>
      <c r="O456" s="187"/>
      <c r="P456" s="92"/>
      <c r="Q456" s="187"/>
      <c r="R456" s="92"/>
      <c r="S456" s="187"/>
      <c r="T456" s="92"/>
      <c r="U456" s="187"/>
    </row>
    <row r="457" ht="15.75" customHeight="1">
      <c r="A457" s="92"/>
      <c r="B457" s="190"/>
      <c r="C457" s="92"/>
      <c r="D457" s="92"/>
      <c r="F457" s="92"/>
      <c r="G457" s="92"/>
      <c r="H457" s="187"/>
      <c r="I457" s="92"/>
      <c r="J457" s="92"/>
      <c r="K457" s="187"/>
      <c r="L457" s="92"/>
      <c r="M457" s="187"/>
      <c r="N457" s="92"/>
      <c r="O457" s="187"/>
      <c r="P457" s="92"/>
      <c r="Q457" s="187"/>
      <c r="R457" s="92"/>
      <c r="S457" s="187"/>
      <c r="T457" s="92"/>
      <c r="U457" s="187"/>
    </row>
    <row r="458" ht="15.75" customHeight="1">
      <c r="A458" s="92"/>
      <c r="B458" s="190"/>
      <c r="C458" s="92"/>
      <c r="D458" s="92"/>
      <c r="F458" s="92"/>
      <c r="G458" s="92"/>
      <c r="H458" s="187"/>
      <c r="I458" s="92"/>
      <c r="J458" s="92"/>
      <c r="K458" s="187"/>
      <c r="L458" s="92"/>
      <c r="M458" s="187"/>
      <c r="N458" s="92"/>
      <c r="O458" s="187"/>
      <c r="P458" s="92"/>
      <c r="Q458" s="187"/>
      <c r="R458" s="92"/>
      <c r="S458" s="187"/>
      <c r="T458" s="92"/>
      <c r="U458" s="187"/>
    </row>
    <row r="459" ht="15.75" customHeight="1">
      <c r="A459" s="92"/>
      <c r="B459" s="190"/>
      <c r="C459" s="92"/>
      <c r="D459" s="92"/>
      <c r="F459" s="92"/>
      <c r="G459" s="92"/>
      <c r="H459" s="187"/>
      <c r="I459" s="92"/>
      <c r="J459" s="92"/>
      <c r="K459" s="187"/>
      <c r="L459" s="92"/>
      <c r="M459" s="187"/>
      <c r="N459" s="92"/>
      <c r="O459" s="187"/>
      <c r="P459" s="92"/>
      <c r="Q459" s="187"/>
      <c r="R459" s="92"/>
      <c r="S459" s="187"/>
      <c r="T459" s="92"/>
      <c r="U459" s="187"/>
    </row>
    <row r="460" ht="15.75" customHeight="1">
      <c r="A460" s="92"/>
      <c r="B460" s="190"/>
      <c r="C460" s="92"/>
      <c r="D460" s="92"/>
      <c r="F460" s="92"/>
      <c r="G460" s="92"/>
      <c r="H460" s="187"/>
      <c r="I460" s="92"/>
      <c r="J460" s="92"/>
      <c r="K460" s="187"/>
      <c r="L460" s="92"/>
      <c r="M460" s="187"/>
      <c r="N460" s="92"/>
      <c r="O460" s="187"/>
      <c r="P460" s="92"/>
      <c r="Q460" s="187"/>
      <c r="R460" s="92"/>
      <c r="S460" s="187"/>
      <c r="T460" s="92"/>
      <c r="U460" s="187"/>
    </row>
    <row r="461" ht="15.75" customHeight="1">
      <c r="A461" s="92"/>
      <c r="B461" s="190"/>
      <c r="C461" s="92"/>
      <c r="D461" s="92"/>
      <c r="F461" s="92"/>
      <c r="G461" s="92"/>
      <c r="H461" s="187"/>
      <c r="I461" s="92"/>
      <c r="J461" s="92"/>
      <c r="K461" s="187"/>
      <c r="L461" s="92"/>
      <c r="M461" s="187"/>
      <c r="N461" s="92"/>
      <c r="O461" s="187"/>
      <c r="P461" s="92"/>
      <c r="Q461" s="187"/>
      <c r="R461" s="92"/>
      <c r="S461" s="187"/>
      <c r="T461" s="92"/>
      <c r="U461" s="187"/>
    </row>
    <row r="462" ht="15.75" customHeight="1">
      <c r="A462" s="92"/>
      <c r="B462" s="190"/>
      <c r="C462" s="92"/>
      <c r="D462" s="92"/>
      <c r="F462" s="92"/>
      <c r="G462" s="92"/>
      <c r="H462" s="187"/>
      <c r="I462" s="92"/>
      <c r="J462" s="92"/>
      <c r="K462" s="187"/>
      <c r="L462" s="92"/>
      <c r="M462" s="187"/>
      <c r="N462" s="92"/>
      <c r="O462" s="187"/>
      <c r="P462" s="92"/>
      <c r="Q462" s="187"/>
      <c r="R462" s="92"/>
      <c r="S462" s="187"/>
      <c r="T462" s="92"/>
      <c r="U462" s="187"/>
    </row>
    <row r="463" ht="15.75" customHeight="1">
      <c r="A463" s="92"/>
      <c r="B463" s="190"/>
      <c r="C463" s="92"/>
      <c r="D463" s="92"/>
      <c r="F463" s="92"/>
      <c r="G463" s="92"/>
      <c r="H463" s="187"/>
      <c r="I463" s="92"/>
      <c r="J463" s="92"/>
      <c r="K463" s="187"/>
      <c r="L463" s="92"/>
      <c r="M463" s="187"/>
      <c r="N463" s="92"/>
      <c r="O463" s="187"/>
      <c r="P463" s="92"/>
      <c r="Q463" s="187"/>
      <c r="R463" s="92"/>
      <c r="S463" s="187"/>
      <c r="T463" s="92"/>
      <c r="U463" s="187"/>
    </row>
    <row r="464" ht="15.75" customHeight="1">
      <c r="A464" s="92"/>
      <c r="B464" s="190"/>
      <c r="C464" s="92"/>
      <c r="D464" s="92"/>
      <c r="F464" s="92"/>
      <c r="G464" s="92"/>
      <c r="H464" s="187"/>
      <c r="I464" s="92"/>
      <c r="J464" s="92"/>
      <c r="K464" s="187"/>
      <c r="L464" s="92"/>
      <c r="M464" s="187"/>
      <c r="N464" s="92"/>
      <c r="O464" s="187"/>
      <c r="P464" s="92"/>
      <c r="Q464" s="187"/>
      <c r="R464" s="92"/>
      <c r="S464" s="187"/>
      <c r="T464" s="92"/>
      <c r="U464" s="187"/>
    </row>
    <row r="465" ht="15.75" customHeight="1">
      <c r="A465" s="92"/>
      <c r="B465" s="190"/>
      <c r="C465" s="92"/>
      <c r="D465" s="92"/>
      <c r="F465" s="92"/>
      <c r="G465" s="92"/>
      <c r="H465" s="187"/>
      <c r="I465" s="92"/>
      <c r="J465" s="92"/>
      <c r="K465" s="187"/>
      <c r="L465" s="92"/>
      <c r="M465" s="187"/>
      <c r="N465" s="92"/>
      <c r="O465" s="187"/>
      <c r="P465" s="92"/>
      <c r="Q465" s="187"/>
      <c r="R465" s="92"/>
      <c r="S465" s="187"/>
      <c r="T465" s="92"/>
      <c r="U465" s="187"/>
    </row>
    <row r="466" ht="15.75" customHeight="1">
      <c r="A466" s="92"/>
      <c r="B466" s="190"/>
      <c r="C466" s="92"/>
      <c r="D466" s="92"/>
      <c r="F466" s="92"/>
      <c r="G466" s="92"/>
      <c r="H466" s="187"/>
      <c r="I466" s="92"/>
      <c r="J466" s="92"/>
      <c r="K466" s="187"/>
      <c r="L466" s="92"/>
      <c r="M466" s="187"/>
      <c r="N466" s="92"/>
      <c r="O466" s="187"/>
      <c r="P466" s="92"/>
      <c r="Q466" s="187"/>
      <c r="R466" s="92"/>
      <c r="S466" s="187"/>
      <c r="T466" s="92"/>
      <c r="U466" s="187"/>
    </row>
    <row r="467" ht="15.75" customHeight="1">
      <c r="A467" s="92"/>
      <c r="B467" s="190"/>
      <c r="C467" s="92"/>
      <c r="D467" s="92"/>
      <c r="F467" s="92"/>
      <c r="G467" s="92"/>
      <c r="H467" s="187"/>
      <c r="I467" s="92"/>
      <c r="J467" s="92"/>
      <c r="K467" s="187"/>
      <c r="L467" s="92"/>
      <c r="M467" s="187"/>
      <c r="N467" s="92"/>
      <c r="O467" s="187"/>
      <c r="P467" s="92"/>
      <c r="Q467" s="187"/>
      <c r="R467" s="92"/>
      <c r="S467" s="187"/>
      <c r="T467" s="92"/>
      <c r="U467" s="187"/>
    </row>
    <row r="468" ht="15.75" customHeight="1">
      <c r="A468" s="92"/>
      <c r="B468" s="190"/>
      <c r="C468" s="92"/>
      <c r="D468" s="92"/>
      <c r="F468" s="92"/>
      <c r="G468" s="92"/>
      <c r="H468" s="187"/>
      <c r="I468" s="92"/>
      <c r="J468" s="92"/>
      <c r="K468" s="187"/>
      <c r="L468" s="92"/>
      <c r="M468" s="187"/>
      <c r="N468" s="92"/>
      <c r="O468" s="187"/>
      <c r="P468" s="92"/>
      <c r="Q468" s="187"/>
      <c r="R468" s="92"/>
      <c r="S468" s="187"/>
      <c r="T468" s="92"/>
      <c r="U468" s="187"/>
    </row>
    <row r="469" ht="15.75" customHeight="1">
      <c r="A469" s="92"/>
      <c r="B469" s="190"/>
      <c r="C469" s="92"/>
      <c r="D469" s="92"/>
      <c r="F469" s="92"/>
      <c r="G469" s="92"/>
      <c r="H469" s="187"/>
      <c r="I469" s="92"/>
      <c r="J469" s="92"/>
      <c r="K469" s="187"/>
      <c r="L469" s="92"/>
      <c r="M469" s="187"/>
      <c r="N469" s="92"/>
      <c r="O469" s="187"/>
      <c r="P469" s="92"/>
      <c r="Q469" s="187"/>
      <c r="R469" s="92"/>
      <c r="S469" s="187"/>
      <c r="T469" s="92"/>
      <c r="U469" s="187"/>
    </row>
    <row r="470" ht="15.75" customHeight="1">
      <c r="A470" s="92"/>
      <c r="B470" s="190"/>
      <c r="C470" s="92"/>
      <c r="D470" s="92"/>
      <c r="F470" s="92"/>
      <c r="G470" s="92"/>
      <c r="H470" s="187"/>
      <c r="I470" s="92"/>
      <c r="J470" s="92"/>
      <c r="K470" s="187"/>
      <c r="L470" s="92"/>
      <c r="M470" s="187"/>
      <c r="N470" s="92"/>
      <c r="O470" s="187"/>
      <c r="P470" s="92"/>
      <c r="Q470" s="187"/>
      <c r="R470" s="92"/>
      <c r="S470" s="187"/>
      <c r="T470" s="92"/>
      <c r="U470" s="187"/>
    </row>
    <row r="471" ht="15.75" customHeight="1">
      <c r="A471" s="92"/>
      <c r="B471" s="190"/>
      <c r="C471" s="92"/>
      <c r="D471" s="92"/>
      <c r="F471" s="92"/>
      <c r="G471" s="92"/>
      <c r="H471" s="187"/>
      <c r="I471" s="92"/>
      <c r="J471" s="92"/>
      <c r="K471" s="187"/>
      <c r="L471" s="92"/>
      <c r="M471" s="187"/>
      <c r="N471" s="92"/>
      <c r="O471" s="187"/>
      <c r="P471" s="92"/>
      <c r="Q471" s="187"/>
      <c r="R471" s="92"/>
      <c r="S471" s="187"/>
      <c r="T471" s="92"/>
      <c r="U471" s="187"/>
    </row>
    <row r="472" ht="15.75" customHeight="1">
      <c r="A472" s="92"/>
      <c r="B472" s="190"/>
      <c r="C472" s="92"/>
      <c r="D472" s="92"/>
      <c r="F472" s="92"/>
      <c r="G472" s="92"/>
      <c r="H472" s="187"/>
      <c r="I472" s="92"/>
      <c r="J472" s="92"/>
      <c r="K472" s="187"/>
      <c r="L472" s="92"/>
      <c r="M472" s="187"/>
      <c r="N472" s="92"/>
      <c r="O472" s="187"/>
      <c r="P472" s="92"/>
      <c r="Q472" s="187"/>
      <c r="R472" s="92"/>
      <c r="S472" s="187"/>
      <c r="T472" s="92"/>
      <c r="U472" s="187"/>
    </row>
    <row r="473" ht="15.75" customHeight="1">
      <c r="A473" s="92"/>
      <c r="B473" s="190"/>
      <c r="C473" s="92"/>
      <c r="D473" s="92"/>
      <c r="F473" s="92"/>
      <c r="G473" s="92"/>
      <c r="H473" s="187"/>
      <c r="I473" s="92"/>
      <c r="J473" s="92"/>
      <c r="K473" s="187"/>
      <c r="L473" s="92"/>
      <c r="M473" s="187"/>
      <c r="N473" s="92"/>
      <c r="O473" s="187"/>
      <c r="P473" s="92"/>
      <c r="Q473" s="187"/>
      <c r="R473" s="92"/>
      <c r="S473" s="187"/>
      <c r="T473" s="92"/>
      <c r="U473" s="187"/>
    </row>
    <row r="474" ht="15.75" customHeight="1">
      <c r="A474" s="92"/>
      <c r="B474" s="190"/>
      <c r="C474" s="92"/>
      <c r="D474" s="92"/>
      <c r="F474" s="92"/>
      <c r="G474" s="92"/>
      <c r="H474" s="187"/>
      <c r="I474" s="92"/>
      <c r="J474" s="92"/>
      <c r="K474" s="187"/>
      <c r="L474" s="92"/>
      <c r="M474" s="187"/>
      <c r="N474" s="92"/>
      <c r="O474" s="187"/>
      <c r="P474" s="92"/>
      <c r="Q474" s="187"/>
      <c r="R474" s="92"/>
      <c r="S474" s="187"/>
      <c r="T474" s="92"/>
      <c r="U474" s="187"/>
    </row>
    <row r="475" ht="15.75" customHeight="1">
      <c r="A475" s="92"/>
      <c r="B475" s="190"/>
      <c r="C475" s="92"/>
      <c r="D475" s="92"/>
      <c r="F475" s="92"/>
      <c r="G475" s="92"/>
      <c r="H475" s="187"/>
      <c r="I475" s="92"/>
      <c r="J475" s="92"/>
      <c r="K475" s="187"/>
      <c r="L475" s="92"/>
      <c r="M475" s="187"/>
      <c r="N475" s="92"/>
      <c r="O475" s="187"/>
      <c r="P475" s="92"/>
      <c r="Q475" s="187"/>
      <c r="R475" s="92"/>
      <c r="S475" s="187"/>
      <c r="T475" s="92"/>
      <c r="U475" s="187"/>
    </row>
    <row r="476" ht="15.75" customHeight="1">
      <c r="A476" s="92"/>
      <c r="B476" s="190"/>
      <c r="C476" s="92"/>
      <c r="D476" s="92"/>
      <c r="F476" s="92"/>
      <c r="G476" s="92"/>
      <c r="H476" s="187"/>
      <c r="I476" s="92"/>
      <c r="J476" s="92"/>
      <c r="K476" s="187"/>
      <c r="L476" s="92"/>
      <c r="M476" s="187"/>
      <c r="N476" s="92"/>
      <c r="O476" s="187"/>
      <c r="P476" s="92"/>
      <c r="Q476" s="187"/>
      <c r="R476" s="92"/>
      <c r="S476" s="187"/>
      <c r="T476" s="92"/>
      <c r="U476" s="187"/>
    </row>
    <row r="477" ht="15.75" customHeight="1">
      <c r="A477" s="92"/>
      <c r="B477" s="190"/>
      <c r="C477" s="92"/>
      <c r="D477" s="92"/>
      <c r="F477" s="92"/>
      <c r="G477" s="92"/>
      <c r="H477" s="187"/>
      <c r="I477" s="92"/>
      <c r="J477" s="92"/>
      <c r="K477" s="187"/>
      <c r="L477" s="92"/>
      <c r="M477" s="187"/>
      <c r="N477" s="92"/>
      <c r="O477" s="187"/>
      <c r="P477" s="92"/>
      <c r="Q477" s="187"/>
      <c r="R477" s="92"/>
      <c r="S477" s="187"/>
      <c r="T477" s="92"/>
      <c r="U477" s="187"/>
    </row>
    <row r="478" ht="15.75" customHeight="1">
      <c r="A478" s="92"/>
      <c r="B478" s="190"/>
      <c r="C478" s="92"/>
      <c r="D478" s="92"/>
      <c r="F478" s="92"/>
      <c r="G478" s="92"/>
      <c r="H478" s="187"/>
      <c r="I478" s="92"/>
      <c r="J478" s="92"/>
      <c r="K478" s="187"/>
      <c r="L478" s="92"/>
      <c r="M478" s="187"/>
      <c r="N478" s="92"/>
      <c r="O478" s="187"/>
      <c r="P478" s="92"/>
      <c r="Q478" s="187"/>
      <c r="R478" s="92"/>
      <c r="S478" s="187"/>
      <c r="T478" s="92"/>
      <c r="U478" s="187"/>
    </row>
    <row r="479" ht="15.75" customHeight="1">
      <c r="A479" s="92"/>
      <c r="B479" s="190"/>
      <c r="C479" s="92"/>
      <c r="D479" s="92"/>
      <c r="F479" s="92"/>
      <c r="G479" s="92"/>
      <c r="H479" s="187"/>
      <c r="I479" s="92"/>
      <c r="J479" s="92"/>
      <c r="K479" s="187"/>
      <c r="L479" s="92"/>
      <c r="M479" s="187"/>
      <c r="N479" s="92"/>
      <c r="O479" s="187"/>
      <c r="P479" s="92"/>
      <c r="Q479" s="187"/>
      <c r="R479" s="92"/>
      <c r="S479" s="187"/>
      <c r="T479" s="92"/>
      <c r="U479" s="187"/>
    </row>
    <row r="480" ht="15.75" customHeight="1">
      <c r="A480" s="92"/>
      <c r="B480" s="190"/>
      <c r="C480" s="92"/>
      <c r="D480" s="92"/>
      <c r="F480" s="92"/>
      <c r="G480" s="92"/>
      <c r="H480" s="187"/>
      <c r="I480" s="92"/>
      <c r="J480" s="92"/>
      <c r="K480" s="187"/>
      <c r="L480" s="92"/>
      <c r="M480" s="187"/>
      <c r="N480" s="92"/>
      <c r="O480" s="187"/>
      <c r="P480" s="92"/>
      <c r="Q480" s="187"/>
      <c r="R480" s="92"/>
      <c r="S480" s="187"/>
      <c r="T480" s="92"/>
      <c r="U480" s="187"/>
    </row>
    <row r="481" ht="15.75" customHeight="1">
      <c r="A481" s="92"/>
      <c r="B481" s="190"/>
      <c r="C481" s="92"/>
      <c r="D481" s="92"/>
      <c r="F481" s="92"/>
      <c r="G481" s="92"/>
      <c r="H481" s="187"/>
      <c r="I481" s="92"/>
      <c r="J481" s="92"/>
      <c r="K481" s="187"/>
      <c r="L481" s="92"/>
      <c r="M481" s="187"/>
      <c r="N481" s="92"/>
      <c r="O481" s="187"/>
      <c r="P481" s="92"/>
      <c r="Q481" s="187"/>
      <c r="R481" s="92"/>
      <c r="S481" s="187"/>
      <c r="T481" s="92"/>
      <c r="U481" s="187"/>
    </row>
    <row r="482" ht="15.75" customHeight="1">
      <c r="A482" s="92"/>
      <c r="B482" s="190"/>
      <c r="C482" s="92"/>
      <c r="D482" s="92"/>
      <c r="F482" s="92"/>
      <c r="G482" s="92"/>
      <c r="H482" s="187"/>
      <c r="I482" s="92"/>
      <c r="J482" s="92"/>
      <c r="K482" s="187"/>
      <c r="L482" s="92"/>
      <c r="M482" s="187"/>
      <c r="N482" s="92"/>
      <c r="O482" s="187"/>
      <c r="P482" s="92"/>
      <c r="Q482" s="187"/>
      <c r="R482" s="92"/>
      <c r="S482" s="187"/>
      <c r="T482" s="92"/>
      <c r="U482" s="187"/>
    </row>
    <row r="483" ht="15.75" customHeight="1">
      <c r="A483" s="92"/>
      <c r="B483" s="190"/>
      <c r="C483" s="92"/>
      <c r="D483" s="92"/>
      <c r="F483" s="92"/>
      <c r="G483" s="92"/>
      <c r="H483" s="187"/>
      <c r="I483" s="92"/>
      <c r="J483" s="92"/>
      <c r="K483" s="187"/>
      <c r="L483" s="92"/>
      <c r="M483" s="187"/>
      <c r="N483" s="92"/>
      <c r="O483" s="187"/>
      <c r="P483" s="92"/>
      <c r="Q483" s="187"/>
      <c r="R483" s="92"/>
      <c r="S483" s="187"/>
      <c r="T483" s="92"/>
      <c r="U483" s="187"/>
    </row>
    <row r="484" ht="15.75" customHeight="1">
      <c r="A484" s="92"/>
      <c r="B484" s="190"/>
      <c r="C484" s="92"/>
      <c r="D484" s="92"/>
      <c r="F484" s="92"/>
      <c r="G484" s="92"/>
      <c r="H484" s="187"/>
      <c r="I484" s="92"/>
      <c r="J484" s="92"/>
      <c r="K484" s="187"/>
      <c r="L484" s="92"/>
      <c r="M484" s="187"/>
      <c r="N484" s="92"/>
      <c r="O484" s="187"/>
      <c r="P484" s="92"/>
      <c r="Q484" s="187"/>
      <c r="R484" s="92"/>
      <c r="S484" s="187"/>
      <c r="T484" s="92"/>
      <c r="U484" s="187"/>
    </row>
    <row r="485" ht="15.75" customHeight="1">
      <c r="A485" s="92"/>
      <c r="B485" s="190"/>
      <c r="C485" s="92"/>
      <c r="D485" s="92"/>
      <c r="F485" s="92"/>
      <c r="G485" s="92"/>
      <c r="H485" s="187"/>
      <c r="I485" s="92"/>
      <c r="J485" s="92"/>
      <c r="K485" s="187"/>
      <c r="L485" s="92"/>
      <c r="M485" s="187"/>
      <c r="N485" s="92"/>
      <c r="O485" s="187"/>
      <c r="P485" s="92"/>
      <c r="Q485" s="187"/>
      <c r="R485" s="92"/>
      <c r="S485" s="187"/>
      <c r="T485" s="92"/>
      <c r="U485" s="187"/>
    </row>
    <row r="486" ht="15.75" customHeight="1">
      <c r="A486" s="92"/>
      <c r="B486" s="190"/>
      <c r="C486" s="92"/>
      <c r="D486" s="92"/>
      <c r="F486" s="92"/>
      <c r="G486" s="92"/>
      <c r="H486" s="187"/>
      <c r="I486" s="92"/>
      <c r="J486" s="92"/>
      <c r="K486" s="187"/>
      <c r="L486" s="92"/>
      <c r="M486" s="187"/>
      <c r="N486" s="92"/>
      <c r="O486" s="187"/>
      <c r="P486" s="92"/>
      <c r="Q486" s="187"/>
      <c r="R486" s="92"/>
      <c r="S486" s="187"/>
      <c r="T486" s="92"/>
      <c r="U486" s="187"/>
    </row>
    <row r="487" ht="15.75" customHeight="1">
      <c r="A487" s="92"/>
      <c r="B487" s="190"/>
      <c r="C487" s="92"/>
      <c r="D487" s="92"/>
      <c r="F487" s="92"/>
      <c r="G487" s="92"/>
      <c r="H487" s="187"/>
      <c r="I487" s="92"/>
      <c r="J487" s="92"/>
      <c r="K487" s="187"/>
      <c r="L487" s="92"/>
      <c r="M487" s="187"/>
      <c r="N487" s="92"/>
      <c r="O487" s="187"/>
      <c r="P487" s="92"/>
      <c r="Q487" s="187"/>
      <c r="R487" s="92"/>
      <c r="S487" s="187"/>
      <c r="T487" s="92"/>
      <c r="U487" s="187"/>
    </row>
    <row r="488" ht="15.75" customHeight="1">
      <c r="A488" s="92"/>
      <c r="B488" s="190"/>
      <c r="C488" s="92"/>
      <c r="D488" s="92"/>
      <c r="F488" s="92"/>
      <c r="G488" s="92"/>
      <c r="H488" s="187"/>
      <c r="I488" s="92"/>
      <c r="J488" s="92"/>
      <c r="K488" s="187"/>
      <c r="L488" s="92"/>
      <c r="M488" s="187"/>
      <c r="N488" s="92"/>
      <c r="O488" s="187"/>
      <c r="P488" s="92"/>
      <c r="Q488" s="187"/>
      <c r="R488" s="92"/>
      <c r="S488" s="187"/>
      <c r="T488" s="92"/>
      <c r="U488" s="187"/>
    </row>
    <row r="489" ht="15.75" customHeight="1">
      <c r="A489" s="92"/>
      <c r="B489" s="190"/>
      <c r="C489" s="92"/>
      <c r="D489" s="92"/>
      <c r="F489" s="92"/>
      <c r="G489" s="92"/>
      <c r="H489" s="187"/>
      <c r="I489" s="92"/>
      <c r="J489" s="92"/>
      <c r="K489" s="187"/>
      <c r="L489" s="92"/>
      <c r="M489" s="187"/>
      <c r="N489" s="92"/>
      <c r="O489" s="187"/>
      <c r="P489" s="92"/>
      <c r="Q489" s="187"/>
      <c r="R489" s="92"/>
      <c r="S489" s="187"/>
      <c r="T489" s="92"/>
      <c r="U489" s="187"/>
    </row>
    <row r="490" ht="15.75" customHeight="1">
      <c r="A490" s="92"/>
      <c r="B490" s="190"/>
      <c r="C490" s="92"/>
      <c r="D490" s="92"/>
      <c r="F490" s="92"/>
      <c r="G490" s="92"/>
      <c r="H490" s="187"/>
      <c r="I490" s="92"/>
      <c r="J490" s="92"/>
      <c r="K490" s="187"/>
      <c r="L490" s="92"/>
      <c r="M490" s="187"/>
      <c r="N490" s="92"/>
      <c r="O490" s="187"/>
      <c r="P490" s="92"/>
      <c r="Q490" s="187"/>
      <c r="R490" s="92"/>
      <c r="S490" s="187"/>
      <c r="T490" s="92"/>
      <c r="U490" s="187"/>
    </row>
    <row r="491" ht="15.75" customHeight="1">
      <c r="A491" s="92"/>
      <c r="B491" s="190"/>
      <c r="C491" s="92"/>
      <c r="D491" s="92"/>
      <c r="F491" s="92"/>
      <c r="G491" s="92"/>
      <c r="H491" s="187"/>
      <c r="I491" s="92"/>
      <c r="J491" s="92"/>
      <c r="K491" s="187"/>
      <c r="L491" s="92"/>
      <c r="M491" s="187"/>
      <c r="N491" s="92"/>
      <c r="O491" s="187"/>
      <c r="P491" s="92"/>
      <c r="Q491" s="187"/>
      <c r="R491" s="92"/>
      <c r="S491" s="187"/>
      <c r="T491" s="92"/>
      <c r="U491" s="187"/>
    </row>
    <row r="492" ht="15.75" customHeight="1">
      <c r="A492" s="92"/>
      <c r="B492" s="190"/>
      <c r="C492" s="92"/>
      <c r="D492" s="92"/>
      <c r="F492" s="92"/>
      <c r="G492" s="92"/>
      <c r="H492" s="187"/>
      <c r="I492" s="92"/>
      <c r="J492" s="92"/>
      <c r="K492" s="187"/>
      <c r="L492" s="92"/>
      <c r="M492" s="187"/>
      <c r="N492" s="92"/>
      <c r="O492" s="187"/>
      <c r="P492" s="92"/>
      <c r="Q492" s="187"/>
      <c r="R492" s="92"/>
      <c r="S492" s="187"/>
      <c r="T492" s="92"/>
      <c r="U492" s="187"/>
    </row>
    <row r="493" ht="15.75" customHeight="1">
      <c r="A493" s="92"/>
      <c r="B493" s="190"/>
      <c r="C493" s="92"/>
      <c r="D493" s="92"/>
      <c r="F493" s="92"/>
      <c r="G493" s="92"/>
      <c r="H493" s="187"/>
      <c r="I493" s="92"/>
      <c r="J493" s="92"/>
      <c r="K493" s="187"/>
      <c r="L493" s="92"/>
      <c r="M493" s="187"/>
      <c r="N493" s="92"/>
      <c r="O493" s="187"/>
      <c r="P493" s="92"/>
      <c r="Q493" s="187"/>
      <c r="R493" s="92"/>
      <c r="S493" s="187"/>
      <c r="T493" s="92"/>
      <c r="U493" s="187"/>
    </row>
    <row r="494" ht="15.75" customHeight="1">
      <c r="A494" s="92"/>
      <c r="B494" s="190"/>
      <c r="C494" s="92"/>
      <c r="D494" s="92"/>
      <c r="F494" s="92"/>
      <c r="G494" s="92"/>
      <c r="H494" s="187"/>
      <c r="I494" s="92"/>
      <c r="J494" s="92"/>
      <c r="K494" s="187"/>
      <c r="L494" s="92"/>
      <c r="M494" s="187"/>
      <c r="N494" s="92"/>
      <c r="O494" s="187"/>
      <c r="P494" s="92"/>
      <c r="Q494" s="187"/>
      <c r="R494" s="92"/>
      <c r="S494" s="187"/>
      <c r="T494" s="92"/>
      <c r="U494" s="187"/>
    </row>
    <row r="495" ht="15.75" customHeight="1">
      <c r="A495" s="92"/>
      <c r="B495" s="190"/>
      <c r="C495" s="92"/>
      <c r="D495" s="92"/>
      <c r="F495" s="92"/>
      <c r="G495" s="92"/>
      <c r="H495" s="187"/>
      <c r="I495" s="92"/>
      <c r="J495" s="92"/>
      <c r="K495" s="187"/>
      <c r="L495" s="92"/>
      <c r="M495" s="187"/>
      <c r="N495" s="92"/>
      <c r="O495" s="187"/>
      <c r="P495" s="92"/>
      <c r="Q495" s="187"/>
      <c r="R495" s="92"/>
      <c r="S495" s="187"/>
      <c r="T495" s="92"/>
      <c r="U495" s="187"/>
    </row>
    <row r="496" ht="15.75" customHeight="1">
      <c r="A496" s="92"/>
      <c r="B496" s="190"/>
      <c r="C496" s="92"/>
      <c r="D496" s="92"/>
      <c r="F496" s="92"/>
      <c r="G496" s="92"/>
      <c r="H496" s="187"/>
      <c r="I496" s="92"/>
      <c r="J496" s="92"/>
      <c r="K496" s="187"/>
      <c r="L496" s="92"/>
      <c r="M496" s="187"/>
      <c r="N496" s="92"/>
      <c r="O496" s="187"/>
      <c r="P496" s="92"/>
      <c r="Q496" s="187"/>
      <c r="R496" s="92"/>
      <c r="S496" s="187"/>
      <c r="T496" s="92"/>
      <c r="U496" s="187"/>
    </row>
    <row r="497" ht="15.75" customHeight="1">
      <c r="A497" s="92"/>
      <c r="B497" s="190"/>
      <c r="C497" s="92"/>
      <c r="D497" s="92"/>
      <c r="F497" s="92"/>
      <c r="G497" s="92"/>
      <c r="H497" s="187"/>
      <c r="I497" s="92"/>
      <c r="J497" s="92"/>
      <c r="K497" s="187"/>
      <c r="L497" s="92"/>
      <c r="M497" s="187"/>
      <c r="N497" s="92"/>
      <c r="O497" s="187"/>
      <c r="P497" s="92"/>
      <c r="Q497" s="187"/>
      <c r="R497" s="92"/>
      <c r="S497" s="187"/>
      <c r="T497" s="92"/>
      <c r="U497" s="187"/>
    </row>
    <row r="498" ht="15.75" customHeight="1">
      <c r="A498" s="92"/>
      <c r="B498" s="190"/>
      <c r="C498" s="92"/>
      <c r="D498" s="92"/>
      <c r="F498" s="92"/>
      <c r="G498" s="92"/>
      <c r="H498" s="187"/>
      <c r="I498" s="92"/>
      <c r="J498" s="92"/>
      <c r="K498" s="187"/>
      <c r="L498" s="92"/>
      <c r="M498" s="187"/>
      <c r="N498" s="92"/>
      <c r="O498" s="187"/>
      <c r="P498" s="92"/>
      <c r="Q498" s="187"/>
      <c r="R498" s="92"/>
      <c r="S498" s="187"/>
      <c r="T498" s="92"/>
      <c r="U498" s="187"/>
    </row>
    <row r="499" ht="15.75" customHeight="1">
      <c r="A499" s="92"/>
      <c r="B499" s="190"/>
      <c r="C499" s="92"/>
      <c r="D499" s="92"/>
      <c r="F499" s="92"/>
      <c r="G499" s="92"/>
      <c r="H499" s="187"/>
      <c r="I499" s="92"/>
      <c r="J499" s="92"/>
      <c r="K499" s="187"/>
      <c r="L499" s="92"/>
      <c r="M499" s="187"/>
      <c r="N499" s="92"/>
      <c r="O499" s="187"/>
      <c r="P499" s="92"/>
      <c r="Q499" s="187"/>
      <c r="R499" s="92"/>
      <c r="S499" s="187"/>
      <c r="T499" s="92"/>
      <c r="U499" s="187"/>
    </row>
    <row r="500" ht="15.75" customHeight="1">
      <c r="A500" s="92"/>
      <c r="B500" s="190"/>
      <c r="C500" s="92"/>
      <c r="D500" s="92"/>
      <c r="F500" s="92"/>
      <c r="G500" s="92"/>
      <c r="H500" s="187"/>
      <c r="I500" s="92"/>
      <c r="J500" s="92"/>
      <c r="K500" s="187"/>
      <c r="L500" s="92"/>
      <c r="M500" s="187"/>
      <c r="N500" s="92"/>
      <c r="O500" s="187"/>
      <c r="P500" s="92"/>
      <c r="Q500" s="187"/>
      <c r="R500" s="92"/>
      <c r="S500" s="187"/>
      <c r="T500" s="92"/>
      <c r="U500" s="187"/>
    </row>
    <row r="501" ht="15.75" customHeight="1">
      <c r="A501" s="92"/>
      <c r="B501" s="190"/>
      <c r="C501" s="92"/>
      <c r="D501" s="92"/>
      <c r="F501" s="92"/>
      <c r="G501" s="92"/>
      <c r="H501" s="187"/>
      <c r="I501" s="92"/>
      <c r="J501" s="92"/>
      <c r="K501" s="187"/>
      <c r="L501" s="92"/>
      <c r="M501" s="187"/>
      <c r="N501" s="92"/>
      <c r="O501" s="187"/>
      <c r="P501" s="92"/>
      <c r="Q501" s="187"/>
      <c r="R501" s="92"/>
      <c r="S501" s="187"/>
      <c r="T501" s="92"/>
      <c r="U501" s="187"/>
    </row>
    <row r="502" ht="15.75" customHeight="1">
      <c r="A502" s="92"/>
      <c r="B502" s="190"/>
      <c r="C502" s="92"/>
      <c r="D502" s="92"/>
      <c r="F502" s="92"/>
      <c r="G502" s="92"/>
      <c r="H502" s="187"/>
      <c r="I502" s="92"/>
      <c r="J502" s="92"/>
      <c r="K502" s="187"/>
      <c r="L502" s="92"/>
      <c r="M502" s="187"/>
      <c r="N502" s="92"/>
      <c r="O502" s="187"/>
      <c r="P502" s="92"/>
      <c r="Q502" s="187"/>
      <c r="R502" s="92"/>
      <c r="S502" s="187"/>
      <c r="T502" s="92"/>
      <c r="U502" s="187"/>
    </row>
    <row r="503" ht="15.75" customHeight="1">
      <c r="A503" s="92"/>
      <c r="B503" s="190"/>
      <c r="C503" s="92"/>
      <c r="D503" s="92"/>
      <c r="F503" s="92"/>
      <c r="G503" s="92"/>
      <c r="H503" s="187"/>
      <c r="I503" s="92"/>
      <c r="J503" s="92"/>
      <c r="K503" s="187"/>
      <c r="L503" s="92"/>
      <c r="M503" s="187"/>
      <c r="N503" s="92"/>
      <c r="O503" s="187"/>
      <c r="P503" s="92"/>
      <c r="Q503" s="187"/>
      <c r="R503" s="92"/>
      <c r="S503" s="187"/>
      <c r="T503" s="92"/>
      <c r="U503" s="187"/>
    </row>
    <row r="504" ht="15.75" customHeight="1">
      <c r="A504" s="92"/>
      <c r="B504" s="190"/>
      <c r="C504" s="92"/>
      <c r="D504" s="92"/>
      <c r="F504" s="92"/>
      <c r="G504" s="92"/>
      <c r="H504" s="187"/>
      <c r="I504" s="92"/>
      <c r="J504" s="92"/>
      <c r="K504" s="187"/>
      <c r="L504" s="92"/>
      <c r="M504" s="187"/>
      <c r="N504" s="92"/>
      <c r="O504" s="187"/>
      <c r="P504" s="92"/>
      <c r="Q504" s="187"/>
      <c r="R504" s="92"/>
      <c r="S504" s="187"/>
      <c r="T504" s="92"/>
      <c r="U504" s="187"/>
    </row>
    <row r="505" ht="15.75" customHeight="1">
      <c r="A505" s="92"/>
      <c r="B505" s="190"/>
      <c r="C505" s="92"/>
      <c r="D505" s="92"/>
      <c r="F505" s="92"/>
      <c r="G505" s="92"/>
      <c r="H505" s="187"/>
      <c r="I505" s="92"/>
      <c r="J505" s="92"/>
      <c r="K505" s="187"/>
      <c r="L505" s="92"/>
      <c r="M505" s="187"/>
      <c r="N505" s="92"/>
      <c r="O505" s="187"/>
      <c r="P505" s="92"/>
      <c r="Q505" s="187"/>
      <c r="R505" s="92"/>
      <c r="S505" s="187"/>
      <c r="T505" s="92"/>
      <c r="U505" s="187"/>
    </row>
    <row r="506" ht="15.75" customHeight="1">
      <c r="A506" s="92"/>
      <c r="B506" s="190"/>
      <c r="C506" s="92"/>
      <c r="D506" s="92"/>
      <c r="F506" s="92"/>
      <c r="G506" s="92"/>
      <c r="H506" s="187"/>
      <c r="I506" s="92"/>
      <c r="J506" s="92"/>
      <c r="K506" s="187"/>
      <c r="L506" s="92"/>
      <c r="M506" s="187"/>
      <c r="N506" s="92"/>
      <c r="O506" s="187"/>
      <c r="P506" s="92"/>
      <c r="Q506" s="187"/>
      <c r="R506" s="92"/>
      <c r="S506" s="187"/>
      <c r="T506" s="92"/>
      <c r="U506" s="187"/>
    </row>
    <row r="507" ht="15.75" customHeight="1">
      <c r="A507" s="92"/>
      <c r="B507" s="190"/>
      <c r="C507" s="92"/>
      <c r="D507" s="92"/>
      <c r="F507" s="92"/>
      <c r="G507" s="92"/>
      <c r="H507" s="187"/>
      <c r="I507" s="92"/>
      <c r="J507" s="92"/>
      <c r="K507" s="187"/>
      <c r="L507" s="92"/>
      <c r="M507" s="187"/>
      <c r="N507" s="92"/>
      <c r="O507" s="187"/>
      <c r="P507" s="92"/>
      <c r="Q507" s="187"/>
      <c r="R507" s="92"/>
      <c r="S507" s="187"/>
      <c r="T507" s="92"/>
      <c r="U507" s="187"/>
    </row>
    <row r="508" ht="15.75" customHeight="1">
      <c r="A508" s="92"/>
      <c r="B508" s="190"/>
      <c r="C508" s="92"/>
      <c r="D508" s="92"/>
      <c r="F508" s="92"/>
      <c r="G508" s="92"/>
      <c r="H508" s="187"/>
      <c r="I508" s="92"/>
      <c r="J508" s="92"/>
      <c r="K508" s="187"/>
      <c r="L508" s="92"/>
      <c r="M508" s="187"/>
      <c r="N508" s="92"/>
      <c r="O508" s="187"/>
      <c r="P508" s="92"/>
      <c r="Q508" s="187"/>
      <c r="R508" s="92"/>
      <c r="S508" s="187"/>
      <c r="T508" s="92"/>
      <c r="U508" s="187"/>
    </row>
    <row r="509" ht="15.75" customHeight="1">
      <c r="A509" s="92"/>
      <c r="B509" s="190"/>
      <c r="C509" s="92"/>
      <c r="D509" s="92"/>
      <c r="F509" s="92"/>
      <c r="G509" s="92"/>
      <c r="H509" s="187"/>
      <c r="I509" s="92"/>
      <c r="J509" s="92"/>
      <c r="K509" s="187"/>
      <c r="L509" s="92"/>
      <c r="M509" s="187"/>
      <c r="N509" s="92"/>
      <c r="O509" s="187"/>
      <c r="P509" s="92"/>
      <c r="Q509" s="187"/>
      <c r="R509" s="92"/>
      <c r="S509" s="187"/>
      <c r="T509" s="92"/>
      <c r="U509" s="187"/>
    </row>
    <row r="510" ht="15.75" customHeight="1">
      <c r="A510" s="92"/>
      <c r="B510" s="190"/>
      <c r="C510" s="92"/>
      <c r="D510" s="92"/>
      <c r="F510" s="92"/>
      <c r="G510" s="92"/>
      <c r="H510" s="187"/>
      <c r="I510" s="92"/>
      <c r="J510" s="92"/>
      <c r="K510" s="187"/>
      <c r="L510" s="92"/>
      <c r="M510" s="187"/>
      <c r="N510" s="92"/>
      <c r="O510" s="187"/>
      <c r="P510" s="92"/>
      <c r="Q510" s="187"/>
      <c r="R510" s="92"/>
      <c r="S510" s="187"/>
      <c r="T510" s="92"/>
      <c r="U510" s="187"/>
    </row>
    <row r="511" ht="15.75" customHeight="1">
      <c r="A511" s="92"/>
      <c r="B511" s="190"/>
      <c r="C511" s="92"/>
      <c r="D511" s="92"/>
      <c r="F511" s="92"/>
      <c r="G511" s="92"/>
      <c r="H511" s="187"/>
      <c r="I511" s="92"/>
      <c r="J511" s="92"/>
      <c r="K511" s="187"/>
      <c r="L511" s="92"/>
      <c r="M511" s="187"/>
      <c r="N511" s="92"/>
      <c r="O511" s="187"/>
      <c r="P511" s="92"/>
      <c r="Q511" s="187"/>
      <c r="R511" s="92"/>
      <c r="S511" s="187"/>
      <c r="T511" s="92"/>
      <c r="U511" s="187"/>
    </row>
    <row r="512" ht="15.75" customHeight="1">
      <c r="A512" s="92"/>
      <c r="B512" s="190"/>
      <c r="C512" s="92"/>
      <c r="D512" s="92"/>
      <c r="F512" s="92"/>
      <c r="G512" s="92"/>
      <c r="H512" s="187"/>
      <c r="I512" s="92"/>
      <c r="J512" s="92"/>
      <c r="K512" s="187"/>
      <c r="L512" s="92"/>
      <c r="M512" s="187"/>
      <c r="N512" s="92"/>
      <c r="O512" s="187"/>
      <c r="P512" s="92"/>
      <c r="Q512" s="187"/>
      <c r="R512" s="92"/>
      <c r="S512" s="187"/>
      <c r="T512" s="92"/>
      <c r="U512" s="187"/>
    </row>
    <row r="513" ht="15.75" customHeight="1">
      <c r="A513" s="92"/>
      <c r="B513" s="190"/>
      <c r="C513" s="92"/>
      <c r="D513" s="92"/>
      <c r="F513" s="92"/>
      <c r="G513" s="92"/>
      <c r="H513" s="187"/>
      <c r="I513" s="92"/>
      <c r="J513" s="92"/>
      <c r="K513" s="187"/>
      <c r="L513" s="92"/>
      <c r="M513" s="187"/>
      <c r="N513" s="92"/>
      <c r="O513" s="187"/>
      <c r="P513" s="92"/>
      <c r="Q513" s="187"/>
      <c r="R513" s="92"/>
      <c r="S513" s="187"/>
      <c r="T513" s="92"/>
      <c r="U513" s="187"/>
    </row>
    <row r="514" ht="15.75" customHeight="1">
      <c r="A514" s="92"/>
      <c r="B514" s="190"/>
      <c r="C514" s="92"/>
      <c r="D514" s="92"/>
      <c r="F514" s="92"/>
      <c r="G514" s="92"/>
      <c r="H514" s="187"/>
      <c r="I514" s="92"/>
      <c r="J514" s="92"/>
      <c r="K514" s="187"/>
      <c r="L514" s="92"/>
      <c r="M514" s="187"/>
      <c r="N514" s="92"/>
      <c r="O514" s="187"/>
      <c r="P514" s="92"/>
      <c r="Q514" s="187"/>
      <c r="R514" s="92"/>
      <c r="S514" s="187"/>
      <c r="T514" s="92"/>
      <c r="U514" s="187"/>
    </row>
    <row r="515" ht="15.75" customHeight="1">
      <c r="A515" s="92"/>
      <c r="B515" s="190"/>
      <c r="C515" s="92"/>
      <c r="D515" s="92"/>
      <c r="F515" s="92"/>
      <c r="G515" s="92"/>
      <c r="H515" s="187"/>
      <c r="I515" s="92"/>
      <c r="J515" s="92"/>
      <c r="K515" s="187"/>
      <c r="L515" s="92"/>
      <c r="M515" s="187"/>
      <c r="N515" s="92"/>
      <c r="O515" s="187"/>
      <c r="P515" s="92"/>
      <c r="Q515" s="187"/>
      <c r="R515" s="92"/>
      <c r="S515" s="187"/>
      <c r="T515" s="92"/>
      <c r="U515" s="187"/>
    </row>
    <row r="516" ht="15.75" customHeight="1">
      <c r="A516" s="92"/>
      <c r="B516" s="190"/>
      <c r="C516" s="92"/>
      <c r="D516" s="92"/>
      <c r="F516" s="92"/>
      <c r="G516" s="92"/>
      <c r="H516" s="187"/>
      <c r="I516" s="92"/>
      <c r="J516" s="92"/>
      <c r="K516" s="187"/>
      <c r="L516" s="92"/>
      <c r="M516" s="187"/>
      <c r="N516" s="92"/>
      <c r="O516" s="187"/>
      <c r="P516" s="92"/>
      <c r="Q516" s="187"/>
      <c r="R516" s="92"/>
      <c r="S516" s="187"/>
      <c r="T516" s="92"/>
      <c r="U516" s="187"/>
    </row>
    <row r="517" ht="15.75" customHeight="1">
      <c r="A517" s="92"/>
      <c r="B517" s="190"/>
      <c r="C517" s="92"/>
      <c r="D517" s="92"/>
      <c r="F517" s="92"/>
      <c r="G517" s="92"/>
      <c r="H517" s="187"/>
      <c r="I517" s="92"/>
      <c r="J517" s="92"/>
      <c r="K517" s="187"/>
      <c r="L517" s="92"/>
      <c r="M517" s="187"/>
      <c r="N517" s="92"/>
      <c r="O517" s="187"/>
      <c r="P517" s="92"/>
      <c r="Q517" s="187"/>
      <c r="R517" s="92"/>
      <c r="S517" s="187"/>
      <c r="T517" s="92"/>
      <c r="U517" s="187"/>
    </row>
    <row r="518" ht="15.75" customHeight="1">
      <c r="A518" s="92"/>
      <c r="B518" s="190"/>
      <c r="C518" s="92"/>
      <c r="D518" s="92"/>
      <c r="F518" s="92"/>
      <c r="G518" s="92"/>
      <c r="H518" s="187"/>
      <c r="I518" s="92"/>
      <c r="J518" s="92"/>
      <c r="K518" s="187"/>
      <c r="L518" s="92"/>
      <c r="M518" s="187"/>
      <c r="N518" s="92"/>
      <c r="O518" s="187"/>
      <c r="P518" s="92"/>
      <c r="Q518" s="187"/>
      <c r="R518" s="92"/>
      <c r="S518" s="187"/>
      <c r="T518" s="92"/>
      <c r="U518" s="187"/>
    </row>
    <row r="519" ht="15.75" customHeight="1">
      <c r="A519" s="92"/>
      <c r="B519" s="190"/>
      <c r="C519" s="92"/>
      <c r="D519" s="92"/>
      <c r="F519" s="92"/>
      <c r="G519" s="92"/>
      <c r="H519" s="187"/>
      <c r="I519" s="92"/>
      <c r="J519" s="92"/>
      <c r="K519" s="187"/>
      <c r="L519" s="92"/>
      <c r="M519" s="187"/>
      <c r="N519" s="92"/>
      <c r="O519" s="187"/>
      <c r="P519" s="92"/>
      <c r="Q519" s="187"/>
      <c r="R519" s="92"/>
      <c r="S519" s="187"/>
      <c r="T519" s="92"/>
      <c r="U519" s="187"/>
    </row>
    <row r="520" ht="15.75" customHeight="1">
      <c r="A520" s="92"/>
      <c r="B520" s="190"/>
      <c r="C520" s="92"/>
      <c r="D520" s="92"/>
      <c r="F520" s="92"/>
      <c r="G520" s="92"/>
      <c r="H520" s="187"/>
      <c r="I520" s="92"/>
      <c r="J520" s="92"/>
      <c r="K520" s="187"/>
      <c r="L520" s="92"/>
      <c r="M520" s="187"/>
      <c r="N520" s="92"/>
      <c r="O520" s="187"/>
      <c r="P520" s="92"/>
      <c r="Q520" s="187"/>
      <c r="R520" s="92"/>
      <c r="S520" s="187"/>
      <c r="T520" s="92"/>
      <c r="U520" s="187"/>
    </row>
    <row r="521" ht="15.75" customHeight="1">
      <c r="A521" s="92"/>
      <c r="B521" s="190"/>
      <c r="C521" s="92"/>
      <c r="D521" s="92"/>
      <c r="F521" s="92"/>
      <c r="G521" s="92"/>
      <c r="H521" s="187"/>
      <c r="I521" s="92"/>
      <c r="J521" s="92"/>
      <c r="K521" s="187"/>
      <c r="L521" s="92"/>
      <c r="M521" s="187"/>
      <c r="N521" s="92"/>
      <c r="O521" s="187"/>
      <c r="P521" s="92"/>
      <c r="Q521" s="187"/>
      <c r="R521" s="92"/>
      <c r="S521" s="187"/>
      <c r="T521" s="92"/>
      <c r="U521" s="187"/>
    </row>
    <row r="522" ht="15.75" customHeight="1">
      <c r="A522" s="92"/>
      <c r="B522" s="190"/>
      <c r="C522" s="92"/>
      <c r="D522" s="92"/>
      <c r="F522" s="92"/>
      <c r="G522" s="92"/>
      <c r="H522" s="187"/>
      <c r="I522" s="92"/>
      <c r="J522" s="92"/>
      <c r="K522" s="187"/>
      <c r="L522" s="92"/>
      <c r="M522" s="187"/>
      <c r="N522" s="92"/>
      <c r="O522" s="187"/>
      <c r="P522" s="92"/>
      <c r="Q522" s="187"/>
      <c r="R522" s="92"/>
      <c r="S522" s="187"/>
      <c r="T522" s="92"/>
      <c r="U522" s="187"/>
    </row>
    <row r="523" ht="15.75" customHeight="1">
      <c r="A523" s="92"/>
      <c r="B523" s="190"/>
      <c r="C523" s="92"/>
      <c r="D523" s="92"/>
      <c r="F523" s="92"/>
      <c r="G523" s="92"/>
      <c r="H523" s="187"/>
      <c r="I523" s="92"/>
      <c r="J523" s="92"/>
      <c r="K523" s="187"/>
      <c r="L523" s="92"/>
      <c r="M523" s="187"/>
      <c r="N523" s="92"/>
      <c r="O523" s="187"/>
      <c r="P523" s="92"/>
      <c r="Q523" s="187"/>
      <c r="R523" s="92"/>
      <c r="S523" s="187"/>
      <c r="T523" s="92"/>
      <c r="U523" s="187"/>
    </row>
    <row r="524" ht="15.75" customHeight="1">
      <c r="A524" s="92"/>
      <c r="B524" s="190"/>
      <c r="C524" s="92"/>
      <c r="D524" s="92"/>
      <c r="F524" s="92"/>
      <c r="G524" s="92"/>
      <c r="H524" s="187"/>
      <c r="I524" s="92"/>
      <c r="J524" s="92"/>
      <c r="K524" s="187"/>
      <c r="L524" s="92"/>
      <c r="M524" s="187"/>
      <c r="N524" s="92"/>
      <c r="O524" s="187"/>
      <c r="P524" s="92"/>
      <c r="Q524" s="187"/>
      <c r="R524" s="92"/>
      <c r="S524" s="187"/>
      <c r="T524" s="92"/>
      <c r="U524" s="187"/>
    </row>
    <row r="525" ht="15.75" customHeight="1">
      <c r="A525" s="92"/>
      <c r="B525" s="190"/>
      <c r="C525" s="92"/>
      <c r="D525" s="92"/>
      <c r="F525" s="92"/>
      <c r="G525" s="92"/>
      <c r="H525" s="187"/>
      <c r="I525" s="92"/>
      <c r="J525" s="92"/>
      <c r="K525" s="187"/>
      <c r="L525" s="92"/>
      <c r="M525" s="187"/>
      <c r="N525" s="92"/>
      <c r="O525" s="187"/>
      <c r="P525" s="92"/>
      <c r="Q525" s="187"/>
      <c r="R525" s="92"/>
      <c r="S525" s="187"/>
      <c r="T525" s="92"/>
      <c r="U525" s="187"/>
    </row>
    <row r="526" ht="15.75" customHeight="1">
      <c r="A526" s="92"/>
      <c r="B526" s="190"/>
      <c r="C526" s="92"/>
      <c r="D526" s="92"/>
      <c r="F526" s="92"/>
      <c r="G526" s="92"/>
      <c r="H526" s="187"/>
      <c r="I526" s="92"/>
      <c r="J526" s="92"/>
      <c r="K526" s="187"/>
      <c r="L526" s="92"/>
      <c r="M526" s="187"/>
      <c r="N526" s="92"/>
      <c r="O526" s="187"/>
      <c r="P526" s="92"/>
      <c r="Q526" s="187"/>
      <c r="R526" s="92"/>
      <c r="S526" s="187"/>
      <c r="T526" s="92"/>
      <c r="U526" s="187"/>
    </row>
    <row r="527" ht="15.75" customHeight="1">
      <c r="A527" s="92"/>
      <c r="B527" s="190"/>
      <c r="C527" s="92"/>
      <c r="D527" s="92"/>
      <c r="F527" s="92"/>
      <c r="G527" s="92"/>
      <c r="H527" s="187"/>
      <c r="I527" s="92"/>
      <c r="J527" s="92"/>
      <c r="K527" s="187"/>
      <c r="L527" s="92"/>
      <c r="M527" s="187"/>
      <c r="N527" s="92"/>
      <c r="O527" s="187"/>
      <c r="P527" s="92"/>
      <c r="Q527" s="187"/>
      <c r="R527" s="92"/>
      <c r="S527" s="187"/>
      <c r="T527" s="92"/>
      <c r="U527" s="187"/>
    </row>
    <row r="528" ht="15.75" customHeight="1">
      <c r="A528" s="92"/>
      <c r="B528" s="190"/>
      <c r="C528" s="92"/>
      <c r="D528" s="92"/>
      <c r="F528" s="92"/>
      <c r="G528" s="92"/>
      <c r="H528" s="187"/>
      <c r="I528" s="92"/>
      <c r="J528" s="92"/>
      <c r="K528" s="187"/>
      <c r="L528" s="92"/>
      <c r="M528" s="187"/>
      <c r="N528" s="92"/>
      <c r="O528" s="187"/>
      <c r="P528" s="92"/>
      <c r="Q528" s="187"/>
      <c r="R528" s="92"/>
      <c r="S528" s="187"/>
      <c r="T528" s="92"/>
      <c r="U528" s="187"/>
    </row>
    <row r="529" ht="15.75" customHeight="1">
      <c r="A529" s="92"/>
      <c r="B529" s="190"/>
      <c r="C529" s="92"/>
      <c r="D529" s="92"/>
      <c r="F529" s="92"/>
      <c r="G529" s="92"/>
      <c r="H529" s="187"/>
      <c r="I529" s="92"/>
      <c r="J529" s="92"/>
      <c r="K529" s="187"/>
      <c r="L529" s="92"/>
      <c r="M529" s="187"/>
      <c r="N529" s="92"/>
      <c r="O529" s="187"/>
      <c r="P529" s="92"/>
      <c r="Q529" s="187"/>
      <c r="R529" s="92"/>
      <c r="S529" s="187"/>
      <c r="T529" s="92"/>
      <c r="U529" s="187"/>
    </row>
    <row r="530" ht="15.75" customHeight="1">
      <c r="A530" s="92"/>
      <c r="B530" s="190"/>
      <c r="C530" s="92"/>
      <c r="D530" s="92"/>
      <c r="F530" s="92"/>
      <c r="G530" s="92"/>
      <c r="H530" s="187"/>
      <c r="I530" s="92"/>
      <c r="J530" s="92"/>
      <c r="K530" s="187"/>
      <c r="L530" s="92"/>
      <c r="M530" s="187"/>
      <c r="N530" s="92"/>
      <c r="O530" s="187"/>
      <c r="P530" s="92"/>
      <c r="Q530" s="187"/>
      <c r="R530" s="92"/>
      <c r="S530" s="187"/>
      <c r="T530" s="92"/>
      <c r="U530" s="187"/>
    </row>
    <row r="531" ht="15.75" customHeight="1">
      <c r="A531" s="92"/>
      <c r="B531" s="190"/>
      <c r="C531" s="92"/>
      <c r="D531" s="92"/>
      <c r="F531" s="92"/>
      <c r="G531" s="92"/>
      <c r="H531" s="187"/>
      <c r="I531" s="92"/>
      <c r="J531" s="92"/>
      <c r="K531" s="187"/>
      <c r="L531" s="92"/>
      <c r="M531" s="187"/>
      <c r="N531" s="92"/>
      <c r="O531" s="187"/>
      <c r="P531" s="92"/>
      <c r="Q531" s="187"/>
      <c r="R531" s="92"/>
      <c r="S531" s="187"/>
      <c r="T531" s="92"/>
      <c r="U531" s="187"/>
    </row>
    <row r="532" ht="15.75" customHeight="1">
      <c r="A532" s="92"/>
      <c r="B532" s="190"/>
      <c r="C532" s="92"/>
      <c r="D532" s="92"/>
      <c r="F532" s="92"/>
      <c r="G532" s="92"/>
      <c r="H532" s="187"/>
      <c r="I532" s="92"/>
      <c r="J532" s="92"/>
      <c r="K532" s="187"/>
      <c r="L532" s="92"/>
      <c r="M532" s="187"/>
      <c r="N532" s="92"/>
      <c r="O532" s="187"/>
      <c r="P532" s="92"/>
      <c r="Q532" s="187"/>
      <c r="R532" s="92"/>
      <c r="S532" s="187"/>
      <c r="T532" s="92"/>
      <c r="U532" s="187"/>
    </row>
    <row r="533" ht="15.75" customHeight="1">
      <c r="A533" s="92"/>
      <c r="B533" s="190"/>
      <c r="C533" s="92"/>
      <c r="D533" s="92"/>
      <c r="F533" s="92"/>
      <c r="G533" s="92"/>
      <c r="H533" s="187"/>
      <c r="I533" s="92"/>
      <c r="J533" s="92"/>
      <c r="K533" s="187"/>
      <c r="L533" s="92"/>
      <c r="M533" s="187"/>
      <c r="N533" s="92"/>
      <c r="O533" s="187"/>
      <c r="P533" s="92"/>
      <c r="Q533" s="187"/>
      <c r="R533" s="92"/>
      <c r="S533" s="187"/>
      <c r="T533" s="92"/>
      <c r="U533" s="187"/>
    </row>
    <row r="534" ht="15.75" customHeight="1">
      <c r="A534" s="92"/>
      <c r="B534" s="190"/>
      <c r="C534" s="92"/>
      <c r="D534" s="92"/>
      <c r="F534" s="92"/>
      <c r="G534" s="92"/>
      <c r="H534" s="187"/>
      <c r="I534" s="92"/>
      <c r="J534" s="92"/>
      <c r="K534" s="187"/>
      <c r="L534" s="92"/>
      <c r="M534" s="187"/>
      <c r="N534" s="92"/>
      <c r="O534" s="187"/>
      <c r="P534" s="92"/>
      <c r="Q534" s="187"/>
      <c r="R534" s="92"/>
      <c r="S534" s="187"/>
      <c r="T534" s="92"/>
      <c r="U534" s="187"/>
    </row>
    <row r="535" ht="15.75" customHeight="1">
      <c r="A535" s="92"/>
      <c r="B535" s="190"/>
      <c r="C535" s="92"/>
      <c r="D535" s="92"/>
      <c r="F535" s="92"/>
      <c r="G535" s="92"/>
      <c r="H535" s="187"/>
      <c r="I535" s="92"/>
      <c r="J535" s="92"/>
      <c r="K535" s="187"/>
      <c r="L535" s="92"/>
      <c r="M535" s="187"/>
      <c r="N535" s="92"/>
      <c r="O535" s="187"/>
      <c r="P535" s="92"/>
      <c r="Q535" s="187"/>
      <c r="R535" s="92"/>
      <c r="S535" s="187"/>
      <c r="T535" s="92"/>
      <c r="U535" s="187"/>
    </row>
    <row r="536" ht="15.75" customHeight="1">
      <c r="A536" s="92"/>
      <c r="B536" s="190"/>
      <c r="C536" s="92"/>
      <c r="D536" s="92"/>
      <c r="F536" s="92"/>
      <c r="G536" s="92"/>
      <c r="H536" s="187"/>
      <c r="I536" s="92"/>
      <c r="J536" s="92"/>
      <c r="K536" s="187"/>
      <c r="L536" s="92"/>
      <c r="M536" s="187"/>
      <c r="N536" s="92"/>
      <c r="O536" s="187"/>
      <c r="P536" s="92"/>
      <c r="Q536" s="187"/>
      <c r="R536" s="92"/>
      <c r="S536" s="187"/>
      <c r="T536" s="92"/>
      <c r="U536" s="187"/>
    </row>
    <row r="537" ht="15.75" customHeight="1">
      <c r="A537" s="92"/>
      <c r="B537" s="190"/>
      <c r="C537" s="92"/>
      <c r="D537" s="92"/>
      <c r="F537" s="92"/>
      <c r="G537" s="92"/>
      <c r="H537" s="187"/>
      <c r="I537" s="92"/>
      <c r="J537" s="92"/>
      <c r="K537" s="187"/>
      <c r="L537" s="92"/>
      <c r="M537" s="187"/>
      <c r="N537" s="92"/>
      <c r="O537" s="187"/>
      <c r="P537" s="92"/>
      <c r="Q537" s="187"/>
      <c r="R537" s="92"/>
      <c r="S537" s="187"/>
      <c r="T537" s="92"/>
      <c r="U537" s="187"/>
    </row>
    <row r="538" ht="15.75" customHeight="1">
      <c r="A538" s="92"/>
      <c r="B538" s="190"/>
      <c r="C538" s="92"/>
      <c r="D538" s="92"/>
      <c r="F538" s="92"/>
      <c r="G538" s="92"/>
      <c r="H538" s="187"/>
      <c r="I538" s="92"/>
      <c r="J538" s="92"/>
      <c r="K538" s="187"/>
      <c r="L538" s="92"/>
      <c r="M538" s="187"/>
      <c r="N538" s="92"/>
      <c r="O538" s="187"/>
      <c r="P538" s="92"/>
      <c r="Q538" s="187"/>
      <c r="R538" s="92"/>
      <c r="S538" s="187"/>
      <c r="T538" s="92"/>
      <c r="U538" s="187"/>
    </row>
    <row r="539" ht="15.75" customHeight="1">
      <c r="A539" s="92"/>
      <c r="B539" s="190"/>
      <c r="C539" s="92"/>
      <c r="D539" s="92"/>
      <c r="F539" s="92"/>
      <c r="G539" s="92"/>
      <c r="H539" s="187"/>
      <c r="I539" s="92"/>
      <c r="J539" s="92"/>
      <c r="K539" s="187"/>
      <c r="L539" s="92"/>
      <c r="M539" s="187"/>
      <c r="N539" s="92"/>
      <c r="O539" s="187"/>
      <c r="P539" s="92"/>
      <c r="Q539" s="187"/>
      <c r="R539" s="92"/>
      <c r="S539" s="187"/>
      <c r="T539" s="92"/>
      <c r="U539" s="187"/>
    </row>
    <row r="540" ht="15.75" customHeight="1">
      <c r="A540" s="92"/>
      <c r="B540" s="190"/>
      <c r="C540" s="92"/>
      <c r="D540" s="92"/>
      <c r="F540" s="92"/>
      <c r="G540" s="92"/>
      <c r="H540" s="187"/>
      <c r="I540" s="92"/>
      <c r="J540" s="92"/>
      <c r="K540" s="187"/>
      <c r="L540" s="92"/>
      <c r="M540" s="187"/>
      <c r="N540" s="92"/>
      <c r="O540" s="187"/>
      <c r="P540" s="92"/>
      <c r="Q540" s="187"/>
      <c r="R540" s="92"/>
      <c r="S540" s="187"/>
      <c r="T540" s="92"/>
      <c r="U540" s="187"/>
    </row>
    <row r="541" ht="15.75" customHeight="1">
      <c r="A541" s="92"/>
      <c r="B541" s="190"/>
      <c r="C541" s="92"/>
      <c r="D541" s="92"/>
      <c r="F541" s="92"/>
      <c r="G541" s="92"/>
      <c r="H541" s="187"/>
      <c r="I541" s="92"/>
      <c r="J541" s="92"/>
      <c r="K541" s="187"/>
      <c r="L541" s="92"/>
      <c r="M541" s="187"/>
      <c r="N541" s="92"/>
      <c r="O541" s="187"/>
      <c r="P541" s="92"/>
      <c r="Q541" s="187"/>
      <c r="R541" s="92"/>
      <c r="S541" s="187"/>
      <c r="T541" s="92"/>
      <c r="U541" s="187"/>
    </row>
    <row r="542" ht="15.75" customHeight="1">
      <c r="A542" s="92"/>
      <c r="B542" s="190"/>
      <c r="C542" s="92"/>
      <c r="D542" s="92"/>
      <c r="F542" s="92"/>
      <c r="G542" s="92"/>
      <c r="H542" s="187"/>
      <c r="I542" s="92"/>
      <c r="J542" s="92"/>
      <c r="K542" s="187"/>
      <c r="L542" s="92"/>
      <c r="M542" s="187"/>
      <c r="N542" s="92"/>
      <c r="O542" s="187"/>
      <c r="P542" s="92"/>
      <c r="Q542" s="187"/>
      <c r="R542" s="92"/>
      <c r="S542" s="187"/>
      <c r="T542" s="92"/>
      <c r="U542" s="187"/>
    </row>
    <row r="543" ht="15.75" customHeight="1">
      <c r="A543" s="92"/>
      <c r="B543" s="190"/>
      <c r="C543" s="92"/>
      <c r="D543" s="92"/>
      <c r="F543" s="92"/>
      <c r="G543" s="92"/>
      <c r="H543" s="187"/>
      <c r="I543" s="92"/>
      <c r="J543" s="92"/>
      <c r="K543" s="187"/>
      <c r="L543" s="92"/>
      <c r="M543" s="187"/>
      <c r="N543" s="92"/>
      <c r="O543" s="187"/>
      <c r="P543" s="92"/>
      <c r="Q543" s="187"/>
      <c r="R543" s="92"/>
      <c r="S543" s="187"/>
      <c r="T543" s="92"/>
      <c r="U543" s="187"/>
    </row>
    <row r="544" ht="15.75" customHeight="1">
      <c r="A544" s="92"/>
      <c r="B544" s="190"/>
      <c r="C544" s="92"/>
      <c r="D544" s="92"/>
      <c r="F544" s="92"/>
      <c r="G544" s="92"/>
      <c r="H544" s="187"/>
      <c r="I544" s="92"/>
      <c r="J544" s="92"/>
      <c r="K544" s="187"/>
      <c r="L544" s="92"/>
      <c r="M544" s="187"/>
      <c r="N544" s="92"/>
      <c r="O544" s="187"/>
      <c r="P544" s="92"/>
      <c r="Q544" s="187"/>
      <c r="R544" s="92"/>
      <c r="S544" s="187"/>
      <c r="T544" s="92"/>
      <c r="U544" s="187"/>
    </row>
    <row r="545" ht="15.75" customHeight="1">
      <c r="A545" s="92"/>
      <c r="B545" s="190"/>
      <c r="C545" s="92"/>
      <c r="D545" s="92"/>
      <c r="F545" s="92"/>
      <c r="G545" s="92"/>
      <c r="H545" s="187"/>
      <c r="I545" s="92"/>
      <c r="J545" s="92"/>
      <c r="K545" s="187"/>
      <c r="L545" s="92"/>
      <c r="M545" s="187"/>
      <c r="N545" s="92"/>
      <c r="O545" s="187"/>
      <c r="P545" s="92"/>
      <c r="Q545" s="187"/>
      <c r="R545" s="92"/>
      <c r="S545" s="187"/>
      <c r="T545" s="92"/>
      <c r="U545" s="187"/>
    </row>
    <row r="546" ht="15.75" customHeight="1">
      <c r="A546" s="92"/>
      <c r="B546" s="190"/>
      <c r="C546" s="92"/>
      <c r="D546" s="92"/>
      <c r="F546" s="92"/>
      <c r="G546" s="92"/>
      <c r="H546" s="187"/>
      <c r="I546" s="92"/>
      <c r="J546" s="92"/>
      <c r="K546" s="187"/>
      <c r="L546" s="92"/>
      <c r="M546" s="187"/>
      <c r="N546" s="92"/>
      <c r="O546" s="187"/>
      <c r="P546" s="92"/>
      <c r="Q546" s="187"/>
      <c r="R546" s="92"/>
      <c r="S546" s="187"/>
      <c r="T546" s="92"/>
      <c r="U546" s="187"/>
    </row>
    <row r="547" ht="15.75" customHeight="1">
      <c r="A547" s="92"/>
      <c r="B547" s="190"/>
      <c r="C547" s="92"/>
      <c r="D547" s="92"/>
      <c r="F547" s="92"/>
      <c r="G547" s="92"/>
      <c r="H547" s="187"/>
      <c r="I547" s="92"/>
      <c r="J547" s="92"/>
      <c r="K547" s="187"/>
      <c r="L547" s="92"/>
      <c r="M547" s="187"/>
      <c r="N547" s="92"/>
      <c r="O547" s="187"/>
      <c r="P547" s="92"/>
      <c r="Q547" s="187"/>
      <c r="R547" s="92"/>
      <c r="S547" s="187"/>
      <c r="T547" s="92"/>
      <c r="U547" s="187"/>
    </row>
    <row r="548" ht="15.75" customHeight="1">
      <c r="A548" s="92"/>
      <c r="B548" s="190"/>
      <c r="C548" s="92"/>
      <c r="D548" s="92"/>
      <c r="F548" s="92"/>
      <c r="G548" s="92"/>
      <c r="H548" s="187"/>
      <c r="I548" s="92"/>
      <c r="J548" s="92"/>
      <c r="K548" s="187"/>
      <c r="L548" s="92"/>
      <c r="M548" s="187"/>
      <c r="N548" s="92"/>
      <c r="O548" s="187"/>
      <c r="P548" s="92"/>
      <c r="Q548" s="187"/>
      <c r="R548" s="92"/>
      <c r="S548" s="187"/>
      <c r="T548" s="92"/>
      <c r="U548" s="187"/>
    </row>
    <row r="549" ht="15.75" customHeight="1">
      <c r="A549" s="92"/>
      <c r="B549" s="190"/>
      <c r="C549" s="92"/>
      <c r="D549" s="92"/>
      <c r="F549" s="92"/>
      <c r="G549" s="92"/>
      <c r="H549" s="187"/>
      <c r="I549" s="92"/>
      <c r="J549" s="92"/>
      <c r="K549" s="187"/>
      <c r="L549" s="92"/>
      <c r="M549" s="187"/>
      <c r="N549" s="92"/>
      <c r="O549" s="187"/>
      <c r="P549" s="92"/>
      <c r="Q549" s="187"/>
      <c r="R549" s="92"/>
      <c r="S549" s="187"/>
      <c r="T549" s="92"/>
      <c r="U549" s="187"/>
    </row>
    <row r="550" ht="15.75" customHeight="1">
      <c r="A550" s="92"/>
      <c r="B550" s="190"/>
      <c r="C550" s="92"/>
      <c r="D550" s="92"/>
      <c r="F550" s="92"/>
      <c r="G550" s="92"/>
      <c r="H550" s="187"/>
      <c r="I550" s="92"/>
      <c r="J550" s="92"/>
      <c r="K550" s="187"/>
      <c r="L550" s="92"/>
      <c r="M550" s="187"/>
      <c r="N550" s="92"/>
      <c r="O550" s="187"/>
      <c r="P550" s="92"/>
      <c r="Q550" s="187"/>
      <c r="R550" s="92"/>
      <c r="S550" s="187"/>
      <c r="T550" s="92"/>
      <c r="U550" s="187"/>
    </row>
    <row r="551" ht="15.75" customHeight="1">
      <c r="A551" s="92"/>
      <c r="B551" s="190"/>
      <c r="C551" s="92"/>
      <c r="D551" s="92"/>
      <c r="F551" s="92"/>
      <c r="G551" s="92"/>
      <c r="H551" s="187"/>
      <c r="I551" s="92"/>
      <c r="J551" s="92"/>
      <c r="K551" s="187"/>
      <c r="L551" s="92"/>
      <c r="M551" s="187"/>
      <c r="N551" s="92"/>
      <c r="O551" s="187"/>
      <c r="P551" s="92"/>
      <c r="Q551" s="187"/>
      <c r="R551" s="92"/>
      <c r="S551" s="187"/>
      <c r="T551" s="92"/>
      <c r="U551" s="187"/>
    </row>
    <row r="552" ht="15.75" customHeight="1">
      <c r="A552" s="92"/>
      <c r="B552" s="190"/>
      <c r="C552" s="92"/>
      <c r="D552" s="92"/>
      <c r="F552" s="92"/>
      <c r="G552" s="92"/>
      <c r="H552" s="187"/>
      <c r="I552" s="92"/>
      <c r="J552" s="92"/>
      <c r="K552" s="187"/>
      <c r="L552" s="92"/>
      <c r="M552" s="187"/>
      <c r="N552" s="92"/>
      <c r="O552" s="187"/>
      <c r="P552" s="92"/>
      <c r="Q552" s="187"/>
      <c r="R552" s="92"/>
      <c r="S552" s="187"/>
      <c r="T552" s="92"/>
      <c r="U552" s="187"/>
    </row>
    <row r="553" ht="15.75" customHeight="1">
      <c r="A553" s="92"/>
      <c r="B553" s="190"/>
      <c r="C553" s="92"/>
      <c r="D553" s="92"/>
      <c r="F553" s="92"/>
      <c r="G553" s="92"/>
      <c r="H553" s="187"/>
      <c r="I553" s="92"/>
      <c r="J553" s="92"/>
      <c r="K553" s="187"/>
      <c r="L553" s="92"/>
      <c r="M553" s="187"/>
      <c r="N553" s="92"/>
      <c r="O553" s="187"/>
      <c r="P553" s="92"/>
      <c r="Q553" s="187"/>
      <c r="R553" s="92"/>
      <c r="S553" s="187"/>
      <c r="T553" s="92"/>
      <c r="U553" s="187"/>
    </row>
    <row r="554" ht="15.75" customHeight="1">
      <c r="A554" s="92"/>
      <c r="B554" s="190"/>
      <c r="C554" s="92"/>
      <c r="D554" s="92"/>
      <c r="F554" s="92"/>
      <c r="G554" s="92"/>
      <c r="H554" s="187"/>
      <c r="I554" s="92"/>
      <c r="J554" s="92"/>
      <c r="K554" s="187"/>
      <c r="L554" s="92"/>
      <c r="M554" s="187"/>
      <c r="N554" s="92"/>
      <c r="O554" s="187"/>
      <c r="P554" s="92"/>
      <c r="Q554" s="187"/>
      <c r="R554" s="92"/>
      <c r="S554" s="187"/>
      <c r="T554" s="92"/>
      <c r="U554" s="187"/>
    </row>
    <row r="555" ht="15.75" customHeight="1">
      <c r="A555" s="92"/>
      <c r="B555" s="190"/>
      <c r="C555" s="92"/>
      <c r="D555" s="92"/>
      <c r="F555" s="92"/>
      <c r="G555" s="92"/>
      <c r="H555" s="187"/>
      <c r="I555" s="92"/>
      <c r="J555" s="92"/>
      <c r="K555" s="187"/>
      <c r="L555" s="92"/>
      <c r="M555" s="187"/>
      <c r="N555" s="92"/>
      <c r="O555" s="187"/>
      <c r="P555" s="92"/>
      <c r="Q555" s="187"/>
      <c r="R555" s="92"/>
      <c r="S555" s="187"/>
      <c r="T555" s="92"/>
      <c r="U555" s="187"/>
    </row>
    <row r="556" ht="15.75" customHeight="1">
      <c r="A556" s="92"/>
      <c r="B556" s="190"/>
      <c r="C556" s="92"/>
      <c r="D556" s="92"/>
      <c r="F556" s="92"/>
      <c r="G556" s="92"/>
      <c r="H556" s="187"/>
      <c r="I556" s="92"/>
      <c r="J556" s="92"/>
      <c r="K556" s="187"/>
      <c r="L556" s="92"/>
      <c r="M556" s="187"/>
      <c r="N556" s="92"/>
      <c r="O556" s="187"/>
      <c r="P556" s="92"/>
      <c r="Q556" s="187"/>
      <c r="R556" s="92"/>
      <c r="S556" s="187"/>
      <c r="T556" s="92"/>
      <c r="U556" s="187"/>
    </row>
    <row r="557" ht="15.75" customHeight="1">
      <c r="A557" s="92"/>
      <c r="B557" s="190"/>
      <c r="C557" s="92"/>
      <c r="D557" s="92"/>
      <c r="F557" s="92"/>
      <c r="G557" s="92"/>
      <c r="H557" s="187"/>
      <c r="I557" s="92"/>
      <c r="J557" s="92"/>
      <c r="K557" s="187"/>
      <c r="L557" s="92"/>
      <c r="M557" s="187"/>
      <c r="N557" s="92"/>
      <c r="O557" s="187"/>
      <c r="P557" s="92"/>
      <c r="Q557" s="187"/>
      <c r="R557" s="92"/>
      <c r="S557" s="187"/>
      <c r="T557" s="92"/>
      <c r="U557" s="187"/>
    </row>
    <row r="558" ht="15.75" customHeight="1">
      <c r="A558" s="92"/>
      <c r="B558" s="190"/>
      <c r="C558" s="92"/>
      <c r="D558" s="92"/>
      <c r="F558" s="92"/>
      <c r="G558" s="92"/>
      <c r="H558" s="187"/>
      <c r="I558" s="92"/>
      <c r="J558" s="92"/>
      <c r="K558" s="187"/>
      <c r="L558" s="92"/>
      <c r="M558" s="187"/>
      <c r="N558" s="92"/>
      <c r="O558" s="187"/>
      <c r="P558" s="92"/>
      <c r="Q558" s="187"/>
      <c r="R558" s="92"/>
      <c r="S558" s="187"/>
      <c r="T558" s="92"/>
      <c r="U558" s="187"/>
    </row>
    <row r="559" ht="15.75" customHeight="1">
      <c r="A559" s="92"/>
      <c r="B559" s="190"/>
      <c r="C559" s="92"/>
      <c r="D559" s="92"/>
      <c r="F559" s="92"/>
      <c r="G559" s="92"/>
      <c r="H559" s="187"/>
      <c r="I559" s="92"/>
      <c r="J559" s="92"/>
      <c r="K559" s="187"/>
      <c r="L559" s="92"/>
      <c r="M559" s="187"/>
      <c r="N559" s="92"/>
      <c r="O559" s="187"/>
      <c r="P559" s="92"/>
      <c r="Q559" s="187"/>
      <c r="R559" s="92"/>
      <c r="S559" s="187"/>
      <c r="T559" s="92"/>
      <c r="U559" s="187"/>
    </row>
    <row r="560" ht="15.75" customHeight="1">
      <c r="A560" s="92"/>
      <c r="B560" s="190"/>
      <c r="C560" s="92"/>
      <c r="D560" s="92"/>
      <c r="F560" s="92"/>
      <c r="G560" s="92"/>
      <c r="H560" s="187"/>
      <c r="I560" s="92"/>
      <c r="J560" s="92"/>
      <c r="K560" s="187"/>
      <c r="L560" s="92"/>
      <c r="M560" s="187"/>
      <c r="N560" s="92"/>
      <c r="O560" s="187"/>
      <c r="P560" s="92"/>
      <c r="Q560" s="187"/>
      <c r="R560" s="92"/>
      <c r="S560" s="187"/>
      <c r="T560" s="92"/>
      <c r="U560" s="187"/>
    </row>
    <row r="561" ht="15.75" customHeight="1">
      <c r="A561" s="92"/>
      <c r="B561" s="190"/>
      <c r="C561" s="92"/>
      <c r="D561" s="92"/>
      <c r="F561" s="92"/>
      <c r="G561" s="92"/>
      <c r="H561" s="187"/>
      <c r="I561" s="92"/>
      <c r="J561" s="92"/>
      <c r="K561" s="187"/>
      <c r="L561" s="92"/>
      <c r="M561" s="187"/>
      <c r="N561" s="92"/>
      <c r="O561" s="187"/>
      <c r="P561" s="92"/>
      <c r="Q561" s="187"/>
      <c r="R561" s="92"/>
      <c r="S561" s="187"/>
      <c r="T561" s="92"/>
      <c r="U561" s="187"/>
    </row>
    <row r="562" ht="15.75" customHeight="1">
      <c r="A562" s="92"/>
      <c r="B562" s="190"/>
      <c r="C562" s="92"/>
      <c r="D562" s="92"/>
      <c r="F562" s="92"/>
      <c r="G562" s="92"/>
      <c r="H562" s="187"/>
      <c r="I562" s="92"/>
      <c r="J562" s="92"/>
      <c r="K562" s="187"/>
      <c r="L562" s="92"/>
      <c r="M562" s="187"/>
      <c r="N562" s="92"/>
      <c r="O562" s="187"/>
      <c r="P562" s="92"/>
      <c r="Q562" s="187"/>
      <c r="R562" s="92"/>
      <c r="S562" s="187"/>
      <c r="T562" s="92"/>
      <c r="U562" s="187"/>
    </row>
    <row r="563" ht="15.75" customHeight="1">
      <c r="A563" s="92"/>
      <c r="B563" s="190"/>
      <c r="C563" s="92"/>
      <c r="D563" s="92"/>
      <c r="F563" s="92"/>
      <c r="G563" s="92"/>
      <c r="H563" s="187"/>
      <c r="I563" s="92"/>
      <c r="J563" s="92"/>
      <c r="K563" s="187"/>
      <c r="L563" s="92"/>
      <c r="M563" s="187"/>
      <c r="N563" s="92"/>
      <c r="O563" s="187"/>
      <c r="P563" s="92"/>
      <c r="Q563" s="187"/>
      <c r="R563" s="92"/>
      <c r="S563" s="187"/>
      <c r="T563" s="92"/>
      <c r="U563" s="187"/>
    </row>
    <row r="564" ht="15.75" customHeight="1">
      <c r="A564" s="92"/>
      <c r="B564" s="190"/>
      <c r="C564" s="92"/>
      <c r="D564" s="92"/>
      <c r="F564" s="92"/>
      <c r="G564" s="92"/>
      <c r="H564" s="187"/>
      <c r="I564" s="92"/>
      <c r="J564" s="92"/>
      <c r="K564" s="187"/>
      <c r="L564" s="92"/>
      <c r="M564" s="187"/>
      <c r="N564" s="92"/>
      <c r="O564" s="187"/>
      <c r="P564" s="92"/>
      <c r="Q564" s="187"/>
      <c r="R564" s="92"/>
      <c r="S564" s="187"/>
      <c r="T564" s="92"/>
      <c r="U564" s="187"/>
    </row>
    <row r="565" ht="15.75" customHeight="1">
      <c r="A565" s="92"/>
      <c r="B565" s="190"/>
      <c r="C565" s="92"/>
      <c r="D565" s="92"/>
      <c r="F565" s="92"/>
      <c r="G565" s="92"/>
      <c r="H565" s="187"/>
      <c r="I565" s="92"/>
      <c r="J565" s="92"/>
      <c r="K565" s="187"/>
      <c r="L565" s="92"/>
      <c r="M565" s="187"/>
      <c r="N565" s="92"/>
      <c r="O565" s="187"/>
      <c r="P565" s="92"/>
      <c r="Q565" s="187"/>
      <c r="R565" s="92"/>
      <c r="S565" s="187"/>
      <c r="T565" s="92"/>
      <c r="U565" s="187"/>
    </row>
    <row r="566" ht="15.75" customHeight="1">
      <c r="A566" s="92"/>
      <c r="B566" s="190"/>
      <c r="C566" s="92"/>
      <c r="D566" s="92"/>
      <c r="F566" s="92"/>
      <c r="G566" s="92"/>
      <c r="H566" s="187"/>
      <c r="I566" s="92"/>
      <c r="J566" s="92"/>
      <c r="K566" s="187"/>
      <c r="L566" s="92"/>
      <c r="M566" s="187"/>
      <c r="N566" s="92"/>
      <c r="O566" s="187"/>
      <c r="P566" s="92"/>
      <c r="Q566" s="187"/>
      <c r="R566" s="92"/>
      <c r="S566" s="187"/>
      <c r="T566" s="92"/>
      <c r="U566" s="187"/>
    </row>
    <row r="567" ht="15.75" customHeight="1">
      <c r="A567" s="92"/>
      <c r="B567" s="190"/>
      <c r="C567" s="92"/>
      <c r="D567" s="92"/>
      <c r="F567" s="92"/>
      <c r="G567" s="92"/>
      <c r="H567" s="187"/>
      <c r="I567" s="92"/>
      <c r="J567" s="92"/>
      <c r="K567" s="187"/>
      <c r="L567" s="92"/>
      <c r="M567" s="187"/>
      <c r="N567" s="92"/>
      <c r="O567" s="187"/>
      <c r="P567" s="92"/>
      <c r="Q567" s="187"/>
      <c r="R567" s="92"/>
      <c r="S567" s="187"/>
      <c r="T567" s="92"/>
      <c r="U567" s="187"/>
    </row>
    <row r="568" ht="15.75" customHeight="1">
      <c r="A568" s="92"/>
      <c r="B568" s="190"/>
      <c r="C568" s="92"/>
      <c r="D568" s="92"/>
      <c r="F568" s="92"/>
      <c r="G568" s="92"/>
      <c r="H568" s="187"/>
      <c r="I568" s="92"/>
      <c r="J568" s="92"/>
      <c r="K568" s="187"/>
      <c r="L568" s="92"/>
      <c r="M568" s="187"/>
      <c r="N568" s="92"/>
      <c r="O568" s="187"/>
      <c r="P568" s="92"/>
      <c r="Q568" s="187"/>
      <c r="R568" s="92"/>
      <c r="S568" s="187"/>
      <c r="T568" s="92"/>
      <c r="U568" s="187"/>
    </row>
    <row r="569" ht="15.75" customHeight="1">
      <c r="A569" s="92"/>
      <c r="B569" s="190"/>
      <c r="C569" s="92"/>
      <c r="D569" s="92"/>
      <c r="F569" s="92"/>
      <c r="G569" s="92"/>
      <c r="H569" s="187"/>
      <c r="I569" s="92"/>
      <c r="J569" s="92"/>
      <c r="K569" s="187"/>
      <c r="L569" s="92"/>
      <c r="M569" s="187"/>
      <c r="N569" s="92"/>
      <c r="O569" s="187"/>
      <c r="P569" s="92"/>
      <c r="Q569" s="187"/>
      <c r="R569" s="92"/>
      <c r="S569" s="187"/>
      <c r="T569" s="92"/>
      <c r="U569" s="187"/>
    </row>
    <row r="570" ht="15.75" customHeight="1">
      <c r="A570" s="92"/>
      <c r="B570" s="190"/>
      <c r="C570" s="92"/>
      <c r="D570" s="92"/>
      <c r="F570" s="92"/>
      <c r="G570" s="92"/>
      <c r="H570" s="187"/>
      <c r="I570" s="92"/>
      <c r="J570" s="92"/>
      <c r="K570" s="187"/>
      <c r="L570" s="92"/>
      <c r="M570" s="187"/>
      <c r="N570" s="92"/>
      <c r="O570" s="187"/>
      <c r="P570" s="92"/>
      <c r="Q570" s="187"/>
      <c r="R570" s="92"/>
      <c r="S570" s="187"/>
      <c r="T570" s="92"/>
      <c r="U570" s="187"/>
    </row>
    <row r="571" ht="15.75" customHeight="1">
      <c r="A571" s="92"/>
      <c r="B571" s="190"/>
      <c r="C571" s="92"/>
      <c r="D571" s="92"/>
      <c r="F571" s="92"/>
      <c r="G571" s="92"/>
      <c r="H571" s="187"/>
      <c r="I571" s="92"/>
      <c r="J571" s="92"/>
      <c r="K571" s="187"/>
      <c r="L571" s="92"/>
      <c r="M571" s="187"/>
      <c r="N571" s="92"/>
      <c r="O571" s="187"/>
      <c r="P571" s="92"/>
      <c r="Q571" s="187"/>
      <c r="R571" s="92"/>
      <c r="S571" s="187"/>
      <c r="T571" s="92"/>
      <c r="U571" s="187"/>
    </row>
    <row r="572" ht="15.75" customHeight="1">
      <c r="A572" s="92"/>
      <c r="B572" s="190"/>
      <c r="C572" s="92"/>
      <c r="D572" s="92"/>
      <c r="F572" s="92"/>
      <c r="G572" s="92"/>
      <c r="H572" s="187"/>
      <c r="I572" s="92"/>
      <c r="J572" s="92"/>
      <c r="K572" s="187"/>
      <c r="L572" s="92"/>
      <c r="M572" s="187"/>
      <c r="N572" s="92"/>
      <c r="O572" s="187"/>
      <c r="P572" s="92"/>
      <c r="Q572" s="187"/>
      <c r="R572" s="92"/>
      <c r="S572" s="187"/>
      <c r="T572" s="92"/>
      <c r="U572" s="187"/>
    </row>
    <row r="573" ht="15.75" customHeight="1">
      <c r="A573" s="92"/>
      <c r="B573" s="190"/>
      <c r="C573" s="92"/>
      <c r="D573" s="92"/>
      <c r="F573" s="92"/>
      <c r="G573" s="92"/>
      <c r="H573" s="187"/>
      <c r="I573" s="92"/>
      <c r="J573" s="92"/>
      <c r="K573" s="187"/>
      <c r="L573" s="92"/>
      <c r="M573" s="187"/>
      <c r="N573" s="92"/>
      <c r="O573" s="187"/>
      <c r="P573" s="92"/>
      <c r="Q573" s="187"/>
      <c r="R573" s="92"/>
      <c r="S573" s="187"/>
      <c r="T573" s="92"/>
      <c r="U573" s="187"/>
    </row>
    <row r="574" ht="15.75" customHeight="1">
      <c r="A574" s="92"/>
      <c r="B574" s="190"/>
      <c r="C574" s="92"/>
      <c r="D574" s="92"/>
      <c r="F574" s="92"/>
      <c r="G574" s="92"/>
      <c r="H574" s="187"/>
      <c r="I574" s="92"/>
      <c r="J574" s="92"/>
      <c r="K574" s="187"/>
      <c r="L574" s="92"/>
      <c r="M574" s="187"/>
      <c r="N574" s="92"/>
      <c r="O574" s="187"/>
      <c r="P574" s="92"/>
      <c r="Q574" s="187"/>
      <c r="R574" s="92"/>
      <c r="S574" s="187"/>
      <c r="T574" s="92"/>
      <c r="U574" s="187"/>
    </row>
    <row r="575" ht="15.75" customHeight="1">
      <c r="A575" s="92"/>
      <c r="B575" s="190"/>
      <c r="C575" s="92"/>
      <c r="D575" s="92"/>
      <c r="F575" s="92"/>
      <c r="G575" s="92"/>
      <c r="H575" s="187"/>
      <c r="I575" s="92"/>
      <c r="J575" s="92"/>
      <c r="K575" s="187"/>
      <c r="L575" s="92"/>
      <c r="M575" s="187"/>
      <c r="N575" s="92"/>
      <c r="O575" s="187"/>
      <c r="P575" s="92"/>
      <c r="Q575" s="187"/>
      <c r="R575" s="92"/>
      <c r="S575" s="187"/>
      <c r="T575" s="92"/>
      <c r="U575" s="187"/>
    </row>
    <row r="576" ht="15.75" customHeight="1">
      <c r="A576" s="92"/>
      <c r="B576" s="190"/>
      <c r="C576" s="92"/>
      <c r="D576" s="92"/>
      <c r="F576" s="92"/>
      <c r="G576" s="92"/>
      <c r="H576" s="187"/>
      <c r="I576" s="92"/>
      <c r="J576" s="92"/>
      <c r="K576" s="187"/>
      <c r="L576" s="92"/>
      <c r="M576" s="187"/>
      <c r="N576" s="92"/>
      <c r="O576" s="187"/>
      <c r="P576" s="92"/>
      <c r="Q576" s="187"/>
      <c r="R576" s="92"/>
      <c r="S576" s="187"/>
      <c r="T576" s="92"/>
      <c r="U576" s="187"/>
    </row>
    <row r="577" ht="15.75" customHeight="1">
      <c r="A577" s="92"/>
      <c r="B577" s="190"/>
      <c r="C577" s="92"/>
      <c r="D577" s="92"/>
      <c r="F577" s="92"/>
      <c r="G577" s="92"/>
      <c r="H577" s="187"/>
      <c r="I577" s="92"/>
      <c r="J577" s="92"/>
      <c r="K577" s="187"/>
      <c r="L577" s="92"/>
      <c r="M577" s="187"/>
      <c r="N577" s="92"/>
      <c r="O577" s="187"/>
      <c r="P577" s="92"/>
      <c r="Q577" s="187"/>
      <c r="R577" s="92"/>
      <c r="S577" s="187"/>
      <c r="T577" s="92"/>
      <c r="U577" s="187"/>
    </row>
    <row r="578" ht="15.75" customHeight="1">
      <c r="A578" s="92"/>
      <c r="B578" s="190"/>
      <c r="C578" s="92"/>
      <c r="D578" s="92"/>
      <c r="F578" s="92"/>
      <c r="G578" s="92"/>
      <c r="H578" s="187"/>
      <c r="I578" s="92"/>
      <c r="J578" s="92"/>
      <c r="K578" s="187"/>
      <c r="L578" s="92"/>
      <c r="M578" s="187"/>
      <c r="N578" s="92"/>
      <c r="O578" s="187"/>
      <c r="P578" s="92"/>
      <c r="Q578" s="187"/>
      <c r="R578" s="92"/>
      <c r="S578" s="187"/>
      <c r="T578" s="92"/>
      <c r="U578" s="187"/>
    </row>
    <row r="579" ht="15.75" customHeight="1">
      <c r="A579" s="92"/>
      <c r="B579" s="190"/>
      <c r="C579" s="92"/>
      <c r="D579" s="92"/>
      <c r="F579" s="92"/>
      <c r="G579" s="92"/>
      <c r="H579" s="187"/>
      <c r="I579" s="92"/>
      <c r="J579" s="92"/>
      <c r="K579" s="187"/>
      <c r="L579" s="92"/>
      <c r="M579" s="187"/>
      <c r="N579" s="92"/>
      <c r="O579" s="187"/>
      <c r="P579" s="92"/>
      <c r="Q579" s="187"/>
      <c r="R579" s="92"/>
      <c r="S579" s="187"/>
      <c r="T579" s="92"/>
      <c r="U579" s="187"/>
    </row>
    <row r="580" ht="15.75" customHeight="1">
      <c r="A580" s="92"/>
      <c r="B580" s="190"/>
      <c r="C580" s="92"/>
      <c r="D580" s="92"/>
      <c r="F580" s="92"/>
      <c r="G580" s="92"/>
      <c r="H580" s="187"/>
      <c r="I580" s="92"/>
      <c r="J580" s="92"/>
      <c r="K580" s="187"/>
      <c r="L580" s="92"/>
      <c r="M580" s="187"/>
      <c r="N580" s="92"/>
      <c r="O580" s="187"/>
      <c r="P580" s="92"/>
      <c r="Q580" s="187"/>
      <c r="R580" s="92"/>
      <c r="S580" s="187"/>
      <c r="T580" s="92"/>
      <c r="U580" s="187"/>
    </row>
    <row r="581" ht="15.75" customHeight="1">
      <c r="A581" s="92"/>
      <c r="B581" s="190"/>
      <c r="C581" s="92"/>
      <c r="D581" s="92"/>
      <c r="F581" s="92"/>
      <c r="G581" s="92"/>
      <c r="H581" s="187"/>
      <c r="I581" s="92"/>
      <c r="J581" s="92"/>
      <c r="K581" s="187"/>
      <c r="L581" s="92"/>
      <c r="M581" s="187"/>
      <c r="N581" s="92"/>
      <c r="O581" s="187"/>
      <c r="P581" s="92"/>
      <c r="Q581" s="187"/>
      <c r="R581" s="92"/>
      <c r="S581" s="187"/>
      <c r="T581" s="92"/>
      <c r="U581" s="187"/>
    </row>
    <row r="582" ht="15.75" customHeight="1">
      <c r="A582" s="92"/>
      <c r="B582" s="190"/>
      <c r="C582" s="92"/>
      <c r="D582" s="92"/>
      <c r="F582" s="92"/>
      <c r="G582" s="92"/>
      <c r="H582" s="187"/>
      <c r="I582" s="92"/>
      <c r="J582" s="92"/>
      <c r="K582" s="187"/>
      <c r="L582" s="92"/>
      <c r="M582" s="187"/>
      <c r="N582" s="92"/>
      <c r="O582" s="187"/>
      <c r="P582" s="92"/>
      <c r="Q582" s="187"/>
      <c r="R582" s="92"/>
      <c r="S582" s="187"/>
      <c r="T582" s="92"/>
      <c r="U582" s="187"/>
    </row>
    <row r="583" ht="15.75" customHeight="1">
      <c r="A583" s="92"/>
      <c r="B583" s="190"/>
      <c r="C583" s="92"/>
      <c r="D583" s="92"/>
      <c r="F583" s="92"/>
      <c r="G583" s="92"/>
      <c r="H583" s="187"/>
      <c r="I583" s="92"/>
      <c r="J583" s="92"/>
      <c r="K583" s="187"/>
      <c r="L583" s="92"/>
      <c r="M583" s="187"/>
      <c r="N583" s="92"/>
      <c r="O583" s="187"/>
      <c r="P583" s="92"/>
      <c r="Q583" s="187"/>
      <c r="R583" s="92"/>
      <c r="S583" s="187"/>
      <c r="T583" s="92"/>
      <c r="U583" s="187"/>
    </row>
    <row r="584" ht="15.75" customHeight="1">
      <c r="A584" s="92"/>
      <c r="B584" s="190"/>
      <c r="C584" s="92"/>
      <c r="D584" s="92"/>
      <c r="F584" s="92"/>
      <c r="G584" s="92"/>
      <c r="H584" s="187"/>
      <c r="I584" s="92"/>
      <c r="J584" s="92"/>
      <c r="K584" s="187"/>
      <c r="L584" s="92"/>
      <c r="M584" s="187"/>
      <c r="N584" s="92"/>
      <c r="O584" s="187"/>
      <c r="P584" s="92"/>
      <c r="Q584" s="187"/>
      <c r="R584" s="92"/>
      <c r="S584" s="187"/>
      <c r="T584" s="92"/>
      <c r="U584" s="187"/>
    </row>
    <row r="585" ht="15.75" customHeight="1">
      <c r="A585" s="92"/>
      <c r="B585" s="190"/>
      <c r="C585" s="92"/>
      <c r="D585" s="92"/>
      <c r="F585" s="92"/>
      <c r="G585" s="92"/>
      <c r="H585" s="187"/>
      <c r="I585" s="92"/>
      <c r="J585" s="92"/>
      <c r="K585" s="187"/>
      <c r="L585" s="92"/>
      <c r="M585" s="187"/>
      <c r="N585" s="92"/>
      <c r="O585" s="187"/>
      <c r="P585" s="92"/>
      <c r="Q585" s="187"/>
      <c r="R585" s="92"/>
      <c r="S585" s="187"/>
      <c r="T585" s="92"/>
      <c r="U585" s="187"/>
    </row>
    <row r="586" ht="15.75" customHeight="1">
      <c r="A586" s="92"/>
      <c r="B586" s="190"/>
      <c r="C586" s="92"/>
      <c r="D586" s="92"/>
      <c r="F586" s="92"/>
      <c r="G586" s="92"/>
      <c r="H586" s="187"/>
      <c r="I586" s="92"/>
      <c r="J586" s="92"/>
      <c r="K586" s="187"/>
      <c r="L586" s="92"/>
      <c r="M586" s="187"/>
      <c r="N586" s="92"/>
      <c r="O586" s="187"/>
      <c r="P586" s="92"/>
      <c r="Q586" s="187"/>
      <c r="R586" s="92"/>
      <c r="S586" s="187"/>
      <c r="T586" s="92"/>
      <c r="U586" s="187"/>
    </row>
    <row r="587" ht="15.75" customHeight="1">
      <c r="A587" s="92"/>
      <c r="B587" s="190"/>
      <c r="C587" s="92"/>
      <c r="D587" s="92"/>
      <c r="F587" s="92"/>
      <c r="G587" s="92"/>
      <c r="H587" s="187"/>
      <c r="I587" s="92"/>
      <c r="J587" s="92"/>
      <c r="K587" s="187"/>
      <c r="L587" s="92"/>
      <c r="M587" s="187"/>
      <c r="N587" s="92"/>
      <c r="O587" s="187"/>
      <c r="P587" s="92"/>
      <c r="Q587" s="187"/>
      <c r="R587" s="92"/>
      <c r="S587" s="187"/>
      <c r="T587" s="92"/>
      <c r="U587" s="187"/>
    </row>
    <row r="588" ht="15.75" customHeight="1">
      <c r="A588" s="92"/>
      <c r="B588" s="190"/>
      <c r="C588" s="92"/>
      <c r="D588" s="92"/>
      <c r="F588" s="92"/>
      <c r="G588" s="92"/>
      <c r="H588" s="187"/>
      <c r="I588" s="92"/>
      <c r="J588" s="92"/>
      <c r="K588" s="187"/>
      <c r="L588" s="92"/>
      <c r="M588" s="187"/>
      <c r="N588" s="92"/>
      <c r="O588" s="187"/>
      <c r="P588" s="92"/>
      <c r="Q588" s="187"/>
      <c r="R588" s="92"/>
      <c r="S588" s="187"/>
      <c r="T588" s="92"/>
      <c r="U588" s="187"/>
    </row>
    <row r="589" ht="15.75" customHeight="1">
      <c r="A589" s="92"/>
      <c r="B589" s="190"/>
      <c r="C589" s="92"/>
      <c r="D589" s="92"/>
      <c r="F589" s="92"/>
      <c r="G589" s="92"/>
      <c r="H589" s="187"/>
      <c r="I589" s="92"/>
      <c r="J589" s="92"/>
      <c r="K589" s="187"/>
      <c r="L589" s="92"/>
      <c r="M589" s="187"/>
      <c r="N589" s="92"/>
      <c r="O589" s="187"/>
      <c r="P589" s="92"/>
      <c r="Q589" s="187"/>
      <c r="R589" s="92"/>
      <c r="S589" s="187"/>
      <c r="T589" s="92"/>
      <c r="U589" s="187"/>
    </row>
    <row r="590" ht="15.75" customHeight="1">
      <c r="A590" s="92"/>
      <c r="B590" s="190"/>
      <c r="C590" s="92"/>
      <c r="D590" s="92"/>
      <c r="F590" s="92"/>
      <c r="G590" s="92"/>
      <c r="H590" s="187"/>
      <c r="I590" s="92"/>
      <c r="J590" s="92"/>
      <c r="K590" s="187"/>
      <c r="L590" s="92"/>
      <c r="M590" s="187"/>
      <c r="N590" s="92"/>
      <c r="O590" s="187"/>
      <c r="P590" s="92"/>
      <c r="Q590" s="187"/>
      <c r="R590" s="92"/>
      <c r="S590" s="187"/>
      <c r="T590" s="92"/>
      <c r="U590" s="187"/>
    </row>
    <row r="591" ht="15.75" customHeight="1">
      <c r="A591" s="92"/>
      <c r="B591" s="190"/>
      <c r="C591" s="92"/>
      <c r="D591" s="92"/>
      <c r="F591" s="92"/>
      <c r="G591" s="92"/>
      <c r="H591" s="187"/>
      <c r="I591" s="92"/>
      <c r="J591" s="92"/>
      <c r="K591" s="187"/>
      <c r="L591" s="92"/>
      <c r="M591" s="187"/>
      <c r="N591" s="92"/>
      <c r="O591" s="187"/>
      <c r="P591" s="92"/>
      <c r="Q591" s="187"/>
      <c r="R591" s="92"/>
      <c r="S591" s="187"/>
      <c r="T591" s="92"/>
      <c r="U591" s="187"/>
    </row>
    <row r="592" ht="15.75" customHeight="1">
      <c r="A592" s="92"/>
      <c r="B592" s="190"/>
      <c r="C592" s="92"/>
      <c r="D592" s="92"/>
      <c r="F592" s="92"/>
      <c r="G592" s="92"/>
      <c r="H592" s="187"/>
      <c r="I592" s="92"/>
      <c r="J592" s="92"/>
      <c r="K592" s="187"/>
      <c r="L592" s="92"/>
      <c r="M592" s="187"/>
      <c r="N592" s="92"/>
      <c r="O592" s="187"/>
      <c r="P592" s="92"/>
      <c r="Q592" s="187"/>
      <c r="R592" s="92"/>
      <c r="S592" s="187"/>
      <c r="T592" s="92"/>
      <c r="U592" s="187"/>
    </row>
    <row r="593" ht="15.75" customHeight="1">
      <c r="A593" s="92"/>
      <c r="B593" s="190"/>
      <c r="C593" s="92"/>
      <c r="D593" s="92"/>
      <c r="F593" s="92"/>
      <c r="G593" s="92"/>
      <c r="H593" s="187"/>
      <c r="I593" s="92"/>
      <c r="J593" s="92"/>
      <c r="K593" s="187"/>
      <c r="L593" s="92"/>
      <c r="M593" s="187"/>
      <c r="N593" s="92"/>
      <c r="O593" s="187"/>
      <c r="P593" s="92"/>
      <c r="Q593" s="187"/>
      <c r="R593" s="92"/>
      <c r="S593" s="187"/>
      <c r="T593" s="92"/>
      <c r="U593" s="187"/>
    </row>
    <row r="594" ht="15.75" customHeight="1">
      <c r="A594" s="92"/>
      <c r="B594" s="190"/>
      <c r="C594" s="92"/>
      <c r="D594" s="92"/>
      <c r="F594" s="92"/>
      <c r="G594" s="92"/>
      <c r="H594" s="187"/>
      <c r="I594" s="92"/>
      <c r="J594" s="92"/>
      <c r="K594" s="187"/>
      <c r="L594" s="92"/>
      <c r="M594" s="187"/>
      <c r="N594" s="92"/>
      <c r="O594" s="187"/>
      <c r="P594" s="92"/>
      <c r="Q594" s="187"/>
      <c r="R594" s="92"/>
      <c r="S594" s="187"/>
      <c r="T594" s="92"/>
      <c r="U594" s="187"/>
    </row>
    <row r="595" ht="15.75" customHeight="1">
      <c r="A595" s="92"/>
      <c r="B595" s="190"/>
      <c r="C595" s="92"/>
      <c r="D595" s="92"/>
      <c r="F595" s="92"/>
      <c r="G595" s="92"/>
      <c r="H595" s="187"/>
      <c r="I595" s="92"/>
      <c r="J595" s="92"/>
      <c r="K595" s="187"/>
      <c r="L595" s="92"/>
      <c r="M595" s="187"/>
      <c r="N595" s="92"/>
      <c r="O595" s="187"/>
      <c r="P595" s="92"/>
      <c r="Q595" s="187"/>
      <c r="R595" s="92"/>
      <c r="S595" s="187"/>
      <c r="T595" s="92"/>
      <c r="U595" s="187"/>
    </row>
    <row r="596" ht="15.75" customHeight="1">
      <c r="A596" s="92"/>
      <c r="B596" s="190"/>
      <c r="C596" s="92"/>
      <c r="D596" s="92"/>
      <c r="F596" s="92"/>
      <c r="G596" s="92"/>
      <c r="H596" s="187"/>
      <c r="I596" s="92"/>
      <c r="J596" s="92"/>
      <c r="K596" s="187"/>
      <c r="L596" s="92"/>
      <c r="M596" s="187"/>
      <c r="N596" s="92"/>
      <c r="O596" s="187"/>
      <c r="P596" s="92"/>
      <c r="Q596" s="187"/>
      <c r="R596" s="92"/>
      <c r="S596" s="187"/>
      <c r="T596" s="92"/>
      <c r="U596" s="187"/>
    </row>
    <row r="597" ht="15.75" customHeight="1">
      <c r="A597" s="92"/>
      <c r="B597" s="190"/>
      <c r="C597" s="92"/>
      <c r="D597" s="92"/>
      <c r="F597" s="92"/>
      <c r="G597" s="92"/>
      <c r="H597" s="187"/>
      <c r="I597" s="92"/>
      <c r="J597" s="92"/>
      <c r="K597" s="187"/>
      <c r="L597" s="92"/>
      <c r="M597" s="187"/>
      <c r="N597" s="92"/>
      <c r="O597" s="187"/>
      <c r="P597" s="92"/>
      <c r="Q597" s="187"/>
      <c r="R597" s="92"/>
      <c r="S597" s="187"/>
      <c r="T597" s="92"/>
      <c r="U597" s="187"/>
    </row>
    <row r="598" ht="15.75" customHeight="1">
      <c r="A598" s="92"/>
      <c r="B598" s="190"/>
      <c r="C598" s="92"/>
      <c r="D598" s="92"/>
      <c r="F598" s="92"/>
      <c r="G598" s="92"/>
      <c r="H598" s="187"/>
      <c r="I598" s="92"/>
      <c r="J598" s="92"/>
      <c r="K598" s="187"/>
      <c r="L598" s="92"/>
      <c r="M598" s="187"/>
      <c r="N598" s="92"/>
      <c r="O598" s="187"/>
      <c r="P598" s="92"/>
      <c r="Q598" s="187"/>
      <c r="R598" s="92"/>
      <c r="S598" s="187"/>
      <c r="T598" s="92"/>
      <c r="U598" s="187"/>
    </row>
    <row r="599" ht="15.75" customHeight="1">
      <c r="A599" s="92"/>
      <c r="B599" s="190"/>
      <c r="C599" s="92"/>
      <c r="D599" s="92"/>
      <c r="F599" s="92"/>
      <c r="G599" s="92"/>
      <c r="H599" s="187"/>
      <c r="I599" s="92"/>
      <c r="J599" s="92"/>
      <c r="K599" s="187"/>
      <c r="L599" s="92"/>
      <c r="M599" s="187"/>
      <c r="N599" s="92"/>
      <c r="O599" s="187"/>
      <c r="P599" s="92"/>
      <c r="Q599" s="187"/>
      <c r="R599" s="92"/>
      <c r="S599" s="187"/>
      <c r="T599" s="92"/>
      <c r="U599" s="187"/>
    </row>
    <row r="600" ht="15.75" customHeight="1">
      <c r="A600" s="92"/>
      <c r="B600" s="190"/>
      <c r="C600" s="92"/>
      <c r="D600" s="92"/>
      <c r="F600" s="92"/>
      <c r="G600" s="92"/>
      <c r="H600" s="187"/>
      <c r="I600" s="92"/>
      <c r="J600" s="92"/>
      <c r="K600" s="187"/>
      <c r="L600" s="92"/>
      <c r="M600" s="187"/>
      <c r="N600" s="92"/>
      <c r="O600" s="187"/>
      <c r="P600" s="92"/>
      <c r="Q600" s="187"/>
      <c r="R600" s="92"/>
      <c r="S600" s="187"/>
      <c r="T600" s="92"/>
      <c r="U600" s="187"/>
    </row>
    <row r="601" ht="15.75" customHeight="1">
      <c r="A601" s="92"/>
      <c r="B601" s="190"/>
      <c r="C601" s="92"/>
      <c r="D601" s="92"/>
      <c r="F601" s="92"/>
      <c r="G601" s="92"/>
      <c r="H601" s="187"/>
      <c r="I601" s="92"/>
      <c r="J601" s="92"/>
      <c r="K601" s="187"/>
      <c r="L601" s="92"/>
      <c r="M601" s="187"/>
      <c r="N601" s="92"/>
      <c r="O601" s="187"/>
      <c r="P601" s="92"/>
      <c r="Q601" s="187"/>
      <c r="R601" s="92"/>
      <c r="S601" s="187"/>
      <c r="T601" s="92"/>
      <c r="U601" s="187"/>
    </row>
    <row r="602" ht="15.75" customHeight="1">
      <c r="A602" s="92"/>
      <c r="B602" s="190"/>
      <c r="C602" s="92"/>
      <c r="D602" s="92"/>
      <c r="F602" s="92"/>
      <c r="G602" s="92"/>
      <c r="H602" s="187"/>
      <c r="I602" s="92"/>
      <c r="J602" s="92"/>
      <c r="K602" s="187"/>
      <c r="L602" s="92"/>
      <c r="M602" s="187"/>
      <c r="N602" s="92"/>
      <c r="O602" s="187"/>
      <c r="P602" s="92"/>
      <c r="Q602" s="187"/>
      <c r="R602" s="92"/>
      <c r="S602" s="187"/>
      <c r="T602" s="92"/>
      <c r="U602" s="187"/>
    </row>
    <row r="603" ht="15.75" customHeight="1">
      <c r="A603" s="92"/>
      <c r="B603" s="190"/>
      <c r="C603" s="92"/>
      <c r="D603" s="92"/>
      <c r="F603" s="92"/>
      <c r="G603" s="92"/>
      <c r="H603" s="187"/>
      <c r="I603" s="92"/>
      <c r="J603" s="92"/>
      <c r="K603" s="187"/>
      <c r="L603" s="92"/>
      <c r="M603" s="187"/>
      <c r="N603" s="92"/>
      <c r="O603" s="187"/>
      <c r="P603" s="92"/>
      <c r="Q603" s="187"/>
      <c r="R603" s="92"/>
      <c r="S603" s="187"/>
      <c r="T603" s="92"/>
      <c r="U603" s="187"/>
    </row>
    <row r="604" ht="15.75" customHeight="1">
      <c r="A604" s="92"/>
      <c r="B604" s="190"/>
      <c r="C604" s="92"/>
      <c r="D604" s="92"/>
      <c r="F604" s="92"/>
      <c r="G604" s="92"/>
      <c r="H604" s="187"/>
      <c r="I604" s="92"/>
      <c r="J604" s="92"/>
      <c r="K604" s="187"/>
      <c r="L604" s="92"/>
      <c r="M604" s="187"/>
      <c r="N604" s="92"/>
      <c r="O604" s="187"/>
      <c r="P604" s="92"/>
      <c r="Q604" s="187"/>
      <c r="R604" s="92"/>
      <c r="S604" s="187"/>
      <c r="T604" s="92"/>
      <c r="U604" s="187"/>
    </row>
    <row r="605" ht="15.75" customHeight="1">
      <c r="A605" s="92"/>
      <c r="B605" s="190"/>
      <c r="C605" s="92"/>
      <c r="D605" s="92"/>
      <c r="F605" s="92"/>
      <c r="G605" s="92"/>
      <c r="H605" s="187"/>
      <c r="I605" s="92"/>
      <c r="J605" s="92"/>
      <c r="K605" s="187"/>
      <c r="L605" s="92"/>
      <c r="M605" s="187"/>
      <c r="N605" s="92"/>
      <c r="O605" s="187"/>
      <c r="P605" s="92"/>
      <c r="Q605" s="187"/>
      <c r="R605" s="92"/>
      <c r="S605" s="187"/>
      <c r="T605" s="92"/>
      <c r="U605" s="187"/>
    </row>
    <row r="606" ht="15.75" customHeight="1">
      <c r="A606" s="92"/>
      <c r="B606" s="190"/>
      <c r="C606" s="92"/>
      <c r="D606" s="92"/>
      <c r="F606" s="92"/>
      <c r="G606" s="92"/>
      <c r="H606" s="187"/>
      <c r="I606" s="92"/>
      <c r="J606" s="92"/>
      <c r="K606" s="187"/>
      <c r="L606" s="92"/>
      <c r="M606" s="187"/>
      <c r="N606" s="92"/>
      <c r="O606" s="187"/>
      <c r="P606" s="92"/>
      <c r="Q606" s="187"/>
      <c r="R606" s="92"/>
      <c r="S606" s="187"/>
      <c r="T606" s="92"/>
      <c r="U606" s="187"/>
    </row>
    <row r="607" ht="15.75" customHeight="1">
      <c r="A607" s="92"/>
      <c r="B607" s="190"/>
      <c r="C607" s="92"/>
      <c r="D607" s="92"/>
      <c r="F607" s="92"/>
      <c r="G607" s="92"/>
      <c r="H607" s="187"/>
      <c r="I607" s="92"/>
      <c r="J607" s="92"/>
      <c r="K607" s="187"/>
      <c r="L607" s="92"/>
      <c r="M607" s="187"/>
      <c r="N607" s="92"/>
      <c r="O607" s="187"/>
      <c r="P607" s="92"/>
      <c r="Q607" s="187"/>
      <c r="R607" s="92"/>
      <c r="S607" s="187"/>
      <c r="T607" s="92"/>
      <c r="U607" s="187"/>
    </row>
    <row r="608" ht="15.75" customHeight="1">
      <c r="A608" s="92"/>
      <c r="B608" s="190"/>
      <c r="C608" s="92"/>
      <c r="D608" s="92"/>
      <c r="F608" s="92"/>
      <c r="G608" s="92"/>
      <c r="H608" s="187"/>
      <c r="I608" s="92"/>
      <c r="J608" s="92"/>
      <c r="K608" s="187"/>
      <c r="L608" s="92"/>
      <c r="M608" s="187"/>
      <c r="N608" s="92"/>
      <c r="O608" s="187"/>
      <c r="P608" s="92"/>
      <c r="Q608" s="187"/>
      <c r="R608" s="92"/>
      <c r="S608" s="187"/>
      <c r="T608" s="92"/>
      <c r="U608" s="187"/>
    </row>
    <row r="609" ht="15.75" customHeight="1">
      <c r="A609" s="92"/>
      <c r="B609" s="190"/>
      <c r="C609" s="92"/>
      <c r="D609" s="92"/>
      <c r="F609" s="92"/>
      <c r="G609" s="92"/>
      <c r="H609" s="187"/>
      <c r="I609" s="92"/>
      <c r="J609" s="92"/>
      <c r="K609" s="187"/>
      <c r="L609" s="92"/>
      <c r="M609" s="187"/>
      <c r="N609" s="92"/>
      <c r="O609" s="187"/>
      <c r="P609" s="92"/>
      <c r="Q609" s="187"/>
      <c r="R609" s="92"/>
      <c r="S609" s="187"/>
      <c r="T609" s="92"/>
      <c r="U609" s="187"/>
    </row>
    <row r="610" ht="15.75" customHeight="1">
      <c r="A610" s="92"/>
      <c r="B610" s="190"/>
      <c r="C610" s="92"/>
      <c r="D610" s="92"/>
      <c r="F610" s="92"/>
      <c r="G610" s="92"/>
      <c r="H610" s="187"/>
      <c r="I610" s="92"/>
      <c r="J610" s="92"/>
      <c r="K610" s="187"/>
      <c r="L610" s="92"/>
      <c r="M610" s="187"/>
      <c r="N610" s="92"/>
      <c r="O610" s="187"/>
      <c r="P610" s="92"/>
      <c r="Q610" s="187"/>
      <c r="R610" s="92"/>
      <c r="S610" s="187"/>
      <c r="T610" s="92"/>
      <c r="U610" s="187"/>
    </row>
    <row r="611" ht="15.75" customHeight="1">
      <c r="A611" s="92"/>
      <c r="B611" s="190"/>
      <c r="C611" s="92"/>
      <c r="D611" s="92"/>
      <c r="F611" s="92"/>
      <c r="G611" s="92"/>
      <c r="H611" s="187"/>
      <c r="I611" s="92"/>
      <c r="J611" s="92"/>
      <c r="K611" s="187"/>
      <c r="L611" s="92"/>
      <c r="M611" s="187"/>
      <c r="N611" s="92"/>
      <c r="O611" s="187"/>
      <c r="P611" s="92"/>
      <c r="Q611" s="187"/>
      <c r="R611" s="92"/>
      <c r="S611" s="187"/>
      <c r="T611" s="92"/>
      <c r="U611" s="187"/>
    </row>
    <row r="612" ht="15.75" customHeight="1">
      <c r="A612" s="92"/>
      <c r="B612" s="190"/>
      <c r="C612" s="92"/>
      <c r="D612" s="92"/>
      <c r="F612" s="92"/>
      <c r="G612" s="92"/>
      <c r="H612" s="187"/>
      <c r="I612" s="92"/>
      <c r="J612" s="92"/>
      <c r="K612" s="187"/>
      <c r="L612" s="92"/>
      <c r="M612" s="187"/>
      <c r="N612" s="92"/>
      <c r="O612" s="187"/>
      <c r="P612" s="92"/>
      <c r="Q612" s="187"/>
      <c r="R612" s="92"/>
      <c r="S612" s="187"/>
      <c r="T612" s="92"/>
      <c r="U612" s="187"/>
    </row>
    <row r="613" ht="15.75" customHeight="1">
      <c r="A613" s="92"/>
      <c r="B613" s="190"/>
      <c r="C613" s="92"/>
      <c r="D613" s="92"/>
      <c r="F613" s="92"/>
      <c r="G613" s="92"/>
      <c r="H613" s="187"/>
      <c r="I613" s="92"/>
      <c r="J613" s="92"/>
      <c r="K613" s="187"/>
      <c r="L613" s="92"/>
      <c r="M613" s="187"/>
      <c r="N613" s="92"/>
      <c r="O613" s="187"/>
      <c r="P613" s="92"/>
      <c r="Q613" s="187"/>
      <c r="R613" s="92"/>
      <c r="S613" s="187"/>
      <c r="T613" s="92"/>
      <c r="U613" s="187"/>
    </row>
    <row r="614" ht="15.75" customHeight="1">
      <c r="A614" s="92"/>
      <c r="B614" s="190"/>
      <c r="C614" s="92"/>
      <c r="D614" s="92"/>
      <c r="F614" s="92"/>
      <c r="G614" s="92"/>
      <c r="H614" s="187"/>
      <c r="I614" s="92"/>
      <c r="J614" s="92"/>
      <c r="K614" s="187"/>
      <c r="L614" s="92"/>
      <c r="M614" s="187"/>
      <c r="N614" s="92"/>
      <c r="O614" s="187"/>
      <c r="P614" s="92"/>
      <c r="Q614" s="187"/>
      <c r="R614" s="92"/>
      <c r="S614" s="187"/>
      <c r="T614" s="92"/>
      <c r="U614" s="187"/>
    </row>
    <row r="615" ht="15.75" customHeight="1">
      <c r="A615" s="92"/>
      <c r="B615" s="190"/>
      <c r="C615" s="92"/>
      <c r="D615" s="92"/>
      <c r="F615" s="92"/>
      <c r="G615" s="92"/>
      <c r="H615" s="187"/>
      <c r="I615" s="92"/>
      <c r="J615" s="92"/>
      <c r="K615" s="187"/>
      <c r="L615" s="92"/>
      <c r="M615" s="187"/>
      <c r="N615" s="92"/>
      <c r="O615" s="187"/>
      <c r="P615" s="92"/>
      <c r="Q615" s="187"/>
      <c r="R615" s="92"/>
      <c r="S615" s="187"/>
      <c r="T615" s="92"/>
      <c r="U615" s="187"/>
    </row>
    <row r="616" ht="15.75" customHeight="1">
      <c r="A616" s="92"/>
      <c r="B616" s="190"/>
      <c r="C616" s="92"/>
      <c r="D616" s="92"/>
      <c r="F616" s="92"/>
      <c r="G616" s="92"/>
      <c r="H616" s="187"/>
      <c r="I616" s="92"/>
      <c r="J616" s="92"/>
      <c r="K616" s="187"/>
      <c r="L616" s="92"/>
      <c r="M616" s="187"/>
      <c r="N616" s="92"/>
      <c r="O616" s="187"/>
      <c r="P616" s="92"/>
      <c r="Q616" s="187"/>
      <c r="R616" s="92"/>
      <c r="S616" s="187"/>
      <c r="T616" s="92"/>
      <c r="U616" s="187"/>
    </row>
    <row r="617" ht="15.75" customHeight="1">
      <c r="A617" s="92"/>
      <c r="B617" s="190"/>
      <c r="C617" s="92"/>
      <c r="D617" s="92"/>
      <c r="F617" s="92"/>
      <c r="G617" s="92"/>
      <c r="H617" s="187"/>
      <c r="I617" s="92"/>
      <c r="J617" s="92"/>
      <c r="K617" s="187"/>
      <c r="L617" s="92"/>
      <c r="M617" s="187"/>
      <c r="N617" s="92"/>
      <c r="O617" s="187"/>
      <c r="P617" s="92"/>
      <c r="Q617" s="187"/>
      <c r="R617" s="92"/>
      <c r="S617" s="187"/>
      <c r="T617" s="92"/>
      <c r="U617" s="187"/>
    </row>
    <row r="618" ht="15.75" customHeight="1">
      <c r="A618" s="92"/>
      <c r="B618" s="190"/>
      <c r="C618" s="92"/>
      <c r="D618" s="92"/>
      <c r="F618" s="92"/>
      <c r="G618" s="92"/>
      <c r="H618" s="187"/>
      <c r="I618" s="92"/>
      <c r="J618" s="92"/>
      <c r="K618" s="187"/>
      <c r="L618" s="92"/>
      <c r="M618" s="187"/>
      <c r="N618" s="92"/>
      <c r="O618" s="187"/>
      <c r="P618" s="92"/>
      <c r="Q618" s="187"/>
      <c r="R618" s="92"/>
      <c r="S618" s="187"/>
      <c r="T618" s="92"/>
      <c r="U618" s="187"/>
    </row>
    <row r="619" ht="15.75" customHeight="1">
      <c r="A619" s="92"/>
      <c r="B619" s="190"/>
      <c r="C619" s="92"/>
      <c r="D619" s="92"/>
      <c r="F619" s="92"/>
      <c r="G619" s="92"/>
      <c r="H619" s="187"/>
      <c r="I619" s="92"/>
      <c r="J619" s="92"/>
      <c r="K619" s="187"/>
      <c r="L619" s="92"/>
      <c r="M619" s="187"/>
      <c r="N619" s="92"/>
      <c r="O619" s="187"/>
      <c r="P619" s="92"/>
      <c r="Q619" s="187"/>
      <c r="R619" s="92"/>
      <c r="S619" s="187"/>
      <c r="T619" s="92"/>
      <c r="U619" s="187"/>
    </row>
    <row r="620" ht="15.75" customHeight="1">
      <c r="A620" s="92"/>
      <c r="B620" s="190"/>
      <c r="C620" s="92"/>
      <c r="D620" s="92"/>
      <c r="F620" s="92"/>
      <c r="G620" s="92"/>
      <c r="H620" s="187"/>
      <c r="I620" s="92"/>
      <c r="J620" s="92"/>
      <c r="K620" s="187"/>
      <c r="L620" s="92"/>
      <c r="M620" s="187"/>
      <c r="N620" s="92"/>
      <c r="O620" s="187"/>
      <c r="P620" s="92"/>
      <c r="Q620" s="187"/>
      <c r="R620" s="92"/>
      <c r="S620" s="187"/>
      <c r="T620" s="92"/>
      <c r="U620" s="187"/>
    </row>
    <row r="621" ht="15.75" customHeight="1">
      <c r="A621" s="92"/>
      <c r="B621" s="190"/>
      <c r="C621" s="92"/>
      <c r="D621" s="92"/>
      <c r="F621" s="92"/>
      <c r="G621" s="92"/>
      <c r="H621" s="187"/>
      <c r="I621" s="92"/>
      <c r="J621" s="92"/>
      <c r="K621" s="187"/>
      <c r="L621" s="92"/>
      <c r="M621" s="187"/>
      <c r="N621" s="92"/>
      <c r="O621" s="187"/>
      <c r="P621" s="92"/>
      <c r="Q621" s="187"/>
      <c r="R621" s="92"/>
      <c r="S621" s="187"/>
      <c r="T621" s="92"/>
      <c r="U621" s="187"/>
    </row>
    <row r="622" ht="15.75" customHeight="1">
      <c r="A622" s="92"/>
      <c r="B622" s="190"/>
      <c r="C622" s="92"/>
      <c r="D622" s="92"/>
      <c r="F622" s="92"/>
      <c r="G622" s="92"/>
      <c r="H622" s="187"/>
      <c r="I622" s="92"/>
      <c r="J622" s="92"/>
      <c r="K622" s="187"/>
      <c r="L622" s="92"/>
      <c r="M622" s="187"/>
      <c r="N622" s="92"/>
      <c r="O622" s="187"/>
      <c r="P622" s="92"/>
      <c r="Q622" s="187"/>
      <c r="R622" s="92"/>
      <c r="S622" s="187"/>
      <c r="T622" s="92"/>
      <c r="U622" s="187"/>
    </row>
    <row r="623" ht="15.75" customHeight="1">
      <c r="A623" s="92"/>
      <c r="B623" s="190"/>
      <c r="C623" s="92"/>
      <c r="D623" s="92"/>
      <c r="F623" s="92"/>
      <c r="G623" s="92"/>
      <c r="H623" s="187"/>
      <c r="I623" s="92"/>
      <c r="J623" s="92"/>
      <c r="K623" s="187"/>
      <c r="L623" s="92"/>
      <c r="M623" s="187"/>
      <c r="N623" s="92"/>
      <c r="O623" s="187"/>
      <c r="P623" s="92"/>
      <c r="Q623" s="187"/>
      <c r="R623" s="92"/>
      <c r="S623" s="187"/>
      <c r="T623" s="92"/>
      <c r="U623" s="187"/>
    </row>
    <row r="624" ht="15.75" customHeight="1">
      <c r="A624" s="92"/>
      <c r="B624" s="190"/>
      <c r="C624" s="92"/>
      <c r="D624" s="92"/>
      <c r="F624" s="92"/>
      <c r="G624" s="92"/>
      <c r="H624" s="187"/>
      <c r="I624" s="92"/>
      <c r="J624" s="92"/>
      <c r="K624" s="187"/>
      <c r="L624" s="92"/>
      <c r="M624" s="187"/>
      <c r="N624" s="92"/>
      <c r="O624" s="187"/>
      <c r="P624" s="92"/>
      <c r="Q624" s="187"/>
      <c r="R624" s="92"/>
      <c r="S624" s="187"/>
      <c r="T624" s="92"/>
      <c r="U624" s="187"/>
    </row>
    <row r="625" ht="15.75" customHeight="1">
      <c r="A625" s="92"/>
      <c r="B625" s="190"/>
      <c r="C625" s="92"/>
      <c r="D625" s="92"/>
      <c r="F625" s="92"/>
      <c r="G625" s="92"/>
      <c r="H625" s="187"/>
      <c r="I625" s="92"/>
      <c r="J625" s="92"/>
      <c r="K625" s="187"/>
      <c r="L625" s="92"/>
      <c r="M625" s="187"/>
      <c r="N625" s="92"/>
      <c r="O625" s="187"/>
      <c r="P625" s="92"/>
      <c r="Q625" s="187"/>
      <c r="R625" s="92"/>
      <c r="S625" s="187"/>
      <c r="T625" s="92"/>
      <c r="U625" s="187"/>
    </row>
    <row r="626" ht="15.75" customHeight="1">
      <c r="A626" s="92"/>
      <c r="B626" s="190"/>
      <c r="C626" s="92"/>
      <c r="D626" s="92"/>
      <c r="F626" s="92"/>
      <c r="G626" s="92"/>
      <c r="H626" s="187"/>
      <c r="I626" s="92"/>
      <c r="J626" s="92"/>
      <c r="K626" s="187"/>
      <c r="L626" s="92"/>
      <c r="M626" s="187"/>
      <c r="N626" s="92"/>
      <c r="O626" s="187"/>
      <c r="P626" s="92"/>
      <c r="Q626" s="187"/>
      <c r="R626" s="92"/>
      <c r="S626" s="187"/>
      <c r="T626" s="92"/>
      <c r="U626" s="187"/>
    </row>
    <row r="627" ht="15.75" customHeight="1">
      <c r="A627" s="92"/>
      <c r="B627" s="190"/>
      <c r="C627" s="92"/>
      <c r="D627" s="92"/>
      <c r="F627" s="92"/>
      <c r="G627" s="92"/>
      <c r="H627" s="187"/>
      <c r="I627" s="92"/>
      <c r="J627" s="92"/>
      <c r="K627" s="187"/>
      <c r="L627" s="92"/>
      <c r="M627" s="187"/>
      <c r="N627" s="92"/>
      <c r="O627" s="187"/>
      <c r="P627" s="92"/>
      <c r="Q627" s="187"/>
      <c r="R627" s="92"/>
      <c r="S627" s="187"/>
      <c r="T627" s="92"/>
      <c r="U627" s="187"/>
    </row>
    <row r="628" ht="15.75" customHeight="1">
      <c r="A628" s="92"/>
      <c r="B628" s="190"/>
      <c r="C628" s="92"/>
      <c r="D628" s="92"/>
      <c r="F628" s="92"/>
      <c r="G628" s="92"/>
      <c r="H628" s="187"/>
      <c r="I628" s="92"/>
      <c r="J628" s="92"/>
      <c r="K628" s="187"/>
      <c r="L628" s="92"/>
      <c r="M628" s="187"/>
      <c r="N628" s="92"/>
      <c r="O628" s="187"/>
      <c r="P628" s="92"/>
      <c r="Q628" s="187"/>
      <c r="R628" s="92"/>
      <c r="S628" s="187"/>
      <c r="T628" s="92"/>
      <c r="U628" s="187"/>
    </row>
    <row r="629" ht="15.75" customHeight="1">
      <c r="A629" s="92"/>
      <c r="B629" s="190"/>
      <c r="C629" s="92"/>
      <c r="D629" s="92"/>
      <c r="F629" s="92"/>
      <c r="G629" s="92"/>
      <c r="H629" s="187"/>
      <c r="I629" s="92"/>
      <c r="J629" s="92"/>
      <c r="K629" s="187"/>
      <c r="L629" s="92"/>
      <c r="M629" s="187"/>
      <c r="N629" s="92"/>
      <c r="O629" s="187"/>
      <c r="P629" s="92"/>
      <c r="Q629" s="187"/>
      <c r="R629" s="92"/>
      <c r="S629" s="187"/>
      <c r="T629" s="92"/>
      <c r="U629" s="187"/>
    </row>
    <row r="630" ht="15.75" customHeight="1">
      <c r="A630" s="92"/>
      <c r="B630" s="190"/>
      <c r="C630" s="92"/>
      <c r="D630" s="92"/>
      <c r="F630" s="92"/>
      <c r="G630" s="92"/>
      <c r="H630" s="187"/>
      <c r="I630" s="92"/>
      <c r="J630" s="92"/>
      <c r="K630" s="187"/>
      <c r="L630" s="92"/>
      <c r="M630" s="187"/>
      <c r="N630" s="92"/>
      <c r="O630" s="187"/>
      <c r="P630" s="92"/>
      <c r="Q630" s="187"/>
      <c r="R630" s="92"/>
      <c r="S630" s="187"/>
      <c r="T630" s="92"/>
      <c r="U630" s="187"/>
    </row>
    <row r="631" ht="15.75" customHeight="1">
      <c r="A631" s="92"/>
      <c r="B631" s="190"/>
      <c r="C631" s="92"/>
      <c r="D631" s="92"/>
      <c r="F631" s="92"/>
      <c r="G631" s="92"/>
      <c r="H631" s="187"/>
      <c r="I631" s="92"/>
      <c r="J631" s="92"/>
      <c r="K631" s="187"/>
      <c r="L631" s="92"/>
      <c r="M631" s="187"/>
      <c r="N631" s="92"/>
      <c r="O631" s="187"/>
      <c r="P631" s="92"/>
      <c r="Q631" s="187"/>
      <c r="R631" s="92"/>
      <c r="S631" s="187"/>
      <c r="T631" s="92"/>
      <c r="U631" s="187"/>
    </row>
    <row r="632" ht="15.75" customHeight="1">
      <c r="A632" s="92"/>
      <c r="B632" s="190"/>
      <c r="C632" s="92"/>
      <c r="D632" s="92"/>
      <c r="F632" s="92"/>
      <c r="G632" s="92"/>
      <c r="H632" s="187"/>
      <c r="I632" s="92"/>
      <c r="J632" s="92"/>
      <c r="K632" s="187"/>
      <c r="L632" s="92"/>
      <c r="M632" s="187"/>
      <c r="N632" s="92"/>
      <c r="O632" s="187"/>
      <c r="P632" s="92"/>
      <c r="Q632" s="187"/>
      <c r="R632" s="92"/>
      <c r="S632" s="187"/>
      <c r="T632" s="92"/>
      <c r="U632" s="187"/>
    </row>
    <row r="633" ht="15.75" customHeight="1">
      <c r="A633" s="92"/>
      <c r="B633" s="190"/>
      <c r="C633" s="92"/>
      <c r="D633" s="92"/>
      <c r="F633" s="92"/>
      <c r="G633" s="92"/>
      <c r="H633" s="187"/>
      <c r="I633" s="92"/>
      <c r="J633" s="92"/>
      <c r="K633" s="187"/>
      <c r="L633" s="92"/>
      <c r="M633" s="187"/>
      <c r="N633" s="92"/>
      <c r="O633" s="187"/>
      <c r="P633" s="92"/>
      <c r="Q633" s="187"/>
      <c r="R633" s="92"/>
      <c r="S633" s="187"/>
      <c r="T633" s="92"/>
      <c r="U633" s="187"/>
    </row>
    <row r="634" ht="15.75" customHeight="1">
      <c r="A634" s="92"/>
      <c r="B634" s="190"/>
      <c r="C634" s="92"/>
      <c r="D634" s="92"/>
      <c r="F634" s="92"/>
      <c r="G634" s="92"/>
      <c r="H634" s="187"/>
      <c r="I634" s="92"/>
      <c r="J634" s="92"/>
      <c r="K634" s="187"/>
      <c r="L634" s="92"/>
      <c r="M634" s="187"/>
      <c r="N634" s="92"/>
      <c r="O634" s="187"/>
      <c r="P634" s="92"/>
      <c r="Q634" s="187"/>
      <c r="R634" s="92"/>
      <c r="S634" s="187"/>
      <c r="T634" s="92"/>
      <c r="U634" s="187"/>
    </row>
    <row r="635" ht="15.75" customHeight="1">
      <c r="A635" s="92"/>
      <c r="B635" s="190"/>
      <c r="C635" s="92"/>
      <c r="D635" s="92"/>
      <c r="F635" s="92"/>
      <c r="G635" s="92"/>
      <c r="H635" s="187"/>
      <c r="I635" s="92"/>
      <c r="J635" s="92"/>
      <c r="K635" s="187"/>
      <c r="L635" s="92"/>
      <c r="M635" s="187"/>
      <c r="N635" s="92"/>
      <c r="O635" s="187"/>
      <c r="P635" s="92"/>
      <c r="Q635" s="187"/>
      <c r="R635" s="92"/>
      <c r="S635" s="187"/>
      <c r="T635" s="92"/>
      <c r="U635" s="187"/>
    </row>
    <row r="636" ht="15.75" customHeight="1">
      <c r="A636" s="92"/>
      <c r="B636" s="190"/>
      <c r="C636" s="92"/>
      <c r="D636" s="92"/>
      <c r="F636" s="92"/>
      <c r="G636" s="92"/>
      <c r="H636" s="187"/>
      <c r="I636" s="92"/>
      <c r="J636" s="92"/>
      <c r="K636" s="187"/>
      <c r="L636" s="92"/>
      <c r="M636" s="187"/>
      <c r="N636" s="92"/>
      <c r="O636" s="187"/>
      <c r="P636" s="92"/>
      <c r="Q636" s="187"/>
      <c r="R636" s="92"/>
      <c r="S636" s="187"/>
      <c r="T636" s="92"/>
      <c r="U636" s="187"/>
    </row>
    <row r="637" ht="15.75" customHeight="1">
      <c r="A637" s="92"/>
      <c r="B637" s="190"/>
      <c r="C637" s="92"/>
      <c r="D637" s="92"/>
      <c r="F637" s="92"/>
      <c r="G637" s="92"/>
      <c r="H637" s="187"/>
      <c r="I637" s="92"/>
      <c r="J637" s="92"/>
      <c r="K637" s="187"/>
      <c r="L637" s="92"/>
      <c r="M637" s="187"/>
      <c r="N637" s="92"/>
      <c r="O637" s="187"/>
      <c r="P637" s="92"/>
      <c r="Q637" s="187"/>
      <c r="R637" s="92"/>
      <c r="S637" s="187"/>
      <c r="T637" s="92"/>
      <c r="U637" s="187"/>
    </row>
    <row r="638" ht="15.75" customHeight="1">
      <c r="A638" s="92"/>
      <c r="B638" s="190"/>
      <c r="C638" s="92"/>
      <c r="D638" s="92"/>
      <c r="F638" s="92"/>
      <c r="G638" s="92"/>
      <c r="H638" s="187"/>
      <c r="I638" s="92"/>
      <c r="J638" s="92"/>
      <c r="K638" s="187"/>
      <c r="L638" s="92"/>
      <c r="M638" s="187"/>
      <c r="N638" s="92"/>
      <c r="O638" s="187"/>
      <c r="P638" s="92"/>
      <c r="Q638" s="187"/>
      <c r="R638" s="92"/>
      <c r="S638" s="187"/>
      <c r="T638" s="92"/>
      <c r="U638" s="187"/>
    </row>
    <row r="639" ht="15.75" customHeight="1">
      <c r="A639" s="92"/>
      <c r="B639" s="190"/>
      <c r="C639" s="92"/>
      <c r="D639" s="92"/>
      <c r="F639" s="92"/>
      <c r="G639" s="92"/>
      <c r="H639" s="187"/>
      <c r="I639" s="92"/>
      <c r="J639" s="92"/>
      <c r="K639" s="187"/>
      <c r="L639" s="92"/>
      <c r="M639" s="187"/>
      <c r="N639" s="92"/>
      <c r="O639" s="187"/>
      <c r="P639" s="92"/>
      <c r="Q639" s="187"/>
      <c r="R639" s="92"/>
      <c r="S639" s="187"/>
      <c r="T639" s="92"/>
      <c r="U639" s="187"/>
    </row>
    <row r="640" ht="15.75" customHeight="1">
      <c r="A640" s="92"/>
      <c r="B640" s="190"/>
      <c r="C640" s="92"/>
      <c r="D640" s="92"/>
      <c r="F640" s="92"/>
      <c r="G640" s="92"/>
      <c r="H640" s="187"/>
      <c r="I640" s="92"/>
      <c r="J640" s="92"/>
      <c r="K640" s="187"/>
      <c r="L640" s="92"/>
      <c r="M640" s="187"/>
      <c r="N640" s="92"/>
      <c r="O640" s="187"/>
      <c r="P640" s="92"/>
      <c r="Q640" s="187"/>
      <c r="R640" s="92"/>
      <c r="S640" s="187"/>
      <c r="T640" s="92"/>
      <c r="U640" s="187"/>
    </row>
    <row r="641" ht="15.75" customHeight="1">
      <c r="A641" s="92"/>
      <c r="B641" s="190"/>
      <c r="C641" s="92"/>
      <c r="D641" s="92"/>
      <c r="F641" s="92"/>
      <c r="G641" s="92"/>
      <c r="H641" s="187"/>
      <c r="I641" s="92"/>
      <c r="J641" s="92"/>
      <c r="K641" s="187"/>
      <c r="L641" s="92"/>
      <c r="M641" s="187"/>
      <c r="N641" s="92"/>
      <c r="O641" s="187"/>
      <c r="P641" s="92"/>
      <c r="Q641" s="187"/>
      <c r="R641" s="92"/>
      <c r="S641" s="187"/>
      <c r="T641" s="92"/>
      <c r="U641" s="187"/>
    </row>
    <row r="642" ht="15.75" customHeight="1">
      <c r="A642" s="92"/>
      <c r="B642" s="190"/>
      <c r="C642" s="92"/>
      <c r="D642" s="92"/>
      <c r="F642" s="92"/>
      <c r="G642" s="92"/>
      <c r="H642" s="187"/>
      <c r="I642" s="92"/>
      <c r="J642" s="92"/>
      <c r="K642" s="187"/>
      <c r="L642" s="92"/>
      <c r="M642" s="187"/>
      <c r="N642" s="92"/>
      <c r="O642" s="187"/>
      <c r="P642" s="92"/>
      <c r="Q642" s="187"/>
      <c r="R642" s="92"/>
      <c r="S642" s="187"/>
      <c r="T642" s="92"/>
      <c r="U642" s="187"/>
    </row>
    <row r="643" ht="15.75" customHeight="1">
      <c r="A643" s="92"/>
      <c r="B643" s="190"/>
      <c r="C643" s="92"/>
      <c r="D643" s="92"/>
      <c r="F643" s="92"/>
      <c r="G643" s="92"/>
      <c r="H643" s="187"/>
      <c r="I643" s="92"/>
      <c r="J643" s="92"/>
      <c r="K643" s="187"/>
      <c r="L643" s="92"/>
      <c r="M643" s="187"/>
      <c r="N643" s="92"/>
      <c r="O643" s="187"/>
      <c r="P643" s="92"/>
      <c r="Q643" s="187"/>
      <c r="R643" s="92"/>
      <c r="S643" s="187"/>
      <c r="T643" s="92"/>
      <c r="U643" s="187"/>
    </row>
    <row r="644" ht="15.75" customHeight="1">
      <c r="A644" s="92"/>
      <c r="B644" s="190"/>
      <c r="C644" s="92"/>
      <c r="D644" s="92"/>
      <c r="F644" s="92"/>
      <c r="G644" s="92"/>
      <c r="H644" s="187"/>
      <c r="I644" s="92"/>
      <c r="J644" s="92"/>
      <c r="K644" s="187"/>
      <c r="L644" s="92"/>
      <c r="M644" s="187"/>
      <c r="N644" s="92"/>
      <c r="O644" s="187"/>
      <c r="P644" s="92"/>
      <c r="Q644" s="187"/>
      <c r="R644" s="92"/>
      <c r="S644" s="187"/>
      <c r="T644" s="92"/>
      <c r="U644" s="187"/>
    </row>
    <row r="645" ht="15.75" customHeight="1">
      <c r="A645" s="92"/>
      <c r="B645" s="190"/>
      <c r="C645" s="92"/>
      <c r="D645" s="92"/>
      <c r="F645" s="92"/>
      <c r="G645" s="92"/>
      <c r="H645" s="187"/>
      <c r="I645" s="92"/>
      <c r="J645" s="92"/>
      <c r="K645" s="187"/>
      <c r="L645" s="92"/>
      <c r="M645" s="187"/>
      <c r="N645" s="92"/>
      <c r="O645" s="187"/>
      <c r="P645" s="92"/>
      <c r="Q645" s="187"/>
      <c r="R645" s="92"/>
      <c r="S645" s="187"/>
      <c r="T645" s="92"/>
      <c r="U645" s="187"/>
    </row>
    <row r="646" ht="15.75" customHeight="1">
      <c r="A646" s="92"/>
      <c r="B646" s="190"/>
      <c r="C646" s="92"/>
      <c r="D646" s="92"/>
      <c r="F646" s="92"/>
      <c r="G646" s="92"/>
      <c r="H646" s="187"/>
      <c r="I646" s="92"/>
      <c r="J646" s="92"/>
      <c r="K646" s="187"/>
      <c r="L646" s="92"/>
      <c r="M646" s="187"/>
      <c r="N646" s="92"/>
      <c r="O646" s="187"/>
      <c r="P646" s="92"/>
      <c r="Q646" s="187"/>
      <c r="R646" s="92"/>
      <c r="S646" s="187"/>
      <c r="T646" s="92"/>
      <c r="U646" s="187"/>
    </row>
    <row r="647" ht="15.75" customHeight="1">
      <c r="A647" s="92"/>
      <c r="B647" s="190"/>
      <c r="C647" s="92"/>
      <c r="D647" s="92"/>
      <c r="F647" s="92"/>
      <c r="G647" s="92"/>
      <c r="H647" s="187"/>
      <c r="I647" s="92"/>
      <c r="J647" s="92"/>
      <c r="K647" s="187"/>
      <c r="L647" s="92"/>
      <c r="M647" s="187"/>
      <c r="N647" s="92"/>
      <c r="O647" s="187"/>
      <c r="P647" s="92"/>
      <c r="Q647" s="187"/>
      <c r="R647" s="92"/>
      <c r="S647" s="187"/>
      <c r="T647" s="92"/>
      <c r="U647" s="187"/>
    </row>
    <row r="648" ht="15.75" customHeight="1">
      <c r="A648" s="92"/>
      <c r="B648" s="190"/>
      <c r="C648" s="92"/>
      <c r="D648" s="92"/>
      <c r="F648" s="92"/>
      <c r="G648" s="92"/>
      <c r="H648" s="187"/>
      <c r="I648" s="92"/>
      <c r="J648" s="92"/>
      <c r="K648" s="187"/>
      <c r="L648" s="92"/>
      <c r="M648" s="187"/>
      <c r="N648" s="92"/>
      <c r="O648" s="187"/>
      <c r="P648" s="92"/>
      <c r="Q648" s="187"/>
      <c r="R648" s="92"/>
      <c r="S648" s="187"/>
      <c r="T648" s="92"/>
      <c r="U648" s="187"/>
    </row>
    <row r="649" ht="15.75" customHeight="1">
      <c r="A649" s="92"/>
      <c r="B649" s="190"/>
      <c r="C649" s="92"/>
      <c r="D649" s="92"/>
      <c r="F649" s="92"/>
      <c r="G649" s="92"/>
      <c r="H649" s="187"/>
      <c r="I649" s="92"/>
      <c r="J649" s="92"/>
      <c r="K649" s="187"/>
      <c r="L649" s="92"/>
      <c r="M649" s="187"/>
      <c r="N649" s="92"/>
      <c r="O649" s="187"/>
      <c r="P649" s="92"/>
      <c r="Q649" s="187"/>
      <c r="R649" s="92"/>
      <c r="S649" s="187"/>
      <c r="T649" s="92"/>
      <c r="U649" s="187"/>
    </row>
    <row r="650" ht="15.75" customHeight="1">
      <c r="A650" s="92"/>
      <c r="B650" s="190"/>
      <c r="C650" s="92"/>
      <c r="D650" s="92"/>
      <c r="F650" s="92"/>
      <c r="G650" s="92"/>
      <c r="H650" s="187"/>
      <c r="I650" s="92"/>
      <c r="J650" s="92"/>
      <c r="K650" s="187"/>
      <c r="L650" s="92"/>
      <c r="M650" s="187"/>
      <c r="N650" s="92"/>
      <c r="O650" s="187"/>
      <c r="P650" s="92"/>
      <c r="Q650" s="187"/>
      <c r="R650" s="92"/>
      <c r="S650" s="187"/>
      <c r="T650" s="92"/>
      <c r="U650" s="187"/>
    </row>
    <row r="651" ht="15.75" customHeight="1">
      <c r="A651" s="92"/>
      <c r="B651" s="190"/>
      <c r="C651" s="92"/>
      <c r="D651" s="92"/>
      <c r="F651" s="92"/>
      <c r="G651" s="92"/>
      <c r="H651" s="187"/>
      <c r="I651" s="92"/>
      <c r="J651" s="92"/>
      <c r="K651" s="187"/>
      <c r="L651" s="92"/>
      <c r="M651" s="187"/>
      <c r="N651" s="92"/>
      <c r="O651" s="187"/>
      <c r="P651" s="92"/>
      <c r="Q651" s="187"/>
      <c r="R651" s="92"/>
      <c r="S651" s="187"/>
      <c r="T651" s="92"/>
      <c r="U651" s="187"/>
    </row>
    <row r="652" ht="15.75" customHeight="1">
      <c r="A652" s="92"/>
      <c r="B652" s="190"/>
      <c r="C652" s="92"/>
      <c r="D652" s="92"/>
      <c r="F652" s="92"/>
      <c r="G652" s="92"/>
      <c r="H652" s="187"/>
      <c r="I652" s="92"/>
      <c r="J652" s="92"/>
      <c r="K652" s="187"/>
      <c r="L652" s="92"/>
      <c r="M652" s="187"/>
      <c r="N652" s="92"/>
      <c r="O652" s="187"/>
      <c r="P652" s="92"/>
      <c r="Q652" s="187"/>
      <c r="R652" s="92"/>
      <c r="S652" s="187"/>
      <c r="T652" s="92"/>
      <c r="U652" s="187"/>
    </row>
    <row r="653" ht="15.75" customHeight="1">
      <c r="A653" s="92"/>
      <c r="B653" s="190"/>
      <c r="C653" s="92"/>
      <c r="D653" s="92"/>
      <c r="F653" s="92"/>
      <c r="G653" s="92"/>
      <c r="H653" s="187"/>
      <c r="I653" s="92"/>
      <c r="J653" s="92"/>
      <c r="K653" s="187"/>
      <c r="L653" s="92"/>
      <c r="M653" s="187"/>
      <c r="N653" s="92"/>
      <c r="O653" s="187"/>
      <c r="P653" s="92"/>
      <c r="Q653" s="187"/>
      <c r="R653" s="92"/>
      <c r="S653" s="187"/>
      <c r="T653" s="92"/>
      <c r="U653" s="187"/>
    </row>
    <row r="654" ht="15.75" customHeight="1">
      <c r="A654" s="92"/>
      <c r="B654" s="190"/>
      <c r="C654" s="92"/>
      <c r="D654" s="92"/>
      <c r="F654" s="92"/>
      <c r="G654" s="92"/>
      <c r="H654" s="187"/>
      <c r="I654" s="92"/>
      <c r="J654" s="92"/>
      <c r="K654" s="187"/>
      <c r="L654" s="92"/>
      <c r="M654" s="187"/>
      <c r="N654" s="92"/>
      <c r="O654" s="187"/>
      <c r="P654" s="92"/>
      <c r="Q654" s="187"/>
      <c r="R654" s="92"/>
      <c r="S654" s="187"/>
      <c r="T654" s="92"/>
      <c r="U654" s="187"/>
    </row>
    <row r="655" ht="15.75" customHeight="1">
      <c r="A655" s="92"/>
      <c r="B655" s="190"/>
      <c r="C655" s="92"/>
      <c r="D655" s="92"/>
      <c r="F655" s="92"/>
      <c r="G655" s="92"/>
      <c r="H655" s="187"/>
      <c r="I655" s="92"/>
      <c r="J655" s="92"/>
      <c r="K655" s="187"/>
      <c r="L655" s="92"/>
      <c r="M655" s="187"/>
      <c r="N655" s="92"/>
      <c r="O655" s="187"/>
      <c r="P655" s="92"/>
      <c r="Q655" s="187"/>
      <c r="R655" s="92"/>
      <c r="S655" s="187"/>
      <c r="T655" s="92"/>
      <c r="U655" s="187"/>
    </row>
    <row r="656" ht="15.75" customHeight="1">
      <c r="A656" s="92"/>
      <c r="B656" s="190"/>
      <c r="C656" s="92"/>
      <c r="D656" s="92"/>
      <c r="F656" s="92"/>
      <c r="G656" s="92"/>
      <c r="H656" s="187"/>
      <c r="I656" s="92"/>
      <c r="J656" s="92"/>
      <c r="K656" s="187"/>
      <c r="L656" s="92"/>
      <c r="M656" s="187"/>
      <c r="N656" s="92"/>
      <c r="O656" s="187"/>
      <c r="P656" s="92"/>
      <c r="Q656" s="187"/>
      <c r="R656" s="92"/>
      <c r="S656" s="187"/>
      <c r="T656" s="92"/>
      <c r="U656" s="187"/>
    </row>
    <row r="657" ht="15.75" customHeight="1">
      <c r="A657" s="92"/>
      <c r="B657" s="190"/>
      <c r="C657" s="92"/>
      <c r="D657" s="92"/>
      <c r="F657" s="92"/>
      <c r="G657" s="92"/>
      <c r="H657" s="187"/>
      <c r="I657" s="92"/>
      <c r="J657" s="92"/>
      <c r="K657" s="187"/>
      <c r="L657" s="92"/>
      <c r="M657" s="187"/>
      <c r="N657" s="92"/>
      <c r="O657" s="187"/>
      <c r="P657" s="92"/>
      <c r="Q657" s="187"/>
      <c r="R657" s="92"/>
      <c r="S657" s="187"/>
      <c r="T657" s="92"/>
      <c r="U657" s="187"/>
    </row>
    <row r="658" ht="15.75" customHeight="1">
      <c r="A658" s="92"/>
      <c r="B658" s="190"/>
      <c r="C658" s="92"/>
      <c r="D658" s="92"/>
      <c r="F658" s="92"/>
      <c r="G658" s="92"/>
      <c r="H658" s="187"/>
      <c r="I658" s="92"/>
      <c r="J658" s="92"/>
      <c r="K658" s="187"/>
      <c r="L658" s="92"/>
      <c r="M658" s="187"/>
      <c r="N658" s="92"/>
      <c r="O658" s="187"/>
      <c r="P658" s="92"/>
      <c r="Q658" s="187"/>
      <c r="R658" s="92"/>
      <c r="S658" s="187"/>
      <c r="T658" s="92"/>
      <c r="U658" s="187"/>
    </row>
    <row r="659" ht="15.75" customHeight="1">
      <c r="A659" s="92"/>
      <c r="B659" s="190"/>
      <c r="C659" s="92"/>
      <c r="D659" s="92"/>
      <c r="F659" s="92"/>
      <c r="G659" s="92"/>
      <c r="H659" s="187"/>
      <c r="I659" s="92"/>
      <c r="J659" s="92"/>
      <c r="K659" s="187"/>
      <c r="L659" s="92"/>
      <c r="M659" s="187"/>
      <c r="N659" s="92"/>
      <c r="O659" s="187"/>
      <c r="P659" s="92"/>
      <c r="Q659" s="187"/>
      <c r="R659" s="92"/>
      <c r="S659" s="187"/>
      <c r="T659" s="92"/>
      <c r="U659" s="187"/>
    </row>
    <row r="660" ht="15.75" customHeight="1">
      <c r="A660" s="92"/>
      <c r="B660" s="190"/>
      <c r="C660" s="92"/>
      <c r="D660" s="92"/>
      <c r="F660" s="92"/>
      <c r="G660" s="92"/>
      <c r="H660" s="187"/>
      <c r="I660" s="92"/>
      <c r="J660" s="92"/>
      <c r="K660" s="187"/>
      <c r="L660" s="92"/>
      <c r="M660" s="187"/>
      <c r="N660" s="92"/>
      <c r="O660" s="187"/>
      <c r="P660" s="92"/>
      <c r="Q660" s="187"/>
      <c r="R660" s="92"/>
      <c r="S660" s="187"/>
      <c r="T660" s="92"/>
      <c r="U660" s="187"/>
    </row>
    <row r="661" ht="15.75" customHeight="1">
      <c r="A661" s="92"/>
      <c r="B661" s="190"/>
      <c r="C661" s="92"/>
      <c r="D661" s="92"/>
      <c r="F661" s="92"/>
      <c r="G661" s="92"/>
      <c r="H661" s="187"/>
      <c r="I661" s="92"/>
      <c r="J661" s="92"/>
      <c r="K661" s="187"/>
      <c r="L661" s="92"/>
      <c r="M661" s="187"/>
      <c r="N661" s="92"/>
      <c r="O661" s="187"/>
      <c r="P661" s="92"/>
      <c r="Q661" s="187"/>
      <c r="R661" s="92"/>
      <c r="S661" s="187"/>
      <c r="T661" s="92"/>
      <c r="U661" s="187"/>
    </row>
    <row r="662" ht="15.75" customHeight="1">
      <c r="A662" s="92"/>
      <c r="B662" s="190"/>
      <c r="C662" s="92"/>
      <c r="D662" s="92"/>
      <c r="F662" s="92"/>
      <c r="G662" s="92"/>
      <c r="H662" s="187"/>
      <c r="I662" s="92"/>
      <c r="J662" s="92"/>
      <c r="K662" s="187"/>
      <c r="L662" s="92"/>
      <c r="M662" s="187"/>
      <c r="N662" s="92"/>
      <c r="O662" s="187"/>
      <c r="P662" s="92"/>
      <c r="Q662" s="187"/>
      <c r="R662" s="92"/>
      <c r="S662" s="187"/>
      <c r="T662" s="92"/>
      <c r="U662" s="187"/>
    </row>
    <row r="663" ht="15.75" customHeight="1">
      <c r="A663" s="92"/>
      <c r="B663" s="190"/>
      <c r="C663" s="92"/>
      <c r="D663" s="92"/>
      <c r="F663" s="92"/>
      <c r="G663" s="92"/>
      <c r="H663" s="187"/>
      <c r="I663" s="92"/>
      <c r="J663" s="92"/>
      <c r="K663" s="187"/>
      <c r="L663" s="92"/>
      <c r="M663" s="187"/>
      <c r="N663" s="92"/>
      <c r="O663" s="187"/>
      <c r="P663" s="92"/>
      <c r="Q663" s="187"/>
      <c r="R663" s="92"/>
      <c r="S663" s="187"/>
      <c r="T663" s="92"/>
      <c r="U663" s="187"/>
    </row>
    <row r="664" ht="15.75" customHeight="1">
      <c r="A664" s="92"/>
      <c r="B664" s="190"/>
      <c r="C664" s="92"/>
      <c r="D664" s="92"/>
      <c r="F664" s="92"/>
      <c r="G664" s="92"/>
      <c r="H664" s="187"/>
      <c r="I664" s="92"/>
      <c r="J664" s="92"/>
      <c r="K664" s="187"/>
      <c r="L664" s="92"/>
      <c r="M664" s="187"/>
      <c r="N664" s="92"/>
      <c r="O664" s="187"/>
      <c r="P664" s="92"/>
      <c r="Q664" s="187"/>
      <c r="R664" s="92"/>
      <c r="S664" s="187"/>
      <c r="T664" s="92"/>
      <c r="U664" s="187"/>
    </row>
    <row r="665" ht="15.75" customHeight="1">
      <c r="A665" s="92"/>
      <c r="B665" s="190"/>
      <c r="C665" s="92"/>
      <c r="D665" s="92"/>
      <c r="F665" s="92"/>
      <c r="G665" s="92"/>
      <c r="H665" s="187"/>
      <c r="I665" s="92"/>
      <c r="J665" s="92"/>
      <c r="K665" s="187"/>
      <c r="L665" s="92"/>
      <c r="M665" s="187"/>
      <c r="N665" s="92"/>
      <c r="O665" s="187"/>
      <c r="P665" s="92"/>
      <c r="Q665" s="187"/>
      <c r="R665" s="92"/>
      <c r="S665" s="187"/>
      <c r="T665" s="92"/>
      <c r="U665" s="187"/>
    </row>
    <row r="666" ht="15.75" customHeight="1">
      <c r="A666" s="92"/>
      <c r="B666" s="190"/>
      <c r="C666" s="92"/>
      <c r="D666" s="92"/>
      <c r="F666" s="92"/>
      <c r="G666" s="92"/>
      <c r="H666" s="187"/>
      <c r="I666" s="92"/>
      <c r="J666" s="92"/>
      <c r="K666" s="187"/>
      <c r="L666" s="92"/>
      <c r="M666" s="187"/>
      <c r="N666" s="92"/>
      <c r="O666" s="187"/>
      <c r="P666" s="92"/>
      <c r="Q666" s="187"/>
      <c r="R666" s="92"/>
      <c r="S666" s="187"/>
      <c r="T666" s="92"/>
      <c r="U666" s="187"/>
    </row>
    <row r="667" ht="15.75" customHeight="1">
      <c r="A667" s="92"/>
      <c r="B667" s="190"/>
      <c r="C667" s="92"/>
      <c r="D667" s="92"/>
      <c r="F667" s="92"/>
      <c r="G667" s="92"/>
      <c r="H667" s="187"/>
      <c r="I667" s="92"/>
      <c r="J667" s="92"/>
      <c r="K667" s="187"/>
      <c r="L667" s="92"/>
      <c r="M667" s="187"/>
      <c r="N667" s="92"/>
      <c r="O667" s="187"/>
      <c r="P667" s="92"/>
      <c r="Q667" s="187"/>
      <c r="R667" s="92"/>
      <c r="S667" s="187"/>
      <c r="T667" s="92"/>
      <c r="U667" s="187"/>
    </row>
    <row r="668" ht="15.75" customHeight="1">
      <c r="A668" s="92"/>
      <c r="B668" s="190"/>
      <c r="C668" s="92"/>
      <c r="D668" s="92"/>
      <c r="F668" s="92"/>
      <c r="G668" s="92"/>
      <c r="H668" s="187"/>
      <c r="I668" s="92"/>
      <c r="J668" s="92"/>
      <c r="K668" s="187"/>
      <c r="L668" s="92"/>
      <c r="M668" s="187"/>
      <c r="N668" s="92"/>
      <c r="O668" s="187"/>
      <c r="P668" s="92"/>
      <c r="Q668" s="187"/>
      <c r="R668" s="92"/>
      <c r="S668" s="187"/>
      <c r="T668" s="92"/>
      <c r="U668" s="187"/>
    </row>
    <row r="669" ht="15.75" customHeight="1">
      <c r="A669" s="92"/>
      <c r="B669" s="190"/>
      <c r="C669" s="92"/>
      <c r="D669" s="92"/>
      <c r="F669" s="92"/>
      <c r="G669" s="92"/>
      <c r="H669" s="187"/>
      <c r="I669" s="92"/>
      <c r="J669" s="92"/>
      <c r="K669" s="187"/>
      <c r="L669" s="92"/>
      <c r="M669" s="187"/>
      <c r="N669" s="92"/>
      <c r="O669" s="187"/>
      <c r="P669" s="92"/>
      <c r="Q669" s="187"/>
      <c r="R669" s="92"/>
      <c r="S669" s="187"/>
      <c r="T669" s="92"/>
      <c r="U669" s="187"/>
    </row>
    <row r="670" ht="15.75" customHeight="1">
      <c r="A670" s="92"/>
      <c r="B670" s="190"/>
      <c r="C670" s="92"/>
      <c r="D670" s="92"/>
      <c r="F670" s="92"/>
      <c r="G670" s="92"/>
      <c r="H670" s="187"/>
      <c r="I670" s="92"/>
      <c r="J670" s="92"/>
      <c r="K670" s="187"/>
      <c r="L670" s="92"/>
      <c r="M670" s="187"/>
      <c r="N670" s="92"/>
      <c r="O670" s="187"/>
      <c r="P670" s="92"/>
      <c r="Q670" s="187"/>
      <c r="R670" s="92"/>
      <c r="S670" s="187"/>
      <c r="T670" s="92"/>
      <c r="U670" s="187"/>
    </row>
    <row r="671" ht="15.75" customHeight="1">
      <c r="A671" s="92"/>
      <c r="B671" s="190"/>
      <c r="C671" s="92"/>
      <c r="D671" s="92"/>
      <c r="F671" s="92"/>
      <c r="G671" s="92"/>
      <c r="H671" s="187"/>
      <c r="I671" s="92"/>
      <c r="J671" s="92"/>
      <c r="K671" s="187"/>
      <c r="L671" s="92"/>
      <c r="M671" s="187"/>
      <c r="N671" s="92"/>
      <c r="O671" s="187"/>
      <c r="P671" s="92"/>
      <c r="Q671" s="187"/>
      <c r="R671" s="92"/>
      <c r="S671" s="187"/>
      <c r="T671" s="92"/>
      <c r="U671" s="187"/>
    </row>
    <row r="672" ht="15.75" customHeight="1">
      <c r="A672" s="92"/>
      <c r="B672" s="190"/>
      <c r="C672" s="92"/>
      <c r="D672" s="92"/>
      <c r="F672" s="92"/>
      <c r="G672" s="92"/>
      <c r="H672" s="187"/>
      <c r="I672" s="92"/>
      <c r="J672" s="92"/>
      <c r="K672" s="187"/>
      <c r="L672" s="92"/>
      <c r="M672" s="187"/>
      <c r="N672" s="92"/>
      <c r="O672" s="187"/>
      <c r="P672" s="92"/>
      <c r="Q672" s="187"/>
      <c r="R672" s="92"/>
      <c r="S672" s="187"/>
      <c r="T672" s="92"/>
      <c r="U672" s="187"/>
    </row>
    <row r="673" ht="15.75" customHeight="1">
      <c r="A673" s="92"/>
      <c r="B673" s="190"/>
      <c r="C673" s="92"/>
      <c r="D673" s="92"/>
      <c r="F673" s="92"/>
      <c r="G673" s="92"/>
      <c r="H673" s="187"/>
      <c r="I673" s="92"/>
      <c r="J673" s="92"/>
      <c r="K673" s="187"/>
      <c r="L673" s="92"/>
      <c r="M673" s="187"/>
      <c r="N673" s="92"/>
      <c r="O673" s="187"/>
      <c r="P673" s="92"/>
      <c r="Q673" s="187"/>
      <c r="R673" s="92"/>
      <c r="S673" s="187"/>
      <c r="T673" s="92"/>
      <c r="U673" s="187"/>
    </row>
    <row r="674" ht="15.75" customHeight="1">
      <c r="A674" s="92"/>
      <c r="B674" s="190"/>
      <c r="C674" s="92"/>
      <c r="D674" s="92"/>
      <c r="F674" s="92"/>
      <c r="G674" s="92"/>
      <c r="H674" s="187"/>
      <c r="I674" s="92"/>
      <c r="J674" s="92"/>
      <c r="K674" s="187"/>
      <c r="L674" s="92"/>
      <c r="M674" s="187"/>
      <c r="N674" s="92"/>
      <c r="O674" s="187"/>
      <c r="P674" s="92"/>
      <c r="Q674" s="187"/>
      <c r="R674" s="92"/>
      <c r="S674" s="187"/>
      <c r="T674" s="92"/>
      <c r="U674" s="187"/>
    </row>
    <row r="675" ht="15.75" customHeight="1">
      <c r="A675" s="92"/>
      <c r="B675" s="190"/>
      <c r="C675" s="92"/>
      <c r="D675" s="92"/>
      <c r="F675" s="92"/>
      <c r="G675" s="92"/>
      <c r="H675" s="187"/>
      <c r="I675" s="92"/>
      <c r="J675" s="92"/>
      <c r="K675" s="187"/>
      <c r="L675" s="92"/>
      <c r="M675" s="187"/>
      <c r="N675" s="92"/>
      <c r="O675" s="187"/>
      <c r="P675" s="92"/>
      <c r="Q675" s="187"/>
      <c r="R675" s="92"/>
      <c r="S675" s="187"/>
      <c r="T675" s="92"/>
      <c r="U675" s="187"/>
    </row>
    <row r="676" ht="15.75" customHeight="1">
      <c r="A676" s="92"/>
      <c r="B676" s="190"/>
      <c r="C676" s="92"/>
      <c r="D676" s="92"/>
      <c r="F676" s="92"/>
      <c r="G676" s="92"/>
      <c r="H676" s="187"/>
      <c r="I676" s="92"/>
      <c r="J676" s="92"/>
      <c r="K676" s="187"/>
      <c r="L676" s="92"/>
      <c r="M676" s="187"/>
      <c r="N676" s="92"/>
      <c r="O676" s="187"/>
      <c r="P676" s="92"/>
      <c r="Q676" s="187"/>
      <c r="R676" s="92"/>
      <c r="S676" s="187"/>
      <c r="T676" s="92"/>
      <c r="U676" s="187"/>
    </row>
    <row r="677" ht="15.75" customHeight="1">
      <c r="A677" s="92"/>
      <c r="B677" s="190"/>
      <c r="C677" s="92"/>
      <c r="D677" s="92"/>
      <c r="F677" s="92"/>
      <c r="G677" s="92"/>
      <c r="H677" s="187"/>
      <c r="I677" s="92"/>
      <c r="J677" s="92"/>
      <c r="K677" s="187"/>
      <c r="L677" s="92"/>
      <c r="M677" s="187"/>
      <c r="N677" s="92"/>
      <c r="O677" s="187"/>
      <c r="P677" s="92"/>
      <c r="Q677" s="187"/>
      <c r="R677" s="92"/>
      <c r="S677" s="187"/>
      <c r="T677" s="92"/>
      <c r="U677" s="187"/>
    </row>
    <row r="678" ht="15.75" customHeight="1">
      <c r="A678" s="92"/>
      <c r="B678" s="190"/>
      <c r="C678" s="92"/>
      <c r="D678" s="92"/>
      <c r="F678" s="92"/>
      <c r="G678" s="92"/>
      <c r="H678" s="187"/>
      <c r="I678" s="92"/>
      <c r="J678" s="92"/>
      <c r="K678" s="187"/>
      <c r="L678" s="92"/>
      <c r="M678" s="187"/>
      <c r="N678" s="92"/>
      <c r="O678" s="187"/>
      <c r="P678" s="92"/>
      <c r="Q678" s="187"/>
      <c r="R678" s="92"/>
      <c r="S678" s="187"/>
      <c r="T678" s="92"/>
      <c r="U678" s="187"/>
    </row>
    <row r="679" ht="15.75" customHeight="1">
      <c r="A679" s="92"/>
      <c r="B679" s="190"/>
      <c r="C679" s="92"/>
      <c r="D679" s="92"/>
      <c r="F679" s="92"/>
      <c r="G679" s="92"/>
      <c r="H679" s="187"/>
      <c r="I679" s="92"/>
      <c r="J679" s="92"/>
      <c r="K679" s="187"/>
      <c r="L679" s="92"/>
      <c r="M679" s="187"/>
      <c r="N679" s="92"/>
      <c r="O679" s="187"/>
      <c r="P679" s="92"/>
      <c r="Q679" s="187"/>
      <c r="R679" s="92"/>
      <c r="S679" s="187"/>
      <c r="T679" s="92"/>
      <c r="U679" s="187"/>
    </row>
    <row r="680" ht="15.75" customHeight="1">
      <c r="A680" s="92"/>
      <c r="B680" s="190"/>
      <c r="C680" s="92"/>
      <c r="D680" s="92"/>
      <c r="F680" s="92"/>
      <c r="G680" s="92"/>
      <c r="H680" s="187"/>
      <c r="I680" s="92"/>
      <c r="J680" s="92"/>
      <c r="K680" s="187"/>
      <c r="L680" s="92"/>
      <c r="M680" s="187"/>
      <c r="N680" s="92"/>
      <c r="O680" s="187"/>
      <c r="P680" s="92"/>
      <c r="Q680" s="187"/>
      <c r="R680" s="92"/>
      <c r="S680" s="187"/>
      <c r="T680" s="92"/>
      <c r="U680" s="187"/>
    </row>
    <row r="681" ht="15.75" customHeight="1">
      <c r="A681" s="92"/>
      <c r="B681" s="190"/>
      <c r="C681" s="92"/>
      <c r="D681" s="92"/>
      <c r="F681" s="92"/>
      <c r="G681" s="92"/>
      <c r="H681" s="187"/>
      <c r="I681" s="92"/>
      <c r="J681" s="92"/>
      <c r="K681" s="187"/>
      <c r="L681" s="92"/>
      <c r="M681" s="187"/>
      <c r="N681" s="92"/>
      <c r="O681" s="187"/>
      <c r="P681" s="92"/>
      <c r="Q681" s="187"/>
      <c r="R681" s="92"/>
      <c r="S681" s="187"/>
      <c r="T681" s="92"/>
      <c r="U681" s="187"/>
    </row>
    <row r="682" ht="15.75" customHeight="1">
      <c r="A682" s="92"/>
      <c r="B682" s="190"/>
      <c r="C682" s="92"/>
      <c r="D682" s="92"/>
      <c r="F682" s="92"/>
      <c r="G682" s="92"/>
      <c r="H682" s="187"/>
      <c r="I682" s="92"/>
      <c r="J682" s="92"/>
      <c r="K682" s="187"/>
      <c r="L682" s="92"/>
      <c r="M682" s="187"/>
      <c r="N682" s="92"/>
      <c r="O682" s="187"/>
      <c r="P682" s="92"/>
      <c r="Q682" s="187"/>
      <c r="R682" s="92"/>
      <c r="S682" s="187"/>
      <c r="T682" s="92"/>
      <c r="U682" s="187"/>
    </row>
    <row r="683" ht="15.75" customHeight="1">
      <c r="A683" s="92"/>
      <c r="B683" s="190"/>
      <c r="C683" s="92"/>
      <c r="D683" s="92"/>
      <c r="F683" s="92"/>
      <c r="G683" s="92"/>
      <c r="H683" s="187"/>
      <c r="I683" s="92"/>
      <c r="J683" s="92"/>
      <c r="K683" s="187"/>
      <c r="L683" s="92"/>
      <c r="M683" s="187"/>
      <c r="N683" s="92"/>
      <c r="O683" s="187"/>
      <c r="P683" s="92"/>
      <c r="Q683" s="187"/>
      <c r="R683" s="92"/>
      <c r="S683" s="187"/>
      <c r="T683" s="92"/>
      <c r="U683" s="187"/>
    </row>
    <row r="684" ht="15.75" customHeight="1">
      <c r="A684" s="92"/>
      <c r="B684" s="190"/>
      <c r="C684" s="92"/>
      <c r="D684" s="92"/>
      <c r="F684" s="92"/>
      <c r="G684" s="92"/>
      <c r="H684" s="187"/>
      <c r="I684" s="92"/>
      <c r="J684" s="92"/>
      <c r="K684" s="187"/>
      <c r="L684" s="92"/>
      <c r="M684" s="187"/>
      <c r="N684" s="92"/>
      <c r="O684" s="187"/>
      <c r="P684" s="92"/>
      <c r="Q684" s="187"/>
      <c r="R684" s="92"/>
      <c r="S684" s="187"/>
      <c r="T684" s="92"/>
      <c r="U684" s="187"/>
    </row>
    <row r="685" ht="15.75" customHeight="1">
      <c r="A685" s="92"/>
      <c r="B685" s="190"/>
      <c r="C685" s="92"/>
      <c r="D685" s="92"/>
      <c r="F685" s="92"/>
      <c r="G685" s="92"/>
      <c r="H685" s="187"/>
      <c r="I685" s="92"/>
      <c r="J685" s="92"/>
      <c r="K685" s="187"/>
      <c r="L685" s="92"/>
      <c r="M685" s="187"/>
      <c r="N685" s="92"/>
      <c r="O685" s="187"/>
      <c r="P685" s="92"/>
      <c r="Q685" s="187"/>
      <c r="R685" s="92"/>
      <c r="S685" s="187"/>
      <c r="T685" s="92"/>
      <c r="U685" s="187"/>
    </row>
    <row r="686" ht="15.75" customHeight="1">
      <c r="A686" s="92"/>
      <c r="B686" s="190"/>
      <c r="C686" s="92"/>
      <c r="D686" s="92"/>
      <c r="F686" s="92"/>
      <c r="G686" s="92"/>
      <c r="H686" s="187"/>
      <c r="I686" s="92"/>
      <c r="J686" s="92"/>
      <c r="K686" s="187"/>
      <c r="L686" s="92"/>
      <c r="M686" s="187"/>
      <c r="N686" s="92"/>
      <c r="O686" s="187"/>
      <c r="P686" s="92"/>
      <c r="Q686" s="187"/>
      <c r="R686" s="92"/>
      <c r="S686" s="187"/>
      <c r="T686" s="92"/>
      <c r="U686" s="187"/>
    </row>
    <row r="687" ht="15.75" customHeight="1">
      <c r="A687" s="92"/>
      <c r="B687" s="190"/>
      <c r="C687" s="92"/>
      <c r="D687" s="92"/>
      <c r="F687" s="92"/>
      <c r="G687" s="92"/>
      <c r="H687" s="187"/>
      <c r="I687" s="92"/>
      <c r="J687" s="92"/>
      <c r="K687" s="187"/>
      <c r="L687" s="92"/>
      <c r="M687" s="187"/>
      <c r="N687" s="92"/>
      <c r="O687" s="187"/>
      <c r="P687" s="92"/>
      <c r="Q687" s="187"/>
      <c r="R687" s="92"/>
      <c r="S687" s="187"/>
      <c r="T687" s="92"/>
      <c r="U687" s="187"/>
    </row>
    <row r="688" ht="15.75" customHeight="1">
      <c r="A688" s="92"/>
      <c r="B688" s="190"/>
      <c r="C688" s="92"/>
      <c r="D688" s="92"/>
      <c r="F688" s="92"/>
      <c r="G688" s="92"/>
      <c r="H688" s="187"/>
      <c r="I688" s="92"/>
      <c r="J688" s="92"/>
      <c r="K688" s="187"/>
      <c r="L688" s="92"/>
      <c r="M688" s="187"/>
      <c r="N688" s="92"/>
      <c r="O688" s="187"/>
      <c r="P688" s="92"/>
      <c r="Q688" s="187"/>
      <c r="R688" s="92"/>
      <c r="S688" s="187"/>
      <c r="T688" s="92"/>
      <c r="U688" s="187"/>
    </row>
    <row r="689" ht="15.75" customHeight="1">
      <c r="A689" s="92"/>
      <c r="B689" s="190"/>
      <c r="C689" s="92"/>
      <c r="D689" s="92"/>
      <c r="F689" s="92"/>
      <c r="G689" s="92"/>
      <c r="H689" s="187"/>
      <c r="I689" s="92"/>
      <c r="J689" s="92"/>
      <c r="K689" s="187"/>
      <c r="L689" s="92"/>
      <c r="M689" s="187"/>
      <c r="N689" s="92"/>
      <c r="O689" s="187"/>
      <c r="P689" s="92"/>
      <c r="Q689" s="187"/>
      <c r="R689" s="92"/>
      <c r="S689" s="187"/>
      <c r="T689" s="92"/>
      <c r="U689" s="187"/>
    </row>
    <row r="690" ht="15.75" customHeight="1">
      <c r="A690" s="92"/>
      <c r="B690" s="190"/>
      <c r="C690" s="92"/>
      <c r="D690" s="92"/>
      <c r="F690" s="92"/>
      <c r="G690" s="92"/>
      <c r="H690" s="187"/>
      <c r="I690" s="92"/>
      <c r="J690" s="92"/>
      <c r="K690" s="187"/>
      <c r="L690" s="92"/>
      <c r="M690" s="187"/>
      <c r="N690" s="92"/>
      <c r="O690" s="187"/>
      <c r="P690" s="92"/>
      <c r="Q690" s="187"/>
      <c r="R690" s="92"/>
      <c r="S690" s="187"/>
      <c r="T690" s="92"/>
      <c r="U690" s="187"/>
    </row>
    <row r="691" ht="15.75" customHeight="1">
      <c r="A691" s="92"/>
      <c r="B691" s="190"/>
      <c r="C691" s="92"/>
      <c r="D691" s="92"/>
      <c r="F691" s="92"/>
      <c r="G691" s="92"/>
      <c r="H691" s="187"/>
      <c r="I691" s="92"/>
      <c r="J691" s="92"/>
      <c r="K691" s="187"/>
      <c r="L691" s="92"/>
      <c r="M691" s="187"/>
      <c r="N691" s="92"/>
      <c r="O691" s="187"/>
      <c r="P691" s="92"/>
      <c r="Q691" s="187"/>
      <c r="R691" s="92"/>
      <c r="S691" s="187"/>
      <c r="T691" s="92"/>
      <c r="U691" s="187"/>
    </row>
    <row r="692" ht="15.75" customHeight="1">
      <c r="A692" s="92"/>
      <c r="B692" s="190"/>
      <c r="C692" s="92"/>
      <c r="D692" s="92"/>
      <c r="F692" s="92"/>
      <c r="G692" s="92"/>
      <c r="H692" s="187"/>
      <c r="I692" s="92"/>
      <c r="J692" s="92"/>
      <c r="K692" s="187"/>
      <c r="L692" s="92"/>
      <c r="M692" s="187"/>
      <c r="N692" s="92"/>
      <c r="O692" s="187"/>
      <c r="P692" s="92"/>
      <c r="Q692" s="187"/>
      <c r="R692" s="92"/>
      <c r="S692" s="187"/>
      <c r="T692" s="92"/>
      <c r="U692" s="187"/>
    </row>
    <row r="693" ht="15.75" customHeight="1">
      <c r="A693" s="92"/>
      <c r="B693" s="190"/>
      <c r="C693" s="92"/>
      <c r="D693" s="92"/>
      <c r="F693" s="92"/>
      <c r="G693" s="92"/>
      <c r="H693" s="187"/>
      <c r="I693" s="92"/>
      <c r="J693" s="92"/>
      <c r="K693" s="187"/>
      <c r="L693" s="92"/>
      <c r="M693" s="187"/>
      <c r="N693" s="92"/>
      <c r="O693" s="187"/>
      <c r="P693" s="92"/>
      <c r="Q693" s="187"/>
      <c r="R693" s="92"/>
      <c r="S693" s="187"/>
      <c r="T693" s="92"/>
      <c r="U693" s="187"/>
    </row>
    <row r="694" ht="15.75" customHeight="1">
      <c r="A694" s="92"/>
      <c r="B694" s="190"/>
      <c r="C694" s="92"/>
      <c r="D694" s="92"/>
      <c r="F694" s="92"/>
      <c r="G694" s="92"/>
      <c r="H694" s="187"/>
      <c r="I694" s="92"/>
      <c r="J694" s="92"/>
      <c r="K694" s="187"/>
      <c r="L694" s="92"/>
      <c r="M694" s="187"/>
      <c r="N694" s="92"/>
      <c r="O694" s="187"/>
      <c r="P694" s="92"/>
      <c r="Q694" s="187"/>
      <c r="R694" s="92"/>
      <c r="S694" s="187"/>
      <c r="T694" s="92"/>
      <c r="U694" s="187"/>
    </row>
    <row r="695" ht="15.75" customHeight="1">
      <c r="A695" s="92"/>
      <c r="B695" s="190"/>
      <c r="C695" s="92"/>
      <c r="D695" s="92"/>
      <c r="F695" s="92"/>
      <c r="G695" s="92"/>
      <c r="H695" s="187"/>
      <c r="I695" s="92"/>
      <c r="J695" s="92"/>
      <c r="K695" s="187"/>
      <c r="L695" s="92"/>
      <c r="M695" s="187"/>
      <c r="N695" s="92"/>
      <c r="O695" s="187"/>
      <c r="P695" s="92"/>
      <c r="Q695" s="187"/>
      <c r="R695" s="92"/>
      <c r="S695" s="187"/>
      <c r="T695" s="92"/>
      <c r="U695" s="187"/>
    </row>
    <row r="696" ht="15.75" customHeight="1">
      <c r="A696" s="92"/>
      <c r="B696" s="190"/>
      <c r="C696" s="92"/>
      <c r="D696" s="92"/>
      <c r="F696" s="92"/>
      <c r="G696" s="92"/>
      <c r="H696" s="187"/>
      <c r="I696" s="92"/>
      <c r="J696" s="92"/>
      <c r="K696" s="187"/>
      <c r="L696" s="92"/>
      <c r="M696" s="187"/>
      <c r="N696" s="92"/>
      <c r="O696" s="187"/>
      <c r="P696" s="92"/>
      <c r="Q696" s="187"/>
      <c r="R696" s="92"/>
      <c r="S696" s="187"/>
      <c r="T696" s="92"/>
      <c r="U696" s="187"/>
    </row>
    <row r="697" ht="15.75" customHeight="1">
      <c r="A697" s="92"/>
      <c r="B697" s="190"/>
      <c r="C697" s="92"/>
      <c r="D697" s="92"/>
      <c r="F697" s="92"/>
      <c r="G697" s="92"/>
      <c r="H697" s="187"/>
      <c r="I697" s="92"/>
      <c r="J697" s="92"/>
      <c r="K697" s="187"/>
      <c r="L697" s="92"/>
      <c r="M697" s="187"/>
      <c r="N697" s="92"/>
      <c r="O697" s="187"/>
      <c r="P697" s="92"/>
      <c r="Q697" s="187"/>
      <c r="R697" s="92"/>
      <c r="S697" s="187"/>
      <c r="T697" s="92"/>
      <c r="U697" s="187"/>
    </row>
    <row r="698" ht="15.75" customHeight="1">
      <c r="A698" s="92"/>
      <c r="B698" s="190"/>
      <c r="C698" s="92"/>
      <c r="D698" s="92"/>
      <c r="F698" s="92"/>
      <c r="G698" s="92"/>
      <c r="H698" s="187"/>
      <c r="I698" s="92"/>
      <c r="J698" s="92"/>
      <c r="K698" s="187"/>
      <c r="L698" s="92"/>
      <c r="M698" s="187"/>
      <c r="N698" s="92"/>
      <c r="O698" s="187"/>
      <c r="P698" s="92"/>
      <c r="Q698" s="187"/>
      <c r="R698" s="92"/>
      <c r="S698" s="187"/>
      <c r="T698" s="92"/>
      <c r="U698" s="187"/>
    </row>
    <row r="699" ht="15.75" customHeight="1">
      <c r="A699" s="92"/>
      <c r="B699" s="190"/>
      <c r="C699" s="92"/>
      <c r="D699" s="92"/>
      <c r="F699" s="92"/>
      <c r="G699" s="92"/>
      <c r="H699" s="187"/>
      <c r="I699" s="92"/>
      <c r="J699" s="92"/>
      <c r="K699" s="187"/>
      <c r="L699" s="92"/>
      <c r="M699" s="187"/>
      <c r="N699" s="92"/>
      <c r="O699" s="187"/>
      <c r="P699" s="92"/>
      <c r="Q699" s="187"/>
      <c r="R699" s="92"/>
      <c r="S699" s="187"/>
      <c r="T699" s="92"/>
      <c r="U699" s="187"/>
    </row>
    <row r="700" ht="15.75" customHeight="1">
      <c r="A700" s="92"/>
      <c r="B700" s="190"/>
      <c r="C700" s="92"/>
      <c r="D700" s="92"/>
      <c r="F700" s="92"/>
      <c r="G700" s="92"/>
      <c r="H700" s="187"/>
      <c r="I700" s="92"/>
      <c r="J700" s="92"/>
      <c r="K700" s="187"/>
      <c r="L700" s="92"/>
      <c r="M700" s="187"/>
      <c r="N700" s="92"/>
      <c r="O700" s="187"/>
      <c r="P700" s="92"/>
      <c r="Q700" s="187"/>
      <c r="R700" s="92"/>
      <c r="S700" s="187"/>
      <c r="T700" s="92"/>
      <c r="U700" s="187"/>
    </row>
    <row r="701" ht="15.75" customHeight="1">
      <c r="A701" s="92"/>
      <c r="B701" s="190"/>
      <c r="C701" s="92"/>
      <c r="D701" s="92"/>
      <c r="F701" s="92"/>
      <c r="G701" s="92"/>
      <c r="H701" s="187"/>
      <c r="I701" s="92"/>
      <c r="J701" s="92"/>
      <c r="K701" s="187"/>
      <c r="L701" s="92"/>
      <c r="M701" s="187"/>
      <c r="N701" s="92"/>
      <c r="O701" s="187"/>
      <c r="P701" s="92"/>
      <c r="Q701" s="187"/>
      <c r="R701" s="92"/>
      <c r="S701" s="187"/>
      <c r="T701" s="92"/>
      <c r="U701" s="187"/>
    </row>
    <row r="702" ht="15.75" customHeight="1">
      <c r="A702" s="92"/>
      <c r="B702" s="190"/>
      <c r="C702" s="92"/>
      <c r="D702" s="92"/>
      <c r="F702" s="92"/>
      <c r="G702" s="92"/>
      <c r="H702" s="187"/>
      <c r="I702" s="92"/>
      <c r="J702" s="92"/>
      <c r="K702" s="187"/>
      <c r="L702" s="92"/>
      <c r="M702" s="187"/>
      <c r="N702" s="92"/>
      <c r="O702" s="187"/>
      <c r="P702" s="92"/>
      <c r="Q702" s="187"/>
      <c r="R702" s="92"/>
      <c r="S702" s="187"/>
      <c r="T702" s="92"/>
      <c r="U702" s="187"/>
    </row>
    <row r="703" ht="15.75" customHeight="1">
      <c r="A703" s="92"/>
      <c r="B703" s="190"/>
      <c r="C703" s="92"/>
      <c r="D703" s="92"/>
      <c r="F703" s="92"/>
      <c r="G703" s="92"/>
      <c r="H703" s="187"/>
      <c r="I703" s="92"/>
      <c r="J703" s="92"/>
      <c r="K703" s="187"/>
      <c r="L703" s="92"/>
      <c r="M703" s="187"/>
      <c r="N703" s="92"/>
      <c r="O703" s="187"/>
      <c r="P703" s="92"/>
      <c r="Q703" s="187"/>
      <c r="R703" s="92"/>
      <c r="S703" s="187"/>
      <c r="T703" s="92"/>
      <c r="U703" s="187"/>
    </row>
    <row r="704" ht="15.75" customHeight="1">
      <c r="A704" s="92"/>
      <c r="B704" s="190"/>
      <c r="C704" s="92"/>
      <c r="D704" s="92"/>
      <c r="F704" s="92"/>
      <c r="G704" s="92"/>
      <c r="H704" s="187"/>
      <c r="I704" s="92"/>
      <c r="J704" s="92"/>
      <c r="K704" s="187"/>
      <c r="L704" s="92"/>
      <c r="M704" s="187"/>
      <c r="N704" s="92"/>
      <c r="O704" s="187"/>
      <c r="P704" s="92"/>
      <c r="Q704" s="187"/>
      <c r="R704" s="92"/>
      <c r="S704" s="187"/>
      <c r="T704" s="92"/>
      <c r="U704" s="187"/>
    </row>
    <row r="705" ht="15.75" customHeight="1">
      <c r="A705" s="92"/>
      <c r="B705" s="190"/>
      <c r="C705" s="92"/>
      <c r="D705" s="92"/>
      <c r="F705" s="92"/>
      <c r="G705" s="92"/>
      <c r="H705" s="187"/>
      <c r="I705" s="92"/>
      <c r="J705" s="92"/>
      <c r="K705" s="187"/>
      <c r="L705" s="92"/>
      <c r="M705" s="187"/>
      <c r="N705" s="92"/>
      <c r="O705" s="187"/>
      <c r="P705" s="92"/>
      <c r="Q705" s="187"/>
      <c r="R705" s="92"/>
      <c r="S705" s="187"/>
      <c r="T705" s="92"/>
      <c r="U705" s="187"/>
    </row>
    <row r="706" ht="15.75" customHeight="1">
      <c r="A706" s="92"/>
      <c r="B706" s="190"/>
      <c r="C706" s="92"/>
      <c r="D706" s="92"/>
      <c r="F706" s="92"/>
      <c r="G706" s="92"/>
      <c r="H706" s="187"/>
      <c r="I706" s="92"/>
      <c r="J706" s="92"/>
      <c r="K706" s="187"/>
      <c r="L706" s="92"/>
      <c r="M706" s="187"/>
      <c r="N706" s="92"/>
      <c r="O706" s="187"/>
      <c r="P706" s="92"/>
      <c r="Q706" s="187"/>
      <c r="R706" s="92"/>
      <c r="S706" s="187"/>
      <c r="T706" s="92"/>
      <c r="U706" s="187"/>
    </row>
    <row r="707" ht="15.75" customHeight="1">
      <c r="A707" s="92"/>
      <c r="B707" s="190"/>
      <c r="C707" s="92"/>
      <c r="D707" s="92"/>
      <c r="F707" s="92"/>
      <c r="G707" s="92"/>
      <c r="H707" s="187"/>
      <c r="I707" s="92"/>
      <c r="J707" s="92"/>
      <c r="K707" s="187"/>
      <c r="L707" s="92"/>
      <c r="M707" s="187"/>
      <c r="N707" s="92"/>
      <c r="O707" s="187"/>
      <c r="P707" s="92"/>
      <c r="Q707" s="187"/>
      <c r="R707" s="92"/>
      <c r="S707" s="187"/>
      <c r="T707" s="92"/>
      <c r="U707" s="187"/>
    </row>
    <row r="708" ht="15.75" customHeight="1">
      <c r="A708" s="92"/>
      <c r="B708" s="190"/>
      <c r="C708" s="92"/>
      <c r="D708" s="92"/>
      <c r="F708" s="92"/>
      <c r="G708" s="92"/>
      <c r="H708" s="187"/>
      <c r="I708" s="92"/>
      <c r="J708" s="92"/>
      <c r="K708" s="187"/>
      <c r="L708" s="92"/>
      <c r="M708" s="187"/>
      <c r="N708" s="92"/>
      <c r="O708" s="187"/>
      <c r="P708" s="92"/>
      <c r="Q708" s="187"/>
      <c r="R708" s="92"/>
      <c r="S708" s="187"/>
      <c r="T708" s="92"/>
      <c r="U708" s="187"/>
    </row>
    <row r="709" ht="15.75" customHeight="1">
      <c r="A709" s="92"/>
      <c r="B709" s="190"/>
      <c r="C709" s="92"/>
      <c r="D709" s="92"/>
      <c r="F709" s="92"/>
      <c r="G709" s="92"/>
      <c r="H709" s="187"/>
      <c r="I709" s="92"/>
      <c r="J709" s="92"/>
      <c r="K709" s="187"/>
      <c r="L709" s="92"/>
      <c r="M709" s="187"/>
      <c r="N709" s="92"/>
      <c r="O709" s="187"/>
      <c r="P709" s="92"/>
      <c r="Q709" s="187"/>
      <c r="R709" s="92"/>
      <c r="S709" s="187"/>
      <c r="T709" s="92"/>
      <c r="U709" s="187"/>
    </row>
    <row r="710" ht="15.75" customHeight="1">
      <c r="A710" s="92"/>
      <c r="B710" s="190"/>
      <c r="C710" s="92"/>
      <c r="D710" s="92"/>
      <c r="F710" s="92"/>
      <c r="G710" s="92"/>
      <c r="H710" s="187"/>
      <c r="I710" s="92"/>
      <c r="J710" s="92"/>
      <c r="K710" s="187"/>
      <c r="L710" s="92"/>
      <c r="M710" s="187"/>
      <c r="N710" s="92"/>
      <c r="O710" s="187"/>
      <c r="P710" s="92"/>
      <c r="Q710" s="187"/>
      <c r="R710" s="92"/>
      <c r="S710" s="187"/>
      <c r="T710" s="92"/>
      <c r="U710" s="187"/>
    </row>
    <row r="711" ht="15.75" customHeight="1">
      <c r="A711" s="92"/>
      <c r="B711" s="190"/>
      <c r="C711" s="92"/>
      <c r="D711" s="92"/>
      <c r="F711" s="92"/>
      <c r="G711" s="92"/>
      <c r="H711" s="187"/>
      <c r="I711" s="92"/>
      <c r="J711" s="92"/>
      <c r="K711" s="187"/>
      <c r="L711" s="92"/>
      <c r="M711" s="187"/>
      <c r="N711" s="92"/>
      <c r="O711" s="187"/>
      <c r="P711" s="92"/>
      <c r="Q711" s="187"/>
      <c r="R711" s="92"/>
      <c r="S711" s="187"/>
      <c r="T711" s="92"/>
      <c r="U711" s="187"/>
    </row>
    <row r="712" ht="15.75" customHeight="1">
      <c r="A712" s="92"/>
      <c r="B712" s="190"/>
      <c r="C712" s="92"/>
      <c r="D712" s="92"/>
      <c r="F712" s="92"/>
      <c r="G712" s="92"/>
      <c r="H712" s="187"/>
      <c r="I712" s="92"/>
      <c r="J712" s="92"/>
      <c r="K712" s="187"/>
      <c r="L712" s="92"/>
      <c r="M712" s="187"/>
      <c r="N712" s="92"/>
      <c r="O712" s="187"/>
      <c r="P712" s="92"/>
      <c r="Q712" s="187"/>
      <c r="R712" s="92"/>
      <c r="S712" s="187"/>
      <c r="T712" s="92"/>
      <c r="U712" s="187"/>
    </row>
    <row r="713" ht="15.75" customHeight="1">
      <c r="A713" s="92"/>
      <c r="B713" s="190"/>
      <c r="C713" s="92"/>
      <c r="D713" s="92"/>
      <c r="F713" s="92"/>
      <c r="G713" s="92"/>
      <c r="H713" s="187"/>
      <c r="I713" s="92"/>
      <c r="J713" s="92"/>
      <c r="K713" s="187"/>
      <c r="L713" s="92"/>
      <c r="M713" s="187"/>
      <c r="N713" s="92"/>
      <c r="O713" s="187"/>
      <c r="P713" s="92"/>
      <c r="Q713" s="187"/>
      <c r="R713" s="92"/>
      <c r="S713" s="187"/>
      <c r="T713" s="92"/>
      <c r="U713" s="187"/>
    </row>
    <row r="714" ht="15.75" customHeight="1">
      <c r="A714" s="92"/>
      <c r="B714" s="190"/>
      <c r="C714" s="92"/>
      <c r="D714" s="92"/>
      <c r="F714" s="92"/>
      <c r="G714" s="92"/>
      <c r="H714" s="187"/>
      <c r="I714" s="92"/>
      <c r="J714" s="92"/>
      <c r="K714" s="187"/>
      <c r="L714" s="92"/>
      <c r="M714" s="187"/>
      <c r="N714" s="92"/>
      <c r="O714" s="187"/>
      <c r="P714" s="92"/>
      <c r="Q714" s="187"/>
      <c r="R714" s="92"/>
      <c r="S714" s="187"/>
      <c r="T714" s="92"/>
      <c r="U714" s="187"/>
    </row>
    <row r="715" ht="15.75" customHeight="1">
      <c r="A715" s="92"/>
      <c r="B715" s="190"/>
      <c r="C715" s="92"/>
      <c r="D715" s="92"/>
      <c r="F715" s="92"/>
      <c r="G715" s="92"/>
      <c r="H715" s="187"/>
      <c r="I715" s="92"/>
      <c r="J715" s="92"/>
      <c r="K715" s="187"/>
      <c r="L715" s="92"/>
      <c r="M715" s="187"/>
      <c r="N715" s="92"/>
      <c r="O715" s="187"/>
      <c r="P715" s="92"/>
      <c r="Q715" s="187"/>
      <c r="R715" s="92"/>
      <c r="S715" s="187"/>
      <c r="T715" s="92"/>
      <c r="U715" s="187"/>
    </row>
    <row r="716" ht="15.75" customHeight="1">
      <c r="A716" s="92"/>
      <c r="B716" s="190"/>
      <c r="C716" s="92"/>
      <c r="D716" s="92"/>
      <c r="F716" s="92"/>
      <c r="G716" s="92"/>
      <c r="H716" s="187"/>
      <c r="I716" s="92"/>
      <c r="J716" s="92"/>
      <c r="K716" s="187"/>
      <c r="L716" s="92"/>
      <c r="M716" s="187"/>
      <c r="N716" s="92"/>
      <c r="O716" s="187"/>
      <c r="P716" s="92"/>
      <c r="Q716" s="187"/>
      <c r="R716" s="92"/>
      <c r="S716" s="187"/>
      <c r="T716" s="92"/>
      <c r="U716" s="187"/>
    </row>
    <row r="717" ht="15.75" customHeight="1">
      <c r="A717" s="92"/>
      <c r="B717" s="190"/>
      <c r="C717" s="92"/>
      <c r="D717" s="92"/>
      <c r="F717" s="92"/>
      <c r="G717" s="92"/>
      <c r="H717" s="187"/>
      <c r="I717" s="92"/>
      <c r="J717" s="92"/>
      <c r="K717" s="187"/>
      <c r="L717" s="92"/>
      <c r="M717" s="187"/>
      <c r="N717" s="92"/>
      <c r="O717" s="187"/>
      <c r="P717" s="92"/>
      <c r="Q717" s="187"/>
      <c r="R717" s="92"/>
      <c r="S717" s="187"/>
      <c r="T717" s="92"/>
      <c r="U717" s="187"/>
    </row>
    <row r="718" ht="15.75" customHeight="1">
      <c r="A718" s="92"/>
      <c r="B718" s="190"/>
      <c r="C718" s="92"/>
      <c r="D718" s="92"/>
      <c r="F718" s="92"/>
      <c r="G718" s="92"/>
      <c r="H718" s="187"/>
      <c r="I718" s="92"/>
      <c r="J718" s="92"/>
      <c r="K718" s="187"/>
      <c r="L718" s="92"/>
      <c r="M718" s="187"/>
      <c r="N718" s="92"/>
      <c r="O718" s="187"/>
      <c r="P718" s="92"/>
      <c r="Q718" s="187"/>
      <c r="R718" s="92"/>
      <c r="S718" s="187"/>
      <c r="T718" s="92"/>
      <c r="U718" s="187"/>
    </row>
    <row r="719" ht="15.75" customHeight="1">
      <c r="A719" s="92"/>
      <c r="B719" s="190"/>
      <c r="C719" s="92"/>
      <c r="D719" s="92"/>
      <c r="F719" s="92"/>
      <c r="G719" s="92"/>
      <c r="H719" s="187"/>
      <c r="I719" s="92"/>
      <c r="J719" s="92"/>
      <c r="K719" s="187"/>
      <c r="L719" s="92"/>
      <c r="M719" s="187"/>
      <c r="N719" s="92"/>
      <c r="O719" s="187"/>
      <c r="P719" s="92"/>
      <c r="Q719" s="187"/>
      <c r="R719" s="92"/>
      <c r="S719" s="187"/>
      <c r="T719" s="92"/>
      <c r="U719" s="187"/>
    </row>
    <row r="720" ht="15.75" customHeight="1">
      <c r="A720" s="92"/>
      <c r="B720" s="190"/>
      <c r="C720" s="92"/>
      <c r="D720" s="92"/>
      <c r="F720" s="92"/>
      <c r="G720" s="92"/>
      <c r="H720" s="187"/>
      <c r="I720" s="92"/>
      <c r="J720" s="92"/>
      <c r="K720" s="187"/>
      <c r="L720" s="92"/>
      <c r="M720" s="187"/>
      <c r="N720" s="92"/>
      <c r="O720" s="187"/>
      <c r="P720" s="92"/>
      <c r="Q720" s="187"/>
      <c r="R720" s="92"/>
      <c r="S720" s="187"/>
      <c r="T720" s="92"/>
      <c r="U720" s="187"/>
    </row>
    <row r="721" ht="15.75" customHeight="1">
      <c r="A721" s="92"/>
      <c r="B721" s="190"/>
      <c r="C721" s="92"/>
      <c r="D721" s="92"/>
      <c r="F721" s="92"/>
      <c r="G721" s="92"/>
      <c r="H721" s="187"/>
      <c r="I721" s="92"/>
      <c r="J721" s="92"/>
      <c r="K721" s="187"/>
      <c r="L721" s="92"/>
      <c r="M721" s="187"/>
      <c r="N721" s="92"/>
      <c r="O721" s="187"/>
      <c r="P721" s="92"/>
      <c r="Q721" s="187"/>
      <c r="R721" s="92"/>
      <c r="S721" s="187"/>
      <c r="T721" s="92"/>
      <c r="U721" s="187"/>
    </row>
    <row r="722" ht="15.75" customHeight="1">
      <c r="A722" s="92"/>
      <c r="B722" s="190"/>
      <c r="C722" s="92"/>
      <c r="D722" s="92"/>
      <c r="F722" s="92"/>
      <c r="G722" s="92"/>
      <c r="H722" s="187"/>
      <c r="I722" s="92"/>
      <c r="J722" s="92"/>
      <c r="K722" s="187"/>
      <c r="L722" s="92"/>
      <c r="M722" s="187"/>
      <c r="N722" s="92"/>
      <c r="O722" s="187"/>
      <c r="P722" s="92"/>
      <c r="Q722" s="187"/>
      <c r="R722" s="92"/>
      <c r="S722" s="187"/>
      <c r="T722" s="92"/>
      <c r="U722" s="187"/>
    </row>
    <row r="723" ht="15.75" customHeight="1">
      <c r="A723" s="92"/>
      <c r="B723" s="190"/>
      <c r="C723" s="92"/>
      <c r="D723" s="92"/>
      <c r="F723" s="92"/>
      <c r="G723" s="92"/>
      <c r="H723" s="187"/>
      <c r="I723" s="92"/>
      <c r="J723" s="92"/>
      <c r="K723" s="187"/>
      <c r="L723" s="92"/>
      <c r="M723" s="187"/>
      <c r="N723" s="92"/>
      <c r="O723" s="187"/>
      <c r="P723" s="92"/>
      <c r="Q723" s="187"/>
      <c r="R723" s="92"/>
      <c r="S723" s="187"/>
      <c r="T723" s="92"/>
      <c r="U723" s="187"/>
    </row>
    <row r="724" ht="15.75" customHeight="1">
      <c r="A724" s="92"/>
      <c r="B724" s="190"/>
      <c r="C724" s="92"/>
      <c r="D724" s="92"/>
      <c r="F724" s="92"/>
      <c r="G724" s="92"/>
      <c r="H724" s="187"/>
      <c r="I724" s="92"/>
      <c r="J724" s="92"/>
      <c r="K724" s="187"/>
      <c r="L724" s="92"/>
      <c r="M724" s="187"/>
      <c r="N724" s="92"/>
      <c r="O724" s="187"/>
      <c r="P724" s="92"/>
      <c r="Q724" s="187"/>
      <c r="R724" s="92"/>
      <c r="S724" s="187"/>
      <c r="T724" s="92"/>
      <c r="U724" s="187"/>
    </row>
    <row r="725" ht="15.75" customHeight="1">
      <c r="A725" s="92"/>
      <c r="B725" s="190"/>
      <c r="C725" s="92"/>
      <c r="D725" s="92"/>
      <c r="F725" s="92"/>
      <c r="G725" s="92"/>
      <c r="H725" s="187"/>
      <c r="I725" s="92"/>
      <c r="J725" s="92"/>
      <c r="K725" s="187"/>
      <c r="L725" s="92"/>
      <c r="M725" s="187"/>
      <c r="N725" s="92"/>
      <c r="O725" s="187"/>
      <c r="P725" s="92"/>
      <c r="Q725" s="187"/>
      <c r="R725" s="92"/>
      <c r="S725" s="187"/>
      <c r="T725" s="92"/>
      <c r="U725" s="187"/>
    </row>
    <row r="726" ht="15.75" customHeight="1">
      <c r="A726" s="92"/>
      <c r="B726" s="190"/>
      <c r="C726" s="92"/>
      <c r="D726" s="92"/>
      <c r="F726" s="92"/>
      <c r="G726" s="92"/>
      <c r="H726" s="187"/>
      <c r="I726" s="92"/>
      <c r="J726" s="92"/>
      <c r="K726" s="187"/>
      <c r="L726" s="92"/>
      <c r="M726" s="187"/>
      <c r="N726" s="92"/>
      <c r="O726" s="187"/>
      <c r="P726" s="92"/>
      <c r="Q726" s="187"/>
      <c r="R726" s="92"/>
      <c r="S726" s="187"/>
      <c r="T726" s="92"/>
      <c r="U726" s="187"/>
    </row>
    <row r="727" ht="15.75" customHeight="1">
      <c r="A727" s="92"/>
      <c r="B727" s="190"/>
      <c r="C727" s="92"/>
      <c r="D727" s="92"/>
      <c r="F727" s="92"/>
      <c r="G727" s="92"/>
      <c r="H727" s="187"/>
      <c r="I727" s="92"/>
      <c r="J727" s="92"/>
      <c r="K727" s="187"/>
      <c r="L727" s="92"/>
      <c r="M727" s="187"/>
      <c r="N727" s="92"/>
      <c r="O727" s="187"/>
      <c r="P727" s="92"/>
      <c r="Q727" s="187"/>
      <c r="R727" s="92"/>
      <c r="S727" s="187"/>
      <c r="T727" s="92"/>
      <c r="U727" s="187"/>
    </row>
    <row r="728" ht="15.75" customHeight="1">
      <c r="A728" s="92"/>
      <c r="B728" s="190"/>
      <c r="C728" s="92"/>
      <c r="D728" s="92"/>
      <c r="F728" s="92"/>
      <c r="G728" s="92"/>
      <c r="H728" s="187"/>
      <c r="I728" s="92"/>
      <c r="J728" s="92"/>
      <c r="K728" s="187"/>
      <c r="L728" s="92"/>
      <c r="M728" s="187"/>
      <c r="N728" s="92"/>
      <c r="O728" s="187"/>
      <c r="P728" s="92"/>
      <c r="Q728" s="187"/>
      <c r="R728" s="92"/>
      <c r="S728" s="187"/>
      <c r="T728" s="92"/>
      <c r="U728" s="187"/>
    </row>
    <row r="729" ht="15.75" customHeight="1">
      <c r="A729" s="92"/>
      <c r="B729" s="190"/>
      <c r="C729" s="92"/>
      <c r="D729" s="92"/>
      <c r="F729" s="92"/>
      <c r="G729" s="92"/>
      <c r="H729" s="187"/>
      <c r="I729" s="92"/>
      <c r="J729" s="92"/>
      <c r="K729" s="187"/>
      <c r="L729" s="92"/>
      <c r="M729" s="187"/>
      <c r="N729" s="92"/>
      <c r="O729" s="187"/>
      <c r="P729" s="92"/>
      <c r="Q729" s="187"/>
      <c r="R729" s="92"/>
      <c r="S729" s="187"/>
      <c r="T729" s="92"/>
      <c r="U729" s="187"/>
    </row>
    <row r="730" ht="15.75" customHeight="1">
      <c r="A730" s="92"/>
      <c r="B730" s="190"/>
      <c r="C730" s="92"/>
      <c r="D730" s="92"/>
      <c r="F730" s="92"/>
      <c r="G730" s="92"/>
      <c r="H730" s="187"/>
      <c r="I730" s="92"/>
      <c r="J730" s="92"/>
      <c r="K730" s="187"/>
      <c r="L730" s="92"/>
      <c r="M730" s="187"/>
      <c r="N730" s="92"/>
      <c r="O730" s="187"/>
      <c r="P730" s="92"/>
      <c r="Q730" s="187"/>
      <c r="R730" s="92"/>
      <c r="S730" s="187"/>
      <c r="T730" s="92"/>
      <c r="U730" s="187"/>
    </row>
    <row r="731" ht="15.75" customHeight="1">
      <c r="A731" s="92"/>
      <c r="B731" s="190"/>
      <c r="C731" s="92"/>
      <c r="D731" s="92"/>
      <c r="F731" s="92"/>
      <c r="G731" s="92"/>
      <c r="H731" s="187"/>
      <c r="I731" s="92"/>
      <c r="J731" s="92"/>
      <c r="K731" s="187"/>
      <c r="L731" s="92"/>
      <c r="M731" s="187"/>
      <c r="N731" s="92"/>
      <c r="O731" s="187"/>
      <c r="P731" s="92"/>
      <c r="Q731" s="187"/>
      <c r="R731" s="92"/>
      <c r="S731" s="187"/>
      <c r="T731" s="92"/>
      <c r="U731" s="187"/>
    </row>
    <row r="732" ht="15.75" customHeight="1">
      <c r="A732" s="92"/>
      <c r="B732" s="190"/>
      <c r="C732" s="92"/>
      <c r="D732" s="92"/>
      <c r="F732" s="92"/>
      <c r="G732" s="92"/>
      <c r="H732" s="187"/>
      <c r="I732" s="92"/>
      <c r="J732" s="92"/>
      <c r="K732" s="187"/>
      <c r="L732" s="92"/>
      <c r="M732" s="187"/>
      <c r="N732" s="92"/>
      <c r="O732" s="187"/>
      <c r="P732" s="92"/>
      <c r="Q732" s="187"/>
      <c r="R732" s="92"/>
      <c r="S732" s="187"/>
      <c r="T732" s="92"/>
      <c r="U732" s="187"/>
    </row>
    <row r="733" ht="15.75" customHeight="1">
      <c r="A733" s="92"/>
      <c r="B733" s="190"/>
      <c r="C733" s="92"/>
      <c r="D733" s="92"/>
      <c r="F733" s="92"/>
      <c r="G733" s="92"/>
      <c r="H733" s="187"/>
      <c r="I733" s="92"/>
      <c r="J733" s="92"/>
      <c r="K733" s="187"/>
      <c r="L733" s="92"/>
      <c r="M733" s="187"/>
      <c r="N733" s="92"/>
      <c r="O733" s="187"/>
      <c r="P733" s="92"/>
      <c r="Q733" s="187"/>
      <c r="R733" s="92"/>
      <c r="S733" s="187"/>
      <c r="T733" s="92"/>
      <c r="U733" s="187"/>
    </row>
    <row r="734" ht="15.75" customHeight="1">
      <c r="A734" s="92"/>
      <c r="B734" s="190"/>
      <c r="C734" s="92"/>
      <c r="D734" s="92"/>
      <c r="F734" s="92"/>
      <c r="G734" s="92"/>
      <c r="H734" s="187"/>
      <c r="I734" s="92"/>
      <c r="J734" s="92"/>
      <c r="K734" s="187"/>
      <c r="L734" s="92"/>
      <c r="M734" s="187"/>
      <c r="N734" s="92"/>
      <c r="O734" s="187"/>
      <c r="P734" s="92"/>
      <c r="Q734" s="187"/>
      <c r="R734" s="92"/>
      <c r="S734" s="187"/>
      <c r="T734" s="92"/>
      <c r="U734" s="187"/>
    </row>
    <row r="735" ht="15.75" customHeight="1">
      <c r="A735" s="92"/>
      <c r="B735" s="190"/>
      <c r="C735" s="92"/>
      <c r="D735" s="92"/>
      <c r="F735" s="92"/>
      <c r="G735" s="92"/>
      <c r="H735" s="187"/>
      <c r="I735" s="92"/>
      <c r="J735" s="92"/>
      <c r="K735" s="187"/>
      <c r="L735" s="92"/>
      <c r="M735" s="187"/>
      <c r="N735" s="92"/>
      <c r="O735" s="187"/>
      <c r="P735" s="92"/>
      <c r="Q735" s="187"/>
      <c r="R735" s="92"/>
      <c r="S735" s="187"/>
      <c r="T735" s="92"/>
      <c r="U735" s="187"/>
    </row>
    <row r="736" ht="15.75" customHeight="1">
      <c r="A736" s="92"/>
      <c r="B736" s="190"/>
      <c r="C736" s="92"/>
      <c r="D736" s="92"/>
      <c r="F736" s="92"/>
      <c r="G736" s="92"/>
      <c r="H736" s="187"/>
      <c r="I736" s="92"/>
      <c r="J736" s="92"/>
      <c r="K736" s="187"/>
      <c r="L736" s="92"/>
      <c r="M736" s="187"/>
      <c r="N736" s="92"/>
      <c r="O736" s="187"/>
      <c r="P736" s="92"/>
      <c r="Q736" s="187"/>
      <c r="R736" s="92"/>
      <c r="S736" s="187"/>
      <c r="T736" s="92"/>
      <c r="U736" s="187"/>
    </row>
    <row r="737" ht="15.75" customHeight="1">
      <c r="A737" s="92"/>
      <c r="B737" s="190"/>
      <c r="C737" s="92"/>
      <c r="D737" s="92"/>
      <c r="F737" s="92"/>
      <c r="G737" s="92"/>
      <c r="H737" s="187"/>
      <c r="I737" s="92"/>
      <c r="J737" s="92"/>
      <c r="K737" s="187"/>
      <c r="L737" s="92"/>
      <c r="M737" s="187"/>
      <c r="N737" s="92"/>
      <c r="O737" s="187"/>
      <c r="P737" s="92"/>
      <c r="Q737" s="187"/>
      <c r="R737" s="92"/>
      <c r="S737" s="187"/>
      <c r="T737" s="92"/>
      <c r="U737" s="187"/>
    </row>
    <row r="738" ht="15.75" customHeight="1">
      <c r="A738" s="92"/>
      <c r="B738" s="190"/>
      <c r="C738" s="92"/>
      <c r="D738" s="92"/>
      <c r="F738" s="92"/>
      <c r="G738" s="92"/>
      <c r="H738" s="187"/>
      <c r="I738" s="92"/>
      <c r="J738" s="92"/>
      <c r="K738" s="187"/>
      <c r="L738" s="92"/>
      <c r="M738" s="187"/>
      <c r="N738" s="92"/>
      <c r="O738" s="187"/>
      <c r="P738" s="92"/>
      <c r="Q738" s="187"/>
      <c r="R738" s="92"/>
      <c r="S738" s="187"/>
      <c r="T738" s="92"/>
      <c r="U738" s="187"/>
    </row>
    <row r="739" ht="15.75" customHeight="1">
      <c r="A739" s="92"/>
      <c r="B739" s="190"/>
      <c r="C739" s="92"/>
      <c r="D739" s="92"/>
      <c r="F739" s="92"/>
      <c r="G739" s="92"/>
      <c r="H739" s="187"/>
      <c r="I739" s="92"/>
      <c r="J739" s="92"/>
      <c r="K739" s="187"/>
      <c r="L739" s="92"/>
      <c r="M739" s="187"/>
      <c r="N739" s="92"/>
      <c r="O739" s="187"/>
      <c r="P739" s="92"/>
      <c r="Q739" s="187"/>
      <c r="R739" s="92"/>
      <c r="S739" s="187"/>
      <c r="T739" s="92"/>
      <c r="U739" s="187"/>
    </row>
    <row r="740" ht="15.75" customHeight="1">
      <c r="A740" s="92"/>
      <c r="B740" s="190"/>
      <c r="C740" s="92"/>
      <c r="D740" s="92"/>
      <c r="F740" s="92"/>
      <c r="G740" s="92"/>
      <c r="H740" s="187"/>
      <c r="I740" s="92"/>
      <c r="J740" s="92"/>
      <c r="K740" s="187"/>
      <c r="L740" s="92"/>
      <c r="M740" s="187"/>
      <c r="N740" s="92"/>
      <c r="O740" s="187"/>
      <c r="P740" s="92"/>
      <c r="Q740" s="187"/>
      <c r="R740" s="92"/>
      <c r="S740" s="187"/>
      <c r="T740" s="92"/>
      <c r="U740" s="187"/>
    </row>
    <row r="741" ht="15.75" customHeight="1">
      <c r="A741" s="92"/>
      <c r="B741" s="190"/>
      <c r="C741" s="92"/>
      <c r="D741" s="92"/>
      <c r="F741" s="92"/>
      <c r="G741" s="92"/>
      <c r="H741" s="187"/>
      <c r="I741" s="92"/>
      <c r="J741" s="92"/>
      <c r="K741" s="187"/>
      <c r="L741" s="92"/>
      <c r="M741" s="187"/>
      <c r="N741" s="92"/>
      <c r="O741" s="187"/>
      <c r="P741" s="92"/>
      <c r="Q741" s="187"/>
      <c r="R741" s="92"/>
      <c r="S741" s="187"/>
      <c r="T741" s="92"/>
      <c r="U741" s="187"/>
    </row>
    <row r="742" ht="15.75" customHeight="1">
      <c r="A742" s="92"/>
      <c r="B742" s="190"/>
      <c r="C742" s="92"/>
      <c r="D742" s="92"/>
      <c r="F742" s="92"/>
      <c r="G742" s="92"/>
      <c r="H742" s="187"/>
      <c r="I742" s="92"/>
      <c r="J742" s="92"/>
      <c r="K742" s="187"/>
      <c r="L742" s="92"/>
      <c r="M742" s="187"/>
      <c r="N742" s="92"/>
      <c r="O742" s="187"/>
      <c r="P742" s="92"/>
      <c r="Q742" s="187"/>
      <c r="R742" s="92"/>
      <c r="S742" s="187"/>
      <c r="T742" s="92"/>
      <c r="U742" s="187"/>
    </row>
    <row r="743" ht="15.75" customHeight="1">
      <c r="A743" s="92"/>
      <c r="B743" s="190"/>
      <c r="C743" s="92"/>
      <c r="D743" s="92"/>
      <c r="F743" s="92"/>
      <c r="G743" s="92"/>
      <c r="H743" s="187"/>
      <c r="I743" s="92"/>
      <c r="J743" s="92"/>
      <c r="K743" s="187"/>
      <c r="L743" s="92"/>
      <c r="M743" s="187"/>
      <c r="N743" s="92"/>
      <c r="O743" s="187"/>
      <c r="P743" s="92"/>
      <c r="Q743" s="187"/>
      <c r="R743" s="92"/>
      <c r="S743" s="187"/>
      <c r="T743" s="92"/>
      <c r="U743" s="187"/>
    </row>
    <row r="744" ht="15.75" customHeight="1">
      <c r="A744" s="92"/>
      <c r="B744" s="190"/>
      <c r="C744" s="92"/>
      <c r="D744" s="92"/>
      <c r="F744" s="92"/>
      <c r="G744" s="92"/>
      <c r="H744" s="187"/>
      <c r="I744" s="92"/>
      <c r="J744" s="92"/>
      <c r="K744" s="187"/>
      <c r="L744" s="92"/>
      <c r="M744" s="187"/>
      <c r="N744" s="92"/>
      <c r="O744" s="187"/>
      <c r="P744" s="92"/>
      <c r="Q744" s="187"/>
      <c r="R744" s="92"/>
      <c r="S744" s="187"/>
      <c r="T744" s="92"/>
      <c r="U744" s="187"/>
    </row>
    <row r="745" ht="15.75" customHeight="1">
      <c r="A745" s="92"/>
      <c r="B745" s="190"/>
      <c r="C745" s="92"/>
      <c r="D745" s="92"/>
      <c r="F745" s="92"/>
      <c r="G745" s="92"/>
      <c r="H745" s="187"/>
      <c r="I745" s="92"/>
      <c r="J745" s="92"/>
      <c r="K745" s="187"/>
      <c r="L745" s="92"/>
      <c r="M745" s="187"/>
      <c r="N745" s="92"/>
      <c r="O745" s="187"/>
      <c r="P745" s="92"/>
      <c r="Q745" s="187"/>
      <c r="R745" s="92"/>
      <c r="S745" s="187"/>
      <c r="T745" s="92"/>
      <c r="U745" s="187"/>
    </row>
    <row r="746" ht="15.75" customHeight="1">
      <c r="A746" s="92"/>
      <c r="B746" s="190"/>
      <c r="C746" s="92"/>
      <c r="D746" s="92"/>
      <c r="F746" s="92"/>
      <c r="G746" s="92"/>
      <c r="H746" s="187"/>
      <c r="I746" s="92"/>
      <c r="J746" s="92"/>
      <c r="K746" s="187"/>
      <c r="L746" s="92"/>
      <c r="M746" s="187"/>
      <c r="N746" s="92"/>
      <c r="O746" s="187"/>
      <c r="P746" s="92"/>
      <c r="Q746" s="187"/>
      <c r="R746" s="92"/>
      <c r="S746" s="187"/>
      <c r="T746" s="92"/>
      <c r="U746" s="187"/>
    </row>
    <row r="747" ht="15.75" customHeight="1">
      <c r="A747" s="92"/>
      <c r="B747" s="190"/>
      <c r="C747" s="92"/>
      <c r="D747" s="92"/>
      <c r="F747" s="92"/>
      <c r="G747" s="92"/>
      <c r="H747" s="187"/>
      <c r="I747" s="92"/>
      <c r="J747" s="92"/>
      <c r="K747" s="187"/>
      <c r="L747" s="92"/>
      <c r="M747" s="187"/>
      <c r="N747" s="92"/>
      <c r="O747" s="187"/>
      <c r="P747" s="92"/>
      <c r="Q747" s="187"/>
      <c r="R747" s="92"/>
      <c r="S747" s="187"/>
      <c r="T747" s="92"/>
      <c r="U747" s="187"/>
    </row>
    <row r="748" ht="15.75" customHeight="1">
      <c r="A748" s="92"/>
      <c r="B748" s="190"/>
      <c r="C748" s="92"/>
      <c r="D748" s="92"/>
      <c r="F748" s="92"/>
      <c r="G748" s="92"/>
      <c r="H748" s="187"/>
      <c r="I748" s="92"/>
      <c r="J748" s="92"/>
      <c r="K748" s="187"/>
      <c r="L748" s="92"/>
      <c r="M748" s="187"/>
      <c r="N748" s="92"/>
      <c r="O748" s="187"/>
      <c r="P748" s="92"/>
      <c r="Q748" s="187"/>
      <c r="R748" s="92"/>
      <c r="S748" s="187"/>
      <c r="T748" s="92"/>
      <c r="U748" s="187"/>
    </row>
    <row r="749" ht="15.75" customHeight="1">
      <c r="A749" s="92"/>
      <c r="B749" s="190"/>
      <c r="C749" s="92"/>
      <c r="D749" s="92"/>
      <c r="F749" s="92"/>
      <c r="G749" s="92"/>
      <c r="H749" s="187"/>
      <c r="I749" s="92"/>
      <c r="J749" s="92"/>
      <c r="K749" s="187"/>
      <c r="L749" s="92"/>
      <c r="M749" s="187"/>
      <c r="N749" s="92"/>
      <c r="O749" s="187"/>
      <c r="P749" s="92"/>
      <c r="Q749" s="187"/>
      <c r="R749" s="92"/>
      <c r="S749" s="187"/>
      <c r="T749" s="92"/>
      <c r="U749" s="187"/>
    </row>
    <row r="750" ht="15.75" customHeight="1">
      <c r="A750" s="92"/>
      <c r="B750" s="190"/>
      <c r="C750" s="92"/>
      <c r="D750" s="92"/>
      <c r="F750" s="92"/>
      <c r="G750" s="92"/>
      <c r="H750" s="187"/>
      <c r="I750" s="92"/>
      <c r="J750" s="92"/>
      <c r="K750" s="187"/>
      <c r="L750" s="92"/>
      <c r="M750" s="187"/>
      <c r="N750" s="92"/>
      <c r="O750" s="187"/>
      <c r="P750" s="92"/>
      <c r="Q750" s="187"/>
      <c r="R750" s="92"/>
      <c r="S750" s="187"/>
      <c r="T750" s="92"/>
      <c r="U750" s="187"/>
    </row>
    <row r="751" ht="15.75" customHeight="1">
      <c r="A751" s="92"/>
      <c r="B751" s="190"/>
      <c r="C751" s="92"/>
      <c r="D751" s="92"/>
      <c r="F751" s="92"/>
      <c r="G751" s="92"/>
      <c r="H751" s="187"/>
      <c r="I751" s="92"/>
      <c r="J751" s="92"/>
      <c r="K751" s="187"/>
      <c r="L751" s="92"/>
      <c r="M751" s="187"/>
      <c r="N751" s="92"/>
      <c r="O751" s="187"/>
      <c r="P751" s="92"/>
      <c r="Q751" s="187"/>
      <c r="R751" s="92"/>
      <c r="S751" s="187"/>
      <c r="T751" s="92"/>
      <c r="U751" s="187"/>
    </row>
    <row r="752" ht="15.75" customHeight="1">
      <c r="A752" s="92"/>
      <c r="B752" s="190"/>
      <c r="C752" s="92"/>
      <c r="D752" s="92"/>
      <c r="F752" s="92"/>
      <c r="G752" s="92"/>
      <c r="H752" s="187"/>
      <c r="I752" s="92"/>
      <c r="J752" s="92"/>
      <c r="K752" s="187"/>
      <c r="L752" s="92"/>
      <c r="M752" s="187"/>
      <c r="N752" s="92"/>
      <c r="O752" s="187"/>
      <c r="P752" s="92"/>
      <c r="Q752" s="187"/>
      <c r="R752" s="92"/>
      <c r="S752" s="187"/>
      <c r="T752" s="92"/>
      <c r="U752" s="187"/>
    </row>
    <row r="753" ht="15.75" customHeight="1">
      <c r="A753" s="92"/>
      <c r="B753" s="190"/>
      <c r="C753" s="92"/>
      <c r="D753" s="92"/>
      <c r="F753" s="92"/>
      <c r="G753" s="92"/>
      <c r="H753" s="187"/>
      <c r="I753" s="92"/>
      <c r="J753" s="92"/>
      <c r="K753" s="187"/>
      <c r="L753" s="92"/>
      <c r="M753" s="187"/>
      <c r="N753" s="92"/>
      <c r="O753" s="187"/>
      <c r="P753" s="92"/>
      <c r="Q753" s="187"/>
      <c r="R753" s="92"/>
      <c r="S753" s="187"/>
      <c r="T753" s="92"/>
      <c r="U753" s="187"/>
    </row>
    <row r="754" ht="15.75" customHeight="1">
      <c r="A754" s="92"/>
      <c r="B754" s="190"/>
      <c r="C754" s="92"/>
      <c r="D754" s="92"/>
      <c r="F754" s="92"/>
      <c r="G754" s="92"/>
      <c r="H754" s="187"/>
      <c r="I754" s="92"/>
      <c r="J754" s="92"/>
      <c r="K754" s="187"/>
      <c r="L754" s="92"/>
      <c r="M754" s="187"/>
      <c r="N754" s="92"/>
      <c r="O754" s="187"/>
      <c r="P754" s="92"/>
      <c r="Q754" s="187"/>
      <c r="R754" s="92"/>
      <c r="S754" s="187"/>
      <c r="T754" s="92"/>
      <c r="U754" s="187"/>
    </row>
    <row r="755" ht="15.75" customHeight="1">
      <c r="A755" s="92"/>
      <c r="B755" s="190"/>
      <c r="C755" s="92"/>
      <c r="D755" s="92"/>
      <c r="F755" s="92"/>
      <c r="G755" s="92"/>
      <c r="H755" s="187"/>
      <c r="I755" s="92"/>
      <c r="J755" s="92"/>
      <c r="K755" s="187"/>
      <c r="L755" s="92"/>
      <c r="M755" s="187"/>
      <c r="N755" s="92"/>
      <c r="O755" s="187"/>
      <c r="P755" s="92"/>
      <c r="Q755" s="187"/>
      <c r="R755" s="92"/>
      <c r="S755" s="187"/>
      <c r="T755" s="92"/>
      <c r="U755" s="187"/>
    </row>
    <row r="756" ht="15.75" customHeight="1">
      <c r="A756" s="92"/>
      <c r="B756" s="190"/>
      <c r="C756" s="92"/>
      <c r="D756" s="92"/>
      <c r="F756" s="92"/>
      <c r="G756" s="92"/>
      <c r="H756" s="187"/>
      <c r="I756" s="92"/>
      <c r="J756" s="92"/>
      <c r="K756" s="187"/>
      <c r="L756" s="92"/>
      <c r="M756" s="187"/>
      <c r="N756" s="92"/>
      <c r="O756" s="187"/>
      <c r="P756" s="92"/>
      <c r="Q756" s="187"/>
      <c r="R756" s="92"/>
      <c r="S756" s="187"/>
      <c r="T756" s="92"/>
      <c r="U756" s="187"/>
    </row>
    <row r="757" ht="15.75" customHeight="1">
      <c r="A757" s="92"/>
      <c r="B757" s="190"/>
      <c r="C757" s="92"/>
      <c r="D757" s="92"/>
      <c r="F757" s="92"/>
      <c r="G757" s="92"/>
      <c r="H757" s="187"/>
      <c r="I757" s="92"/>
      <c r="J757" s="92"/>
      <c r="K757" s="187"/>
      <c r="L757" s="92"/>
      <c r="M757" s="187"/>
      <c r="N757" s="92"/>
      <c r="O757" s="187"/>
      <c r="P757" s="92"/>
      <c r="Q757" s="187"/>
      <c r="R757" s="92"/>
      <c r="S757" s="187"/>
      <c r="T757" s="92"/>
      <c r="U757" s="187"/>
    </row>
    <row r="758" ht="15.75" customHeight="1">
      <c r="A758" s="92"/>
      <c r="B758" s="190"/>
      <c r="C758" s="92"/>
      <c r="D758" s="92"/>
      <c r="F758" s="92"/>
      <c r="G758" s="92"/>
      <c r="H758" s="187"/>
      <c r="I758" s="92"/>
      <c r="J758" s="92"/>
      <c r="K758" s="187"/>
      <c r="L758" s="92"/>
      <c r="M758" s="187"/>
      <c r="N758" s="92"/>
      <c r="O758" s="187"/>
      <c r="P758" s="92"/>
      <c r="Q758" s="187"/>
      <c r="R758" s="92"/>
      <c r="S758" s="187"/>
      <c r="T758" s="92"/>
      <c r="U758" s="187"/>
    </row>
    <row r="759" ht="15.75" customHeight="1">
      <c r="A759" s="92"/>
      <c r="B759" s="190"/>
      <c r="C759" s="92"/>
      <c r="D759" s="92"/>
      <c r="F759" s="92"/>
      <c r="G759" s="92"/>
      <c r="H759" s="187"/>
      <c r="I759" s="92"/>
      <c r="J759" s="92"/>
      <c r="K759" s="187"/>
      <c r="L759" s="92"/>
      <c r="M759" s="187"/>
      <c r="N759" s="92"/>
      <c r="O759" s="187"/>
      <c r="P759" s="92"/>
      <c r="Q759" s="187"/>
      <c r="R759" s="92"/>
      <c r="S759" s="187"/>
      <c r="T759" s="92"/>
      <c r="U759" s="187"/>
    </row>
    <row r="760" ht="15.75" customHeight="1">
      <c r="A760" s="92"/>
      <c r="B760" s="190"/>
      <c r="C760" s="92"/>
      <c r="D760" s="92"/>
      <c r="F760" s="92"/>
      <c r="G760" s="92"/>
      <c r="H760" s="187"/>
      <c r="I760" s="92"/>
      <c r="J760" s="92"/>
      <c r="K760" s="187"/>
      <c r="L760" s="92"/>
      <c r="M760" s="187"/>
      <c r="N760" s="92"/>
      <c r="O760" s="187"/>
      <c r="P760" s="92"/>
      <c r="Q760" s="187"/>
      <c r="R760" s="92"/>
      <c r="S760" s="187"/>
      <c r="T760" s="92"/>
      <c r="U760" s="187"/>
    </row>
    <row r="761" ht="15.75" customHeight="1">
      <c r="A761" s="92"/>
      <c r="B761" s="190"/>
      <c r="C761" s="92"/>
      <c r="D761" s="92"/>
      <c r="F761" s="92"/>
      <c r="G761" s="92"/>
      <c r="H761" s="187"/>
      <c r="I761" s="92"/>
      <c r="J761" s="92"/>
      <c r="K761" s="187"/>
      <c r="L761" s="92"/>
      <c r="M761" s="187"/>
      <c r="N761" s="92"/>
      <c r="O761" s="187"/>
      <c r="P761" s="92"/>
      <c r="Q761" s="187"/>
      <c r="R761" s="92"/>
      <c r="S761" s="187"/>
      <c r="T761" s="92"/>
      <c r="U761" s="187"/>
    </row>
    <row r="762" ht="15.75" customHeight="1">
      <c r="A762" s="92"/>
      <c r="B762" s="190"/>
      <c r="C762" s="92"/>
      <c r="D762" s="92"/>
      <c r="F762" s="92"/>
      <c r="G762" s="92"/>
      <c r="H762" s="187"/>
      <c r="I762" s="92"/>
      <c r="J762" s="92"/>
      <c r="K762" s="187"/>
      <c r="L762" s="92"/>
      <c r="M762" s="187"/>
      <c r="N762" s="92"/>
      <c r="O762" s="187"/>
      <c r="P762" s="92"/>
      <c r="Q762" s="187"/>
      <c r="R762" s="92"/>
      <c r="S762" s="187"/>
      <c r="T762" s="92"/>
      <c r="U762" s="187"/>
    </row>
    <row r="763" ht="15.75" customHeight="1">
      <c r="A763" s="92"/>
      <c r="B763" s="190"/>
      <c r="C763" s="92"/>
      <c r="D763" s="92"/>
      <c r="F763" s="92"/>
      <c r="G763" s="92"/>
      <c r="H763" s="187"/>
      <c r="I763" s="92"/>
      <c r="J763" s="92"/>
      <c r="K763" s="187"/>
      <c r="L763" s="92"/>
      <c r="M763" s="187"/>
      <c r="N763" s="92"/>
      <c r="O763" s="187"/>
      <c r="P763" s="92"/>
      <c r="Q763" s="187"/>
      <c r="R763" s="92"/>
      <c r="S763" s="187"/>
      <c r="T763" s="92"/>
      <c r="U763" s="187"/>
    </row>
    <row r="764" ht="15.75" customHeight="1">
      <c r="A764" s="92"/>
      <c r="B764" s="190"/>
      <c r="C764" s="92"/>
      <c r="D764" s="92"/>
      <c r="F764" s="92"/>
      <c r="G764" s="92"/>
      <c r="H764" s="187"/>
      <c r="I764" s="92"/>
      <c r="J764" s="92"/>
      <c r="K764" s="187"/>
      <c r="L764" s="92"/>
      <c r="M764" s="187"/>
      <c r="N764" s="92"/>
      <c r="O764" s="187"/>
      <c r="P764" s="92"/>
      <c r="Q764" s="187"/>
      <c r="R764" s="92"/>
      <c r="S764" s="187"/>
      <c r="T764" s="92"/>
      <c r="U764" s="187"/>
    </row>
    <row r="765" ht="15.75" customHeight="1">
      <c r="A765" s="92"/>
      <c r="B765" s="190"/>
      <c r="C765" s="92"/>
      <c r="D765" s="92"/>
      <c r="F765" s="92"/>
      <c r="G765" s="92"/>
      <c r="H765" s="187"/>
      <c r="I765" s="92"/>
      <c r="J765" s="92"/>
      <c r="K765" s="187"/>
      <c r="L765" s="92"/>
      <c r="M765" s="187"/>
      <c r="N765" s="92"/>
      <c r="O765" s="187"/>
      <c r="P765" s="92"/>
      <c r="Q765" s="187"/>
      <c r="R765" s="92"/>
      <c r="S765" s="187"/>
      <c r="T765" s="92"/>
      <c r="U765" s="187"/>
    </row>
    <row r="766" ht="15.75" customHeight="1">
      <c r="A766" s="92"/>
      <c r="B766" s="190"/>
      <c r="C766" s="92"/>
      <c r="D766" s="92"/>
      <c r="F766" s="92"/>
      <c r="G766" s="92"/>
      <c r="H766" s="187"/>
      <c r="I766" s="92"/>
      <c r="J766" s="92"/>
      <c r="K766" s="187"/>
      <c r="L766" s="92"/>
      <c r="M766" s="187"/>
      <c r="N766" s="92"/>
      <c r="O766" s="187"/>
      <c r="P766" s="92"/>
      <c r="Q766" s="187"/>
      <c r="R766" s="92"/>
      <c r="S766" s="187"/>
      <c r="T766" s="92"/>
      <c r="U766" s="187"/>
    </row>
    <row r="767" ht="15.75" customHeight="1">
      <c r="A767" s="92"/>
      <c r="B767" s="190"/>
      <c r="C767" s="92"/>
      <c r="D767" s="92"/>
      <c r="F767" s="92"/>
      <c r="G767" s="92"/>
      <c r="H767" s="187"/>
      <c r="I767" s="92"/>
      <c r="J767" s="92"/>
      <c r="K767" s="187"/>
      <c r="L767" s="92"/>
      <c r="M767" s="187"/>
      <c r="N767" s="92"/>
      <c r="O767" s="187"/>
      <c r="P767" s="92"/>
      <c r="Q767" s="187"/>
      <c r="R767" s="92"/>
      <c r="S767" s="187"/>
      <c r="T767" s="92"/>
      <c r="U767" s="187"/>
    </row>
    <row r="768" ht="15.75" customHeight="1">
      <c r="A768" s="92"/>
      <c r="B768" s="190"/>
      <c r="C768" s="92"/>
      <c r="D768" s="92"/>
      <c r="F768" s="92"/>
      <c r="G768" s="92"/>
      <c r="H768" s="187"/>
      <c r="I768" s="92"/>
      <c r="J768" s="92"/>
      <c r="K768" s="187"/>
      <c r="L768" s="92"/>
      <c r="M768" s="187"/>
      <c r="N768" s="92"/>
      <c r="O768" s="187"/>
      <c r="P768" s="92"/>
      <c r="Q768" s="187"/>
      <c r="R768" s="92"/>
      <c r="S768" s="187"/>
      <c r="T768" s="92"/>
      <c r="U768" s="187"/>
    </row>
    <row r="769" ht="15.75" customHeight="1">
      <c r="A769" s="92"/>
      <c r="B769" s="190"/>
      <c r="C769" s="92"/>
      <c r="D769" s="92"/>
      <c r="F769" s="92"/>
      <c r="G769" s="92"/>
      <c r="H769" s="187"/>
      <c r="I769" s="92"/>
      <c r="J769" s="92"/>
      <c r="K769" s="187"/>
      <c r="L769" s="92"/>
      <c r="M769" s="187"/>
      <c r="N769" s="92"/>
      <c r="O769" s="187"/>
      <c r="P769" s="92"/>
      <c r="Q769" s="187"/>
      <c r="R769" s="92"/>
      <c r="S769" s="187"/>
      <c r="T769" s="92"/>
      <c r="U769" s="187"/>
    </row>
    <row r="770" ht="15.75" customHeight="1">
      <c r="A770" s="92"/>
      <c r="B770" s="190"/>
      <c r="C770" s="92"/>
      <c r="D770" s="92"/>
      <c r="F770" s="92"/>
      <c r="G770" s="92"/>
      <c r="H770" s="187"/>
      <c r="I770" s="92"/>
      <c r="J770" s="92"/>
      <c r="K770" s="187"/>
      <c r="L770" s="92"/>
      <c r="M770" s="187"/>
      <c r="N770" s="92"/>
      <c r="O770" s="187"/>
      <c r="P770" s="92"/>
      <c r="Q770" s="187"/>
      <c r="R770" s="92"/>
      <c r="S770" s="187"/>
      <c r="T770" s="92"/>
      <c r="U770" s="187"/>
    </row>
    <row r="771" ht="15.75" customHeight="1">
      <c r="A771" s="92"/>
      <c r="B771" s="190"/>
      <c r="C771" s="92"/>
      <c r="D771" s="92"/>
      <c r="F771" s="92"/>
      <c r="G771" s="92"/>
      <c r="H771" s="187"/>
      <c r="I771" s="92"/>
      <c r="J771" s="92"/>
      <c r="K771" s="187"/>
      <c r="L771" s="92"/>
      <c r="M771" s="187"/>
      <c r="N771" s="92"/>
      <c r="O771" s="187"/>
      <c r="P771" s="92"/>
      <c r="Q771" s="187"/>
      <c r="R771" s="92"/>
      <c r="S771" s="187"/>
      <c r="T771" s="92"/>
      <c r="U771" s="187"/>
    </row>
    <row r="772" ht="15.75" customHeight="1">
      <c r="A772" s="92"/>
      <c r="B772" s="190"/>
      <c r="C772" s="92"/>
      <c r="D772" s="92"/>
      <c r="F772" s="92"/>
      <c r="G772" s="92"/>
      <c r="H772" s="187"/>
      <c r="I772" s="92"/>
      <c r="J772" s="92"/>
      <c r="K772" s="187"/>
      <c r="L772" s="92"/>
      <c r="M772" s="187"/>
      <c r="N772" s="92"/>
      <c r="O772" s="187"/>
      <c r="P772" s="92"/>
      <c r="Q772" s="187"/>
      <c r="R772" s="92"/>
      <c r="S772" s="187"/>
      <c r="T772" s="92"/>
      <c r="U772" s="187"/>
    </row>
    <row r="773" ht="15.75" customHeight="1">
      <c r="A773" s="92"/>
      <c r="B773" s="190"/>
      <c r="C773" s="92"/>
      <c r="D773" s="92"/>
      <c r="F773" s="92"/>
      <c r="G773" s="92"/>
      <c r="H773" s="187"/>
      <c r="I773" s="92"/>
      <c r="J773" s="92"/>
      <c r="K773" s="187"/>
      <c r="L773" s="92"/>
      <c r="M773" s="187"/>
      <c r="N773" s="92"/>
      <c r="O773" s="187"/>
      <c r="P773" s="92"/>
      <c r="Q773" s="187"/>
      <c r="R773" s="92"/>
      <c r="S773" s="187"/>
      <c r="T773" s="92"/>
      <c r="U773" s="187"/>
    </row>
    <row r="774" ht="15.75" customHeight="1">
      <c r="A774" s="92"/>
      <c r="B774" s="190"/>
      <c r="C774" s="92"/>
      <c r="D774" s="92"/>
      <c r="F774" s="92"/>
      <c r="G774" s="92"/>
      <c r="H774" s="187"/>
      <c r="I774" s="92"/>
      <c r="J774" s="92"/>
      <c r="K774" s="187"/>
      <c r="L774" s="92"/>
      <c r="M774" s="187"/>
      <c r="N774" s="92"/>
      <c r="O774" s="187"/>
      <c r="P774" s="92"/>
      <c r="Q774" s="187"/>
      <c r="R774" s="92"/>
      <c r="S774" s="187"/>
      <c r="T774" s="92"/>
      <c r="U774" s="187"/>
    </row>
    <row r="775" ht="15.75" customHeight="1">
      <c r="A775" s="92"/>
      <c r="B775" s="190"/>
      <c r="C775" s="92"/>
      <c r="D775" s="92"/>
      <c r="F775" s="92"/>
      <c r="G775" s="92"/>
      <c r="H775" s="187"/>
      <c r="I775" s="92"/>
      <c r="J775" s="92"/>
      <c r="K775" s="187"/>
      <c r="L775" s="92"/>
      <c r="M775" s="187"/>
      <c r="N775" s="92"/>
      <c r="O775" s="187"/>
      <c r="P775" s="92"/>
      <c r="Q775" s="187"/>
      <c r="R775" s="92"/>
      <c r="S775" s="187"/>
      <c r="T775" s="92"/>
      <c r="U775" s="187"/>
    </row>
    <row r="776" ht="15.75" customHeight="1">
      <c r="A776" s="92"/>
      <c r="B776" s="190"/>
      <c r="C776" s="92"/>
      <c r="D776" s="92"/>
      <c r="F776" s="92"/>
      <c r="G776" s="92"/>
      <c r="H776" s="187"/>
      <c r="I776" s="92"/>
      <c r="J776" s="92"/>
      <c r="K776" s="187"/>
      <c r="L776" s="92"/>
      <c r="M776" s="187"/>
      <c r="N776" s="92"/>
      <c r="O776" s="187"/>
      <c r="P776" s="92"/>
      <c r="Q776" s="187"/>
      <c r="R776" s="92"/>
      <c r="S776" s="187"/>
      <c r="T776" s="92"/>
      <c r="U776" s="187"/>
    </row>
    <row r="777" ht="15.75" customHeight="1">
      <c r="A777" s="92"/>
      <c r="B777" s="190"/>
      <c r="C777" s="92"/>
      <c r="D777" s="92"/>
      <c r="F777" s="92"/>
      <c r="G777" s="92"/>
      <c r="H777" s="187"/>
      <c r="I777" s="92"/>
      <c r="J777" s="92"/>
      <c r="K777" s="187"/>
      <c r="L777" s="92"/>
      <c r="M777" s="187"/>
      <c r="N777" s="92"/>
      <c r="O777" s="187"/>
      <c r="P777" s="92"/>
      <c r="Q777" s="187"/>
      <c r="R777" s="92"/>
      <c r="S777" s="187"/>
      <c r="T777" s="92"/>
      <c r="U777" s="187"/>
    </row>
    <row r="778" ht="15.75" customHeight="1">
      <c r="A778" s="92"/>
      <c r="B778" s="190"/>
      <c r="C778" s="92"/>
      <c r="D778" s="92"/>
      <c r="F778" s="92"/>
      <c r="G778" s="92"/>
      <c r="H778" s="187"/>
      <c r="I778" s="92"/>
      <c r="J778" s="92"/>
      <c r="K778" s="187"/>
      <c r="L778" s="92"/>
      <c r="M778" s="187"/>
      <c r="N778" s="92"/>
      <c r="O778" s="187"/>
      <c r="P778" s="92"/>
      <c r="Q778" s="187"/>
      <c r="R778" s="92"/>
      <c r="S778" s="187"/>
      <c r="T778" s="92"/>
      <c r="U778" s="187"/>
    </row>
    <row r="779" ht="15.75" customHeight="1">
      <c r="A779" s="92"/>
      <c r="B779" s="190"/>
      <c r="C779" s="92"/>
      <c r="D779" s="92"/>
      <c r="F779" s="92"/>
      <c r="G779" s="92"/>
      <c r="H779" s="187"/>
      <c r="I779" s="92"/>
      <c r="J779" s="92"/>
      <c r="K779" s="187"/>
      <c r="L779" s="92"/>
      <c r="M779" s="187"/>
      <c r="N779" s="92"/>
      <c r="O779" s="187"/>
      <c r="P779" s="92"/>
      <c r="Q779" s="187"/>
      <c r="R779" s="92"/>
      <c r="S779" s="187"/>
      <c r="T779" s="92"/>
      <c r="U779" s="187"/>
    </row>
    <row r="780" ht="15.75" customHeight="1">
      <c r="A780" s="92"/>
      <c r="B780" s="190"/>
      <c r="C780" s="92"/>
      <c r="D780" s="92"/>
      <c r="F780" s="92"/>
      <c r="G780" s="92"/>
      <c r="H780" s="187"/>
      <c r="I780" s="92"/>
      <c r="J780" s="92"/>
      <c r="K780" s="187"/>
      <c r="L780" s="92"/>
      <c r="M780" s="187"/>
      <c r="N780" s="92"/>
      <c r="O780" s="187"/>
      <c r="P780" s="92"/>
      <c r="Q780" s="187"/>
      <c r="R780" s="92"/>
      <c r="S780" s="187"/>
      <c r="T780" s="92"/>
      <c r="U780" s="187"/>
    </row>
    <row r="781" ht="15.75" customHeight="1">
      <c r="A781" s="92"/>
      <c r="B781" s="190"/>
      <c r="C781" s="92"/>
      <c r="D781" s="92"/>
      <c r="F781" s="92"/>
      <c r="G781" s="92"/>
      <c r="H781" s="187"/>
      <c r="I781" s="92"/>
      <c r="J781" s="92"/>
      <c r="K781" s="187"/>
      <c r="L781" s="92"/>
      <c r="M781" s="187"/>
      <c r="N781" s="92"/>
      <c r="O781" s="187"/>
      <c r="P781" s="92"/>
      <c r="Q781" s="187"/>
      <c r="R781" s="92"/>
      <c r="S781" s="187"/>
      <c r="T781" s="92"/>
      <c r="U781" s="187"/>
    </row>
    <row r="782" ht="15.75" customHeight="1">
      <c r="A782" s="92"/>
      <c r="B782" s="190"/>
      <c r="C782" s="92"/>
      <c r="D782" s="92"/>
      <c r="F782" s="92"/>
      <c r="G782" s="92"/>
      <c r="H782" s="187"/>
      <c r="I782" s="92"/>
      <c r="J782" s="92"/>
      <c r="K782" s="187"/>
      <c r="L782" s="92"/>
      <c r="M782" s="187"/>
      <c r="N782" s="92"/>
      <c r="O782" s="187"/>
      <c r="P782" s="92"/>
      <c r="Q782" s="187"/>
      <c r="R782" s="92"/>
      <c r="S782" s="187"/>
      <c r="T782" s="92"/>
      <c r="U782" s="187"/>
    </row>
    <row r="783" ht="15.75" customHeight="1">
      <c r="A783" s="92"/>
      <c r="B783" s="190"/>
      <c r="C783" s="92"/>
      <c r="D783" s="92"/>
      <c r="F783" s="92"/>
      <c r="G783" s="92"/>
      <c r="H783" s="187"/>
      <c r="I783" s="92"/>
      <c r="J783" s="92"/>
      <c r="K783" s="187"/>
      <c r="L783" s="92"/>
      <c r="M783" s="187"/>
      <c r="N783" s="92"/>
      <c r="O783" s="187"/>
      <c r="P783" s="92"/>
      <c r="Q783" s="187"/>
      <c r="R783" s="92"/>
      <c r="S783" s="187"/>
      <c r="T783" s="92"/>
      <c r="U783" s="187"/>
    </row>
    <row r="784" ht="15.75" customHeight="1">
      <c r="A784" s="92"/>
      <c r="B784" s="190"/>
      <c r="C784" s="92"/>
      <c r="D784" s="92"/>
      <c r="F784" s="92"/>
      <c r="G784" s="92"/>
      <c r="H784" s="187"/>
      <c r="I784" s="92"/>
      <c r="J784" s="92"/>
      <c r="K784" s="187"/>
      <c r="L784" s="92"/>
      <c r="M784" s="187"/>
      <c r="N784" s="92"/>
      <c r="O784" s="187"/>
      <c r="P784" s="92"/>
      <c r="Q784" s="187"/>
      <c r="R784" s="92"/>
      <c r="S784" s="187"/>
      <c r="T784" s="92"/>
      <c r="U784" s="187"/>
    </row>
    <row r="785" ht="15.75" customHeight="1">
      <c r="A785" s="92"/>
      <c r="B785" s="190"/>
      <c r="C785" s="92"/>
      <c r="D785" s="92"/>
      <c r="F785" s="92"/>
      <c r="G785" s="92"/>
      <c r="H785" s="187"/>
      <c r="I785" s="92"/>
      <c r="J785" s="92"/>
      <c r="K785" s="187"/>
      <c r="L785" s="92"/>
      <c r="M785" s="187"/>
      <c r="N785" s="92"/>
      <c r="O785" s="187"/>
      <c r="P785" s="92"/>
      <c r="Q785" s="187"/>
      <c r="R785" s="92"/>
      <c r="S785" s="187"/>
      <c r="T785" s="92"/>
      <c r="U785" s="187"/>
    </row>
    <row r="786" ht="15.75" customHeight="1">
      <c r="A786" s="92"/>
      <c r="B786" s="190"/>
      <c r="C786" s="92"/>
      <c r="D786" s="92"/>
      <c r="F786" s="92"/>
      <c r="G786" s="92"/>
      <c r="H786" s="187"/>
      <c r="I786" s="92"/>
      <c r="J786" s="92"/>
      <c r="K786" s="187"/>
      <c r="L786" s="92"/>
      <c r="M786" s="187"/>
      <c r="N786" s="92"/>
      <c r="O786" s="187"/>
      <c r="P786" s="92"/>
      <c r="Q786" s="187"/>
      <c r="R786" s="92"/>
      <c r="S786" s="187"/>
      <c r="T786" s="92"/>
      <c r="U786" s="187"/>
    </row>
    <row r="787" ht="15.75" customHeight="1">
      <c r="A787" s="92"/>
      <c r="B787" s="190"/>
      <c r="C787" s="92"/>
      <c r="D787" s="92"/>
      <c r="F787" s="92"/>
      <c r="G787" s="92"/>
      <c r="H787" s="187"/>
      <c r="I787" s="92"/>
      <c r="J787" s="92"/>
      <c r="K787" s="187"/>
      <c r="L787" s="92"/>
      <c r="M787" s="187"/>
      <c r="N787" s="92"/>
      <c r="O787" s="187"/>
      <c r="P787" s="92"/>
      <c r="Q787" s="187"/>
      <c r="R787" s="92"/>
      <c r="S787" s="187"/>
      <c r="T787" s="92"/>
      <c r="U787" s="187"/>
    </row>
    <row r="788" ht="15.75" customHeight="1">
      <c r="A788" s="92"/>
      <c r="B788" s="190"/>
      <c r="C788" s="92"/>
      <c r="D788" s="92"/>
      <c r="F788" s="92"/>
      <c r="G788" s="92"/>
      <c r="H788" s="187"/>
      <c r="I788" s="92"/>
      <c r="J788" s="92"/>
      <c r="K788" s="187"/>
      <c r="L788" s="92"/>
      <c r="M788" s="187"/>
      <c r="N788" s="92"/>
      <c r="O788" s="187"/>
      <c r="P788" s="92"/>
      <c r="Q788" s="187"/>
      <c r="R788" s="92"/>
      <c r="S788" s="187"/>
      <c r="T788" s="92"/>
      <c r="U788" s="187"/>
    </row>
    <row r="789" ht="15.75" customHeight="1">
      <c r="A789" s="92"/>
      <c r="B789" s="190"/>
      <c r="C789" s="92"/>
      <c r="D789" s="92"/>
      <c r="F789" s="92"/>
      <c r="G789" s="92"/>
      <c r="H789" s="187"/>
      <c r="I789" s="92"/>
      <c r="J789" s="92"/>
      <c r="K789" s="187"/>
      <c r="L789" s="92"/>
      <c r="M789" s="187"/>
      <c r="N789" s="92"/>
      <c r="O789" s="187"/>
      <c r="P789" s="92"/>
      <c r="Q789" s="187"/>
      <c r="R789" s="92"/>
      <c r="S789" s="187"/>
      <c r="T789" s="92"/>
      <c r="U789" s="187"/>
    </row>
    <row r="790" ht="15.75" customHeight="1">
      <c r="A790" s="92"/>
      <c r="B790" s="190"/>
      <c r="C790" s="92"/>
      <c r="D790" s="92"/>
      <c r="F790" s="92"/>
      <c r="G790" s="92"/>
      <c r="H790" s="187"/>
      <c r="I790" s="92"/>
      <c r="J790" s="92"/>
      <c r="K790" s="187"/>
      <c r="L790" s="92"/>
      <c r="M790" s="187"/>
      <c r="N790" s="92"/>
      <c r="O790" s="187"/>
      <c r="P790" s="92"/>
      <c r="Q790" s="187"/>
      <c r="R790" s="92"/>
      <c r="S790" s="187"/>
      <c r="T790" s="92"/>
      <c r="U790" s="187"/>
    </row>
    <row r="791" ht="15.75" customHeight="1">
      <c r="A791" s="92"/>
      <c r="B791" s="190"/>
      <c r="C791" s="92"/>
      <c r="D791" s="92"/>
      <c r="F791" s="92"/>
      <c r="G791" s="92"/>
      <c r="H791" s="187"/>
      <c r="I791" s="92"/>
      <c r="J791" s="92"/>
      <c r="K791" s="187"/>
      <c r="L791" s="92"/>
      <c r="M791" s="187"/>
      <c r="N791" s="92"/>
      <c r="O791" s="187"/>
      <c r="P791" s="92"/>
      <c r="Q791" s="187"/>
      <c r="R791" s="92"/>
      <c r="S791" s="187"/>
      <c r="T791" s="92"/>
      <c r="U791" s="187"/>
    </row>
    <row r="792" ht="15.75" customHeight="1">
      <c r="A792" s="92"/>
      <c r="B792" s="190"/>
      <c r="C792" s="92"/>
      <c r="D792" s="92"/>
      <c r="F792" s="92"/>
      <c r="G792" s="92"/>
      <c r="H792" s="187"/>
      <c r="I792" s="92"/>
      <c r="J792" s="92"/>
      <c r="K792" s="187"/>
      <c r="L792" s="92"/>
      <c r="M792" s="187"/>
      <c r="N792" s="92"/>
      <c r="O792" s="187"/>
      <c r="P792" s="92"/>
      <c r="Q792" s="187"/>
      <c r="R792" s="92"/>
      <c r="S792" s="187"/>
      <c r="T792" s="92"/>
      <c r="U792" s="187"/>
    </row>
    <row r="793" ht="15.75" customHeight="1">
      <c r="A793" s="92"/>
      <c r="B793" s="190"/>
      <c r="C793" s="92"/>
      <c r="D793" s="92"/>
      <c r="F793" s="92"/>
      <c r="G793" s="92"/>
      <c r="H793" s="187"/>
      <c r="I793" s="92"/>
      <c r="J793" s="92"/>
      <c r="K793" s="187"/>
      <c r="L793" s="92"/>
      <c r="M793" s="187"/>
      <c r="N793" s="92"/>
      <c r="O793" s="187"/>
      <c r="P793" s="92"/>
      <c r="Q793" s="187"/>
      <c r="R793" s="92"/>
      <c r="S793" s="187"/>
      <c r="T793" s="92"/>
      <c r="U793" s="187"/>
    </row>
    <row r="794" ht="15.75" customHeight="1">
      <c r="A794" s="92"/>
      <c r="B794" s="190"/>
      <c r="C794" s="92"/>
      <c r="D794" s="92"/>
      <c r="F794" s="92"/>
      <c r="G794" s="92"/>
      <c r="H794" s="187"/>
      <c r="I794" s="92"/>
      <c r="J794" s="92"/>
      <c r="K794" s="187"/>
      <c r="L794" s="92"/>
      <c r="M794" s="187"/>
      <c r="N794" s="92"/>
      <c r="O794" s="187"/>
      <c r="P794" s="92"/>
      <c r="Q794" s="187"/>
      <c r="R794" s="92"/>
      <c r="S794" s="187"/>
      <c r="T794" s="92"/>
      <c r="U794" s="187"/>
    </row>
    <row r="795" ht="15.75" customHeight="1">
      <c r="A795" s="92"/>
      <c r="B795" s="190"/>
      <c r="C795" s="92"/>
      <c r="D795" s="92"/>
      <c r="F795" s="92"/>
      <c r="G795" s="92"/>
      <c r="H795" s="187"/>
      <c r="I795" s="92"/>
      <c r="J795" s="92"/>
      <c r="K795" s="187"/>
      <c r="L795" s="92"/>
      <c r="M795" s="187"/>
      <c r="N795" s="92"/>
      <c r="O795" s="187"/>
      <c r="P795" s="92"/>
      <c r="Q795" s="187"/>
      <c r="R795" s="92"/>
      <c r="S795" s="187"/>
      <c r="T795" s="92"/>
      <c r="U795" s="187"/>
    </row>
    <row r="796" ht="15.75" customHeight="1">
      <c r="A796" s="92"/>
      <c r="B796" s="190"/>
      <c r="C796" s="92"/>
      <c r="D796" s="92"/>
      <c r="F796" s="92"/>
      <c r="G796" s="92"/>
      <c r="H796" s="187"/>
      <c r="I796" s="92"/>
      <c r="J796" s="92"/>
      <c r="K796" s="187"/>
      <c r="L796" s="92"/>
      <c r="M796" s="187"/>
      <c r="N796" s="92"/>
      <c r="O796" s="187"/>
      <c r="P796" s="92"/>
      <c r="Q796" s="187"/>
      <c r="R796" s="92"/>
      <c r="S796" s="187"/>
      <c r="T796" s="92"/>
      <c r="U796" s="187"/>
    </row>
    <row r="797" ht="15.75" customHeight="1">
      <c r="A797" s="92"/>
      <c r="B797" s="190"/>
      <c r="C797" s="92"/>
      <c r="D797" s="92"/>
      <c r="F797" s="92"/>
      <c r="G797" s="92"/>
      <c r="H797" s="187"/>
      <c r="I797" s="92"/>
      <c r="J797" s="92"/>
      <c r="K797" s="187"/>
      <c r="L797" s="92"/>
      <c r="M797" s="187"/>
      <c r="N797" s="92"/>
      <c r="O797" s="187"/>
      <c r="P797" s="92"/>
      <c r="Q797" s="187"/>
      <c r="R797" s="92"/>
      <c r="S797" s="187"/>
      <c r="T797" s="92"/>
      <c r="U797" s="187"/>
    </row>
    <row r="798" ht="15.75" customHeight="1">
      <c r="A798" s="92"/>
      <c r="B798" s="190"/>
      <c r="C798" s="92"/>
      <c r="D798" s="92"/>
      <c r="F798" s="92"/>
      <c r="G798" s="92"/>
      <c r="H798" s="187"/>
      <c r="I798" s="92"/>
      <c r="J798" s="92"/>
      <c r="K798" s="187"/>
      <c r="L798" s="92"/>
      <c r="M798" s="187"/>
      <c r="N798" s="92"/>
      <c r="O798" s="187"/>
      <c r="P798" s="92"/>
      <c r="Q798" s="187"/>
      <c r="R798" s="92"/>
      <c r="S798" s="187"/>
      <c r="T798" s="92"/>
      <c r="U798" s="187"/>
    </row>
    <row r="799" ht="15.75" customHeight="1">
      <c r="A799" s="92"/>
      <c r="B799" s="190"/>
      <c r="C799" s="92"/>
      <c r="D799" s="92"/>
      <c r="F799" s="92"/>
      <c r="G799" s="92"/>
      <c r="H799" s="187"/>
      <c r="I799" s="92"/>
      <c r="J799" s="92"/>
      <c r="K799" s="187"/>
      <c r="L799" s="92"/>
      <c r="M799" s="187"/>
      <c r="N799" s="92"/>
      <c r="O799" s="187"/>
      <c r="P799" s="92"/>
      <c r="Q799" s="187"/>
      <c r="R799" s="92"/>
      <c r="S799" s="187"/>
      <c r="T799" s="92"/>
      <c r="U799" s="187"/>
    </row>
    <row r="800" ht="15.75" customHeight="1">
      <c r="A800" s="92"/>
      <c r="B800" s="190"/>
      <c r="C800" s="92"/>
      <c r="D800" s="92"/>
      <c r="F800" s="92"/>
      <c r="G800" s="92"/>
      <c r="H800" s="187"/>
      <c r="I800" s="92"/>
      <c r="J800" s="92"/>
      <c r="K800" s="187"/>
      <c r="L800" s="92"/>
      <c r="M800" s="187"/>
      <c r="N800" s="92"/>
      <c r="O800" s="187"/>
      <c r="P800" s="92"/>
      <c r="Q800" s="187"/>
      <c r="R800" s="92"/>
      <c r="S800" s="187"/>
      <c r="T800" s="92"/>
      <c r="U800" s="187"/>
    </row>
    <row r="801" ht="15.75" customHeight="1">
      <c r="A801" s="92"/>
      <c r="B801" s="190"/>
      <c r="C801" s="92"/>
      <c r="D801" s="92"/>
      <c r="F801" s="92"/>
      <c r="G801" s="92"/>
      <c r="H801" s="187"/>
      <c r="I801" s="92"/>
      <c r="J801" s="92"/>
      <c r="K801" s="187"/>
      <c r="L801" s="92"/>
      <c r="M801" s="187"/>
      <c r="N801" s="92"/>
      <c r="O801" s="187"/>
      <c r="P801" s="92"/>
      <c r="Q801" s="187"/>
      <c r="R801" s="92"/>
      <c r="S801" s="187"/>
      <c r="T801" s="92"/>
      <c r="U801" s="187"/>
    </row>
    <row r="802" ht="15.75" customHeight="1">
      <c r="A802" s="92"/>
      <c r="B802" s="190"/>
      <c r="C802" s="92"/>
      <c r="D802" s="92"/>
      <c r="F802" s="92"/>
      <c r="G802" s="92"/>
      <c r="H802" s="187"/>
      <c r="I802" s="92"/>
      <c r="J802" s="92"/>
      <c r="K802" s="187"/>
      <c r="L802" s="92"/>
      <c r="M802" s="187"/>
      <c r="N802" s="92"/>
      <c r="O802" s="187"/>
      <c r="P802" s="92"/>
      <c r="Q802" s="187"/>
      <c r="R802" s="92"/>
      <c r="S802" s="187"/>
      <c r="T802" s="92"/>
      <c r="U802" s="187"/>
    </row>
    <row r="803" ht="15.75" customHeight="1">
      <c r="A803" s="92"/>
      <c r="B803" s="190"/>
      <c r="C803" s="92"/>
      <c r="D803" s="92"/>
      <c r="F803" s="92"/>
      <c r="G803" s="92"/>
      <c r="H803" s="187"/>
      <c r="I803" s="92"/>
      <c r="J803" s="92"/>
      <c r="K803" s="187"/>
      <c r="L803" s="92"/>
      <c r="M803" s="187"/>
      <c r="N803" s="92"/>
      <c r="O803" s="187"/>
      <c r="P803" s="92"/>
      <c r="Q803" s="187"/>
      <c r="R803" s="92"/>
      <c r="S803" s="187"/>
      <c r="T803" s="92"/>
      <c r="U803" s="187"/>
    </row>
    <row r="804" ht="15.75" customHeight="1">
      <c r="A804" s="92"/>
      <c r="B804" s="190"/>
      <c r="C804" s="92"/>
      <c r="D804" s="92"/>
      <c r="F804" s="92"/>
      <c r="G804" s="92"/>
      <c r="H804" s="187"/>
      <c r="I804" s="92"/>
      <c r="J804" s="92"/>
      <c r="K804" s="187"/>
      <c r="L804" s="92"/>
      <c r="M804" s="187"/>
      <c r="N804" s="92"/>
      <c r="O804" s="187"/>
      <c r="P804" s="92"/>
      <c r="Q804" s="187"/>
      <c r="R804" s="92"/>
      <c r="S804" s="187"/>
      <c r="T804" s="92"/>
      <c r="U804" s="187"/>
    </row>
    <row r="805" ht="15.75" customHeight="1">
      <c r="A805" s="92"/>
      <c r="B805" s="190"/>
      <c r="C805" s="92"/>
      <c r="D805" s="92"/>
      <c r="F805" s="92"/>
      <c r="G805" s="92"/>
      <c r="H805" s="187"/>
      <c r="I805" s="92"/>
      <c r="J805" s="92"/>
      <c r="K805" s="187"/>
      <c r="L805" s="92"/>
      <c r="M805" s="187"/>
      <c r="N805" s="92"/>
      <c r="O805" s="187"/>
      <c r="P805" s="92"/>
      <c r="Q805" s="187"/>
      <c r="R805" s="92"/>
      <c r="S805" s="187"/>
      <c r="T805" s="92"/>
      <c r="U805" s="187"/>
    </row>
    <row r="806" ht="15.75" customHeight="1">
      <c r="A806" s="92"/>
      <c r="B806" s="190"/>
      <c r="C806" s="92"/>
      <c r="D806" s="92"/>
      <c r="F806" s="92"/>
      <c r="G806" s="92"/>
      <c r="H806" s="187"/>
      <c r="I806" s="92"/>
      <c r="J806" s="92"/>
      <c r="K806" s="187"/>
      <c r="L806" s="92"/>
      <c r="M806" s="187"/>
      <c r="N806" s="92"/>
      <c r="O806" s="187"/>
      <c r="P806" s="92"/>
      <c r="Q806" s="187"/>
      <c r="R806" s="92"/>
      <c r="S806" s="187"/>
      <c r="T806" s="92"/>
      <c r="U806" s="187"/>
    </row>
    <row r="807" ht="15.75" customHeight="1">
      <c r="A807" s="92"/>
      <c r="B807" s="190"/>
      <c r="C807" s="92"/>
      <c r="D807" s="92"/>
      <c r="F807" s="92"/>
      <c r="G807" s="92"/>
      <c r="H807" s="187"/>
      <c r="I807" s="92"/>
      <c r="J807" s="92"/>
      <c r="K807" s="187"/>
      <c r="L807" s="92"/>
      <c r="M807" s="187"/>
      <c r="N807" s="92"/>
      <c r="O807" s="187"/>
      <c r="P807" s="92"/>
      <c r="Q807" s="187"/>
      <c r="R807" s="92"/>
      <c r="S807" s="187"/>
      <c r="T807" s="92"/>
      <c r="U807" s="187"/>
    </row>
    <row r="808" ht="15.75" customHeight="1">
      <c r="A808" s="92"/>
      <c r="B808" s="190"/>
      <c r="C808" s="92"/>
      <c r="D808" s="92"/>
      <c r="F808" s="92"/>
      <c r="G808" s="92"/>
      <c r="H808" s="187"/>
      <c r="I808" s="92"/>
      <c r="J808" s="92"/>
      <c r="K808" s="187"/>
      <c r="L808" s="92"/>
      <c r="M808" s="187"/>
      <c r="N808" s="92"/>
      <c r="O808" s="187"/>
      <c r="P808" s="92"/>
      <c r="Q808" s="187"/>
      <c r="R808" s="92"/>
      <c r="S808" s="187"/>
      <c r="T808" s="92"/>
      <c r="U808" s="187"/>
    </row>
    <row r="809" ht="15.75" customHeight="1">
      <c r="A809" s="92"/>
      <c r="B809" s="190"/>
      <c r="C809" s="92"/>
      <c r="D809" s="92"/>
      <c r="F809" s="92"/>
      <c r="G809" s="92"/>
      <c r="H809" s="187"/>
      <c r="I809" s="92"/>
      <c r="J809" s="92"/>
      <c r="K809" s="187"/>
      <c r="L809" s="92"/>
      <c r="M809" s="187"/>
      <c r="N809" s="92"/>
      <c r="O809" s="187"/>
      <c r="P809" s="92"/>
      <c r="Q809" s="187"/>
      <c r="R809" s="92"/>
      <c r="S809" s="187"/>
      <c r="T809" s="92"/>
      <c r="U809" s="187"/>
    </row>
    <row r="810" ht="15.75" customHeight="1">
      <c r="A810" s="92"/>
      <c r="B810" s="190"/>
      <c r="C810" s="92"/>
      <c r="D810" s="92"/>
      <c r="F810" s="92"/>
      <c r="G810" s="92"/>
      <c r="H810" s="187"/>
      <c r="I810" s="92"/>
      <c r="J810" s="92"/>
      <c r="K810" s="187"/>
      <c r="L810" s="92"/>
      <c r="M810" s="187"/>
      <c r="N810" s="92"/>
      <c r="O810" s="187"/>
      <c r="P810" s="92"/>
      <c r="Q810" s="187"/>
      <c r="R810" s="92"/>
      <c r="S810" s="187"/>
      <c r="T810" s="92"/>
      <c r="U810" s="187"/>
    </row>
    <row r="811" ht="15.75" customHeight="1">
      <c r="A811" s="92"/>
      <c r="B811" s="190"/>
      <c r="C811" s="92"/>
      <c r="D811" s="92"/>
      <c r="F811" s="92"/>
      <c r="G811" s="92"/>
      <c r="H811" s="187"/>
      <c r="I811" s="92"/>
      <c r="J811" s="92"/>
      <c r="K811" s="187"/>
      <c r="L811" s="92"/>
      <c r="M811" s="187"/>
      <c r="N811" s="92"/>
      <c r="O811" s="187"/>
      <c r="P811" s="92"/>
      <c r="Q811" s="187"/>
      <c r="R811" s="92"/>
      <c r="S811" s="187"/>
      <c r="T811" s="92"/>
      <c r="U811" s="187"/>
    </row>
    <row r="812" ht="15.75" customHeight="1">
      <c r="A812" s="92"/>
      <c r="B812" s="190"/>
      <c r="C812" s="92"/>
      <c r="D812" s="92"/>
      <c r="F812" s="92"/>
      <c r="G812" s="92"/>
      <c r="H812" s="187"/>
      <c r="I812" s="92"/>
      <c r="J812" s="92"/>
      <c r="K812" s="187"/>
      <c r="L812" s="92"/>
      <c r="M812" s="187"/>
      <c r="N812" s="92"/>
      <c r="O812" s="187"/>
      <c r="P812" s="92"/>
      <c r="Q812" s="187"/>
      <c r="R812" s="92"/>
      <c r="S812" s="187"/>
      <c r="T812" s="92"/>
      <c r="U812" s="187"/>
    </row>
    <row r="813" ht="15.75" customHeight="1">
      <c r="A813" s="92"/>
      <c r="B813" s="190"/>
      <c r="C813" s="92"/>
      <c r="D813" s="92"/>
      <c r="F813" s="92"/>
      <c r="G813" s="92"/>
      <c r="H813" s="187"/>
      <c r="I813" s="92"/>
      <c r="J813" s="92"/>
      <c r="K813" s="187"/>
      <c r="L813" s="92"/>
      <c r="M813" s="187"/>
      <c r="N813" s="92"/>
      <c r="O813" s="187"/>
      <c r="P813" s="92"/>
      <c r="Q813" s="187"/>
      <c r="R813" s="92"/>
      <c r="S813" s="187"/>
      <c r="T813" s="92"/>
      <c r="U813" s="187"/>
    </row>
    <row r="814" ht="15.75" customHeight="1">
      <c r="A814" s="92"/>
      <c r="B814" s="190"/>
      <c r="C814" s="92"/>
      <c r="D814" s="92"/>
      <c r="F814" s="92"/>
      <c r="G814" s="92"/>
      <c r="H814" s="187"/>
      <c r="I814" s="92"/>
      <c r="J814" s="92"/>
      <c r="K814" s="187"/>
      <c r="L814" s="92"/>
      <c r="M814" s="187"/>
      <c r="N814" s="92"/>
      <c r="O814" s="187"/>
      <c r="P814" s="92"/>
      <c r="Q814" s="187"/>
      <c r="R814" s="92"/>
      <c r="S814" s="187"/>
      <c r="T814" s="92"/>
      <c r="U814" s="187"/>
    </row>
    <row r="815" ht="15.75" customHeight="1">
      <c r="A815" s="92"/>
      <c r="B815" s="190"/>
      <c r="C815" s="92"/>
      <c r="D815" s="92"/>
      <c r="F815" s="92"/>
      <c r="G815" s="92"/>
      <c r="H815" s="187"/>
      <c r="I815" s="92"/>
      <c r="J815" s="92"/>
      <c r="K815" s="187"/>
      <c r="L815" s="92"/>
      <c r="M815" s="187"/>
      <c r="N815" s="92"/>
      <c r="O815" s="187"/>
      <c r="P815" s="92"/>
      <c r="Q815" s="187"/>
      <c r="R815" s="92"/>
      <c r="S815" s="187"/>
      <c r="T815" s="92"/>
      <c r="U815" s="187"/>
    </row>
    <row r="816" ht="15.75" customHeight="1">
      <c r="A816" s="92"/>
      <c r="B816" s="190"/>
      <c r="C816" s="92"/>
      <c r="D816" s="92"/>
      <c r="F816" s="92"/>
      <c r="G816" s="92"/>
      <c r="H816" s="187"/>
      <c r="I816" s="92"/>
      <c r="J816" s="92"/>
      <c r="K816" s="187"/>
      <c r="L816" s="92"/>
      <c r="M816" s="187"/>
      <c r="N816" s="92"/>
      <c r="O816" s="187"/>
      <c r="P816" s="92"/>
      <c r="Q816" s="187"/>
      <c r="R816" s="92"/>
      <c r="S816" s="187"/>
      <c r="T816" s="92"/>
      <c r="U816" s="187"/>
    </row>
    <row r="817" ht="15.75" customHeight="1">
      <c r="A817" s="92"/>
      <c r="B817" s="190"/>
      <c r="C817" s="92"/>
      <c r="D817" s="92"/>
      <c r="F817" s="92"/>
      <c r="G817" s="92"/>
      <c r="H817" s="187"/>
      <c r="I817" s="92"/>
      <c r="J817" s="92"/>
      <c r="K817" s="187"/>
      <c r="L817" s="92"/>
      <c r="M817" s="187"/>
      <c r="N817" s="92"/>
      <c r="O817" s="187"/>
      <c r="P817" s="92"/>
      <c r="Q817" s="187"/>
      <c r="R817" s="92"/>
      <c r="S817" s="187"/>
      <c r="T817" s="92"/>
      <c r="U817" s="187"/>
    </row>
    <row r="818" ht="15.75" customHeight="1">
      <c r="A818" s="92"/>
      <c r="B818" s="190"/>
      <c r="C818" s="92"/>
      <c r="D818" s="92"/>
      <c r="F818" s="92"/>
      <c r="G818" s="92"/>
      <c r="H818" s="187"/>
      <c r="I818" s="92"/>
      <c r="J818" s="92"/>
      <c r="K818" s="187"/>
      <c r="L818" s="92"/>
      <c r="M818" s="187"/>
      <c r="N818" s="92"/>
      <c r="O818" s="187"/>
      <c r="P818" s="92"/>
      <c r="Q818" s="187"/>
      <c r="R818" s="92"/>
      <c r="S818" s="187"/>
      <c r="T818" s="92"/>
      <c r="U818" s="187"/>
    </row>
    <row r="819" ht="15.75" customHeight="1">
      <c r="A819" s="92"/>
      <c r="B819" s="190"/>
      <c r="C819" s="92"/>
      <c r="D819" s="92"/>
      <c r="F819" s="92"/>
      <c r="G819" s="92"/>
      <c r="H819" s="187"/>
      <c r="I819" s="92"/>
      <c r="J819" s="92"/>
      <c r="K819" s="187"/>
      <c r="L819" s="92"/>
      <c r="M819" s="187"/>
      <c r="N819" s="92"/>
      <c r="O819" s="187"/>
      <c r="P819" s="92"/>
      <c r="Q819" s="187"/>
      <c r="R819" s="92"/>
      <c r="S819" s="187"/>
      <c r="T819" s="92"/>
      <c r="U819" s="187"/>
    </row>
    <row r="820" ht="15.75" customHeight="1">
      <c r="A820" s="92"/>
      <c r="B820" s="190"/>
      <c r="C820" s="92"/>
      <c r="D820" s="92"/>
      <c r="F820" s="92"/>
      <c r="G820" s="92"/>
      <c r="H820" s="187"/>
      <c r="I820" s="92"/>
      <c r="J820" s="92"/>
      <c r="K820" s="187"/>
      <c r="L820" s="92"/>
      <c r="M820" s="187"/>
      <c r="N820" s="92"/>
      <c r="O820" s="187"/>
      <c r="P820" s="92"/>
      <c r="Q820" s="187"/>
      <c r="R820" s="92"/>
      <c r="S820" s="187"/>
      <c r="T820" s="92"/>
      <c r="U820" s="187"/>
    </row>
    <row r="821" ht="15.75" customHeight="1">
      <c r="A821" s="92"/>
      <c r="B821" s="190"/>
      <c r="C821" s="92"/>
      <c r="D821" s="92"/>
      <c r="F821" s="92"/>
      <c r="G821" s="92"/>
      <c r="H821" s="187"/>
      <c r="I821" s="92"/>
      <c r="J821" s="92"/>
      <c r="K821" s="187"/>
      <c r="L821" s="92"/>
      <c r="M821" s="187"/>
      <c r="N821" s="92"/>
      <c r="O821" s="187"/>
      <c r="P821" s="92"/>
      <c r="Q821" s="187"/>
      <c r="R821" s="92"/>
      <c r="S821" s="187"/>
      <c r="T821" s="92"/>
      <c r="U821" s="187"/>
    </row>
    <row r="822" ht="15.75" customHeight="1">
      <c r="A822" s="92"/>
      <c r="B822" s="190"/>
      <c r="C822" s="92"/>
      <c r="D822" s="92"/>
      <c r="F822" s="92"/>
      <c r="G822" s="92"/>
      <c r="H822" s="187"/>
      <c r="I822" s="92"/>
      <c r="J822" s="92"/>
      <c r="K822" s="187"/>
      <c r="L822" s="92"/>
      <c r="M822" s="187"/>
      <c r="N822" s="92"/>
      <c r="O822" s="187"/>
      <c r="P822" s="92"/>
      <c r="Q822" s="187"/>
      <c r="R822" s="92"/>
      <c r="S822" s="187"/>
      <c r="T822" s="92"/>
      <c r="U822" s="187"/>
    </row>
    <row r="823" ht="15.75" customHeight="1">
      <c r="A823" s="92"/>
      <c r="B823" s="190"/>
      <c r="C823" s="92"/>
      <c r="D823" s="92"/>
      <c r="F823" s="92"/>
      <c r="G823" s="92"/>
      <c r="H823" s="187"/>
      <c r="I823" s="92"/>
      <c r="J823" s="92"/>
      <c r="K823" s="187"/>
      <c r="L823" s="92"/>
      <c r="M823" s="187"/>
      <c r="N823" s="92"/>
      <c r="O823" s="187"/>
      <c r="P823" s="92"/>
      <c r="Q823" s="187"/>
      <c r="R823" s="92"/>
      <c r="S823" s="187"/>
      <c r="T823" s="92"/>
      <c r="U823" s="187"/>
    </row>
    <row r="824" ht="15.75" customHeight="1">
      <c r="A824" s="92"/>
      <c r="B824" s="190"/>
      <c r="C824" s="92"/>
      <c r="D824" s="92"/>
      <c r="F824" s="92"/>
      <c r="G824" s="92"/>
      <c r="H824" s="187"/>
      <c r="I824" s="92"/>
      <c r="J824" s="92"/>
      <c r="K824" s="187"/>
      <c r="L824" s="92"/>
      <c r="M824" s="187"/>
      <c r="N824" s="92"/>
      <c r="O824" s="187"/>
      <c r="P824" s="92"/>
      <c r="Q824" s="187"/>
      <c r="R824" s="92"/>
      <c r="S824" s="187"/>
      <c r="T824" s="92"/>
      <c r="U824" s="187"/>
    </row>
    <row r="825" ht="15.75" customHeight="1">
      <c r="A825" s="92"/>
      <c r="B825" s="190"/>
      <c r="C825" s="92"/>
      <c r="D825" s="92"/>
      <c r="F825" s="92"/>
      <c r="G825" s="92"/>
      <c r="H825" s="187"/>
      <c r="I825" s="92"/>
      <c r="J825" s="92"/>
      <c r="K825" s="187"/>
      <c r="L825" s="92"/>
      <c r="M825" s="187"/>
      <c r="N825" s="92"/>
      <c r="O825" s="187"/>
      <c r="P825" s="92"/>
      <c r="Q825" s="187"/>
      <c r="R825" s="92"/>
      <c r="S825" s="187"/>
      <c r="T825" s="92"/>
      <c r="U825" s="187"/>
    </row>
    <row r="826" ht="15.75" customHeight="1">
      <c r="A826" s="92"/>
      <c r="B826" s="190"/>
      <c r="C826" s="92"/>
      <c r="D826" s="92"/>
      <c r="F826" s="92"/>
      <c r="G826" s="92"/>
      <c r="H826" s="187"/>
      <c r="I826" s="92"/>
      <c r="J826" s="92"/>
      <c r="K826" s="187"/>
      <c r="L826" s="92"/>
      <c r="M826" s="187"/>
      <c r="N826" s="92"/>
      <c r="O826" s="187"/>
      <c r="P826" s="92"/>
      <c r="Q826" s="187"/>
      <c r="R826" s="92"/>
      <c r="S826" s="187"/>
      <c r="T826" s="92"/>
      <c r="U826" s="187"/>
    </row>
    <row r="827" ht="15.75" customHeight="1">
      <c r="A827" s="92"/>
      <c r="B827" s="190"/>
      <c r="C827" s="92"/>
      <c r="D827" s="92"/>
      <c r="F827" s="92"/>
      <c r="G827" s="92"/>
      <c r="H827" s="187"/>
      <c r="I827" s="92"/>
      <c r="J827" s="92"/>
      <c r="K827" s="187"/>
      <c r="L827" s="92"/>
      <c r="M827" s="187"/>
      <c r="N827" s="92"/>
      <c r="O827" s="187"/>
      <c r="P827" s="92"/>
      <c r="Q827" s="187"/>
      <c r="R827" s="92"/>
      <c r="S827" s="187"/>
      <c r="T827" s="92"/>
      <c r="U827" s="187"/>
    </row>
    <row r="828" ht="15.75" customHeight="1">
      <c r="A828" s="92"/>
      <c r="B828" s="190"/>
      <c r="C828" s="92"/>
      <c r="D828" s="92"/>
      <c r="F828" s="92"/>
      <c r="G828" s="92"/>
      <c r="H828" s="187"/>
      <c r="I828" s="92"/>
      <c r="J828" s="92"/>
      <c r="K828" s="187"/>
      <c r="L828" s="92"/>
      <c r="M828" s="187"/>
      <c r="N828" s="92"/>
      <c r="O828" s="187"/>
      <c r="P828" s="92"/>
      <c r="Q828" s="187"/>
      <c r="R828" s="92"/>
      <c r="S828" s="187"/>
      <c r="T828" s="92"/>
      <c r="U828" s="187"/>
    </row>
    <row r="829" ht="15.75" customHeight="1">
      <c r="A829" s="92"/>
      <c r="B829" s="190"/>
      <c r="C829" s="92"/>
      <c r="D829" s="92"/>
      <c r="F829" s="92"/>
      <c r="G829" s="92"/>
      <c r="H829" s="187"/>
      <c r="I829" s="92"/>
      <c r="J829" s="92"/>
      <c r="K829" s="187"/>
      <c r="L829" s="92"/>
      <c r="M829" s="187"/>
      <c r="N829" s="92"/>
      <c r="O829" s="187"/>
      <c r="P829" s="92"/>
      <c r="Q829" s="187"/>
      <c r="R829" s="92"/>
      <c r="S829" s="187"/>
      <c r="T829" s="92"/>
      <c r="U829" s="187"/>
    </row>
    <row r="830" ht="15.75" customHeight="1">
      <c r="A830" s="92"/>
      <c r="B830" s="190"/>
      <c r="C830" s="92"/>
      <c r="D830" s="92"/>
      <c r="F830" s="92"/>
      <c r="G830" s="92"/>
      <c r="H830" s="187"/>
      <c r="I830" s="92"/>
      <c r="J830" s="92"/>
      <c r="K830" s="187"/>
      <c r="L830" s="92"/>
      <c r="M830" s="187"/>
      <c r="N830" s="92"/>
      <c r="O830" s="187"/>
      <c r="P830" s="92"/>
      <c r="Q830" s="187"/>
      <c r="R830" s="92"/>
      <c r="S830" s="187"/>
      <c r="T830" s="92"/>
      <c r="U830" s="187"/>
    </row>
    <row r="831" ht="15.75" customHeight="1">
      <c r="A831" s="92"/>
      <c r="B831" s="190"/>
      <c r="C831" s="92"/>
      <c r="D831" s="92"/>
      <c r="F831" s="92"/>
      <c r="G831" s="92"/>
      <c r="H831" s="187"/>
      <c r="I831" s="92"/>
      <c r="J831" s="92"/>
      <c r="K831" s="187"/>
      <c r="L831" s="92"/>
      <c r="M831" s="187"/>
      <c r="N831" s="92"/>
      <c r="O831" s="187"/>
      <c r="P831" s="92"/>
      <c r="Q831" s="187"/>
      <c r="R831" s="92"/>
      <c r="S831" s="187"/>
      <c r="T831" s="92"/>
      <c r="U831" s="187"/>
    </row>
    <row r="832" ht="15.75" customHeight="1">
      <c r="A832" s="92"/>
      <c r="B832" s="190"/>
      <c r="C832" s="92"/>
      <c r="D832" s="92"/>
      <c r="F832" s="92"/>
      <c r="G832" s="92"/>
      <c r="H832" s="187"/>
      <c r="I832" s="92"/>
      <c r="J832" s="92"/>
      <c r="K832" s="187"/>
      <c r="L832" s="92"/>
      <c r="M832" s="187"/>
      <c r="N832" s="92"/>
      <c r="O832" s="187"/>
      <c r="P832" s="92"/>
      <c r="Q832" s="187"/>
      <c r="R832" s="92"/>
      <c r="S832" s="187"/>
      <c r="T832" s="92"/>
      <c r="U832" s="187"/>
    </row>
    <row r="833" ht="15.75" customHeight="1">
      <c r="A833" s="92"/>
      <c r="B833" s="190"/>
      <c r="C833" s="92"/>
      <c r="D833" s="92"/>
      <c r="F833" s="92"/>
      <c r="G833" s="92"/>
      <c r="H833" s="187"/>
      <c r="I833" s="92"/>
      <c r="J833" s="92"/>
      <c r="K833" s="187"/>
      <c r="L833" s="92"/>
      <c r="M833" s="187"/>
      <c r="N833" s="92"/>
      <c r="O833" s="187"/>
      <c r="P833" s="92"/>
      <c r="Q833" s="187"/>
      <c r="R833" s="92"/>
      <c r="S833" s="187"/>
      <c r="T833" s="92"/>
      <c r="U833" s="187"/>
    </row>
    <row r="834" ht="15.75" customHeight="1">
      <c r="A834" s="92"/>
      <c r="B834" s="190"/>
      <c r="C834" s="92"/>
      <c r="D834" s="92"/>
      <c r="F834" s="92"/>
      <c r="G834" s="92"/>
      <c r="H834" s="187"/>
      <c r="I834" s="92"/>
      <c r="J834" s="92"/>
      <c r="K834" s="187"/>
      <c r="L834" s="92"/>
      <c r="M834" s="187"/>
      <c r="N834" s="92"/>
      <c r="O834" s="187"/>
      <c r="P834" s="92"/>
      <c r="Q834" s="187"/>
      <c r="R834" s="92"/>
      <c r="S834" s="187"/>
      <c r="T834" s="92"/>
      <c r="U834" s="187"/>
    </row>
    <row r="835" ht="15.75" customHeight="1">
      <c r="A835" s="92"/>
      <c r="B835" s="190"/>
      <c r="C835" s="92"/>
      <c r="D835" s="92"/>
      <c r="F835" s="92"/>
      <c r="G835" s="92"/>
      <c r="H835" s="187"/>
      <c r="I835" s="92"/>
      <c r="J835" s="92"/>
      <c r="K835" s="187"/>
      <c r="L835" s="92"/>
      <c r="M835" s="187"/>
      <c r="N835" s="92"/>
      <c r="O835" s="187"/>
      <c r="P835" s="92"/>
      <c r="Q835" s="187"/>
      <c r="R835" s="92"/>
      <c r="S835" s="187"/>
      <c r="T835" s="92"/>
      <c r="U835" s="187"/>
    </row>
    <row r="836" ht="15.75" customHeight="1">
      <c r="A836" s="92"/>
      <c r="B836" s="190"/>
      <c r="C836" s="92"/>
      <c r="D836" s="92"/>
      <c r="F836" s="92"/>
      <c r="G836" s="92"/>
      <c r="H836" s="187"/>
      <c r="I836" s="92"/>
      <c r="J836" s="92"/>
      <c r="K836" s="187"/>
      <c r="L836" s="92"/>
      <c r="M836" s="187"/>
      <c r="N836" s="92"/>
      <c r="O836" s="187"/>
      <c r="P836" s="92"/>
      <c r="Q836" s="187"/>
      <c r="R836" s="92"/>
      <c r="S836" s="187"/>
      <c r="T836" s="92"/>
      <c r="U836" s="187"/>
    </row>
    <row r="837" ht="15.75" customHeight="1">
      <c r="A837" s="92"/>
      <c r="B837" s="190"/>
      <c r="C837" s="92"/>
      <c r="D837" s="92"/>
      <c r="F837" s="92"/>
      <c r="G837" s="92"/>
      <c r="H837" s="187"/>
      <c r="I837" s="92"/>
      <c r="J837" s="92"/>
      <c r="K837" s="187"/>
      <c r="L837" s="92"/>
      <c r="M837" s="187"/>
      <c r="N837" s="92"/>
      <c r="O837" s="187"/>
      <c r="P837" s="92"/>
      <c r="Q837" s="187"/>
      <c r="R837" s="92"/>
      <c r="S837" s="187"/>
      <c r="T837" s="92"/>
      <c r="U837" s="187"/>
    </row>
    <row r="838" ht="15.75" customHeight="1">
      <c r="A838" s="92"/>
      <c r="B838" s="190"/>
      <c r="C838" s="92"/>
      <c r="D838" s="92"/>
      <c r="F838" s="92"/>
      <c r="G838" s="92"/>
      <c r="H838" s="187"/>
      <c r="I838" s="92"/>
      <c r="J838" s="92"/>
      <c r="K838" s="187"/>
      <c r="L838" s="92"/>
      <c r="M838" s="187"/>
      <c r="N838" s="92"/>
      <c r="O838" s="187"/>
      <c r="P838" s="92"/>
      <c r="Q838" s="187"/>
      <c r="R838" s="92"/>
      <c r="S838" s="187"/>
      <c r="T838" s="92"/>
      <c r="U838" s="187"/>
    </row>
    <row r="839" ht="15.75" customHeight="1">
      <c r="A839" s="92"/>
      <c r="B839" s="190"/>
      <c r="C839" s="92"/>
      <c r="D839" s="92"/>
      <c r="F839" s="92"/>
      <c r="G839" s="92"/>
      <c r="H839" s="187"/>
      <c r="I839" s="92"/>
      <c r="J839" s="92"/>
      <c r="K839" s="187"/>
      <c r="L839" s="92"/>
      <c r="M839" s="187"/>
      <c r="N839" s="92"/>
      <c r="O839" s="187"/>
      <c r="P839" s="92"/>
      <c r="Q839" s="187"/>
      <c r="R839" s="92"/>
      <c r="S839" s="187"/>
      <c r="T839" s="92"/>
      <c r="U839" s="187"/>
    </row>
    <row r="840" ht="15.75" customHeight="1">
      <c r="A840" s="92"/>
      <c r="B840" s="190"/>
      <c r="C840" s="92"/>
      <c r="D840" s="92"/>
      <c r="F840" s="92"/>
      <c r="G840" s="92"/>
      <c r="H840" s="187"/>
      <c r="I840" s="92"/>
      <c r="J840" s="92"/>
      <c r="K840" s="187"/>
      <c r="L840" s="92"/>
      <c r="M840" s="187"/>
      <c r="N840" s="92"/>
      <c r="O840" s="187"/>
      <c r="P840" s="92"/>
      <c r="Q840" s="187"/>
      <c r="R840" s="92"/>
      <c r="S840" s="187"/>
      <c r="T840" s="92"/>
      <c r="U840" s="187"/>
    </row>
    <row r="841" ht="15.75" customHeight="1">
      <c r="A841" s="92"/>
      <c r="B841" s="190"/>
      <c r="C841" s="92"/>
      <c r="D841" s="92"/>
      <c r="F841" s="92"/>
      <c r="G841" s="92"/>
      <c r="H841" s="187"/>
      <c r="I841" s="92"/>
      <c r="J841" s="92"/>
      <c r="K841" s="187"/>
      <c r="L841" s="92"/>
      <c r="M841" s="187"/>
      <c r="N841" s="92"/>
      <c r="O841" s="187"/>
      <c r="P841" s="92"/>
      <c r="Q841" s="187"/>
      <c r="R841" s="92"/>
      <c r="S841" s="187"/>
      <c r="T841" s="92"/>
      <c r="U841" s="187"/>
    </row>
    <row r="842" ht="15.75" customHeight="1">
      <c r="A842" s="92"/>
      <c r="B842" s="190"/>
      <c r="C842" s="92"/>
      <c r="D842" s="92"/>
      <c r="F842" s="92"/>
      <c r="G842" s="92"/>
      <c r="H842" s="187"/>
      <c r="I842" s="92"/>
      <c r="J842" s="92"/>
      <c r="K842" s="187"/>
      <c r="L842" s="92"/>
      <c r="M842" s="187"/>
      <c r="N842" s="92"/>
      <c r="O842" s="187"/>
      <c r="P842" s="92"/>
      <c r="Q842" s="187"/>
      <c r="R842" s="92"/>
      <c r="S842" s="187"/>
      <c r="T842" s="92"/>
      <c r="U842" s="187"/>
    </row>
    <row r="843" ht="15.75" customHeight="1">
      <c r="A843" s="92"/>
      <c r="B843" s="190"/>
      <c r="C843" s="92"/>
      <c r="D843" s="92"/>
      <c r="F843" s="92"/>
      <c r="G843" s="92"/>
      <c r="H843" s="187"/>
      <c r="I843" s="92"/>
      <c r="J843" s="92"/>
      <c r="K843" s="187"/>
      <c r="L843" s="92"/>
      <c r="M843" s="187"/>
      <c r="N843" s="92"/>
      <c r="O843" s="187"/>
      <c r="P843" s="92"/>
      <c r="Q843" s="187"/>
      <c r="R843" s="92"/>
      <c r="S843" s="187"/>
      <c r="T843" s="92"/>
      <c r="U843" s="187"/>
    </row>
    <row r="844" ht="15.75" customHeight="1">
      <c r="A844" s="92"/>
      <c r="B844" s="190"/>
      <c r="C844" s="92"/>
      <c r="D844" s="92"/>
      <c r="F844" s="92"/>
      <c r="G844" s="92"/>
      <c r="H844" s="187"/>
      <c r="I844" s="92"/>
      <c r="J844" s="92"/>
      <c r="K844" s="187"/>
      <c r="L844" s="92"/>
      <c r="M844" s="187"/>
      <c r="N844" s="92"/>
      <c r="O844" s="187"/>
      <c r="P844" s="92"/>
      <c r="Q844" s="187"/>
      <c r="R844" s="92"/>
      <c r="S844" s="187"/>
      <c r="T844" s="92"/>
      <c r="U844" s="187"/>
    </row>
    <row r="845" ht="15.75" customHeight="1">
      <c r="A845" s="92"/>
      <c r="B845" s="190"/>
      <c r="C845" s="92"/>
      <c r="D845" s="92"/>
      <c r="F845" s="92"/>
      <c r="G845" s="92"/>
      <c r="H845" s="187"/>
      <c r="I845" s="92"/>
      <c r="J845" s="92"/>
      <c r="K845" s="187"/>
      <c r="L845" s="92"/>
      <c r="M845" s="187"/>
      <c r="N845" s="92"/>
      <c r="O845" s="187"/>
      <c r="P845" s="92"/>
      <c r="Q845" s="187"/>
      <c r="R845" s="92"/>
      <c r="S845" s="187"/>
      <c r="T845" s="92"/>
      <c r="U845" s="187"/>
    </row>
    <row r="846" ht="15.75" customHeight="1">
      <c r="A846" s="92"/>
      <c r="B846" s="190"/>
      <c r="C846" s="92"/>
      <c r="D846" s="92"/>
      <c r="F846" s="92"/>
      <c r="G846" s="92"/>
      <c r="H846" s="187"/>
      <c r="I846" s="92"/>
      <c r="J846" s="92"/>
      <c r="K846" s="187"/>
      <c r="L846" s="92"/>
      <c r="M846" s="187"/>
      <c r="N846" s="92"/>
      <c r="O846" s="187"/>
      <c r="P846" s="92"/>
      <c r="Q846" s="187"/>
      <c r="R846" s="92"/>
      <c r="S846" s="187"/>
      <c r="T846" s="92"/>
      <c r="U846" s="187"/>
    </row>
    <row r="847" ht="15.75" customHeight="1">
      <c r="A847" s="92"/>
      <c r="B847" s="190"/>
      <c r="C847" s="92"/>
      <c r="D847" s="92"/>
      <c r="F847" s="92"/>
      <c r="G847" s="92"/>
      <c r="H847" s="187"/>
      <c r="I847" s="92"/>
      <c r="J847" s="92"/>
      <c r="K847" s="187"/>
      <c r="L847" s="92"/>
      <c r="M847" s="187"/>
      <c r="N847" s="92"/>
      <c r="O847" s="187"/>
      <c r="P847" s="92"/>
      <c r="Q847" s="187"/>
      <c r="R847" s="92"/>
      <c r="S847" s="187"/>
      <c r="T847" s="92"/>
      <c r="U847" s="187"/>
    </row>
    <row r="848" ht="15.75" customHeight="1">
      <c r="A848" s="92"/>
      <c r="B848" s="190"/>
      <c r="C848" s="92"/>
      <c r="D848" s="92"/>
      <c r="F848" s="92"/>
      <c r="G848" s="92"/>
      <c r="H848" s="187"/>
      <c r="I848" s="92"/>
      <c r="J848" s="92"/>
      <c r="K848" s="187"/>
      <c r="L848" s="92"/>
      <c r="M848" s="187"/>
      <c r="N848" s="92"/>
      <c r="O848" s="187"/>
      <c r="P848" s="92"/>
      <c r="Q848" s="187"/>
      <c r="R848" s="92"/>
      <c r="S848" s="187"/>
      <c r="T848" s="92"/>
      <c r="U848" s="187"/>
    </row>
    <row r="849" ht="15.75" customHeight="1">
      <c r="A849" s="92"/>
      <c r="B849" s="190"/>
      <c r="C849" s="92"/>
      <c r="D849" s="92"/>
      <c r="F849" s="92"/>
      <c r="G849" s="92"/>
      <c r="H849" s="187"/>
      <c r="I849" s="92"/>
      <c r="J849" s="92"/>
      <c r="K849" s="187"/>
      <c r="L849" s="92"/>
      <c r="M849" s="187"/>
      <c r="N849" s="92"/>
      <c r="O849" s="187"/>
      <c r="P849" s="92"/>
      <c r="Q849" s="187"/>
      <c r="R849" s="92"/>
      <c r="S849" s="187"/>
      <c r="T849" s="92"/>
      <c r="U849" s="187"/>
    </row>
    <row r="850" ht="15.75" customHeight="1">
      <c r="A850" s="92"/>
      <c r="B850" s="190"/>
      <c r="C850" s="92"/>
      <c r="D850" s="92"/>
      <c r="F850" s="92"/>
      <c r="G850" s="92"/>
      <c r="H850" s="187"/>
      <c r="I850" s="92"/>
      <c r="J850" s="92"/>
      <c r="K850" s="187"/>
      <c r="L850" s="92"/>
      <c r="M850" s="187"/>
      <c r="N850" s="92"/>
      <c r="O850" s="187"/>
      <c r="P850" s="92"/>
      <c r="Q850" s="187"/>
      <c r="R850" s="92"/>
      <c r="S850" s="187"/>
      <c r="T850" s="92"/>
      <c r="U850" s="187"/>
    </row>
    <row r="851" ht="15.75" customHeight="1">
      <c r="A851" s="92"/>
      <c r="B851" s="190"/>
      <c r="C851" s="92"/>
      <c r="D851" s="92"/>
      <c r="F851" s="92"/>
      <c r="G851" s="92"/>
      <c r="H851" s="187"/>
      <c r="I851" s="92"/>
      <c r="J851" s="92"/>
      <c r="K851" s="187"/>
      <c r="L851" s="92"/>
      <c r="M851" s="187"/>
      <c r="N851" s="92"/>
      <c r="O851" s="187"/>
      <c r="P851" s="92"/>
      <c r="Q851" s="187"/>
      <c r="R851" s="92"/>
      <c r="S851" s="187"/>
      <c r="T851" s="92"/>
      <c r="U851" s="187"/>
    </row>
    <row r="852" ht="15.75" customHeight="1">
      <c r="A852" s="92"/>
      <c r="B852" s="190"/>
      <c r="C852" s="92"/>
      <c r="D852" s="92"/>
      <c r="F852" s="92"/>
      <c r="G852" s="92"/>
      <c r="H852" s="187"/>
      <c r="I852" s="92"/>
      <c r="J852" s="92"/>
      <c r="K852" s="187"/>
      <c r="L852" s="92"/>
      <c r="M852" s="187"/>
      <c r="N852" s="92"/>
      <c r="O852" s="187"/>
      <c r="P852" s="92"/>
      <c r="Q852" s="187"/>
      <c r="R852" s="92"/>
      <c r="S852" s="187"/>
      <c r="T852" s="92"/>
      <c r="U852" s="187"/>
    </row>
    <row r="853" ht="15.75" customHeight="1">
      <c r="A853" s="92"/>
      <c r="B853" s="190"/>
      <c r="C853" s="92"/>
      <c r="D853" s="92"/>
      <c r="F853" s="92"/>
      <c r="G853" s="92"/>
      <c r="H853" s="187"/>
      <c r="I853" s="92"/>
      <c r="J853" s="92"/>
      <c r="K853" s="187"/>
      <c r="L853" s="92"/>
      <c r="M853" s="187"/>
      <c r="N853" s="92"/>
      <c r="O853" s="187"/>
      <c r="P853" s="92"/>
      <c r="Q853" s="187"/>
      <c r="R853" s="92"/>
      <c r="S853" s="187"/>
      <c r="T853" s="92"/>
      <c r="U853" s="187"/>
    </row>
    <row r="854" ht="15.75" customHeight="1">
      <c r="A854" s="92"/>
      <c r="B854" s="190"/>
      <c r="C854" s="92"/>
      <c r="D854" s="92"/>
      <c r="F854" s="92"/>
      <c r="G854" s="92"/>
      <c r="H854" s="187"/>
      <c r="I854" s="92"/>
      <c r="J854" s="92"/>
      <c r="K854" s="187"/>
      <c r="L854" s="92"/>
      <c r="M854" s="187"/>
      <c r="N854" s="92"/>
      <c r="O854" s="187"/>
      <c r="P854" s="92"/>
      <c r="Q854" s="187"/>
      <c r="R854" s="92"/>
      <c r="S854" s="187"/>
      <c r="T854" s="92"/>
      <c r="U854" s="187"/>
    </row>
    <row r="855" ht="15.75" customHeight="1">
      <c r="A855" s="92"/>
      <c r="B855" s="190"/>
      <c r="C855" s="92"/>
      <c r="D855" s="92"/>
      <c r="F855" s="92"/>
      <c r="G855" s="92"/>
      <c r="H855" s="187"/>
      <c r="I855" s="92"/>
      <c r="J855" s="92"/>
      <c r="K855" s="187"/>
      <c r="L855" s="92"/>
      <c r="M855" s="187"/>
      <c r="N855" s="92"/>
      <c r="O855" s="187"/>
      <c r="P855" s="92"/>
      <c r="Q855" s="187"/>
      <c r="R855" s="92"/>
      <c r="S855" s="187"/>
      <c r="T855" s="92"/>
      <c r="U855" s="187"/>
    </row>
    <row r="856" ht="15.75" customHeight="1">
      <c r="A856" s="92"/>
      <c r="B856" s="190"/>
      <c r="C856" s="92"/>
      <c r="D856" s="92"/>
      <c r="F856" s="92"/>
      <c r="G856" s="92"/>
      <c r="H856" s="187"/>
      <c r="I856" s="92"/>
      <c r="J856" s="92"/>
      <c r="K856" s="187"/>
      <c r="L856" s="92"/>
      <c r="M856" s="187"/>
      <c r="N856" s="92"/>
      <c r="O856" s="187"/>
      <c r="P856" s="92"/>
      <c r="Q856" s="187"/>
      <c r="R856" s="92"/>
      <c r="S856" s="187"/>
      <c r="T856" s="92"/>
      <c r="U856" s="187"/>
    </row>
    <row r="857" ht="15.75" customHeight="1">
      <c r="A857" s="92"/>
      <c r="B857" s="190"/>
      <c r="C857" s="92"/>
      <c r="D857" s="92"/>
      <c r="F857" s="92"/>
      <c r="G857" s="92"/>
      <c r="H857" s="187"/>
      <c r="I857" s="92"/>
      <c r="J857" s="92"/>
      <c r="K857" s="187"/>
      <c r="L857" s="92"/>
      <c r="M857" s="187"/>
      <c r="N857" s="92"/>
      <c r="O857" s="187"/>
      <c r="P857" s="92"/>
      <c r="Q857" s="187"/>
      <c r="R857" s="92"/>
      <c r="S857" s="187"/>
      <c r="T857" s="92"/>
      <c r="U857" s="187"/>
    </row>
    <row r="858" ht="15.75" customHeight="1">
      <c r="A858" s="92"/>
      <c r="B858" s="190"/>
      <c r="C858" s="92"/>
      <c r="D858" s="92"/>
      <c r="F858" s="92"/>
      <c r="G858" s="92"/>
      <c r="H858" s="187"/>
      <c r="I858" s="92"/>
      <c r="J858" s="92"/>
      <c r="K858" s="187"/>
      <c r="L858" s="92"/>
      <c r="M858" s="187"/>
      <c r="N858" s="92"/>
      <c r="O858" s="187"/>
      <c r="P858" s="92"/>
      <c r="Q858" s="187"/>
      <c r="R858" s="92"/>
      <c r="S858" s="187"/>
      <c r="T858" s="92"/>
      <c r="U858" s="187"/>
    </row>
    <row r="859" ht="15.75" customHeight="1">
      <c r="A859" s="92"/>
      <c r="B859" s="190"/>
      <c r="C859" s="92"/>
      <c r="D859" s="92"/>
      <c r="F859" s="92"/>
      <c r="G859" s="92"/>
      <c r="H859" s="187"/>
      <c r="I859" s="92"/>
      <c r="J859" s="92"/>
      <c r="K859" s="187"/>
      <c r="L859" s="92"/>
      <c r="M859" s="187"/>
      <c r="N859" s="92"/>
      <c r="O859" s="187"/>
      <c r="P859" s="92"/>
      <c r="Q859" s="187"/>
      <c r="R859" s="92"/>
      <c r="S859" s="187"/>
      <c r="T859" s="92"/>
      <c r="U859" s="187"/>
    </row>
    <row r="860" ht="15.75" customHeight="1">
      <c r="A860" s="92"/>
      <c r="B860" s="190"/>
      <c r="C860" s="92"/>
      <c r="D860" s="92"/>
      <c r="F860" s="92"/>
      <c r="G860" s="92"/>
      <c r="H860" s="187"/>
      <c r="I860" s="92"/>
      <c r="J860" s="92"/>
      <c r="K860" s="187"/>
      <c r="L860" s="92"/>
      <c r="M860" s="187"/>
      <c r="N860" s="92"/>
      <c r="O860" s="187"/>
      <c r="P860" s="92"/>
      <c r="Q860" s="187"/>
      <c r="R860" s="92"/>
      <c r="S860" s="187"/>
      <c r="T860" s="92"/>
      <c r="U860" s="187"/>
    </row>
    <row r="861" ht="15.75" customHeight="1">
      <c r="A861" s="92"/>
      <c r="B861" s="190"/>
      <c r="C861" s="92"/>
      <c r="D861" s="92"/>
      <c r="F861" s="92"/>
      <c r="G861" s="92"/>
      <c r="H861" s="187"/>
      <c r="I861" s="92"/>
      <c r="J861" s="92"/>
      <c r="K861" s="187"/>
      <c r="L861" s="92"/>
      <c r="M861" s="187"/>
      <c r="N861" s="92"/>
      <c r="O861" s="187"/>
      <c r="P861" s="92"/>
      <c r="Q861" s="187"/>
      <c r="R861" s="92"/>
      <c r="S861" s="187"/>
      <c r="T861" s="92"/>
      <c r="U861" s="187"/>
    </row>
    <row r="862" ht="15.75" customHeight="1">
      <c r="A862" s="92"/>
      <c r="B862" s="190"/>
      <c r="C862" s="92"/>
      <c r="D862" s="92"/>
      <c r="F862" s="92"/>
      <c r="G862" s="92"/>
      <c r="H862" s="187"/>
      <c r="I862" s="92"/>
      <c r="J862" s="92"/>
      <c r="K862" s="187"/>
      <c r="L862" s="92"/>
      <c r="M862" s="187"/>
      <c r="N862" s="92"/>
      <c r="O862" s="187"/>
      <c r="P862" s="92"/>
      <c r="Q862" s="187"/>
      <c r="R862" s="92"/>
      <c r="S862" s="187"/>
      <c r="T862" s="92"/>
      <c r="U862" s="187"/>
    </row>
    <row r="863" ht="15.75" customHeight="1">
      <c r="A863" s="92"/>
      <c r="B863" s="190"/>
      <c r="C863" s="92"/>
      <c r="D863" s="92"/>
      <c r="F863" s="92"/>
      <c r="G863" s="92"/>
      <c r="H863" s="187"/>
      <c r="I863" s="92"/>
      <c r="J863" s="92"/>
      <c r="K863" s="187"/>
      <c r="L863" s="92"/>
      <c r="M863" s="187"/>
      <c r="N863" s="92"/>
      <c r="O863" s="187"/>
      <c r="P863" s="92"/>
      <c r="Q863" s="187"/>
      <c r="R863" s="92"/>
      <c r="S863" s="187"/>
      <c r="T863" s="92"/>
      <c r="U863" s="187"/>
    </row>
    <row r="864" ht="15.75" customHeight="1">
      <c r="A864" s="92"/>
      <c r="B864" s="190"/>
      <c r="C864" s="92"/>
      <c r="D864" s="92"/>
      <c r="F864" s="92"/>
      <c r="G864" s="92"/>
      <c r="H864" s="187"/>
      <c r="I864" s="92"/>
      <c r="J864" s="92"/>
      <c r="K864" s="187"/>
      <c r="L864" s="92"/>
      <c r="M864" s="187"/>
      <c r="N864" s="92"/>
      <c r="O864" s="187"/>
      <c r="P864" s="92"/>
      <c r="Q864" s="187"/>
      <c r="R864" s="92"/>
      <c r="S864" s="187"/>
      <c r="T864" s="92"/>
      <c r="U864" s="187"/>
    </row>
    <row r="865" ht="15.75" customHeight="1">
      <c r="A865" s="92"/>
      <c r="B865" s="190"/>
      <c r="C865" s="92"/>
      <c r="D865" s="92"/>
      <c r="F865" s="92"/>
      <c r="G865" s="92"/>
      <c r="H865" s="187"/>
      <c r="I865" s="92"/>
      <c r="J865" s="92"/>
      <c r="K865" s="187"/>
      <c r="L865" s="92"/>
      <c r="M865" s="187"/>
      <c r="N865" s="92"/>
      <c r="O865" s="187"/>
      <c r="P865" s="92"/>
      <c r="Q865" s="187"/>
      <c r="R865" s="92"/>
      <c r="S865" s="187"/>
      <c r="T865" s="92"/>
      <c r="U865" s="187"/>
    </row>
    <row r="866" ht="15.75" customHeight="1">
      <c r="A866" s="92"/>
      <c r="B866" s="190"/>
      <c r="C866" s="92"/>
      <c r="D866" s="92"/>
      <c r="F866" s="92"/>
      <c r="G866" s="92"/>
      <c r="H866" s="187"/>
      <c r="I866" s="92"/>
      <c r="J866" s="92"/>
      <c r="K866" s="187"/>
      <c r="L866" s="92"/>
      <c r="M866" s="187"/>
      <c r="N866" s="92"/>
      <c r="O866" s="187"/>
      <c r="P866" s="92"/>
      <c r="Q866" s="187"/>
      <c r="R866" s="92"/>
      <c r="S866" s="187"/>
      <c r="T866" s="92"/>
      <c r="U866" s="187"/>
    </row>
    <row r="867" ht="15.75" customHeight="1">
      <c r="A867" s="92"/>
      <c r="B867" s="190"/>
      <c r="C867" s="92"/>
      <c r="D867" s="92"/>
      <c r="F867" s="92"/>
      <c r="G867" s="92"/>
      <c r="H867" s="187"/>
      <c r="I867" s="92"/>
      <c r="J867" s="92"/>
      <c r="K867" s="187"/>
      <c r="L867" s="92"/>
      <c r="M867" s="187"/>
      <c r="N867" s="92"/>
      <c r="O867" s="187"/>
      <c r="P867" s="92"/>
      <c r="Q867" s="187"/>
      <c r="R867" s="92"/>
      <c r="S867" s="187"/>
      <c r="T867" s="92"/>
      <c r="U867" s="187"/>
    </row>
    <row r="868" ht="15.75" customHeight="1">
      <c r="A868" s="92"/>
      <c r="B868" s="190"/>
      <c r="C868" s="92"/>
      <c r="D868" s="92"/>
      <c r="F868" s="92"/>
      <c r="G868" s="92"/>
      <c r="H868" s="187"/>
      <c r="I868" s="92"/>
      <c r="J868" s="92"/>
      <c r="K868" s="187"/>
      <c r="L868" s="92"/>
      <c r="M868" s="187"/>
      <c r="N868" s="92"/>
      <c r="O868" s="187"/>
      <c r="P868" s="92"/>
      <c r="Q868" s="187"/>
      <c r="R868" s="92"/>
      <c r="S868" s="187"/>
      <c r="T868" s="92"/>
      <c r="U868" s="187"/>
    </row>
    <row r="869" ht="15.75" customHeight="1">
      <c r="A869" s="92"/>
      <c r="B869" s="190"/>
      <c r="C869" s="92"/>
      <c r="D869" s="92"/>
      <c r="F869" s="92"/>
      <c r="G869" s="92"/>
      <c r="H869" s="187"/>
      <c r="I869" s="92"/>
      <c r="J869" s="92"/>
      <c r="K869" s="187"/>
      <c r="L869" s="92"/>
      <c r="M869" s="187"/>
      <c r="N869" s="92"/>
      <c r="O869" s="187"/>
      <c r="P869" s="92"/>
      <c r="Q869" s="187"/>
      <c r="R869" s="92"/>
      <c r="S869" s="187"/>
      <c r="T869" s="92"/>
      <c r="U869" s="187"/>
    </row>
    <row r="870" ht="15.75" customHeight="1">
      <c r="A870" s="92"/>
      <c r="B870" s="190"/>
      <c r="C870" s="92"/>
      <c r="D870" s="92"/>
      <c r="F870" s="92"/>
      <c r="G870" s="92"/>
      <c r="H870" s="187"/>
      <c r="I870" s="92"/>
      <c r="J870" s="92"/>
      <c r="K870" s="187"/>
      <c r="L870" s="92"/>
      <c r="M870" s="187"/>
      <c r="N870" s="92"/>
      <c r="O870" s="187"/>
      <c r="P870" s="92"/>
      <c r="Q870" s="187"/>
      <c r="R870" s="92"/>
      <c r="S870" s="187"/>
      <c r="T870" s="92"/>
      <c r="U870" s="187"/>
    </row>
    <row r="871" ht="15.75" customHeight="1">
      <c r="A871" s="92"/>
      <c r="B871" s="190"/>
      <c r="C871" s="92"/>
      <c r="D871" s="92"/>
      <c r="F871" s="92"/>
      <c r="G871" s="92"/>
      <c r="H871" s="187"/>
      <c r="I871" s="92"/>
      <c r="J871" s="92"/>
      <c r="K871" s="187"/>
      <c r="L871" s="92"/>
      <c r="M871" s="187"/>
      <c r="N871" s="92"/>
      <c r="O871" s="187"/>
      <c r="P871" s="92"/>
      <c r="Q871" s="187"/>
      <c r="R871" s="92"/>
      <c r="S871" s="187"/>
      <c r="T871" s="92"/>
      <c r="U871" s="187"/>
    </row>
    <row r="872" ht="15.75" customHeight="1">
      <c r="A872" s="92"/>
      <c r="B872" s="190"/>
      <c r="C872" s="92"/>
      <c r="D872" s="92"/>
      <c r="F872" s="92"/>
      <c r="G872" s="92"/>
      <c r="H872" s="187"/>
      <c r="I872" s="92"/>
      <c r="J872" s="92"/>
      <c r="K872" s="187"/>
      <c r="L872" s="92"/>
      <c r="M872" s="187"/>
      <c r="N872" s="92"/>
      <c r="O872" s="187"/>
      <c r="P872" s="92"/>
      <c r="Q872" s="187"/>
      <c r="R872" s="92"/>
      <c r="S872" s="187"/>
      <c r="T872" s="92"/>
      <c r="U872" s="187"/>
    </row>
    <row r="873" ht="15.75" customHeight="1">
      <c r="A873" s="92"/>
      <c r="B873" s="190"/>
      <c r="C873" s="92"/>
      <c r="D873" s="92"/>
      <c r="F873" s="92"/>
      <c r="G873" s="92"/>
      <c r="H873" s="187"/>
      <c r="I873" s="92"/>
      <c r="J873" s="92"/>
      <c r="K873" s="187"/>
      <c r="L873" s="92"/>
      <c r="M873" s="187"/>
      <c r="N873" s="92"/>
      <c r="O873" s="187"/>
      <c r="P873" s="92"/>
      <c r="Q873" s="187"/>
      <c r="R873" s="92"/>
      <c r="S873" s="187"/>
      <c r="T873" s="92"/>
      <c r="U873" s="187"/>
    </row>
    <row r="874" ht="15.75" customHeight="1">
      <c r="A874" s="92"/>
      <c r="B874" s="190"/>
      <c r="C874" s="92"/>
      <c r="D874" s="92"/>
      <c r="F874" s="92"/>
      <c r="G874" s="92"/>
      <c r="H874" s="187"/>
      <c r="I874" s="92"/>
      <c r="J874" s="92"/>
      <c r="K874" s="187"/>
      <c r="L874" s="92"/>
      <c r="M874" s="187"/>
      <c r="N874" s="92"/>
      <c r="O874" s="187"/>
      <c r="P874" s="92"/>
      <c r="Q874" s="187"/>
      <c r="R874" s="92"/>
      <c r="S874" s="187"/>
      <c r="T874" s="92"/>
      <c r="U874" s="187"/>
    </row>
    <row r="875" ht="15.75" customHeight="1">
      <c r="A875" s="92"/>
      <c r="B875" s="190"/>
      <c r="C875" s="92"/>
      <c r="D875" s="92"/>
      <c r="F875" s="92"/>
      <c r="G875" s="92"/>
      <c r="H875" s="187"/>
      <c r="I875" s="92"/>
      <c r="J875" s="92"/>
      <c r="K875" s="187"/>
      <c r="L875" s="92"/>
      <c r="M875" s="187"/>
      <c r="N875" s="92"/>
      <c r="O875" s="187"/>
      <c r="P875" s="92"/>
      <c r="Q875" s="187"/>
      <c r="R875" s="92"/>
      <c r="S875" s="187"/>
      <c r="T875" s="92"/>
      <c r="U875" s="187"/>
    </row>
    <row r="876" ht="15.75" customHeight="1">
      <c r="A876" s="92"/>
      <c r="B876" s="190"/>
      <c r="C876" s="92"/>
      <c r="D876" s="92"/>
      <c r="F876" s="92"/>
      <c r="G876" s="92"/>
      <c r="H876" s="187"/>
      <c r="I876" s="92"/>
      <c r="J876" s="92"/>
      <c r="K876" s="187"/>
      <c r="L876" s="92"/>
      <c r="M876" s="187"/>
      <c r="N876" s="92"/>
      <c r="O876" s="187"/>
      <c r="P876" s="92"/>
      <c r="Q876" s="187"/>
      <c r="R876" s="92"/>
      <c r="S876" s="187"/>
      <c r="T876" s="92"/>
      <c r="U876" s="187"/>
    </row>
    <row r="877" ht="15.75" customHeight="1">
      <c r="A877" s="92"/>
      <c r="B877" s="190"/>
      <c r="C877" s="92"/>
      <c r="D877" s="92"/>
      <c r="F877" s="92"/>
      <c r="G877" s="92"/>
      <c r="H877" s="187"/>
      <c r="I877" s="92"/>
      <c r="J877" s="92"/>
      <c r="K877" s="187"/>
      <c r="L877" s="92"/>
      <c r="M877" s="187"/>
      <c r="N877" s="92"/>
      <c r="O877" s="187"/>
      <c r="P877" s="92"/>
      <c r="Q877" s="187"/>
      <c r="R877" s="92"/>
      <c r="S877" s="187"/>
      <c r="T877" s="92"/>
      <c r="U877" s="187"/>
    </row>
    <row r="878" ht="15.75" customHeight="1">
      <c r="A878" s="92"/>
      <c r="B878" s="190"/>
      <c r="C878" s="92"/>
      <c r="D878" s="92"/>
      <c r="F878" s="92"/>
      <c r="G878" s="92"/>
      <c r="H878" s="187"/>
      <c r="I878" s="92"/>
      <c r="J878" s="92"/>
      <c r="K878" s="187"/>
      <c r="L878" s="92"/>
      <c r="M878" s="187"/>
      <c r="N878" s="92"/>
      <c r="O878" s="187"/>
      <c r="P878" s="92"/>
      <c r="Q878" s="187"/>
      <c r="R878" s="92"/>
      <c r="S878" s="187"/>
      <c r="T878" s="92"/>
      <c r="U878" s="187"/>
    </row>
    <row r="879" ht="15.75" customHeight="1">
      <c r="A879" s="92"/>
      <c r="B879" s="190"/>
      <c r="C879" s="92"/>
      <c r="D879" s="92"/>
      <c r="F879" s="92"/>
      <c r="G879" s="92"/>
      <c r="H879" s="187"/>
      <c r="I879" s="92"/>
      <c r="J879" s="92"/>
      <c r="K879" s="187"/>
      <c r="L879" s="92"/>
      <c r="M879" s="187"/>
      <c r="N879" s="92"/>
      <c r="O879" s="187"/>
      <c r="P879" s="92"/>
      <c r="Q879" s="187"/>
      <c r="R879" s="92"/>
      <c r="S879" s="187"/>
      <c r="T879" s="92"/>
      <c r="U879" s="187"/>
    </row>
    <row r="880" ht="15.75" customHeight="1">
      <c r="A880" s="92"/>
      <c r="B880" s="190"/>
      <c r="C880" s="92"/>
      <c r="D880" s="92"/>
      <c r="F880" s="92"/>
      <c r="G880" s="92"/>
      <c r="H880" s="187"/>
      <c r="I880" s="92"/>
      <c r="J880" s="92"/>
      <c r="K880" s="187"/>
      <c r="L880" s="92"/>
      <c r="M880" s="187"/>
      <c r="N880" s="92"/>
      <c r="O880" s="187"/>
      <c r="P880" s="92"/>
      <c r="Q880" s="187"/>
      <c r="R880" s="92"/>
      <c r="S880" s="187"/>
      <c r="T880" s="92"/>
      <c r="U880" s="187"/>
    </row>
    <row r="881" ht="15.75" customHeight="1">
      <c r="A881" s="92"/>
      <c r="B881" s="190"/>
      <c r="C881" s="92"/>
      <c r="D881" s="92"/>
      <c r="F881" s="92"/>
      <c r="G881" s="92"/>
      <c r="H881" s="187"/>
      <c r="I881" s="92"/>
      <c r="J881" s="92"/>
      <c r="K881" s="187"/>
      <c r="L881" s="92"/>
      <c r="M881" s="187"/>
      <c r="N881" s="92"/>
      <c r="O881" s="187"/>
      <c r="P881" s="92"/>
      <c r="Q881" s="187"/>
      <c r="R881" s="92"/>
      <c r="S881" s="187"/>
      <c r="T881" s="92"/>
      <c r="U881" s="187"/>
    </row>
    <row r="882" ht="15.75" customHeight="1">
      <c r="A882" s="92"/>
      <c r="B882" s="190"/>
      <c r="C882" s="92"/>
      <c r="D882" s="92"/>
      <c r="F882" s="92"/>
      <c r="G882" s="92"/>
      <c r="H882" s="187"/>
      <c r="I882" s="92"/>
      <c r="J882" s="92"/>
      <c r="K882" s="187"/>
      <c r="L882" s="92"/>
      <c r="M882" s="187"/>
      <c r="N882" s="92"/>
      <c r="O882" s="187"/>
      <c r="P882" s="92"/>
      <c r="Q882" s="187"/>
      <c r="R882" s="92"/>
      <c r="S882" s="187"/>
      <c r="T882" s="92"/>
      <c r="U882" s="187"/>
    </row>
    <row r="883" ht="15.75" customHeight="1">
      <c r="A883" s="92"/>
      <c r="B883" s="190"/>
      <c r="C883" s="92"/>
      <c r="D883" s="92"/>
      <c r="F883" s="92"/>
      <c r="G883" s="92"/>
      <c r="H883" s="187"/>
      <c r="I883" s="92"/>
      <c r="J883" s="92"/>
      <c r="K883" s="187"/>
      <c r="L883" s="92"/>
      <c r="M883" s="187"/>
      <c r="N883" s="92"/>
      <c r="O883" s="187"/>
      <c r="P883" s="92"/>
      <c r="Q883" s="187"/>
      <c r="R883" s="92"/>
      <c r="S883" s="187"/>
      <c r="T883" s="92"/>
      <c r="U883" s="187"/>
    </row>
    <row r="884" ht="15.75" customHeight="1">
      <c r="A884" s="92"/>
      <c r="B884" s="190"/>
      <c r="C884" s="92"/>
      <c r="D884" s="92"/>
      <c r="F884" s="92"/>
      <c r="G884" s="92"/>
      <c r="H884" s="187"/>
      <c r="I884" s="92"/>
      <c r="J884" s="92"/>
      <c r="K884" s="187"/>
      <c r="L884" s="92"/>
      <c r="M884" s="187"/>
      <c r="N884" s="92"/>
      <c r="O884" s="187"/>
      <c r="P884" s="92"/>
      <c r="Q884" s="187"/>
      <c r="R884" s="92"/>
      <c r="S884" s="187"/>
      <c r="T884" s="92"/>
      <c r="U884" s="187"/>
    </row>
    <row r="885" ht="15.75" customHeight="1">
      <c r="A885" s="92"/>
      <c r="B885" s="190"/>
      <c r="C885" s="92"/>
      <c r="D885" s="92"/>
      <c r="F885" s="92"/>
      <c r="G885" s="92"/>
      <c r="H885" s="187"/>
      <c r="I885" s="92"/>
      <c r="J885" s="92"/>
      <c r="K885" s="187"/>
      <c r="L885" s="92"/>
      <c r="M885" s="187"/>
      <c r="N885" s="92"/>
      <c r="O885" s="187"/>
      <c r="P885" s="92"/>
      <c r="Q885" s="187"/>
      <c r="R885" s="92"/>
      <c r="S885" s="187"/>
      <c r="T885" s="92"/>
      <c r="U885" s="187"/>
    </row>
    <row r="886" ht="15.75" customHeight="1">
      <c r="A886" s="92"/>
      <c r="B886" s="190"/>
      <c r="C886" s="92"/>
      <c r="D886" s="92"/>
      <c r="F886" s="92"/>
      <c r="G886" s="92"/>
      <c r="H886" s="187"/>
      <c r="I886" s="92"/>
      <c r="J886" s="92"/>
      <c r="K886" s="187"/>
      <c r="L886" s="92"/>
      <c r="M886" s="187"/>
      <c r="N886" s="92"/>
      <c r="O886" s="187"/>
      <c r="P886" s="92"/>
      <c r="Q886" s="187"/>
      <c r="R886" s="92"/>
      <c r="S886" s="187"/>
      <c r="T886" s="92"/>
      <c r="U886" s="187"/>
    </row>
    <row r="887" ht="15.75" customHeight="1">
      <c r="A887" s="92"/>
      <c r="B887" s="190"/>
      <c r="C887" s="92"/>
      <c r="D887" s="92"/>
      <c r="F887" s="92"/>
      <c r="G887" s="92"/>
      <c r="H887" s="187"/>
      <c r="I887" s="92"/>
      <c r="J887" s="92"/>
      <c r="K887" s="187"/>
      <c r="L887" s="92"/>
      <c r="M887" s="187"/>
      <c r="N887" s="92"/>
      <c r="O887" s="187"/>
      <c r="P887" s="92"/>
      <c r="Q887" s="187"/>
      <c r="R887" s="92"/>
      <c r="S887" s="187"/>
      <c r="T887" s="92"/>
      <c r="U887" s="187"/>
    </row>
    <row r="888" ht="15.75" customHeight="1">
      <c r="A888" s="92"/>
      <c r="B888" s="190"/>
      <c r="C888" s="92"/>
      <c r="D888" s="92"/>
      <c r="F888" s="92"/>
      <c r="G888" s="92"/>
      <c r="H888" s="187"/>
      <c r="I888" s="92"/>
      <c r="J888" s="92"/>
      <c r="K888" s="187"/>
      <c r="L888" s="92"/>
      <c r="M888" s="187"/>
      <c r="N888" s="92"/>
      <c r="O888" s="187"/>
      <c r="P888" s="92"/>
      <c r="Q888" s="187"/>
      <c r="R888" s="92"/>
      <c r="S888" s="187"/>
      <c r="T888" s="92"/>
      <c r="U888" s="187"/>
    </row>
    <row r="889" ht="15.75" customHeight="1">
      <c r="A889" s="92"/>
      <c r="B889" s="190"/>
      <c r="C889" s="92"/>
      <c r="D889" s="92"/>
      <c r="F889" s="92"/>
      <c r="G889" s="92"/>
      <c r="H889" s="187"/>
      <c r="I889" s="92"/>
      <c r="J889" s="92"/>
      <c r="K889" s="187"/>
      <c r="L889" s="92"/>
      <c r="M889" s="187"/>
      <c r="N889" s="92"/>
      <c r="O889" s="187"/>
      <c r="P889" s="92"/>
      <c r="Q889" s="187"/>
      <c r="R889" s="92"/>
      <c r="S889" s="187"/>
      <c r="T889" s="92"/>
      <c r="U889" s="187"/>
    </row>
    <row r="890" ht="15.75" customHeight="1">
      <c r="A890" s="92"/>
      <c r="B890" s="190"/>
      <c r="C890" s="92"/>
      <c r="D890" s="92"/>
      <c r="F890" s="92"/>
      <c r="G890" s="92"/>
      <c r="H890" s="187"/>
      <c r="I890" s="92"/>
      <c r="J890" s="92"/>
      <c r="K890" s="187"/>
      <c r="L890" s="92"/>
      <c r="M890" s="187"/>
      <c r="N890" s="92"/>
      <c r="O890" s="187"/>
      <c r="P890" s="92"/>
      <c r="Q890" s="187"/>
      <c r="R890" s="92"/>
      <c r="S890" s="187"/>
      <c r="T890" s="92"/>
      <c r="U890" s="187"/>
    </row>
    <row r="891" ht="15.75" customHeight="1">
      <c r="A891" s="92"/>
      <c r="B891" s="190"/>
      <c r="C891" s="92"/>
      <c r="D891" s="92"/>
      <c r="F891" s="92"/>
      <c r="G891" s="92"/>
      <c r="H891" s="187"/>
      <c r="I891" s="92"/>
      <c r="J891" s="92"/>
      <c r="K891" s="187"/>
      <c r="L891" s="92"/>
      <c r="M891" s="187"/>
      <c r="N891" s="92"/>
      <c r="O891" s="187"/>
      <c r="P891" s="92"/>
      <c r="Q891" s="187"/>
      <c r="R891" s="92"/>
      <c r="S891" s="187"/>
      <c r="T891" s="92"/>
      <c r="U891" s="187"/>
    </row>
    <row r="892" ht="15.75" customHeight="1">
      <c r="A892" s="92"/>
      <c r="B892" s="190"/>
      <c r="C892" s="92"/>
      <c r="D892" s="92"/>
      <c r="F892" s="92"/>
      <c r="G892" s="92"/>
      <c r="H892" s="187"/>
      <c r="I892" s="92"/>
      <c r="J892" s="92"/>
      <c r="K892" s="187"/>
      <c r="L892" s="92"/>
      <c r="M892" s="187"/>
      <c r="N892" s="92"/>
      <c r="O892" s="187"/>
      <c r="P892" s="92"/>
      <c r="Q892" s="187"/>
      <c r="R892" s="92"/>
      <c r="S892" s="187"/>
      <c r="T892" s="92"/>
      <c r="U892" s="187"/>
    </row>
    <row r="893" ht="15.75" customHeight="1">
      <c r="A893" s="92"/>
      <c r="B893" s="190"/>
      <c r="C893" s="92"/>
      <c r="D893" s="92"/>
      <c r="F893" s="92"/>
      <c r="G893" s="92"/>
      <c r="H893" s="187"/>
      <c r="I893" s="92"/>
      <c r="J893" s="92"/>
      <c r="K893" s="187"/>
      <c r="L893" s="92"/>
      <c r="M893" s="187"/>
      <c r="N893" s="92"/>
      <c r="O893" s="187"/>
      <c r="P893" s="92"/>
      <c r="Q893" s="187"/>
      <c r="R893" s="92"/>
      <c r="S893" s="187"/>
      <c r="T893" s="92"/>
      <c r="U893" s="187"/>
    </row>
    <row r="894" ht="15.75" customHeight="1">
      <c r="A894" s="92"/>
      <c r="B894" s="190"/>
      <c r="C894" s="92"/>
      <c r="D894" s="92"/>
      <c r="F894" s="92"/>
      <c r="G894" s="92"/>
      <c r="H894" s="187"/>
      <c r="I894" s="92"/>
      <c r="J894" s="92"/>
      <c r="K894" s="187"/>
      <c r="L894" s="92"/>
      <c r="M894" s="187"/>
      <c r="N894" s="92"/>
      <c r="O894" s="187"/>
      <c r="P894" s="92"/>
      <c r="Q894" s="187"/>
      <c r="R894" s="92"/>
      <c r="S894" s="187"/>
      <c r="T894" s="92"/>
      <c r="U894" s="187"/>
    </row>
    <row r="895" ht="15.75" customHeight="1">
      <c r="A895" s="92"/>
      <c r="B895" s="190"/>
      <c r="C895" s="92"/>
      <c r="D895" s="92"/>
      <c r="F895" s="92"/>
      <c r="G895" s="92"/>
      <c r="H895" s="187"/>
      <c r="I895" s="92"/>
      <c r="J895" s="92"/>
      <c r="K895" s="187"/>
      <c r="L895" s="92"/>
      <c r="M895" s="187"/>
      <c r="N895" s="92"/>
      <c r="O895" s="187"/>
      <c r="P895" s="92"/>
      <c r="Q895" s="187"/>
      <c r="R895" s="92"/>
      <c r="S895" s="187"/>
      <c r="T895" s="92"/>
      <c r="U895" s="187"/>
    </row>
    <row r="896" ht="15.75" customHeight="1">
      <c r="A896" s="92"/>
      <c r="B896" s="190"/>
      <c r="C896" s="92"/>
      <c r="D896" s="92"/>
      <c r="F896" s="92"/>
      <c r="G896" s="92"/>
      <c r="H896" s="187"/>
      <c r="I896" s="92"/>
      <c r="J896" s="92"/>
      <c r="K896" s="187"/>
      <c r="L896" s="92"/>
      <c r="M896" s="187"/>
      <c r="N896" s="92"/>
      <c r="O896" s="187"/>
      <c r="P896" s="92"/>
      <c r="Q896" s="187"/>
      <c r="R896" s="92"/>
      <c r="S896" s="187"/>
      <c r="T896" s="92"/>
      <c r="U896" s="187"/>
    </row>
    <row r="897" ht="15.75" customHeight="1">
      <c r="A897" s="92"/>
      <c r="B897" s="190"/>
      <c r="C897" s="92"/>
      <c r="D897" s="92"/>
      <c r="F897" s="92"/>
      <c r="G897" s="92"/>
      <c r="H897" s="187"/>
      <c r="I897" s="92"/>
      <c r="J897" s="92"/>
      <c r="K897" s="187"/>
      <c r="L897" s="92"/>
      <c r="M897" s="187"/>
      <c r="N897" s="92"/>
      <c r="O897" s="187"/>
      <c r="P897" s="92"/>
      <c r="Q897" s="187"/>
      <c r="R897" s="92"/>
      <c r="S897" s="187"/>
      <c r="T897" s="92"/>
      <c r="U897" s="187"/>
    </row>
    <row r="898" ht="15.75" customHeight="1">
      <c r="A898" s="92"/>
      <c r="B898" s="190"/>
      <c r="C898" s="92"/>
      <c r="D898" s="92"/>
      <c r="F898" s="92"/>
      <c r="G898" s="92"/>
      <c r="H898" s="187"/>
      <c r="I898" s="92"/>
      <c r="J898" s="92"/>
      <c r="K898" s="187"/>
      <c r="L898" s="92"/>
      <c r="M898" s="187"/>
      <c r="N898" s="92"/>
      <c r="O898" s="187"/>
      <c r="P898" s="92"/>
      <c r="Q898" s="187"/>
      <c r="R898" s="92"/>
      <c r="S898" s="187"/>
      <c r="T898" s="92"/>
      <c r="U898" s="187"/>
    </row>
    <row r="899" ht="15.75" customHeight="1">
      <c r="A899" s="92"/>
      <c r="B899" s="190"/>
      <c r="C899" s="92"/>
      <c r="D899" s="92"/>
      <c r="F899" s="92"/>
      <c r="G899" s="92"/>
      <c r="H899" s="187"/>
      <c r="I899" s="92"/>
      <c r="J899" s="92"/>
      <c r="K899" s="187"/>
      <c r="L899" s="92"/>
      <c r="M899" s="187"/>
      <c r="N899" s="92"/>
      <c r="O899" s="187"/>
      <c r="P899" s="92"/>
      <c r="Q899" s="187"/>
      <c r="R899" s="92"/>
      <c r="S899" s="187"/>
      <c r="T899" s="92"/>
      <c r="U899" s="187"/>
    </row>
    <row r="900" ht="15.75" customHeight="1">
      <c r="A900" s="92"/>
      <c r="B900" s="190"/>
      <c r="C900" s="92"/>
      <c r="D900" s="92"/>
      <c r="F900" s="92"/>
      <c r="G900" s="92"/>
      <c r="H900" s="187"/>
      <c r="I900" s="92"/>
      <c r="J900" s="92"/>
      <c r="K900" s="187"/>
      <c r="L900" s="92"/>
      <c r="M900" s="187"/>
      <c r="N900" s="92"/>
      <c r="O900" s="187"/>
      <c r="P900" s="92"/>
      <c r="Q900" s="187"/>
      <c r="R900" s="92"/>
      <c r="S900" s="187"/>
      <c r="T900" s="92"/>
      <c r="U900" s="187"/>
    </row>
    <row r="901" ht="15.75" customHeight="1">
      <c r="A901" s="92"/>
      <c r="B901" s="190"/>
      <c r="C901" s="92"/>
      <c r="D901" s="92"/>
      <c r="F901" s="92"/>
      <c r="G901" s="92"/>
      <c r="H901" s="187"/>
      <c r="I901" s="92"/>
      <c r="J901" s="92"/>
      <c r="K901" s="187"/>
      <c r="L901" s="92"/>
      <c r="M901" s="187"/>
      <c r="N901" s="92"/>
      <c r="O901" s="187"/>
      <c r="P901" s="92"/>
      <c r="Q901" s="187"/>
      <c r="R901" s="92"/>
      <c r="S901" s="187"/>
      <c r="T901" s="92"/>
      <c r="U901" s="187"/>
    </row>
    <row r="902" ht="15.75" customHeight="1">
      <c r="A902" s="92"/>
      <c r="B902" s="190"/>
      <c r="C902" s="92"/>
      <c r="D902" s="92"/>
      <c r="F902" s="92"/>
      <c r="G902" s="92"/>
      <c r="H902" s="187"/>
      <c r="I902" s="92"/>
      <c r="J902" s="92"/>
      <c r="K902" s="187"/>
      <c r="L902" s="92"/>
      <c r="M902" s="187"/>
      <c r="N902" s="92"/>
      <c r="O902" s="187"/>
      <c r="P902" s="92"/>
      <c r="Q902" s="187"/>
      <c r="R902" s="92"/>
      <c r="S902" s="187"/>
      <c r="T902" s="92"/>
      <c r="U902" s="187"/>
    </row>
    <row r="903" ht="15.75" customHeight="1">
      <c r="A903" s="92"/>
      <c r="B903" s="190"/>
      <c r="C903" s="92"/>
      <c r="D903" s="92"/>
      <c r="F903" s="92"/>
      <c r="G903" s="92"/>
      <c r="H903" s="187"/>
      <c r="I903" s="92"/>
      <c r="J903" s="92"/>
      <c r="K903" s="187"/>
      <c r="L903" s="92"/>
      <c r="M903" s="187"/>
      <c r="N903" s="92"/>
      <c r="O903" s="187"/>
      <c r="P903" s="92"/>
      <c r="Q903" s="187"/>
      <c r="R903" s="92"/>
      <c r="S903" s="187"/>
      <c r="T903" s="92"/>
      <c r="U903" s="187"/>
    </row>
    <row r="904" ht="15.75" customHeight="1">
      <c r="A904" s="92"/>
      <c r="B904" s="190"/>
      <c r="C904" s="92"/>
      <c r="D904" s="92"/>
      <c r="F904" s="92"/>
      <c r="G904" s="92"/>
      <c r="H904" s="187"/>
      <c r="I904" s="92"/>
      <c r="J904" s="92"/>
      <c r="K904" s="187"/>
      <c r="L904" s="92"/>
      <c r="M904" s="187"/>
      <c r="N904" s="92"/>
      <c r="O904" s="187"/>
      <c r="P904" s="92"/>
      <c r="Q904" s="187"/>
      <c r="R904" s="92"/>
      <c r="S904" s="187"/>
      <c r="T904" s="92"/>
      <c r="U904" s="187"/>
    </row>
    <row r="905" ht="15.75" customHeight="1">
      <c r="A905" s="92"/>
      <c r="B905" s="190"/>
      <c r="C905" s="92"/>
      <c r="D905" s="92"/>
      <c r="F905" s="92"/>
      <c r="G905" s="92"/>
      <c r="H905" s="187"/>
      <c r="I905" s="92"/>
      <c r="J905" s="92"/>
      <c r="K905" s="187"/>
      <c r="L905" s="92"/>
      <c r="M905" s="187"/>
      <c r="N905" s="92"/>
      <c r="O905" s="187"/>
      <c r="P905" s="92"/>
      <c r="Q905" s="187"/>
      <c r="R905" s="92"/>
      <c r="S905" s="187"/>
      <c r="T905" s="92"/>
      <c r="U905" s="187"/>
    </row>
    <row r="906" ht="15.75" customHeight="1">
      <c r="A906" s="92"/>
      <c r="B906" s="190"/>
      <c r="C906" s="92"/>
      <c r="D906" s="92"/>
      <c r="F906" s="92"/>
      <c r="G906" s="92"/>
      <c r="H906" s="187"/>
      <c r="I906" s="92"/>
      <c r="J906" s="92"/>
      <c r="K906" s="187"/>
      <c r="L906" s="92"/>
      <c r="M906" s="187"/>
      <c r="N906" s="92"/>
      <c r="O906" s="187"/>
      <c r="P906" s="92"/>
      <c r="Q906" s="187"/>
      <c r="R906" s="92"/>
      <c r="S906" s="187"/>
      <c r="T906" s="92"/>
      <c r="U906" s="187"/>
    </row>
    <row r="907" ht="15.75" customHeight="1">
      <c r="A907" s="92"/>
      <c r="B907" s="190"/>
      <c r="C907" s="92"/>
      <c r="D907" s="92"/>
      <c r="F907" s="92"/>
      <c r="G907" s="92"/>
      <c r="H907" s="187"/>
      <c r="I907" s="92"/>
      <c r="J907" s="92"/>
      <c r="K907" s="187"/>
      <c r="L907" s="92"/>
      <c r="M907" s="187"/>
      <c r="N907" s="92"/>
      <c r="O907" s="187"/>
      <c r="P907" s="92"/>
      <c r="Q907" s="187"/>
      <c r="R907" s="92"/>
      <c r="S907" s="187"/>
      <c r="T907" s="92"/>
      <c r="U907" s="187"/>
    </row>
    <row r="908" ht="15.75" customHeight="1">
      <c r="A908" s="92"/>
      <c r="B908" s="190"/>
      <c r="C908" s="92"/>
      <c r="D908" s="92"/>
      <c r="F908" s="92"/>
      <c r="G908" s="92"/>
      <c r="H908" s="187"/>
      <c r="I908" s="92"/>
      <c r="J908" s="92"/>
      <c r="K908" s="187"/>
      <c r="L908" s="92"/>
      <c r="M908" s="187"/>
      <c r="N908" s="92"/>
      <c r="O908" s="187"/>
      <c r="P908" s="92"/>
      <c r="Q908" s="187"/>
      <c r="R908" s="92"/>
      <c r="S908" s="187"/>
      <c r="T908" s="92"/>
      <c r="U908" s="187"/>
    </row>
    <row r="909" ht="15.75" customHeight="1">
      <c r="A909" s="92"/>
      <c r="B909" s="190"/>
      <c r="C909" s="92"/>
      <c r="D909" s="92"/>
      <c r="F909" s="92"/>
      <c r="G909" s="92"/>
      <c r="H909" s="187"/>
      <c r="I909" s="92"/>
      <c r="J909" s="92"/>
      <c r="K909" s="187"/>
      <c r="L909" s="92"/>
      <c r="M909" s="187"/>
      <c r="N909" s="92"/>
      <c r="O909" s="187"/>
      <c r="P909" s="92"/>
      <c r="Q909" s="187"/>
      <c r="R909" s="92"/>
      <c r="S909" s="187"/>
      <c r="T909" s="92"/>
      <c r="U909" s="187"/>
    </row>
    <row r="910" ht="15.75" customHeight="1">
      <c r="A910" s="92"/>
      <c r="B910" s="190"/>
      <c r="C910" s="92"/>
      <c r="D910" s="92"/>
      <c r="F910" s="92"/>
      <c r="G910" s="92"/>
      <c r="H910" s="187"/>
      <c r="I910" s="92"/>
      <c r="J910" s="92"/>
      <c r="K910" s="187"/>
      <c r="L910" s="92"/>
      <c r="M910" s="187"/>
      <c r="N910" s="92"/>
      <c r="O910" s="187"/>
      <c r="P910" s="92"/>
      <c r="Q910" s="187"/>
      <c r="R910" s="92"/>
      <c r="S910" s="187"/>
      <c r="T910" s="92"/>
      <c r="U910" s="187"/>
    </row>
    <row r="911" ht="15.75" customHeight="1">
      <c r="A911" s="92"/>
      <c r="B911" s="190"/>
      <c r="C911" s="92"/>
      <c r="D911" s="92"/>
      <c r="F911" s="92"/>
      <c r="G911" s="92"/>
      <c r="H911" s="187"/>
      <c r="I911" s="92"/>
      <c r="J911" s="92"/>
      <c r="K911" s="187"/>
      <c r="L911" s="92"/>
      <c r="M911" s="187"/>
      <c r="N911" s="92"/>
      <c r="O911" s="187"/>
      <c r="P911" s="92"/>
      <c r="Q911" s="187"/>
      <c r="R911" s="92"/>
      <c r="S911" s="187"/>
      <c r="T911" s="92"/>
      <c r="U911" s="187"/>
    </row>
    <row r="912" ht="15.75" customHeight="1">
      <c r="A912" s="92"/>
      <c r="B912" s="190"/>
      <c r="C912" s="92"/>
      <c r="D912" s="92"/>
      <c r="F912" s="92"/>
      <c r="G912" s="92"/>
      <c r="H912" s="187"/>
      <c r="I912" s="92"/>
      <c r="J912" s="92"/>
      <c r="K912" s="187"/>
      <c r="L912" s="92"/>
      <c r="M912" s="187"/>
      <c r="N912" s="92"/>
      <c r="O912" s="187"/>
      <c r="P912" s="92"/>
      <c r="Q912" s="187"/>
      <c r="R912" s="92"/>
      <c r="S912" s="187"/>
      <c r="T912" s="92"/>
      <c r="U912" s="187"/>
    </row>
    <row r="913" ht="15.75" customHeight="1">
      <c r="A913" s="92"/>
      <c r="B913" s="190"/>
      <c r="C913" s="92"/>
      <c r="D913" s="92"/>
      <c r="F913" s="92"/>
      <c r="G913" s="92"/>
      <c r="H913" s="187"/>
      <c r="I913" s="92"/>
      <c r="J913" s="92"/>
      <c r="K913" s="187"/>
      <c r="L913" s="92"/>
      <c r="M913" s="187"/>
      <c r="N913" s="92"/>
      <c r="O913" s="187"/>
      <c r="P913" s="92"/>
      <c r="Q913" s="187"/>
      <c r="R913" s="92"/>
      <c r="S913" s="187"/>
      <c r="T913" s="92"/>
      <c r="U913" s="187"/>
    </row>
    <row r="914" ht="15.75" customHeight="1">
      <c r="A914" s="92"/>
      <c r="B914" s="190"/>
      <c r="C914" s="92"/>
      <c r="D914" s="92"/>
      <c r="F914" s="92"/>
      <c r="G914" s="92"/>
      <c r="H914" s="187"/>
      <c r="I914" s="92"/>
      <c r="J914" s="92"/>
      <c r="K914" s="187"/>
      <c r="L914" s="92"/>
      <c r="M914" s="187"/>
      <c r="N914" s="92"/>
      <c r="O914" s="187"/>
      <c r="P914" s="92"/>
      <c r="Q914" s="187"/>
      <c r="R914" s="92"/>
      <c r="S914" s="187"/>
      <c r="T914" s="92"/>
      <c r="U914" s="187"/>
    </row>
    <row r="915" ht="15.75" customHeight="1">
      <c r="A915" s="92"/>
      <c r="B915" s="190"/>
      <c r="C915" s="92"/>
      <c r="D915" s="92"/>
      <c r="F915" s="92"/>
      <c r="G915" s="92"/>
      <c r="H915" s="187"/>
      <c r="I915" s="92"/>
      <c r="J915" s="92"/>
      <c r="K915" s="187"/>
      <c r="L915" s="92"/>
      <c r="M915" s="187"/>
      <c r="N915" s="92"/>
      <c r="O915" s="187"/>
      <c r="P915" s="92"/>
      <c r="Q915" s="187"/>
      <c r="R915" s="92"/>
      <c r="S915" s="187"/>
      <c r="T915" s="92"/>
      <c r="U915" s="187"/>
    </row>
    <row r="916" ht="15.75" customHeight="1">
      <c r="A916" s="92"/>
      <c r="B916" s="190"/>
      <c r="C916" s="92"/>
      <c r="D916" s="92"/>
      <c r="F916" s="92"/>
      <c r="G916" s="92"/>
      <c r="H916" s="187"/>
      <c r="I916" s="92"/>
      <c r="J916" s="92"/>
      <c r="K916" s="187"/>
      <c r="L916" s="92"/>
      <c r="M916" s="187"/>
      <c r="N916" s="92"/>
      <c r="O916" s="187"/>
      <c r="P916" s="92"/>
      <c r="Q916" s="187"/>
      <c r="R916" s="92"/>
      <c r="S916" s="187"/>
      <c r="T916" s="92"/>
      <c r="U916" s="187"/>
    </row>
    <row r="917" ht="15.75" customHeight="1">
      <c r="A917" s="92"/>
      <c r="B917" s="190"/>
      <c r="C917" s="92"/>
      <c r="D917" s="92"/>
      <c r="F917" s="92"/>
      <c r="G917" s="92"/>
      <c r="H917" s="187"/>
      <c r="I917" s="92"/>
      <c r="J917" s="92"/>
      <c r="K917" s="187"/>
      <c r="L917" s="92"/>
      <c r="M917" s="187"/>
      <c r="N917" s="92"/>
      <c r="O917" s="187"/>
      <c r="P917" s="92"/>
      <c r="Q917" s="187"/>
      <c r="R917" s="92"/>
      <c r="S917" s="187"/>
      <c r="T917" s="92"/>
      <c r="U917" s="187"/>
    </row>
    <row r="918" ht="15.75" customHeight="1">
      <c r="A918" s="92"/>
      <c r="B918" s="190"/>
      <c r="C918" s="92"/>
      <c r="D918" s="92"/>
      <c r="F918" s="92"/>
      <c r="G918" s="92"/>
      <c r="H918" s="187"/>
      <c r="I918" s="92"/>
      <c r="J918" s="92"/>
      <c r="K918" s="187"/>
      <c r="L918" s="92"/>
      <c r="M918" s="187"/>
      <c r="N918" s="92"/>
      <c r="O918" s="187"/>
      <c r="P918" s="92"/>
      <c r="Q918" s="187"/>
      <c r="R918" s="92"/>
      <c r="S918" s="187"/>
      <c r="T918" s="92"/>
      <c r="U918" s="187"/>
    </row>
    <row r="919" ht="15.75" customHeight="1">
      <c r="A919" s="92"/>
      <c r="B919" s="190"/>
      <c r="C919" s="92"/>
      <c r="D919" s="92"/>
      <c r="F919" s="92"/>
      <c r="G919" s="92"/>
      <c r="H919" s="187"/>
      <c r="I919" s="92"/>
      <c r="J919" s="92"/>
      <c r="K919" s="187"/>
      <c r="L919" s="92"/>
      <c r="M919" s="187"/>
      <c r="N919" s="92"/>
      <c r="O919" s="187"/>
      <c r="P919" s="92"/>
      <c r="Q919" s="187"/>
      <c r="R919" s="92"/>
      <c r="S919" s="187"/>
      <c r="T919" s="92"/>
      <c r="U919" s="187"/>
    </row>
    <row r="920" ht="15.75" customHeight="1">
      <c r="A920" s="92"/>
      <c r="B920" s="190"/>
      <c r="C920" s="92"/>
      <c r="D920" s="92"/>
      <c r="F920" s="92"/>
      <c r="G920" s="92"/>
      <c r="H920" s="187"/>
      <c r="I920" s="92"/>
      <c r="J920" s="92"/>
      <c r="K920" s="187"/>
      <c r="L920" s="92"/>
      <c r="M920" s="187"/>
      <c r="N920" s="92"/>
      <c r="O920" s="187"/>
      <c r="P920" s="92"/>
      <c r="Q920" s="187"/>
      <c r="R920" s="92"/>
      <c r="S920" s="187"/>
      <c r="T920" s="92"/>
      <c r="U920" s="187"/>
    </row>
    <row r="921" ht="15.75" customHeight="1">
      <c r="A921" s="92"/>
      <c r="B921" s="190"/>
      <c r="C921" s="92"/>
      <c r="D921" s="92"/>
      <c r="F921" s="92"/>
      <c r="G921" s="92"/>
      <c r="H921" s="187"/>
      <c r="I921" s="92"/>
      <c r="J921" s="92"/>
      <c r="K921" s="187"/>
      <c r="L921" s="92"/>
      <c r="M921" s="187"/>
      <c r="N921" s="92"/>
      <c r="O921" s="187"/>
      <c r="P921" s="92"/>
      <c r="Q921" s="187"/>
      <c r="R921" s="92"/>
      <c r="S921" s="187"/>
      <c r="T921" s="92"/>
      <c r="U921" s="187"/>
    </row>
    <row r="922" ht="15.75" customHeight="1">
      <c r="A922" s="92"/>
      <c r="B922" s="190"/>
      <c r="C922" s="92"/>
      <c r="D922" s="92"/>
      <c r="F922" s="92"/>
      <c r="G922" s="92"/>
      <c r="H922" s="187"/>
      <c r="I922" s="92"/>
      <c r="J922" s="92"/>
      <c r="K922" s="187"/>
      <c r="L922" s="92"/>
      <c r="M922" s="187"/>
      <c r="N922" s="92"/>
      <c r="O922" s="187"/>
      <c r="P922" s="92"/>
      <c r="Q922" s="187"/>
      <c r="R922" s="92"/>
      <c r="S922" s="187"/>
      <c r="T922" s="92"/>
      <c r="U922" s="187"/>
    </row>
    <row r="923" ht="15.75" customHeight="1">
      <c r="A923" s="92"/>
      <c r="B923" s="190"/>
      <c r="C923" s="92"/>
      <c r="D923" s="92"/>
      <c r="F923" s="92"/>
      <c r="G923" s="92"/>
      <c r="H923" s="187"/>
      <c r="I923" s="92"/>
      <c r="J923" s="92"/>
      <c r="K923" s="187"/>
      <c r="L923" s="92"/>
      <c r="M923" s="187"/>
      <c r="N923" s="92"/>
      <c r="O923" s="187"/>
      <c r="P923" s="92"/>
      <c r="Q923" s="187"/>
      <c r="R923" s="92"/>
      <c r="S923" s="187"/>
      <c r="T923" s="92"/>
      <c r="U923" s="187"/>
    </row>
    <row r="924" ht="15.75" customHeight="1">
      <c r="A924" s="92"/>
      <c r="B924" s="190"/>
      <c r="C924" s="92"/>
      <c r="D924" s="92"/>
      <c r="F924" s="92"/>
      <c r="G924" s="92"/>
      <c r="H924" s="187"/>
      <c r="I924" s="92"/>
      <c r="J924" s="92"/>
      <c r="K924" s="187"/>
      <c r="L924" s="92"/>
      <c r="M924" s="187"/>
      <c r="N924" s="92"/>
      <c r="O924" s="187"/>
      <c r="P924" s="92"/>
      <c r="Q924" s="187"/>
      <c r="R924" s="92"/>
      <c r="S924" s="187"/>
      <c r="T924" s="92"/>
      <c r="U924" s="187"/>
    </row>
    <row r="925" ht="15.75" customHeight="1">
      <c r="A925" s="92"/>
      <c r="B925" s="190"/>
      <c r="C925" s="92"/>
      <c r="D925" s="92"/>
      <c r="F925" s="92"/>
      <c r="G925" s="92"/>
      <c r="H925" s="187"/>
      <c r="I925" s="92"/>
      <c r="J925" s="92"/>
      <c r="K925" s="187"/>
      <c r="L925" s="92"/>
      <c r="M925" s="187"/>
      <c r="N925" s="92"/>
      <c r="O925" s="187"/>
      <c r="P925" s="92"/>
      <c r="Q925" s="187"/>
      <c r="R925" s="92"/>
      <c r="S925" s="187"/>
      <c r="T925" s="92"/>
      <c r="U925" s="187"/>
    </row>
    <row r="926" ht="15.75" customHeight="1">
      <c r="A926" s="92"/>
      <c r="B926" s="190"/>
      <c r="C926" s="92"/>
      <c r="D926" s="92"/>
      <c r="F926" s="92"/>
      <c r="G926" s="92"/>
      <c r="H926" s="187"/>
      <c r="I926" s="92"/>
      <c r="J926" s="92"/>
      <c r="K926" s="187"/>
      <c r="L926" s="92"/>
      <c r="M926" s="187"/>
      <c r="N926" s="92"/>
      <c r="O926" s="187"/>
      <c r="P926" s="92"/>
      <c r="Q926" s="187"/>
      <c r="R926" s="92"/>
      <c r="S926" s="187"/>
      <c r="T926" s="92"/>
      <c r="U926" s="187"/>
    </row>
    <row r="927" ht="15.75" customHeight="1">
      <c r="A927" s="92"/>
      <c r="B927" s="190"/>
      <c r="C927" s="92"/>
      <c r="D927" s="92"/>
      <c r="F927" s="92"/>
      <c r="G927" s="92"/>
      <c r="H927" s="187"/>
      <c r="I927" s="92"/>
      <c r="J927" s="92"/>
      <c r="K927" s="187"/>
      <c r="L927" s="92"/>
      <c r="M927" s="187"/>
      <c r="N927" s="92"/>
      <c r="O927" s="187"/>
      <c r="P927" s="92"/>
      <c r="Q927" s="187"/>
      <c r="R927" s="92"/>
      <c r="S927" s="187"/>
      <c r="T927" s="92"/>
      <c r="U927" s="187"/>
    </row>
    <row r="928" ht="15.75" customHeight="1">
      <c r="A928" s="92"/>
      <c r="B928" s="190"/>
      <c r="C928" s="92"/>
      <c r="D928" s="92"/>
      <c r="F928" s="92"/>
      <c r="G928" s="92"/>
      <c r="H928" s="187"/>
      <c r="I928" s="92"/>
      <c r="J928" s="92"/>
      <c r="K928" s="187"/>
      <c r="L928" s="92"/>
      <c r="M928" s="187"/>
      <c r="N928" s="92"/>
      <c r="O928" s="187"/>
      <c r="P928" s="92"/>
      <c r="Q928" s="187"/>
      <c r="R928" s="92"/>
      <c r="S928" s="187"/>
      <c r="T928" s="92"/>
      <c r="U928" s="187"/>
    </row>
    <row r="929" ht="15.75" customHeight="1">
      <c r="A929" s="92"/>
      <c r="B929" s="190"/>
      <c r="C929" s="92"/>
      <c r="D929" s="92"/>
      <c r="F929" s="92"/>
      <c r="G929" s="92"/>
      <c r="H929" s="187"/>
      <c r="I929" s="92"/>
      <c r="J929" s="92"/>
      <c r="K929" s="187"/>
      <c r="L929" s="92"/>
      <c r="M929" s="187"/>
      <c r="N929" s="92"/>
      <c r="O929" s="187"/>
      <c r="P929" s="92"/>
      <c r="Q929" s="187"/>
      <c r="R929" s="92"/>
      <c r="S929" s="187"/>
      <c r="T929" s="92"/>
      <c r="U929" s="187"/>
    </row>
    <row r="930" ht="15.75" customHeight="1">
      <c r="A930" s="92"/>
      <c r="B930" s="190"/>
      <c r="C930" s="92"/>
      <c r="D930" s="92"/>
      <c r="F930" s="92"/>
      <c r="G930" s="92"/>
      <c r="H930" s="187"/>
      <c r="I930" s="92"/>
      <c r="J930" s="92"/>
      <c r="K930" s="187"/>
      <c r="L930" s="92"/>
      <c r="M930" s="187"/>
      <c r="N930" s="92"/>
      <c r="O930" s="187"/>
      <c r="P930" s="92"/>
      <c r="Q930" s="187"/>
      <c r="R930" s="92"/>
      <c r="S930" s="187"/>
      <c r="T930" s="92"/>
      <c r="U930" s="187"/>
    </row>
    <row r="931" ht="15.75" customHeight="1">
      <c r="A931" s="92"/>
      <c r="B931" s="190"/>
      <c r="C931" s="92"/>
      <c r="D931" s="92"/>
      <c r="F931" s="92"/>
      <c r="G931" s="92"/>
      <c r="H931" s="187"/>
      <c r="I931" s="92"/>
      <c r="J931" s="92"/>
      <c r="K931" s="187"/>
      <c r="L931" s="92"/>
      <c r="M931" s="187"/>
      <c r="N931" s="92"/>
      <c r="O931" s="187"/>
      <c r="P931" s="92"/>
      <c r="Q931" s="187"/>
      <c r="R931" s="92"/>
      <c r="S931" s="187"/>
      <c r="T931" s="92"/>
      <c r="U931" s="187"/>
    </row>
    <row r="932" ht="15.75" customHeight="1">
      <c r="A932" s="92"/>
      <c r="B932" s="190"/>
      <c r="C932" s="92"/>
      <c r="D932" s="92"/>
      <c r="F932" s="92"/>
      <c r="G932" s="92"/>
      <c r="H932" s="187"/>
      <c r="I932" s="92"/>
      <c r="J932" s="92"/>
      <c r="K932" s="187"/>
      <c r="L932" s="92"/>
      <c r="M932" s="187"/>
      <c r="N932" s="92"/>
      <c r="O932" s="187"/>
      <c r="P932" s="92"/>
      <c r="Q932" s="187"/>
      <c r="R932" s="92"/>
      <c r="S932" s="187"/>
      <c r="T932" s="92"/>
      <c r="U932" s="187"/>
    </row>
    <row r="933" ht="15.75" customHeight="1">
      <c r="A933" s="92"/>
      <c r="B933" s="190"/>
      <c r="C933" s="92"/>
      <c r="D933" s="92"/>
      <c r="F933" s="92"/>
      <c r="G933" s="92"/>
      <c r="H933" s="187"/>
      <c r="I933" s="92"/>
      <c r="J933" s="92"/>
      <c r="K933" s="187"/>
      <c r="L933" s="92"/>
      <c r="M933" s="187"/>
      <c r="N933" s="92"/>
      <c r="O933" s="187"/>
      <c r="P933" s="92"/>
      <c r="Q933" s="187"/>
      <c r="R933" s="92"/>
      <c r="S933" s="187"/>
      <c r="T933" s="92"/>
      <c r="U933" s="187"/>
    </row>
    <row r="934" ht="15.75" customHeight="1">
      <c r="A934" s="92"/>
      <c r="B934" s="190"/>
      <c r="C934" s="92"/>
      <c r="D934" s="92"/>
      <c r="F934" s="92"/>
      <c r="G934" s="92"/>
      <c r="H934" s="187"/>
      <c r="I934" s="92"/>
      <c r="J934" s="92"/>
      <c r="K934" s="187"/>
      <c r="L934" s="92"/>
      <c r="M934" s="187"/>
      <c r="N934" s="92"/>
      <c r="O934" s="187"/>
      <c r="P934" s="92"/>
      <c r="Q934" s="187"/>
      <c r="R934" s="92"/>
      <c r="S934" s="187"/>
      <c r="T934" s="92"/>
      <c r="U934" s="187"/>
    </row>
    <row r="935" ht="15.75" customHeight="1">
      <c r="A935" s="92"/>
      <c r="B935" s="190"/>
      <c r="C935" s="92"/>
      <c r="D935" s="92"/>
      <c r="F935" s="92"/>
      <c r="G935" s="92"/>
      <c r="H935" s="187"/>
      <c r="I935" s="92"/>
      <c r="J935" s="92"/>
      <c r="K935" s="187"/>
      <c r="L935" s="92"/>
      <c r="M935" s="187"/>
      <c r="N935" s="92"/>
      <c r="O935" s="187"/>
      <c r="P935" s="92"/>
      <c r="Q935" s="187"/>
      <c r="R935" s="92"/>
      <c r="S935" s="187"/>
      <c r="T935" s="92"/>
      <c r="U935" s="187"/>
    </row>
    <row r="936" ht="15.75" customHeight="1">
      <c r="A936" s="92"/>
      <c r="B936" s="190"/>
      <c r="C936" s="92"/>
      <c r="D936" s="92"/>
      <c r="F936" s="92"/>
      <c r="G936" s="92"/>
      <c r="H936" s="187"/>
      <c r="I936" s="92"/>
      <c r="J936" s="92"/>
      <c r="K936" s="187"/>
      <c r="L936" s="92"/>
      <c r="M936" s="187"/>
      <c r="N936" s="92"/>
      <c r="O936" s="187"/>
      <c r="P936" s="92"/>
      <c r="Q936" s="187"/>
      <c r="R936" s="92"/>
      <c r="S936" s="187"/>
      <c r="T936" s="92"/>
      <c r="U936" s="187"/>
    </row>
    <row r="937" ht="15.75" customHeight="1">
      <c r="A937" s="92"/>
      <c r="B937" s="190"/>
      <c r="C937" s="92"/>
      <c r="D937" s="92"/>
      <c r="F937" s="92"/>
      <c r="G937" s="92"/>
      <c r="H937" s="187"/>
      <c r="I937" s="92"/>
      <c r="J937" s="92"/>
      <c r="K937" s="187"/>
      <c r="L937" s="92"/>
      <c r="M937" s="187"/>
      <c r="N937" s="92"/>
      <c r="O937" s="187"/>
      <c r="P937" s="92"/>
      <c r="Q937" s="187"/>
      <c r="R937" s="92"/>
      <c r="S937" s="187"/>
      <c r="T937" s="92"/>
      <c r="U937" s="187"/>
    </row>
    <row r="938" ht="15.75" customHeight="1">
      <c r="A938" s="92"/>
      <c r="B938" s="190"/>
      <c r="C938" s="92"/>
      <c r="D938" s="92"/>
      <c r="F938" s="92"/>
      <c r="G938" s="92"/>
      <c r="H938" s="187"/>
      <c r="I938" s="92"/>
      <c r="J938" s="92"/>
      <c r="K938" s="187"/>
      <c r="L938" s="92"/>
      <c r="M938" s="187"/>
      <c r="N938" s="92"/>
      <c r="O938" s="187"/>
      <c r="P938" s="92"/>
      <c r="Q938" s="187"/>
      <c r="R938" s="92"/>
      <c r="S938" s="187"/>
      <c r="T938" s="92"/>
      <c r="U938" s="187"/>
    </row>
    <row r="939" ht="15.75" customHeight="1">
      <c r="A939" s="92"/>
      <c r="B939" s="190"/>
      <c r="C939" s="92"/>
      <c r="D939" s="92"/>
      <c r="F939" s="92"/>
      <c r="G939" s="92"/>
      <c r="H939" s="187"/>
      <c r="I939" s="92"/>
      <c r="J939" s="92"/>
      <c r="K939" s="187"/>
      <c r="L939" s="92"/>
      <c r="M939" s="187"/>
      <c r="N939" s="92"/>
      <c r="O939" s="187"/>
      <c r="P939" s="92"/>
      <c r="Q939" s="187"/>
      <c r="R939" s="92"/>
      <c r="S939" s="187"/>
      <c r="T939" s="92"/>
      <c r="U939" s="187"/>
    </row>
    <row r="940" ht="15.75" customHeight="1">
      <c r="A940" s="92"/>
      <c r="B940" s="190"/>
      <c r="C940" s="92"/>
      <c r="D940" s="92"/>
      <c r="F940" s="92"/>
      <c r="G940" s="92"/>
      <c r="H940" s="187"/>
      <c r="I940" s="92"/>
      <c r="J940" s="92"/>
      <c r="K940" s="187"/>
      <c r="L940" s="92"/>
      <c r="M940" s="187"/>
      <c r="N940" s="92"/>
      <c r="O940" s="187"/>
      <c r="P940" s="92"/>
      <c r="Q940" s="187"/>
      <c r="R940" s="92"/>
      <c r="S940" s="187"/>
      <c r="T940" s="92"/>
      <c r="U940" s="187"/>
    </row>
    <row r="941" ht="15.75" customHeight="1">
      <c r="A941" s="92"/>
      <c r="B941" s="190"/>
      <c r="C941" s="92"/>
      <c r="D941" s="92"/>
      <c r="F941" s="92"/>
      <c r="G941" s="92"/>
      <c r="H941" s="187"/>
      <c r="I941" s="92"/>
      <c r="J941" s="92"/>
      <c r="K941" s="187"/>
      <c r="L941" s="92"/>
      <c r="M941" s="187"/>
      <c r="N941" s="92"/>
      <c r="O941" s="187"/>
      <c r="P941" s="92"/>
      <c r="Q941" s="187"/>
      <c r="R941" s="92"/>
      <c r="S941" s="187"/>
      <c r="T941" s="92"/>
      <c r="U941" s="187"/>
    </row>
    <row r="942" ht="15.75" customHeight="1">
      <c r="A942" s="92"/>
      <c r="B942" s="190"/>
      <c r="C942" s="92"/>
      <c r="D942" s="92"/>
      <c r="F942" s="92"/>
      <c r="G942" s="92"/>
      <c r="H942" s="187"/>
      <c r="I942" s="92"/>
      <c r="J942" s="92"/>
      <c r="K942" s="187"/>
      <c r="L942" s="92"/>
      <c r="M942" s="187"/>
      <c r="N942" s="92"/>
      <c r="O942" s="187"/>
      <c r="P942" s="92"/>
      <c r="Q942" s="187"/>
      <c r="R942" s="92"/>
      <c r="S942" s="187"/>
      <c r="T942" s="92"/>
      <c r="U942" s="187"/>
    </row>
    <row r="943" ht="15.75" customHeight="1">
      <c r="A943" s="92"/>
      <c r="B943" s="190"/>
      <c r="C943" s="92"/>
      <c r="D943" s="92"/>
      <c r="F943" s="92"/>
      <c r="G943" s="92"/>
      <c r="H943" s="187"/>
      <c r="I943" s="92"/>
      <c r="J943" s="92"/>
      <c r="K943" s="187"/>
      <c r="L943" s="92"/>
      <c r="M943" s="187"/>
      <c r="N943" s="92"/>
      <c r="O943" s="187"/>
      <c r="P943" s="92"/>
      <c r="Q943" s="187"/>
      <c r="R943" s="92"/>
      <c r="S943" s="187"/>
      <c r="T943" s="92"/>
      <c r="U943" s="187"/>
    </row>
    <row r="944" ht="15.75" customHeight="1">
      <c r="A944" s="92"/>
      <c r="B944" s="190"/>
      <c r="C944" s="92"/>
      <c r="D944" s="92"/>
      <c r="F944" s="92"/>
      <c r="G944" s="92"/>
      <c r="H944" s="187"/>
      <c r="I944" s="92"/>
      <c r="J944" s="92"/>
      <c r="K944" s="187"/>
      <c r="L944" s="92"/>
      <c r="M944" s="187"/>
      <c r="N944" s="92"/>
      <c r="O944" s="187"/>
      <c r="P944" s="92"/>
      <c r="Q944" s="187"/>
      <c r="R944" s="92"/>
      <c r="S944" s="187"/>
      <c r="T944" s="92"/>
      <c r="U944" s="187"/>
    </row>
    <row r="945" ht="15.75" customHeight="1">
      <c r="A945" s="92"/>
      <c r="B945" s="190"/>
      <c r="C945" s="92"/>
      <c r="D945" s="92"/>
      <c r="F945" s="92"/>
      <c r="G945" s="92"/>
      <c r="H945" s="187"/>
      <c r="I945" s="92"/>
      <c r="J945" s="92"/>
      <c r="K945" s="187"/>
      <c r="L945" s="92"/>
      <c r="M945" s="187"/>
      <c r="N945" s="92"/>
      <c r="O945" s="187"/>
      <c r="P945" s="92"/>
      <c r="Q945" s="187"/>
      <c r="R945" s="92"/>
      <c r="S945" s="187"/>
      <c r="T945" s="92"/>
      <c r="U945" s="187"/>
    </row>
    <row r="946" ht="15.75" customHeight="1">
      <c r="A946" s="92"/>
      <c r="B946" s="190"/>
      <c r="C946" s="92"/>
      <c r="D946" s="92"/>
      <c r="F946" s="92"/>
      <c r="G946" s="92"/>
      <c r="H946" s="187"/>
      <c r="I946" s="92"/>
      <c r="J946" s="92"/>
      <c r="K946" s="187"/>
      <c r="L946" s="92"/>
      <c r="M946" s="187"/>
      <c r="N946" s="92"/>
      <c r="O946" s="187"/>
      <c r="P946" s="92"/>
      <c r="Q946" s="187"/>
      <c r="R946" s="92"/>
      <c r="S946" s="187"/>
      <c r="T946" s="92"/>
      <c r="U946" s="187"/>
    </row>
    <row r="947" ht="15.75" customHeight="1">
      <c r="A947" s="92"/>
      <c r="B947" s="190"/>
      <c r="C947" s="92"/>
      <c r="D947" s="92"/>
      <c r="F947" s="92"/>
      <c r="G947" s="92"/>
      <c r="H947" s="187"/>
      <c r="I947" s="92"/>
      <c r="J947" s="92"/>
      <c r="K947" s="187"/>
      <c r="L947" s="92"/>
      <c r="M947" s="187"/>
      <c r="N947" s="92"/>
      <c r="O947" s="187"/>
      <c r="P947" s="92"/>
      <c r="Q947" s="187"/>
      <c r="R947" s="92"/>
      <c r="S947" s="187"/>
      <c r="T947" s="92"/>
      <c r="U947" s="187"/>
    </row>
    <row r="948" ht="15.75" customHeight="1">
      <c r="A948" s="92"/>
      <c r="B948" s="190"/>
      <c r="C948" s="92"/>
      <c r="D948" s="92"/>
      <c r="F948" s="92"/>
      <c r="G948" s="92"/>
      <c r="H948" s="187"/>
      <c r="I948" s="92"/>
      <c r="J948" s="92"/>
      <c r="K948" s="187"/>
      <c r="L948" s="92"/>
      <c r="M948" s="187"/>
      <c r="N948" s="92"/>
      <c r="O948" s="187"/>
      <c r="P948" s="92"/>
      <c r="Q948" s="187"/>
      <c r="R948" s="92"/>
      <c r="S948" s="187"/>
      <c r="T948" s="92"/>
      <c r="U948" s="187"/>
    </row>
    <row r="949" ht="15.75" customHeight="1">
      <c r="A949" s="92"/>
      <c r="B949" s="190"/>
      <c r="C949" s="92"/>
      <c r="D949" s="92"/>
      <c r="F949" s="92"/>
      <c r="G949" s="92"/>
      <c r="H949" s="187"/>
      <c r="I949" s="92"/>
      <c r="J949" s="92"/>
      <c r="K949" s="187"/>
      <c r="L949" s="92"/>
      <c r="M949" s="187"/>
      <c r="N949" s="92"/>
      <c r="O949" s="187"/>
      <c r="P949" s="92"/>
      <c r="Q949" s="187"/>
      <c r="R949" s="92"/>
      <c r="S949" s="187"/>
      <c r="T949" s="92"/>
      <c r="U949" s="187"/>
    </row>
    <row r="950" ht="15.75" customHeight="1">
      <c r="A950" s="92"/>
      <c r="B950" s="190"/>
      <c r="C950" s="92"/>
      <c r="D950" s="92"/>
      <c r="F950" s="92"/>
      <c r="G950" s="92"/>
      <c r="H950" s="187"/>
      <c r="I950" s="92"/>
      <c r="J950" s="92"/>
      <c r="K950" s="187"/>
      <c r="L950" s="92"/>
      <c r="M950" s="187"/>
      <c r="N950" s="92"/>
      <c r="O950" s="187"/>
      <c r="P950" s="92"/>
      <c r="Q950" s="187"/>
      <c r="R950" s="92"/>
      <c r="S950" s="187"/>
      <c r="T950" s="92"/>
      <c r="U950" s="187"/>
    </row>
    <row r="951" ht="15.75" customHeight="1">
      <c r="A951" s="92"/>
      <c r="B951" s="190"/>
      <c r="C951" s="92"/>
      <c r="D951" s="92"/>
      <c r="F951" s="92"/>
      <c r="G951" s="92"/>
      <c r="H951" s="187"/>
      <c r="I951" s="92"/>
      <c r="J951" s="92"/>
      <c r="K951" s="187"/>
      <c r="L951" s="92"/>
      <c r="M951" s="187"/>
      <c r="N951" s="92"/>
      <c r="O951" s="187"/>
      <c r="P951" s="92"/>
      <c r="Q951" s="187"/>
      <c r="R951" s="92"/>
      <c r="S951" s="187"/>
      <c r="T951" s="92"/>
      <c r="U951" s="187"/>
    </row>
    <row r="952" ht="15.75" customHeight="1">
      <c r="A952" s="92"/>
      <c r="B952" s="190"/>
      <c r="C952" s="92"/>
      <c r="D952" s="92"/>
      <c r="F952" s="92"/>
      <c r="G952" s="92"/>
      <c r="H952" s="187"/>
      <c r="I952" s="92"/>
      <c r="J952" s="92"/>
      <c r="K952" s="187"/>
      <c r="L952" s="92"/>
      <c r="M952" s="187"/>
      <c r="N952" s="92"/>
      <c r="O952" s="187"/>
      <c r="P952" s="92"/>
      <c r="Q952" s="187"/>
      <c r="R952" s="92"/>
      <c r="S952" s="187"/>
      <c r="T952" s="92"/>
      <c r="U952" s="187"/>
    </row>
    <row r="953" ht="15.75" customHeight="1">
      <c r="A953" s="92"/>
      <c r="B953" s="190"/>
      <c r="C953" s="92"/>
      <c r="D953" s="92"/>
      <c r="F953" s="92"/>
      <c r="G953" s="92"/>
      <c r="H953" s="187"/>
      <c r="I953" s="92"/>
      <c r="J953" s="92"/>
      <c r="K953" s="187"/>
      <c r="L953" s="92"/>
      <c r="M953" s="187"/>
      <c r="N953" s="92"/>
      <c r="O953" s="187"/>
      <c r="P953" s="92"/>
      <c r="Q953" s="187"/>
      <c r="R953" s="92"/>
      <c r="S953" s="187"/>
      <c r="T953" s="92"/>
      <c r="U953" s="187"/>
    </row>
    <row r="954" ht="15.75" customHeight="1">
      <c r="A954" s="92"/>
      <c r="B954" s="190"/>
      <c r="C954" s="92"/>
      <c r="D954" s="92"/>
      <c r="F954" s="92"/>
      <c r="G954" s="92"/>
      <c r="H954" s="187"/>
      <c r="I954" s="92"/>
      <c r="J954" s="92"/>
      <c r="K954" s="187"/>
      <c r="L954" s="92"/>
      <c r="M954" s="187"/>
      <c r="N954" s="92"/>
      <c r="O954" s="187"/>
      <c r="P954" s="92"/>
      <c r="Q954" s="187"/>
      <c r="R954" s="92"/>
      <c r="S954" s="187"/>
      <c r="T954" s="92"/>
      <c r="U954" s="187"/>
    </row>
    <row r="955" ht="15.75" customHeight="1">
      <c r="A955" s="92"/>
      <c r="B955" s="190"/>
      <c r="C955" s="92"/>
      <c r="D955" s="92"/>
      <c r="F955" s="92"/>
      <c r="G955" s="92"/>
      <c r="H955" s="187"/>
      <c r="I955" s="92"/>
      <c r="J955" s="92"/>
      <c r="K955" s="187"/>
      <c r="L955" s="92"/>
      <c r="M955" s="187"/>
      <c r="N955" s="92"/>
      <c r="O955" s="187"/>
      <c r="P955" s="92"/>
      <c r="Q955" s="187"/>
      <c r="R955" s="92"/>
      <c r="S955" s="187"/>
      <c r="T955" s="92"/>
      <c r="U955" s="187"/>
    </row>
    <row r="956" ht="15.75" customHeight="1">
      <c r="A956" s="92"/>
      <c r="B956" s="190"/>
      <c r="C956" s="92"/>
      <c r="D956" s="92"/>
      <c r="F956" s="92"/>
      <c r="G956" s="92"/>
      <c r="H956" s="187"/>
      <c r="I956" s="92"/>
      <c r="J956" s="92"/>
      <c r="K956" s="187"/>
      <c r="L956" s="92"/>
      <c r="M956" s="187"/>
      <c r="N956" s="92"/>
      <c r="O956" s="187"/>
      <c r="P956" s="92"/>
      <c r="Q956" s="187"/>
      <c r="R956" s="92"/>
      <c r="S956" s="187"/>
      <c r="T956" s="92"/>
      <c r="U956" s="187"/>
    </row>
    <row r="957" ht="15.75" customHeight="1">
      <c r="A957" s="92"/>
      <c r="B957" s="190"/>
      <c r="C957" s="92"/>
      <c r="D957" s="92"/>
      <c r="F957" s="92"/>
      <c r="G957" s="92"/>
      <c r="H957" s="187"/>
      <c r="I957" s="92"/>
      <c r="J957" s="92"/>
      <c r="K957" s="187"/>
      <c r="L957" s="92"/>
      <c r="M957" s="187"/>
      <c r="N957" s="92"/>
      <c r="O957" s="187"/>
      <c r="P957" s="92"/>
      <c r="Q957" s="187"/>
      <c r="R957" s="92"/>
      <c r="S957" s="187"/>
      <c r="T957" s="92"/>
      <c r="U957" s="187"/>
    </row>
    <row r="958" ht="15.75" customHeight="1">
      <c r="A958" s="92"/>
      <c r="B958" s="190"/>
      <c r="C958" s="92"/>
      <c r="D958" s="92"/>
      <c r="F958" s="92"/>
      <c r="G958" s="92"/>
      <c r="H958" s="187"/>
      <c r="I958" s="92"/>
      <c r="J958" s="92"/>
      <c r="K958" s="187"/>
      <c r="L958" s="92"/>
      <c r="M958" s="187"/>
      <c r="N958" s="92"/>
      <c r="O958" s="187"/>
      <c r="P958" s="92"/>
      <c r="Q958" s="187"/>
      <c r="R958" s="92"/>
      <c r="S958" s="187"/>
      <c r="T958" s="92"/>
      <c r="U958" s="187"/>
    </row>
    <row r="959" ht="15.75" customHeight="1">
      <c r="A959" s="92"/>
      <c r="B959" s="190"/>
      <c r="C959" s="92"/>
      <c r="D959" s="92"/>
      <c r="F959" s="92"/>
      <c r="G959" s="92"/>
      <c r="H959" s="187"/>
      <c r="I959" s="92"/>
      <c r="J959" s="92"/>
      <c r="K959" s="187"/>
      <c r="L959" s="92"/>
      <c r="M959" s="187"/>
      <c r="N959" s="92"/>
      <c r="O959" s="187"/>
      <c r="P959" s="92"/>
      <c r="Q959" s="187"/>
      <c r="R959" s="92"/>
      <c r="S959" s="187"/>
      <c r="T959" s="92"/>
      <c r="U959" s="187"/>
    </row>
    <row r="960" ht="15.75" customHeight="1">
      <c r="A960" s="92"/>
      <c r="B960" s="190"/>
      <c r="C960" s="92"/>
      <c r="D960" s="92"/>
      <c r="F960" s="92"/>
      <c r="G960" s="92"/>
      <c r="H960" s="187"/>
      <c r="I960" s="92"/>
      <c r="J960" s="92"/>
      <c r="K960" s="187"/>
      <c r="L960" s="92"/>
      <c r="M960" s="187"/>
      <c r="N960" s="92"/>
      <c r="O960" s="187"/>
      <c r="P960" s="92"/>
      <c r="Q960" s="187"/>
      <c r="R960" s="92"/>
      <c r="S960" s="187"/>
      <c r="T960" s="92"/>
      <c r="U960" s="187"/>
    </row>
    <row r="961" ht="15.75" customHeight="1">
      <c r="A961" s="92"/>
      <c r="B961" s="190"/>
      <c r="C961" s="92"/>
      <c r="D961" s="92"/>
      <c r="F961" s="92"/>
      <c r="G961" s="92"/>
      <c r="H961" s="187"/>
      <c r="I961" s="92"/>
      <c r="J961" s="92"/>
      <c r="K961" s="187"/>
      <c r="L961" s="92"/>
      <c r="M961" s="187"/>
      <c r="N961" s="92"/>
      <c r="O961" s="187"/>
      <c r="P961" s="92"/>
      <c r="Q961" s="187"/>
      <c r="R961" s="92"/>
      <c r="S961" s="187"/>
      <c r="T961" s="92"/>
      <c r="U961" s="187"/>
    </row>
    <row r="962" ht="15.75" customHeight="1">
      <c r="A962" s="92"/>
      <c r="B962" s="190"/>
      <c r="C962" s="92"/>
      <c r="D962" s="92"/>
      <c r="F962" s="92"/>
      <c r="G962" s="92"/>
      <c r="H962" s="187"/>
      <c r="I962" s="92"/>
      <c r="J962" s="92"/>
      <c r="K962" s="187"/>
      <c r="L962" s="92"/>
      <c r="M962" s="187"/>
      <c r="N962" s="92"/>
      <c r="O962" s="187"/>
      <c r="P962" s="92"/>
      <c r="Q962" s="187"/>
      <c r="R962" s="92"/>
      <c r="S962" s="187"/>
      <c r="T962" s="92"/>
      <c r="U962" s="187"/>
    </row>
    <row r="963" ht="15.75" customHeight="1">
      <c r="A963" s="92"/>
      <c r="B963" s="190"/>
      <c r="C963" s="92"/>
      <c r="D963" s="92"/>
      <c r="F963" s="92"/>
      <c r="G963" s="92"/>
      <c r="H963" s="187"/>
      <c r="I963" s="92"/>
      <c r="J963" s="92"/>
      <c r="K963" s="187"/>
      <c r="L963" s="92"/>
      <c r="M963" s="187"/>
      <c r="N963" s="92"/>
      <c r="O963" s="187"/>
      <c r="P963" s="92"/>
      <c r="Q963" s="187"/>
      <c r="R963" s="92"/>
      <c r="S963" s="187"/>
      <c r="T963" s="92"/>
      <c r="U963" s="187"/>
    </row>
    <row r="964" ht="15.75" customHeight="1">
      <c r="A964" s="92"/>
      <c r="B964" s="190"/>
      <c r="C964" s="92"/>
      <c r="D964" s="92"/>
      <c r="F964" s="92"/>
      <c r="G964" s="92"/>
      <c r="H964" s="187"/>
      <c r="I964" s="92"/>
      <c r="J964" s="92"/>
      <c r="K964" s="187"/>
      <c r="L964" s="92"/>
      <c r="M964" s="187"/>
      <c r="N964" s="92"/>
      <c r="O964" s="187"/>
      <c r="P964" s="92"/>
      <c r="Q964" s="187"/>
      <c r="R964" s="92"/>
      <c r="S964" s="187"/>
      <c r="T964" s="92"/>
      <c r="U964" s="187"/>
    </row>
    <row r="965" ht="15.75" customHeight="1">
      <c r="A965" s="92"/>
      <c r="B965" s="190"/>
      <c r="C965" s="92"/>
      <c r="D965" s="92"/>
      <c r="F965" s="92"/>
      <c r="G965" s="92"/>
      <c r="H965" s="187"/>
      <c r="I965" s="92"/>
      <c r="J965" s="92"/>
      <c r="K965" s="187"/>
      <c r="L965" s="92"/>
      <c r="M965" s="187"/>
      <c r="N965" s="92"/>
      <c r="O965" s="187"/>
      <c r="P965" s="92"/>
      <c r="Q965" s="187"/>
      <c r="R965" s="92"/>
      <c r="S965" s="187"/>
      <c r="T965" s="92"/>
      <c r="U965" s="187"/>
    </row>
    <row r="966" ht="15.75" customHeight="1">
      <c r="A966" s="92"/>
      <c r="B966" s="190"/>
      <c r="C966" s="92"/>
      <c r="D966" s="92"/>
      <c r="F966" s="92"/>
      <c r="G966" s="92"/>
      <c r="H966" s="187"/>
      <c r="I966" s="92"/>
      <c r="J966" s="92"/>
      <c r="K966" s="187"/>
      <c r="L966" s="92"/>
      <c r="M966" s="187"/>
      <c r="N966" s="92"/>
      <c r="O966" s="187"/>
      <c r="P966" s="92"/>
      <c r="Q966" s="187"/>
      <c r="R966" s="92"/>
      <c r="S966" s="187"/>
      <c r="T966" s="92"/>
      <c r="U966" s="187"/>
    </row>
    <row r="967" ht="15.75" customHeight="1">
      <c r="A967" s="92"/>
      <c r="B967" s="190"/>
      <c r="C967" s="92"/>
      <c r="D967" s="92"/>
      <c r="F967" s="92"/>
      <c r="G967" s="92"/>
      <c r="H967" s="187"/>
      <c r="I967" s="92"/>
      <c r="J967" s="92"/>
      <c r="K967" s="187"/>
      <c r="L967" s="92"/>
      <c r="M967" s="187"/>
      <c r="N967" s="92"/>
      <c r="O967" s="187"/>
      <c r="P967" s="92"/>
      <c r="Q967" s="187"/>
      <c r="R967" s="92"/>
      <c r="S967" s="187"/>
      <c r="T967" s="92"/>
      <c r="U967" s="187"/>
    </row>
    <row r="968" ht="15.75" customHeight="1">
      <c r="A968" s="92"/>
      <c r="B968" s="190"/>
      <c r="C968" s="92"/>
      <c r="D968" s="92"/>
      <c r="F968" s="92"/>
      <c r="G968" s="92"/>
      <c r="H968" s="187"/>
      <c r="I968" s="92"/>
      <c r="J968" s="92"/>
      <c r="K968" s="187"/>
      <c r="L968" s="92"/>
      <c r="M968" s="187"/>
      <c r="N968" s="92"/>
      <c r="O968" s="187"/>
      <c r="P968" s="92"/>
      <c r="Q968" s="187"/>
      <c r="R968" s="92"/>
      <c r="S968" s="187"/>
      <c r="T968" s="92"/>
      <c r="U968" s="187"/>
    </row>
    <row r="969" ht="15.75" customHeight="1">
      <c r="A969" s="92"/>
      <c r="B969" s="190"/>
      <c r="C969" s="92"/>
      <c r="D969" s="92"/>
      <c r="F969" s="92"/>
      <c r="G969" s="92"/>
      <c r="H969" s="187"/>
      <c r="I969" s="92"/>
      <c r="J969" s="92"/>
      <c r="K969" s="187"/>
      <c r="L969" s="92"/>
      <c r="M969" s="187"/>
      <c r="N969" s="92"/>
      <c r="O969" s="187"/>
      <c r="P969" s="92"/>
      <c r="Q969" s="187"/>
      <c r="R969" s="92"/>
      <c r="S969" s="187"/>
      <c r="T969" s="92"/>
      <c r="U969" s="187"/>
    </row>
    <row r="970" ht="15.75" customHeight="1">
      <c r="A970" s="92"/>
      <c r="B970" s="190"/>
      <c r="C970" s="92"/>
      <c r="D970" s="92"/>
      <c r="F970" s="92"/>
      <c r="G970" s="92"/>
      <c r="H970" s="187"/>
      <c r="I970" s="92"/>
      <c r="J970" s="92"/>
      <c r="K970" s="187"/>
      <c r="L970" s="92"/>
      <c r="M970" s="187"/>
      <c r="N970" s="92"/>
      <c r="O970" s="187"/>
      <c r="P970" s="92"/>
      <c r="Q970" s="187"/>
      <c r="R970" s="92"/>
      <c r="S970" s="187"/>
      <c r="T970" s="92"/>
      <c r="U970" s="187"/>
    </row>
    <row r="971" ht="15.75" customHeight="1">
      <c r="A971" s="92"/>
      <c r="B971" s="190"/>
      <c r="C971" s="92"/>
      <c r="D971" s="92"/>
      <c r="F971" s="92"/>
      <c r="G971" s="92"/>
      <c r="H971" s="187"/>
      <c r="I971" s="92"/>
      <c r="J971" s="92"/>
      <c r="K971" s="187"/>
      <c r="L971" s="92"/>
      <c r="M971" s="187"/>
      <c r="N971" s="92"/>
      <c r="O971" s="187"/>
      <c r="P971" s="92"/>
      <c r="Q971" s="187"/>
      <c r="R971" s="92"/>
      <c r="S971" s="187"/>
      <c r="T971" s="92"/>
      <c r="U971" s="187"/>
    </row>
    <row r="972" ht="15.75" customHeight="1">
      <c r="A972" s="92"/>
      <c r="B972" s="190"/>
      <c r="C972" s="92"/>
      <c r="D972" s="92"/>
      <c r="F972" s="92"/>
      <c r="G972" s="92"/>
      <c r="H972" s="187"/>
      <c r="I972" s="92"/>
      <c r="J972" s="92"/>
      <c r="K972" s="187"/>
      <c r="L972" s="92"/>
      <c r="M972" s="187"/>
      <c r="N972" s="92"/>
      <c r="O972" s="187"/>
      <c r="P972" s="92"/>
      <c r="Q972" s="187"/>
      <c r="R972" s="92"/>
      <c r="S972" s="187"/>
      <c r="T972" s="92"/>
      <c r="U972" s="187"/>
    </row>
    <row r="973" ht="15.75" customHeight="1">
      <c r="A973" s="92"/>
      <c r="B973" s="190"/>
      <c r="C973" s="92"/>
      <c r="D973" s="92"/>
      <c r="F973" s="92"/>
      <c r="G973" s="92"/>
      <c r="H973" s="187"/>
      <c r="I973" s="92"/>
      <c r="J973" s="92"/>
      <c r="K973" s="187"/>
      <c r="L973" s="92"/>
      <c r="M973" s="187"/>
      <c r="N973" s="92"/>
      <c r="O973" s="187"/>
      <c r="P973" s="92"/>
      <c r="Q973" s="187"/>
      <c r="R973" s="92"/>
      <c r="S973" s="187"/>
      <c r="T973" s="92"/>
      <c r="U973" s="187"/>
    </row>
    <row r="974" ht="15.75" customHeight="1">
      <c r="A974" s="92"/>
      <c r="B974" s="190"/>
      <c r="C974" s="92"/>
      <c r="D974" s="92"/>
      <c r="F974" s="92"/>
      <c r="G974" s="92"/>
      <c r="H974" s="187"/>
      <c r="I974" s="92"/>
      <c r="J974" s="92"/>
      <c r="K974" s="187"/>
      <c r="L974" s="92"/>
      <c r="M974" s="187"/>
      <c r="N974" s="92"/>
      <c r="O974" s="187"/>
      <c r="P974" s="92"/>
      <c r="Q974" s="187"/>
      <c r="R974" s="92"/>
      <c r="S974" s="187"/>
      <c r="T974" s="92"/>
      <c r="U974" s="187"/>
    </row>
    <row r="975" ht="15.75" customHeight="1">
      <c r="A975" s="92"/>
      <c r="B975" s="190"/>
      <c r="C975" s="92"/>
      <c r="D975" s="92"/>
      <c r="F975" s="92"/>
      <c r="G975" s="92"/>
      <c r="H975" s="187"/>
      <c r="I975" s="92"/>
      <c r="J975" s="92"/>
      <c r="K975" s="187"/>
      <c r="L975" s="92"/>
      <c r="M975" s="187"/>
      <c r="N975" s="92"/>
      <c r="O975" s="187"/>
      <c r="P975" s="92"/>
      <c r="Q975" s="187"/>
      <c r="R975" s="92"/>
      <c r="S975" s="187"/>
      <c r="T975" s="92"/>
      <c r="U975" s="187"/>
    </row>
    <row r="976" ht="15.75" customHeight="1">
      <c r="A976" s="92"/>
      <c r="B976" s="190"/>
      <c r="C976" s="92"/>
      <c r="D976" s="92"/>
      <c r="F976" s="92"/>
      <c r="G976" s="92"/>
      <c r="H976" s="187"/>
      <c r="I976" s="92"/>
      <c r="J976" s="92"/>
      <c r="K976" s="187"/>
      <c r="L976" s="92"/>
      <c r="M976" s="187"/>
      <c r="N976" s="92"/>
      <c r="O976" s="187"/>
      <c r="P976" s="92"/>
      <c r="Q976" s="187"/>
      <c r="R976" s="92"/>
      <c r="S976" s="187"/>
      <c r="T976" s="92"/>
      <c r="U976" s="187"/>
    </row>
    <row r="977" ht="15.75" customHeight="1">
      <c r="A977" s="92"/>
      <c r="B977" s="190"/>
      <c r="C977" s="92"/>
      <c r="D977" s="92"/>
      <c r="F977" s="92"/>
      <c r="G977" s="92"/>
      <c r="H977" s="187"/>
      <c r="I977" s="92"/>
      <c r="J977" s="92"/>
      <c r="K977" s="187"/>
      <c r="L977" s="92"/>
      <c r="M977" s="187"/>
      <c r="N977" s="92"/>
      <c r="O977" s="187"/>
      <c r="P977" s="92"/>
      <c r="Q977" s="187"/>
      <c r="R977" s="92"/>
      <c r="S977" s="187"/>
      <c r="T977" s="92"/>
      <c r="U977" s="187"/>
    </row>
    <row r="978" ht="15.75" customHeight="1">
      <c r="A978" s="92"/>
      <c r="B978" s="190"/>
      <c r="C978" s="92"/>
      <c r="D978" s="92"/>
      <c r="F978" s="92"/>
      <c r="G978" s="92"/>
      <c r="H978" s="187"/>
      <c r="I978" s="92"/>
      <c r="J978" s="92"/>
      <c r="K978" s="187"/>
      <c r="L978" s="92"/>
      <c r="M978" s="187"/>
      <c r="N978" s="92"/>
      <c r="O978" s="187"/>
      <c r="P978" s="92"/>
      <c r="Q978" s="187"/>
      <c r="R978" s="92"/>
      <c r="S978" s="187"/>
      <c r="T978" s="92"/>
      <c r="U978" s="187"/>
    </row>
    <row r="979" ht="15.75" customHeight="1">
      <c r="A979" s="92"/>
      <c r="B979" s="190"/>
      <c r="C979" s="92"/>
      <c r="D979" s="92"/>
      <c r="F979" s="92"/>
      <c r="G979" s="92"/>
      <c r="H979" s="187"/>
      <c r="I979" s="92"/>
      <c r="J979" s="92"/>
      <c r="K979" s="187"/>
      <c r="L979" s="92"/>
      <c r="M979" s="187"/>
      <c r="N979" s="92"/>
      <c r="O979" s="187"/>
      <c r="P979" s="92"/>
      <c r="Q979" s="187"/>
      <c r="R979" s="92"/>
      <c r="S979" s="187"/>
      <c r="T979" s="92"/>
      <c r="U979" s="187"/>
    </row>
    <row r="980" ht="15.75" customHeight="1">
      <c r="A980" s="92"/>
      <c r="B980" s="190"/>
      <c r="C980" s="92"/>
      <c r="D980" s="92"/>
      <c r="F980" s="92"/>
      <c r="G980" s="92"/>
      <c r="H980" s="187"/>
      <c r="I980" s="92"/>
      <c r="J980" s="92"/>
      <c r="K980" s="187"/>
      <c r="L980" s="92"/>
      <c r="M980" s="187"/>
      <c r="N980" s="92"/>
      <c r="O980" s="187"/>
      <c r="P980" s="92"/>
      <c r="Q980" s="187"/>
      <c r="R980" s="92"/>
      <c r="S980" s="187"/>
      <c r="T980" s="92"/>
      <c r="U980" s="187"/>
    </row>
    <row r="981" ht="15.75" customHeight="1">
      <c r="A981" s="92"/>
      <c r="B981" s="190"/>
      <c r="C981" s="92"/>
      <c r="D981" s="92"/>
      <c r="F981" s="92"/>
      <c r="G981" s="92"/>
      <c r="H981" s="187"/>
      <c r="I981" s="92"/>
      <c r="J981" s="92"/>
      <c r="K981" s="187"/>
      <c r="L981" s="92"/>
      <c r="M981" s="187"/>
      <c r="N981" s="92"/>
      <c r="O981" s="187"/>
      <c r="P981" s="92"/>
      <c r="Q981" s="187"/>
      <c r="R981" s="92"/>
      <c r="S981" s="187"/>
      <c r="T981" s="92"/>
      <c r="U981" s="187"/>
    </row>
    <row r="982" ht="15.75" customHeight="1">
      <c r="A982" s="92"/>
      <c r="B982" s="190"/>
      <c r="C982" s="92"/>
      <c r="D982" s="92"/>
      <c r="F982" s="92"/>
      <c r="G982" s="92"/>
      <c r="H982" s="187"/>
      <c r="I982" s="92"/>
      <c r="J982" s="92"/>
      <c r="K982" s="187"/>
      <c r="L982" s="92"/>
      <c r="M982" s="187"/>
      <c r="N982" s="92"/>
      <c r="O982" s="187"/>
      <c r="P982" s="92"/>
      <c r="Q982" s="187"/>
      <c r="R982" s="92"/>
      <c r="S982" s="187"/>
      <c r="T982" s="92"/>
      <c r="U982" s="187"/>
    </row>
    <row r="983" ht="15.75" customHeight="1">
      <c r="A983" s="92"/>
      <c r="B983" s="190"/>
      <c r="C983" s="92"/>
      <c r="D983" s="92"/>
      <c r="F983" s="92"/>
      <c r="G983" s="92"/>
      <c r="H983" s="187"/>
      <c r="I983" s="92"/>
      <c r="J983" s="92"/>
      <c r="K983" s="187"/>
      <c r="L983" s="92"/>
      <c r="M983" s="187"/>
      <c r="N983" s="92"/>
      <c r="O983" s="187"/>
      <c r="P983" s="92"/>
      <c r="Q983" s="187"/>
      <c r="R983" s="92"/>
      <c r="S983" s="187"/>
      <c r="T983" s="92"/>
      <c r="U983" s="187"/>
    </row>
    <row r="984" ht="15.75" customHeight="1">
      <c r="A984" s="92"/>
      <c r="B984" s="190"/>
      <c r="C984" s="92"/>
      <c r="D984" s="92"/>
      <c r="F984" s="92"/>
      <c r="G984" s="92"/>
      <c r="H984" s="187"/>
      <c r="I984" s="92"/>
      <c r="J984" s="92"/>
      <c r="K984" s="187"/>
      <c r="L984" s="92"/>
      <c r="M984" s="187"/>
      <c r="N984" s="92"/>
      <c r="O984" s="187"/>
      <c r="P984" s="92"/>
      <c r="Q984" s="187"/>
      <c r="R984" s="92"/>
      <c r="S984" s="187"/>
      <c r="T984" s="92"/>
      <c r="U984" s="187"/>
    </row>
    <row r="985" ht="15.75" customHeight="1">
      <c r="A985" s="92"/>
      <c r="B985" s="190"/>
      <c r="C985" s="92"/>
      <c r="D985" s="92"/>
      <c r="F985" s="92"/>
      <c r="G985" s="92"/>
      <c r="H985" s="187"/>
      <c r="I985" s="92"/>
      <c r="J985" s="92"/>
      <c r="K985" s="187"/>
      <c r="L985" s="92"/>
      <c r="M985" s="187"/>
      <c r="N985" s="92"/>
      <c r="O985" s="187"/>
      <c r="P985" s="92"/>
      <c r="Q985" s="187"/>
      <c r="R985" s="92"/>
      <c r="S985" s="187"/>
      <c r="T985" s="92"/>
      <c r="U985" s="187"/>
    </row>
    <row r="986" ht="15.75" customHeight="1">
      <c r="A986" s="92"/>
      <c r="B986" s="190"/>
      <c r="C986" s="92"/>
      <c r="D986" s="92"/>
      <c r="F986" s="92"/>
      <c r="G986" s="92"/>
      <c r="H986" s="187"/>
      <c r="I986" s="92"/>
      <c r="J986" s="92"/>
      <c r="K986" s="187"/>
      <c r="L986" s="92"/>
      <c r="M986" s="187"/>
      <c r="N986" s="92"/>
      <c r="O986" s="187"/>
      <c r="P986" s="92"/>
      <c r="Q986" s="187"/>
      <c r="R986" s="92"/>
      <c r="S986" s="187"/>
      <c r="T986" s="92"/>
      <c r="U986" s="187"/>
    </row>
    <row r="987" ht="15.75" customHeight="1">
      <c r="A987" s="92"/>
      <c r="B987" s="190"/>
      <c r="C987" s="92"/>
      <c r="D987" s="92"/>
      <c r="F987" s="92"/>
      <c r="G987" s="92"/>
      <c r="H987" s="187"/>
      <c r="I987" s="92"/>
      <c r="J987" s="92"/>
      <c r="K987" s="187"/>
      <c r="L987" s="92"/>
      <c r="M987" s="187"/>
      <c r="N987" s="92"/>
      <c r="O987" s="187"/>
      <c r="P987" s="92"/>
      <c r="Q987" s="187"/>
      <c r="R987" s="92"/>
      <c r="S987" s="187"/>
      <c r="T987" s="92"/>
      <c r="U987" s="187"/>
    </row>
    <row r="988" ht="15.75" customHeight="1">
      <c r="A988" s="92"/>
      <c r="B988" s="190"/>
      <c r="C988" s="92"/>
      <c r="D988" s="92"/>
      <c r="F988" s="92"/>
      <c r="G988" s="92"/>
      <c r="H988" s="187"/>
      <c r="I988" s="92"/>
      <c r="J988" s="92"/>
      <c r="K988" s="187"/>
      <c r="L988" s="92"/>
      <c r="M988" s="187"/>
      <c r="N988" s="92"/>
      <c r="O988" s="187"/>
      <c r="P988" s="92"/>
      <c r="Q988" s="187"/>
      <c r="R988" s="92"/>
      <c r="S988" s="187"/>
      <c r="T988" s="92"/>
      <c r="U988" s="187"/>
    </row>
    <row r="989" ht="15.75" customHeight="1">
      <c r="A989" s="92"/>
      <c r="B989" s="190"/>
      <c r="C989" s="92"/>
      <c r="D989" s="92"/>
      <c r="F989" s="92"/>
      <c r="G989" s="92"/>
      <c r="H989" s="187"/>
      <c r="I989" s="92"/>
      <c r="J989" s="92"/>
      <c r="K989" s="187"/>
      <c r="L989" s="92"/>
      <c r="M989" s="187"/>
      <c r="N989" s="92"/>
      <c r="O989" s="187"/>
      <c r="P989" s="92"/>
      <c r="Q989" s="187"/>
      <c r="R989" s="92"/>
      <c r="S989" s="187"/>
      <c r="T989" s="92"/>
      <c r="U989" s="187"/>
    </row>
    <row r="990" ht="15.75" customHeight="1">
      <c r="A990" s="92"/>
      <c r="B990" s="190"/>
      <c r="C990" s="92"/>
      <c r="D990" s="92"/>
      <c r="F990" s="92"/>
      <c r="G990" s="92"/>
      <c r="H990" s="187"/>
      <c r="I990" s="92"/>
      <c r="J990" s="92"/>
      <c r="K990" s="187"/>
      <c r="L990" s="92"/>
      <c r="M990" s="187"/>
      <c r="N990" s="92"/>
      <c r="O990" s="187"/>
      <c r="P990" s="92"/>
      <c r="Q990" s="187"/>
      <c r="R990" s="92"/>
      <c r="S990" s="187"/>
      <c r="T990" s="92"/>
      <c r="U990" s="187"/>
    </row>
    <row r="991" ht="15.75" customHeight="1">
      <c r="A991" s="92"/>
      <c r="B991" s="190"/>
      <c r="C991" s="92"/>
      <c r="D991" s="92"/>
      <c r="F991" s="92"/>
      <c r="G991" s="92"/>
      <c r="H991" s="187"/>
      <c r="I991" s="92"/>
      <c r="J991" s="92"/>
      <c r="K991" s="187"/>
      <c r="L991" s="92"/>
      <c r="M991" s="187"/>
      <c r="N991" s="92"/>
      <c r="O991" s="187"/>
      <c r="P991" s="92"/>
      <c r="Q991" s="187"/>
      <c r="R991" s="92"/>
      <c r="S991" s="187"/>
      <c r="T991" s="92"/>
      <c r="U991" s="187"/>
    </row>
    <row r="992" ht="15.75" customHeight="1">
      <c r="A992" s="92"/>
      <c r="B992" s="190"/>
      <c r="C992" s="92"/>
      <c r="D992" s="92"/>
      <c r="F992" s="92"/>
      <c r="G992" s="92"/>
      <c r="H992" s="187"/>
      <c r="I992" s="92"/>
      <c r="J992" s="92"/>
      <c r="K992" s="187"/>
      <c r="L992" s="92"/>
      <c r="M992" s="187"/>
      <c r="N992" s="92"/>
      <c r="O992" s="187"/>
      <c r="P992" s="92"/>
      <c r="Q992" s="187"/>
      <c r="R992" s="92"/>
      <c r="S992" s="187"/>
      <c r="T992" s="92"/>
      <c r="U992" s="187"/>
    </row>
    <row r="993" ht="15.75" customHeight="1">
      <c r="A993" s="92"/>
      <c r="B993" s="190"/>
      <c r="C993" s="92"/>
      <c r="D993" s="92"/>
      <c r="F993" s="92"/>
      <c r="G993" s="92"/>
      <c r="H993" s="187"/>
      <c r="I993" s="92"/>
      <c r="J993" s="92"/>
      <c r="K993" s="187"/>
      <c r="L993" s="92"/>
      <c r="M993" s="187"/>
      <c r="N993" s="92"/>
      <c r="O993" s="187"/>
      <c r="P993" s="92"/>
      <c r="Q993" s="187"/>
      <c r="R993" s="92"/>
      <c r="S993" s="187"/>
      <c r="T993" s="92"/>
      <c r="U993" s="187"/>
    </row>
    <row r="994" ht="15.75" customHeight="1">
      <c r="A994" s="92"/>
      <c r="B994" s="190"/>
      <c r="C994" s="92"/>
      <c r="D994" s="92"/>
      <c r="F994" s="92"/>
      <c r="G994" s="92"/>
      <c r="H994" s="187"/>
      <c r="I994" s="92"/>
      <c r="J994" s="92"/>
      <c r="K994" s="187"/>
      <c r="L994" s="92"/>
      <c r="M994" s="187"/>
      <c r="N994" s="92"/>
      <c r="O994" s="187"/>
      <c r="P994" s="92"/>
      <c r="Q994" s="187"/>
      <c r="R994" s="92"/>
      <c r="S994" s="187"/>
      <c r="T994" s="92"/>
      <c r="U994" s="187"/>
    </row>
    <row r="995" ht="15.75" customHeight="1">
      <c r="A995" s="92"/>
      <c r="B995" s="190"/>
      <c r="C995" s="92"/>
      <c r="D995" s="92"/>
      <c r="F995" s="92"/>
      <c r="G995" s="92"/>
      <c r="H995" s="187"/>
      <c r="I995" s="92"/>
      <c r="J995" s="92"/>
      <c r="K995" s="187"/>
      <c r="L995" s="92"/>
      <c r="M995" s="187"/>
      <c r="N995" s="92"/>
      <c r="O995" s="187"/>
      <c r="P995" s="92"/>
      <c r="Q995" s="187"/>
      <c r="R995" s="92"/>
      <c r="S995" s="187"/>
      <c r="T995" s="92"/>
      <c r="U995" s="187"/>
    </row>
    <row r="996" ht="15.75" customHeight="1">
      <c r="A996" s="92"/>
      <c r="B996" s="190"/>
      <c r="C996" s="92"/>
      <c r="D996" s="92"/>
      <c r="F996" s="92"/>
      <c r="G996" s="92"/>
      <c r="H996" s="187"/>
      <c r="I996" s="92"/>
      <c r="J996" s="92"/>
      <c r="K996" s="187"/>
      <c r="L996" s="92"/>
      <c r="M996" s="187"/>
      <c r="N996" s="92"/>
      <c r="O996" s="187"/>
      <c r="P996" s="92"/>
      <c r="Q996" s="187"/>
      <c r="R996" s="92"/>
      <c r="S996" s="187"/>
      <c r="T996" s="92"/>
      <c r="U996" s="187"/>
    </row>
    <row r="997" ht="15.75" customHeight="1">
      <c r="A997" s="92"/>
      <c r="B997" s="190"/>
      <c r="C997" s="92"/>
      <c r="D997" s="92"/>
      <c r="F997" s="92"/>
      <c r="G997" s="92"/>
      <c r="H997" s="187"/>
      <c r="I997" s="92"/>
      <c r="J997" s="92"/>
      <c r="K997" s="187"/>
      <c r="L997" s="92"/>
      <c r="M997" s="187"/>
      <c r="N997" s="92"/>
      <c r="O997" s="187"/>
      <c r="P997" s="92"/>
      <c r="Q997" s="187"/>
      <c r="R997" s="92"/>
      <c r="S997" s="187"/>
      <c r="T997" s="92"/>
      <c r="U997" s="187"/>
    </row>
    <row r="998" ht="15.75" customHeight="1">
      <c r="A998" s="92"/>
      <c r="B998" s="190"/>
      <c r="C998" s="92"/>
      <c r="D998" s="92"/>
      <c r="F998" s="92"/>
      <c r="G998" s="92"/>
      <c r="H998" s="187"/>
      <c r="I998" s="92"/>
      <c r="J998" s="92"/>
      <c r="K998" s="187"/>
      <c r="L998" s="92"/>
      <c r="M998" s="187"/>
      <c r="N998" s="92"/>
      <c r="O998" s="187"/>
      <c r="P998" s="92"/>
      <c r="Q998" s="187"/>
      <c r="R998" s="92"/>
      <c r="S998" s="187"/>
      <c r="T998" s="92"/>
      <c r="U998" s="187"/>
    </row>
    <row r="999" ht="15.75" customHeight="1">
      <c r="A999" s="92"/>
      <c r="B999" s="190"/>
      <c r="C999" s="92"/>
      <c r="D999" s="92"/>
      <c r="F999" s="92"/>
      <c r="G999" s="92"/>
      <c r="H999" s="187"/>
      <c r="I999" s="92"/>
      <c r="J999" s="92"/>
      <c r="K999" s="187"/>
      <c r="L999" s="92"/>
      <c r="M999" s="187"/>
      <c r="N999" s="92"/>
      <c r="O999" s="187"/>
      <c r="P999" s="92"/>
      <c r="Q999" s="187"/>
      <c r="R999" s="92"/>
      <c r="S999" s="187"/>
      <c r="T999" s="92"/>
      <c r="U999" s="187"/>
    </row>
    <row r="1000" ht="15.75" customHeight="1">
      <c r="A1000" s="92"/>
      <c r="B1000" s="190"/>
      <c r="C1000" s="92"/>
      <c r="D1000" s="92"/>
      <c r="F1000" s="92"/>
      <c r="G1000" s="92"/>
      <c r="I1000" s="92"/>
      <c r="J1000" s="92"/>
      <c r="K1000" s="187"/>
      <c r="L1000" s="92"/>
      <c r="M1000" s="187"/>
      <c r="N1000" s="92"/>
      <c r="O1000" s="187"/>
      <c r="P1000" s="92"/>
      <c r="Q1000" s="187"/>
      <c r="R1000" s="92"/>
      <c r="S1000" s="187"/>
      <c r="T1000" s="92"/>
      <c r="U1000" s="187"/>
    </row>
  </sheetData>
  <mergeCells count="3">
    <mergeCell ref="A1:A3"/>
    <mergeCell ref="B1:B3"/>
    <mergeCell ref="B5:B7"/>
  </mergeCells>
  <dataValidations>
    <dataValidation type="list" allowBlank="1" sqref="C2:U2 F3:R3 I4:O4 C3:D5 J5:L5 R4:R5 F4:F6 N5:N6 D6:D7 T3:U8 L6:L13">
      <formula1>VRMUpdate!$C:$C</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75"/>
    <col customWidth="1" min="2" max="2" width="14.25"/>
    <col customWidth="1" hidden="1" min="3" max="3" width="5.13"/>
    <col customWidth="1" min="4" max="4" width="5.13"/>
    <col customWidth="1" hidden="1" min="5" max="5" width="5.13"/>
    <col customWidth="1" min="6" max="6" width="5.13"/>
    <col customWidth="1" hidden="1" min="7" max="7" width="5.13"/>
    <col customWidth="1" min="8" max="8" width="5.13"/>
    <col customWidth="1" hidden="1" min="9" max="10" width="5.13"/>
    <col customWidth="1" min="11" max="11" width="5.13"/>
    <col customWidth="1" hidden="1" min="12" max="14" width="5.13"/>
    <col customWidth="1" min="15" max="15" width="5.13"/>
    <col customWidth="1" hidden="1" min="16" max="17" width="5.13"/>
    <col customWidth="1" min="18" max="18" width="5.13"/>
    <col customWidth="1" hidden="1" min="19" max="19" width="5.13"/>
    <col customWidth="1" min="20" max="20" width="5.13"/>
    <col customWidth="1" hidden="1" min="21" max="22" width="5.13"/>
    <col customWidth="1" min="23" max="23" width="5.13"/>
    <col customWidth="1" hidden="1" min="24" max="24" width="5.13"/>
    <col customWidth="1" min="25" max="25" width="5.13"/>
  </cols>
  <sheetData>
    <row r="1">
      <c r="A1" s="9" t="s">
        <v>1427</v>
      </c>
      <c r="B1" s="191" t="s">
        <v>1425</v>
      </c>
      <c r="C1" s="67" t="s">
        <v>49</v>
      </c>
      <c r="D1" s="67" t="s">
        <v>400</v>
      </c>
      <c r="E1" s="67" t="s">
        <v>51</v>
      </c>
      <c r="F1" s="67" t="s">
        <v>401</v>
      </c>
      <c r="G1" s="67" t="s">
        <v>52</v>
      </c>
      <c r="H1" s="67" t="s">
        <v>403</v>
      </c>
      <c r="I1" s="68" t="s">
        <v>53</v>
      </c>
      <c r="J1" s="67" t="s">
        <v>54</v>
      </c>
      <c r="K1" s="68" t="s">
        <v>402</v>
      </c>
      <c r="L1" s="67" t="s">
        <v>55</v>
      </c>
      <c r="M1" s="68" t="s">
        <v>59</v>
      </c>
      <c r="N1" s="67" t="s">
        <v>60</v>
      </c>
      <c r="O1" s="67" t="s">
        <v>405</v>
      </c>
      <c r="P1" s="67" t="s">
        <v>61</v>
      </c>
      <c r="Q1" s="67" t="s">
        <v>62</v>
      </c>
      <c r="R1" s="67" t="s">
        <v>406</v>
      </c>
      <c r="S1" s="67" t="s">
        <v>63</v>
      </c>
      <c r="T1" s="67" t="s">
        <v>407</v>
      </c>
      <c r="U1" s="67" t="s">
        <v>64</v>
      </c>
      <c r="V1" s="67" t="s">
        <v>65</v>
      </c>
      <c r="W1" s="67" t="s">
        <v>409</v>
      </c>
      <c r="X1" s="67" t="s">
        <v>66</v>
      </c>
      <c r="Y1" s="67" t="s">
        <v>410</v>
      </c>
    </row>
    <row r="2">
      <c r="C2" s="26" t="s">
        <v>180</v>
      </c>
      <c r="D2" s="192" t="s">
        <v>132</v>
      </c>
      <c r="E2" s="26" t="s">
        <v>207</v>
      </c>
      <c r="F2" s="26"/>
      <c r="G2" s="26" t="s">
        <v>246</v>
      </c>
      <c r="H2" s="192" t="s">
        <v>95</v>
      </c>
      <c r="I2" s="26" t="s">
        <v>246</v>
      </c>
      <c r="J2" s="26" t="s">
        <v>384</v>
      </c>
      <c r="K2" s="26" t="s">
        <v>384</v>
      </c>
      <c r="L2" s="26" t="s">
        <v>372</v>
      </c>
      <c r="M2" s="26" t="s">
        <v>384</v>
      </c>
      <c r="N2" s="26" t="s">
        <v>123</v>
      </c>
      <c r="O2" s="192" t="s">
        <v>123</v>
      </c>
      <c r="P2" s="26" t="s">
        <v>207</v>
      </c>
      <c r="Q2" s="26" t="s">
        <v>95</v>
      </c>
      <c r="R2" s="192" t="s">
        <v>183</v>
      </c>
      <c r="S2" s="26" t="s">
        <v>132</v>
      </c>
      <c r="T2" s="192" t="s">
        <v>123</v>
      </c>
      <c r="U2" s="26" t="s">
        <v>132</v>
      </c>
      <c r="V2" s="26" t="s">
        <v>156</v>
      </c>
      <c r="W2" s="26" t="s">
        <v>156</v>
      </c>
      <c r="X2" s="26" t="s">
        <v>95</v>
      </c>
      <c r="Y2" s="192" t="s">
        <v>95</v>
      </c>
    </row>
    <row r="3">
      <c r="A3" s="26"/>
      <c r="C3" s="26" t="s">
        <v>183</v>
      </c>
      <c r="D3" s="26" t="s">
        <v>180</v>
      </c>
      <c r="E3" s="26" t="s">
        <v>246</v>
      </c>
      <c r="F3" s="26"/>
      <c r="G3" s="26" t="s">
        <v>372</v>
      </c>
      <c r="H3" s="192" t="s">
        <v>246</v>
      </c>
      <c r="I3" s="26" t="s">
        <v>372</v>
      </c>
      <c r="J3" s="26"/>
      <c r="K3" s="26"/>
      <c r="L3" s="26" t="s">
        <v>384</v>
      </c>
      <c r="M3" s="26"/>
      <c r="N3" s="26" t="s">
        <v>150</v>
      </c>
      <c r="O3" s="26" t="s">
        <v>207</v>
      </c>
      <c r="P3" s="26" t="s">
        <v>222</v>
      </c>
      <c r="Q3" s="26" t="s">
        <v>117</v>
      </c>
      <c r="R3" s="192" t="s">
        <v>207</v>
      </c>
      <c r="S3" s="26" t="s">
        <v>180</v>
      </c>
      <c r="T3" s="26" t="s">
        <v>132</v>
      </c>
      <c r="U3" s="26" t="s">
        <v>156</v>
      </c>
      <c r="V3" s="26" t="s">
        <v>180</v>
      </c>
      <c r="W3" s="192" t="s">
        <v>180</v>
      </c>
      <c r="X3" s="26" t="s">
        <v>107</v>
      </c>
      <c r="Y3" s="26" t="s">
        <v>156</v>
      </c>
    </row>
    <row r="4">
      <c r="A4" s="26"/>
      <c r="C4" s="26" t="s">
        <v>231</v>
      </c>
      <c r="D4" s="192" t="s">
        <v>183</v>
      </c>
      <c r="E4" s="26" t="s">
        <v>283</v>
      </c>
      <c r="F4" s="26"/>
      <c r="G4" s="26" t="s">
        <v>384</v>
      </c>
      <c r="H4" s="26" t="s">
        <v>283</v>
      </c>
      <c r="I4" s="26" t="s">
        <v>384</v>
      </c>
      <c r="J4" s="26"/>
      <c r="K4" s="26"/>
      <c r="L4" s="26"/>
      <c r="M4" s="26"/>
      <c r="N4" s="26" t="s">
        <v>207</v>
      </c>
      <c r="O4" s="192" t="s">
        <v>243</v>
      </c>
      <c r="P4" s="26"/>
      <c r="Q4" s="26" t="s">
        <v>174</v>
      </c>
      <c r="R4" s="192" t="s">
        <v>268</v>
      </c>
      <c r="S4" s="26" t="s">
        <v>183</v>
      </c>
      <c r="T4" s="26" t="s">
        <v>180</v>
      </c>
      <c r="U4" s="26" t="s">
        <v>183</v>
      </c>
      <c r="V4" s="26" t="s">
        <v>207</v>
      </c>
      <c r="W4" s="192" t="s">
        <v>183</v>
      </c>
      <c r="X4" s="26" t="s">
        <v>117</v>
      </c>
      <c r="Y4" s="26" t="s">
        <v>162</v>
      </c>
    </row>
    <row r="5">
      <c r="A5" s="26"/>
      <c r="C5" s="26" t="s">
        <v>234</v>
      </c>
      <c r="D5" s="192" t="s">
        <v>207</v>
      </c>
      <c r="E5" s="26"/>
      <c r="F5" s="26"/>
      <c r="G5" s="26" t="s">
        <v>390</v>
      </c>
      <c r="H5" s="192" t="s">
        <v>372</v>
      </c>
      <c r="I5" s="26"/>
      <c r="J5" s="26"/>
      <c r="K5" s="26"/>
      <c r="L5" s="26"/>
      <c r="M5" s="26"/>
      <c r="N5" s="26" t="s">
        <v>306</v>
      </c>
      <c r="O5" s="192" t="s">
        <v>375</v>
      </c>
      <c r="P5" s="26"/>
      <c r="Q5" s="26" t="s">
        <v>183</v>
      </c>
      <c r="R5" s="192" t="s">
        <v>277</v>
      </c>
      <c r="S5" s="26" t="s">
        <v>222</v>
      </c>
      <c r="T5" s="26" t="s">
        <v>183</v>
      </c>
      <c r="U5" s="26" t="s">
        <v>360</v>
      </c>
      <c r="V5" s="26" t="s">
        <v>321</v>
      </c>
      <c r="W5" s="26"/>
      <c r="X5" s="26" t="s">
        <v>132</v>
      </c>
      <c r="Y5" s="26" t="s">
        <v>180</v>
      </c>
    </row>
    <row r="6">
      <c r="A6" s="26"/>
      <c r="C6" s="26" t="s">
        <v>283</v>
      </c>
      <c r="D6" s="192" t="s">
        <v>231</v>
      </c>
      <c r="E6" s="26" t="s">
        <v>384</v>
      </c>
      <c r="F6" s="26"/>
      <c r="G6" s="26"/>
      <c r="H6" s="192" t="s">
        <v>378</v>
      </c>
      <c r="I6" s="26"/>
      <c r="J6" s="26"/>
      <c r="K6" s="26"/>
      <c r="L6" s="26"/>
      <c r="M6" s="26"/>
      <c r="N6" s="26" t="s">
        <v>375</v>
      </c>
      <c r="O6" s="192" t="s">
        <v>378</v>
      </c>
      <c r="P6" s="26"/>
      <c r="Q6" s="26" t="s">
        <v>207</v>
      </c>
      <c r="R6" s="26" t="s">
        <v>339</v>
      </c>
      <c r="S6" s="26" t="s">
        <v>237</v>
      </c>
      <c r="T6" s="26" t="s">
        <v>268</v>
      </c>
      <c r="U6" s="26" t="s">
        <v>384</v>
      </c>
      <c r="V6" s="26" t="s">
        <v>378</v>
      </c>
      <c r="W6" s="26"/>
      <c r="X6" s="26" t="s">
        <v>156</v>
      </c>
      <c r="Y6" s="26" t="s">
        <v>183</v>
      </c>
    </row>
    <row r="7">
      <c r="C7" s="26" t="s">
        <v>306</v>
      </c>
      <c r="D7" s="192" t="s">
        <v>283</v>
      </c>
      <c r="E7" s="26"/>
      <c r="F7" s="26"/>
      <c r="G7" s="26"/>
      <c r="H7" s="26" t="s">
        <v>384</v>
      </c>
      <c r="I7" s="26"/>
      <c r="J7" s="26"/>
      <c r="K7" s="26"/>
      <c r="L7" s="26"/>
      <c r="M7" s="26"/>
      <c r="N7" s="26" t="s">
        <v>378</v>
      </c>
      <c r="O7" s="26"/>
      <c r="P7" s="26"/>
      <c r="Q7" s="26" t="s">
        <v>234</v>
      </c>
      <c r="R7" s="192" t="s">
        <v>360</v>
      </c>
      <c r="S7" s="26" t="s">
        <v>246</v>
      </c>
      <c r="T7" s="26" t="s">
        <v>283</v>
      </c>
      <c r="U7" s="26"/>
      <c r="V7" s="26" t="s">
        <v>354</v>
      </c>
      <c r="W7" s="26"/>
      <c r="X7" s="26" t="s">
        <v>174</v>
      </c>
      <c r="Y7" s="26" t="s">
        <v>207</v>
      </c>
    </row>
    <row r="8">
      <c r="B8" s="191">
        <f>countif(dd.agi,rept("?",6)&amp;"*")
+countif(dd.kxn,rept("?",6)&amp;"*")+
countif(dd.hwb,rept("?",6)&amp;"*")+
countif(dd.epc,rept("?",6)&amp;"*")+
countif(dd.egt,rept("?",6)&amp;"*")+
countif(dd.gkxn,rept("?",6)&amp;"*")+
countif(dd.gen,rept("?",6)&amp;"*")+
countif(dd.hcc,rept("?",6)&amp;"*")+
countif(dd.kmp,rept("?",6)&amp;"*")+
countif(dd.lu2,rept("?",6)&amp;"*")+
countif(dd.myc,rept("?",6)&amp;"*")+
countif(dd.nar,rept("?",6)&amp;"*")+
countif(dd.que,rept("?",6)&amp;"*")</f>
        <v>94</v>
      </c>
      <c r="C8" s="26" t="s">
        <v>309</v>
      </c>
      <c r="D8" s="26" t="s">
        <v>372</v>
      </c>
      <c r="E8" s="26"/>
      <c r="F8" s="26"/>
      <c r="G8" s="26"/>
      <c r="H8" s="26" t="s">
        <v>390</v>
      </c>
      <c r="I8" s="26"/>
      <c r="J8" s="26"/>
      <c r="K8" s="26"/>
      <c r="L8" s="26"/>
      <c r="M8" s="26"/>
      <c r="N8" s="26" t="s">
        <v>381</v>
      </c>
      <c r="O8" s="26"/>
      <c r="P8" s="26"/>
      <c r="Q8" s="26" t="s">
        <v>237</v>
      </c>
      <c r="R8" s="192" t="s">
        <v>366</v>
      </c>
      <c r="S8" s="26" t="s">
        <v>268</v>
      </c>
      <c r="T8" s="192" t="s">
        <v>309</v>
      </c>
      <c r="U8" s="26"/>
      <c r="V8" s="26"/>
      <c r="W8" s="26"/>
      <c r="X8" s="26" t="s">
        <v>180</v>
      </c>
      <c r="Y8" s="26" t="s">
        <v>222</v>
      </c>
    </row>
    <row r="9">
      <c r="B9" s="26"/>
      <c r="C9" s="26" t="s">
        <v>390</v>
      </c>
      <c r="D9" s="26"/>
      <c r="E9" s="26"/>
      <c r="F9" s="26"/>
      <c r="G9" s="26"/>
      <c r="H9" s="26"/>
      <c r="I9" s="26"/>
      <c r="J9" s="26"/>
      <c r="K9" s="26"/>
      <c r="L9" s="26"/>
      <c r="M9" s="26"/>
      <c r="N9" s="26"/>
      <c r="O9" s="26"/>
      <c r="P9" s="26"/>
      <c r="Q9" s="26" t="s">
        <v>246</v>
      </c>
      <c r="R9" s="192" t="s">
        <v>378</v>
      </c>
      <c r="S9" s="26" t="s">
        <v>283</v>
      </c>
      <c r="T9" s="26" t="s">
        <v>372</v>
      </c>
      <c r="U9" s="26"/>
      <c r="V9" s="26"/>
      <c r="W9" s="26"/>
      <c r="X9" s="26" t="s">
        <v>183</v>
      </c>
      <c r="Y9" s="26" t="s">
        <v>234</v>
      </c>
    </row>
    <row r="10">
      <c r="B10" s="191" t="s">
        <v>1426</v>
      </c>
      <c r="C10" s="26"/>
      <c r="D10" s="26"/>
      <c r="E10" s="26"/>
      <c r="F10" s="26"/>
      <c r="G10" s="26"/>
      <c r="H10" s="26"/>
      <c r="I10" s="26"/>
      <c r="J10" s="26"/>
      <c r="K10" s="26"/>
      <c r="L10" s="26"/>
      <c r="M10" s="26"/>
      <c r="N10" s="26"/>
      <c r="O10" s="26"/>
      <c r="P10" s="26"/>
      <c r="Q10" s="26" t="s">
        <v>268</v>
      </c>
      <c r="R10" s="26" t="s">
        <v>384</v>
      </c>
      <c r="S10" s="26" t="s">
        <v>306</v>
      </c>
      <c r="T10" s="26"/>
      <c r="U10" s="26"/>
      <c r="V10" s="26"/>
      <c r="W10" s="26"/>
      <c r="X10" s="26" t="s">
        <v>207</v>
      </c>
      <c r="Y10" s="26" t="s">
        <v>246</v>
      </c>
    </row>
    <row r="11">
      <c r="C11" s="26"/>
      <c r="D11" s="26"/>
      <c r="E11" s="26"/>
      <c r="F11" s="26"/>
      <c r="G11" s="26"/>
      <c r="H11" s="26"/>
      <c r="I11" s="26"/>
      <c r="J11" s="26"/>
      <c r="K11" s="26"/>
      <c r="L11" s="26"/>
      <c r="M11" s="26"/>
      <c r="N11" s="26"/>
      <c r="O11" s="26"/>
      <c r="P11" s="26"/>
      <c r="Q11" s="26" t="s">
        <v>277</v>
      </c>
      <c r="R11" s="26"/>
      <c r="S11" s="26" t="s">
        <v>372</v>
      </c>
      <c r="T11" s="26"/>
      <c r="U11" s="26"/>
      <c r="V11" s="26"/>
      <c r="W11" s="26"/>
      <c r="X11" s="26" t="s">
        <v>222</v>
      </c>
      <c r="Y11" s="26" t="s">
        <v>268</v>
      </c>
    </row>
    <row r="12">
      <c r="C12" s="26"/>
      <c r="D12" s="26"/>
      <c r="E12" s="26"/>
      <c r="F12" s="26"/>
      <c r="G12" s="26"/>
      <c r="H12" s="26"/>
      <c r="I12" s="26"/>
      <c r="J12" s="26"/>
      <c r="K12" s="26"/>
      <c r="L12" s="26"/>
      <c r="M12" s="26"/>
      <c r="N12" s="26"/>
      <c r="O12" s="26"/>
      <c r="P12" s="26"/>
      <c r="Q12" s="26" t="s">
        <v>321</v>
      </c>
      <c r="R12" s="26"/>
      <c r="S12" s="26" t="s">
        <v>384</v>
      </c>
      <c r="T12" s="26"/>
      <c r="U12" s="26"/>
      <c r="V12" s="26"/>
      <c r="W12" s="26"/>
      <c r="X12" s="26" t="s">
        <v>234</v>
      </c>
      <c r="Y12" s="26" t="s">
        <v>277</v>
      </c>
    </row>
    <row r="13">
      <c r="C13" s="26"/>
      <c r="D13" s="26"/>
      <c r="E13" s="26"/>
      <c r="F13" s="26"/>
      <c r="G13" s="26"/>
      <c r="H13" s="26"/>
      <c r="I13" s="26"/>
      <c r="J13" s="26"/>
      <c r="K13" s="26"/>
      <c r="L13" s="26"/>
      <c r="M13" s="26"/>
      <c r="N13" s="26"/>
      <c r="O13" s="26"/>
      <c r="P13" s="26"/>
      <c r="Q13" s="26" t="s">
        <v>339</v>
      </c>
      <c r="R13" s="26"/>
      <c r="S13" s="26"/>
      <c r="T13" s="26"/>
      <c r="U13" s="26"/>
      <c r="V13" s="26"/>
      <c r="W13" s="26"/>
      <c r="X13" s="26" t="s">
        <v>237</v>
      </c>
      <c r="Y13" s="26" t="s">
        <v>283</v>
      </c>
    </row>
    <row r="14">
      <c r="C14" s="26"/>
      <c r="D14" s="26"/>
      <c r="E14" s="26"/>
      <c r="F14" s="26"/>
      <c r="G14" s="26"/>
      <c r="H14" s="26"/>
      <c r="I14" s="26"/>
      <c r="J14" s="26"/>
      <c r="K14" s="26"/>
      <c r="L14" s="26"/>
      <c r="M14" s="26"/>
      <c r="N14" s="26"/>
      <c r="O14" s="26"/>
      <c r="P14" s="26"/>
      <c r="Q14" s="26" t="s">
        <v>360</v>
      </c>
      <c r="R14" s="26"/>
      <c r="S14" s="26"/>
      <c r="T14" s="26"/>
      <c r="U14" s="26"/>
      <c r="V14" s="26"/>
      <c r="W14" s="26"/>
      <c r="X14" s="26" t="s">
        <v>246</v>
      </c>
      <c r="Y14" s="26" t="s">
        <v>300</v>
      </c>
    </row>
    <row r="15">
      <c r="C15" s="26"/>
      <c r="D15" s="26"/>
      <c r="E15" s="26"/>
      <c r="F15" s="26"/>
      <c r="G15" s="26"/>
      <c r="H15" s="26"/>
      <c r="I15" s="26"/>
      <c r="J15" s="26"/>
      <c r="K15" s="26"/>
      <c r="L15" s="26"/>
      <c r="M15" s="26"/>
      <c r="N15" s="26"/>
      <c r="O15" s="26"/>
      <c r="P15" s="26"/>
      <c r="Q15" s="26" t="s">
        <v>366</v>
      </c>
      <c r="R15" s="26"/>
      <c r="S15" s="26"/>
      <c r="T15" s="26"/>
      <c r="U15" s="26"/>
      <c r="V15" s="26"/>
      <c r="W15" s="26"/>
      <c r="X15" s="26" t="s">
        <v>268</v>
      </c>
      <c r="Y15" s="26" t="s">
        <v>306</v>
      </c>
    </row>
    <row r="16">
      <c r="C16" s="26"/>
      <c r="D16" s="26"/>
      <c r="E16" s="26"/>
      <c r="F16" s="26"/>
      <c r="G16" s="26"/>
      <c r="H16" s="26"/>
      <c r="I16" s="26"/>
      <c r="J16" s="26"/>
      <c r="K16" s="26"/>
      <c r="L16" s="26"/>
      <c r="M16" s="26"/>
      <c r="N16" s="26"/>
      <c r="O16" s="26"/>
      <c r="P16" s="26"/>
      <c r="Q16" s="26" t="s">
        <v>372</v>
      </c>
      <c r="R16" s="26"/>
      <c r="S16" s="26"/>
      <c r="T16" s="26"/>
      <c r="U16" s="26"/>
      <c r="V16" s="26"/>
      <c r="W16" s="26"/>
      <c r="X16" s="26" t="s">
        <v>277</v>
      </c>
      <c r="Y16" s="26" t="s">
        <v>309</v>
      </c>
    </row>
    <row r="17">
      <c r="B17" s="191">
        <f>countif(dd.agi.sim,rept("?",6)&amp;"*")
+countif(dd.kxn.sim,rept("?",6)&amp;"*")+
countif(dd.cyan.sim,rept("?",6)&amp;"*")+
countif(dd.epc.sim,rept("?",6)&amp;"*")+
countif(dd.ecg,rept("?",6)&amp;"*")+
countif(dd.gen.sim,rept("?",6)&amp;"*")+
countif(dd.kmp.sim,rept("?",6)&amp;"*")+
countif(dd.lu2.sim,rept("?",6)&amp;"*")+
countif(dd.nar.sim,rept("?",6)&amp;"*")+
countif(dd.que.sim,rept("?",6)&amp;"*")</f>
        <v>65</v>
      </c>
      <c r="C17" s="26"/>
      <c r="D17" s="26"/>
      <c r="E17" s="26"/>
      <c r="F17" s="26"/>
      <c r="G17" s="26"/>
      <c r="H17" s="26"/>
      <c r="I17" s="26"/>
      <c r="J17" s="26"/>
      <c r="K17" s="26"/>
      <c r="L17" s="26"/>
      <c r="M17" s="26"/>
      <c r="N17" s="26"/>
      <c r="O17" s="26"/>
      <c r="P17" s="26"/>
      <c r="Q17" s="26" t="s">
        <v>378</v>
      </c>
      <c r="R17" s="26"/>
      <c r="S17" s="26"/>
      <c r="T17" s="26"/>
      <c r="U17" s="26"/>
      <c r="V17" s="26"/>
      <c r="W17" s="26"/>
      <c r="X17" s="26" t="s">
        <v>283</v>
      </c>
      <c r="Y17" s="26" t="s">
        <v>339</v>
      </c>
    </row>
    <row r="18" ht="14.25" customHeight="1">
      <c r="B18" s="26"/>
      <c r="C18" s="26"/>
      <c r="D18" s="26"/>
      <c r="E18" s="26"/>
      <c r="F18" s="26"/>
      <c r="G18" s="26"/>
      <c r="H18" s="26"/>
      <c r="I18" s="26"/>
      <c r="J18" s="26"/>
      <c r="K18" s="26"/>
      <c r="L18" s="26"/>
      <c r="M18" s="26"/>
      <c r="N18" s="26"/>
      <c r="O18" s="26"/>
      <c r="P18" s="26"/>
      <c r="Q18" s="26" t="s">
        <v>354</v>
      </c>
      <c r="R18" s="26"/>
      <c r="S18" s="26"/>
      <c r="T18" s="26"/>
      <c r="U18" s="26"/>
      <c r="V18" s="26"/>
      <c r="W18" s="26"/>
      <c r="X18" s="26" t="s">
        <v>321</v>
      </c>
      <c r="Y18" s="26" t="s">
        <v>360</v>
      </c>
    </row>
    <row r="19">
      <c r="B19" s="26"/>
      <c r="C19" s="26"/>
      <c r="D19" s="26"/>
      <c r="E19" s="26"/>
      <c r="F19" s="26"/>
      <c r="G19" s="26"/>
      <c r="H19" s="26"/>
      <c r="I19" s="26"/>
      <c r="J19" s="26"/>
      <c r="K19" s="26"/>
      <c r="L19" s="26"/>
      <c r="M19" s="26"/>
      <c r="N19" s="26"/>
      <c r="O19" s="26"/>
      <c r="P19" s="26"/>
      <c r="Q19" s="26"/>
      <c r="R19" s="26"/>
      <c r="S19" s="26"/>
      <c r="T19" s="26"/>
      <c r="U19" s="26"/>
      <c r="V19" s="26"/>
      <c r="W19" s="26"/>
      <c r="X19" s="26" t="s">
        <v>339</v>
      </c>
      <c r="Y19" s="26" t="s">
        <v>366</v>
      </c>
    </row>
    <row r="20" ht="15.75" customHeight="1">
      <c r="B20" s="26"/>
      <c r="C20" s="26"/>
      <c r="D20" s="26"/>
      <c r="E20" s="26"/>
      <c r="F20" s="26"/>
      <c r="G20" s="26"/>
      <c r="H20" s="26"/>
      <c r="I20" s="26"/>
      <c r="J20" s="26"/>
      <c r="K20" s="26"/>
      <c r="L20" s="26"/>
      <c r="M20" s="26"/>
      <c r="N20" s="26"/>
      <c r="O20" s="26"/>
      <c r="P20" s="26"/>
      <c r="Q20" s="26"/>
      <c r="R20" s="26"/>
      <c r="S20" s="26"/>
      <c r="T20" s="26"/>
      <c r="U20" s="26"/>
      <c r="V20" s="26"/>
      <c r="W20" s="26"/>
      <c r="X20" s="26" t="s">
        <v>360</v>
      </c>
      <c r="Y20" s="26" t="s">
        <v>372</v>
      </c>
    </row>
    <row r="21" ht="15.75" customHeight="1">
      <c r="B21" s="26"/>
      <c r="C21" s="26"/>
      <c r="D21" s="26"/>
      <c r="E21" s="26"/>
      <c r="F21" s="26"/>
      <c r="G21" s="26"/>
      <c r="H21" s="26"/>
      <c r="I21" s="26"/>
      <c r="J21" s="26"/>
      <c r="K21" s="26"/>
      <c r="L21" s="26"/>
      <c r="M21" s="26"/>
      <c r="N21" s="26"/>
      <c r="O21" s="26"/>
      <c r="P21" s="26"/>
      <c r="Q21" s="26"/>
      <c r="R21" s="26"/>
      <c r="S21" s="26"/>
      <c r="T21" s="26"/>
      <c r="U21" s="26"/>
      <c r="V21" s="26"/>
      <c r="W21" s="26"/>
      <c r="X21" s="26" t="s">
        <v>366</v>
      </c>
      <c r="Y21" s="26" t="s">
        <v>378</v>
      </c>
    </row>
    <row r="22" ht="15.75" customHeight="1">
      <c r="B22" s="26"/>
      <c r="C22" s="26"/>
      <c r="D22" s="26"/>
      <c r="E22" s="26"/>
      <c r="F22" s="26"/>
      <c r="G22" s="26"/>
      <c r="H22" s="26"/>
      <c r="I22" s="26"/>
      <c r="J22" s="26"/>
      <c r="K22" s="26"/>
      <c r="L22" s="26"/>
      <c r="M22" s="26"/>
      <c r="N22" s="26"/>
      <c r="O22" s="26"/>
      <c r="P22" s="26"/>
      <c r="Q22" s="26"/>
      <c r="R22" s="26"/>
      <c r="S22" s="26"/>
      <c r="T22" s="26"/>
      <c r="U22" s="26"/>
      <c r="V22" s="26"/>
      <c r="W22" s="26"/>
      <c r="X22" s="26" t="s">
        <v>372</v>
      </c>
      <c r="Y22" s="26" t="s">
        <v>384</v>
      </c>
    </row>
    <row r="23" ht="15.75" customHeight="1">
      <c r="B23" s="26"/>
      <c r="C23" s="26"/>
      <c r="D23" s="26"/>
      <c r="E23" s="26"/>
      <c r="F23" s="26"/>
      <c r="G23" s="26"/>
      <c r="H23" s="26"/>
      <c r="I23" s="26"/>
      <c r="J23" s="26"/>
      <c r="K23" s="26"/>
      <c r="L23" s="26"/>
      <c r="M23" s="26"/>
      <c r="N23" s="26"/>
      <c r="O23" s="26"/>
      <c r="P23" s="26"/>
      <c r="Q23" s="26"/>
      <c r="R23" s="26"/>
      <c r="S23" s="26"/>
      <c r="T23" s="26"/>
      <c r="U23" s="26"/>
      <c r="V23" s="26"/>
      <c r="W23" s="26"/>
      <c r="X23" s="26" t="s">
        <v>378</v>
      </c>
      <c r="Y23" s="26" t="s">
        <v>390</v>
      </c>
    </row>
    <row r="24" ht="15.75" customHeight="1">
      <c r="B24" s="26"/>
      <c r="C24" s="26"/>
      <c r="D24" s="26"/>
      <c r="E24" s="26"/>
      <c r="F24" s="26"/>
      <c r="G24" s="26"/>
      <c r="H24" s="26"/>
      <c r="I24" s="26"/>
      <c r="J24" s="26"/>
      <c r="K24" s="26"/>
      <c r="L24" s="26"/>
      <c r="M24" s="26"/>
      <c r="N24" s="26"/>
      <c r="O24" s="26"/>
      <c r="P24" s="26"/>
      <c r="Q24" s="26"/>
      <c r="R24" s="26"/>
      <c r="S24" s="26"/>
      <c r="T24" s="26"/>
      <c r="U24" s="26"/>
      <c r="V24" s="26"/>
      <c r="W24" s="26"/>
      <c r="X24" s="26" t="s">
        <v>384</v>
      </c>
      <c r="Y24" s="26" t="s">
        <v>393</v>
      </c>
    </row>
    <row r="25" ht="15.75" customHeight="1">
      <c r="B25" s="26"/>
      <c r="C25" s="26"/>
      <c r="D25" s="26"/>
      <c r="E25" s="26"/>
      <c r="F25" s="26"/>
      <c r="G25" s="26"/>
      <c r="H25" s="26"/>
      <c r="I25" s="26"/>
      <c r="J25" s="26"/>
      <c r="K25" s="26"/>
      <c r="L25" s="26"/>
      <c r="M25" s="26"/>
      <c r="N25" s="26"/>
      <c r="O25" s="26"/>
      <c r="P25" s="26"/>
      <c r="Q25" s="26"/>
      <c r="R25" s="26"/>
      <c r="S25" s="26"/>
      <c r="T25" s="26"/>
      <c r="U25" s="26"/>
      <c r="V25" s="26"/>
      <c r="W25" s="26"/>
      <c r="X25" s="26" t="s">
        <v>390</v>
      </c>
      <c r="Y25" s="26"/>
    </row>
    <row r="26" ht="15.75" customHeight="1">
      <c r="B26" s="26"/>
      <c r="C26" s="26"/>
      <c r="D26" s="26"/>
      <c r="E26" s="26"/>
      <c r="F26" s="26"/>
      <c r="G26" s="26"/>
      <c r="H26" s="26"/>
      <c r="I26" s="26"/>
      <c r="J26" s="26"/>
      <c r="K26" s="26"/>
      <c r="L26" s="26"/>
      <c r="M26" s="26"/>
      <c r="N26" s="26"/>
      <c r="O26" s="26"/>
      <c r="P26" s="26"/>
      <c r="Q26" s="26"/>
      <c r="R26" s="26"/>
      <c r="S26" s="26"/>
      <c r="T26" s="26"/>
      <c r="U26" s="26"/>
      <c r="V26" s="26"/>
      <c r="W26" s="26"/>
      <c r="X26" s="26"/>
      <c r="Y26" s="26"/>
    </row>
    <row r="27" ht="15.75" customHeight="1">
      <c r="B27" s="26"/>
      <c r="C27" s="26"/>
      <c r="D27" s="26"/>
      <c r="E27" s="26"/>
      <c r="F27" s="26"/>
      <c r="G27" s="26"/>
      <c r="H27" s="26"/>
      <c r="I27" s="26"/>
      <c r="J27" s="26"/>
      <c r="K27" s="26"/>
      <c r="L27" s="26"/>
      <c r="M27" s="26"/>
      <c r="N27" s="26"/>
      <c r="O27" s="26"/>
      <c r="P27" s="26"/>
      <c r="Q27" s="26"/>
      <c r="R27" s="26"/>
      <c r="S27" s="26"/>
      <c r="T27" s="26"/>
      <c r="U27" s="26"/>
      <c r="V27" s="26"/>
      <c r="W27" s="26"/>
      <c r="X27" s="26"/>
      <c r="Y27" s="26"/>
    </row>
    <row r="28" ht="15.75" customHeight="1">
      <c r="B28" s="26"/>
      <c r="C28" s="26"/>
      <c r="D28" s="26"/>
      <c r="E28" s="26"/>
      <c r="F28" s="26"/>
      <c r="G28" s="26"/>
      <c r="H28" s="26"/>
      <c r="I28" s="26"/>
      <c r="J28" s="26"/>
      <c r="K28" s="26"/>
      <c r="L28" s="26"/>
      <c r="M28" s="26"/>
      <c r="N28" s="26"/>
      <c r="O28" s="26"/>
      <c r="P28" s="26"/>
      <c r="Q28" s="26"/>
      <c r="R28" s="26"/>
      <c r="S28" s="26"/>
      <c r="T28" s="26"/>
      <c r="U28" s="26"/>
      <c r="V28" s="26"/>
      <c r="W28" s="26"/>
      <c r="X28" s="26"/>
      <c r="Y28" s="26"/>
    </row>
    <row r="29" ht="15.75" customHeight="1">
      <c r="B29" s="26"/>
      <c r="C29" s="26"/>
      <c r="D29" s="26"/>
      <c r="E29" s="26"/>
      <c r="F29" s="26"/>
      <c r="G29" s="26"/>
      <c r="H29" s="26"/>
      <c r="I29" s="26"/>
      <c r="J29" s="26"/>
      <c r="K29" s="26"/>
      <c r="L29" s="26"/>
      <c r="M29" s="26"/>
      <c r="N29" s="26"/>
      <c r="O29" s="26"/>
      <c r="P29" s="26"/>
      <c r="Q29" s="26"/>
      <c r="R29" s="26"/>
      <c r="S29" s="26"/>
      <c r="T29" s="26"/>
      <c r="U29" s="26"/>
      <c r="V29" s="26"/>
      <c r="W29" s="26"/>
      <c r="X29" s="26"/>
      <c r="Y29" s="26"/>
    </row>
    <row r="30" ht="15.75" customHeight="1">
      <c r="B30" s="26"/>
      <c r="C30" s="26"/>
      <c r="D30" s="26"/>
      <c r="E30" s="26"/>
      <c r="F30" s="26"/>
      <c r="G30" s="26"/>
      <c r="H30" s="26"/>
      <c r="I30" s="26"/>
      <c r="J30" s="26"/>
      <c r="K30" s="26"/>
      <c r="L30" s="26"/>
      <c r="M30" s="26"/>
      <c r="N30" s="26"/>
      <c r="O30" s="26"/>
      <c r="P30" s="26"/>
      <c r="Q30" s="26"/>
      <c r="R30" s="26"/>
      <c r="S30" s="26"/>
      <c r="T30" s="26"/>
      <c r="U30" s="26"/>
      <c r="V30" s="26"/>
      <c r="W30" s="26"/>
      <c r="X30" s="26"/>
      <c r="Y30" s="26"/>
    </row>
    <row r="31" ht="15.75" customHeight="1">
      <c r="B31" s="26"/>
      <c r="C31" s="26"/>
      <c r="D31" s="26"/>
      <c r="E31" s="26"/>
      <c r="F31" s="26"/>
      <c r="G31" s="26"/>
      <c r="H31" s="26"/>
      <c r="I31" s="26"/>
      <c r="J31" s="26"/>
      <c r="K31" s="26"/>
      <c r="L31" s="26"/>
      <c r="M31" s="26"/>
      <c r="N31" s="26"/>
      <c r="O31" s="26"/>
      <c r="P31" s="26"/>
      <c r="Q31" s="26"/>
      <c r="R31" s="26"/>
      <c r="S31" s="26"/>
      <c r="T31" s="26"/>
      <c r="U31" s="26"/>
      <c r="V31" s="26"/>
      <c r="W31" s="26"/>
      <c r="X31" s="26"/>
      <c r="Y31" s="26"/>
    </row>
    <row r="32" ht="15.75" customHeight="1">
      <c r="B32" s="26"/>
      <c r="C32" s="26"/>
      <c r="D32" s="26"/>
      <c r="E32" s="26"/>
      <c r="F32" s="26"/>
      <c r="G32" s="26"/>
      <c r="H32" s="26"/>
      <c r="I32" s="26"/>
      <c r="J32" s="26"/>
      <c r="K32" s="26"/>
      <c r="L32" s="26"/>
      <c r="M32" s="26"/>
      <c r="N32" s="26"/>
      <c r="O32" s="26"/>
      <c r="P32" s="26"/>
      <c r="Q32" s="26"/>
      <c r="R32" s="26"/>
      <c r="S32" s="26"/>
      <c r="T32" s="26"/>
      <c r="U32" s="26"/>
      <c r="V32" s="26"/>
      <c r="W32" s="26"/>
      <c r="X32" s="26"/>
      <c r="Y32" s="26"/>
    </row>
    <row r="33" ht="15.75" customHeight="1">
      <c r="B33" s="26"/>
      <c r="C33" s="26"/>
      <c r="D33" s="26"/>
      <c r="E33" s="26"/>
      <c r="F33" s="73"/>
      <c r="G33" s="26"/>
      <c r="H33" s="26"/>
      <c r="I33" s="26"/>
      <c r="J33" s="26"/>
      <c r="K33" s="26"/>
      <c r="L33" s="26"/>
      <c r="M33" s="26"/>
      <c r="N33" s="26"/>
      <c r="O33" s="26"/>
      <c r="P33" s="26"/>
      <c r="Q33" s="26"/>
      <c r="R33" s="26"/>
      <c r="S33" s="26"/>
      <c r="T33" s="26"/>
      <c r="U33" s="26"/>
      <c r="V33" s="26"/>
      <c r="W33" s="26"/>
      <c r="X33" s="26"/>
      <c r="Y33" s="26"/>
    </row>
    <row r="34" ht="15.75" customHeight="1">
      <c r="B34" s="26"/>
      <c r="C34" s="26"/>
      <c r="D34" s="26"/>
      <c r="E34" s="26"/>
      <c r="F34" s="73"/>
      <c r="G34" s="26"/>
      <c r="H34" s="26"/>
      <c r="I34" s="26"/>
      <c r="J34" s="26"/>
      <c r="K34" s="26"/>
      <c r="L34" s="26"/>
      <c r="M34" s="26"/>
      <c r="N34" s="26"/>
      <c r="O34" s="26"/>
      <c r="P34" s="26"/>
      <c r="Q34" s="26"/>
      <c r="R34" s="26"/>
      <c r="S34" s="26"/>
      <c r="T34" s="26"/>
      <c r="U34" s="26"/>
      <c r="V34" s="26"/>
      <c r="W34" s="26"/>
      <c r="X34" s="26"/>
      <c r="Y34" s="26"/>
    </row>
    <row r="35" ht="15.75" customHeight="1">
      <c r="B35" s="26"/>
      <c r="C35" s="26"/>
      <c r="D35" s="26"/>
      <c r="E35" s="26"/>
      <c r="F35" s="73"/>
      <c r="G35" s="26"/>
      <c r="H35" s="26"/>
      <c r="I35" s="26"/>
      <c r="J35" s="26"/>
      <c r="K35" s="73"/>
      <c r="L35" s="26"/>
      <c r="M35" s="26"/>
      <c r="N35" s="26"/>
      <c r="O35" s="26"/>
      <c r="P35" s="26"/>
      <c r="Q35" s="26"/>
      <c r="R35" s="26"/>
      <c r="S35" s="26"/>
      <c r="T35" s="73"/>
      <c r="U35" s="26"/>
      <c r="V35" s="26"/>
      <c r="W35" s="26"/>
      <c r="X35" s="26"/>
      <c r="Y35" s="26"/>
    </row>
    <row r="36" ht="15.75" customHeight="1">
      <c r="B36" s="73"/>
      <c r="C36" s="73"/>
      <c r="D36" s="73"/>
      <c r="E36" s="73"/>
      <c r="F36" s="73"/>
      <c r="G36" s="73"/>
      <c r="H36" s="26"/>
      <c r="I36" s="73"/>
      <c r="J36" s="73"/>
      <c r="K36" s="73"/>
      <c r="L36" s="73"/>
      <c r="M36" s="73"/>
      <c r="N36" s="73"/>
      <c r="O36" s="73"/>
      <c r="P36" s="73"/>
      <c r="Q36" s="73"/>
      <c r="R36" s="73"/>
      <c r="S36" s="73"/>
      <c r="T36" s="73"/>
      <c r="U36" s="73"/>
      <c r="V36" s="73"/>
      <c r="W36" s="73"/>
      <c r="X36" s="73"/>
      <c r="Y36" s="73"/>
    </row>
    <row r="37" ht="15.75" customHeight="1">
      <c r="B37" s="73"/>
      <c r="C37" s="73"/>
      <c r="D37" s="73"/>
      <c r="E37" s="73"/>
      <c r="F37" s="73"/>
      <c r="G37" s="73"/>
      <c r="H37" s="73"/>
      <c r="I37" s="73"/>
      <c r="J37" s="73"/>
      <c r="K37" s="73"/>
      <c r="L37" s="73"/>
      <c r="M37" s="73"/>
      <c r="N37" s="73"/>
      <c r="O37" s="73"/>
      <c r="P37" s="73"/>
      <c r="Q37" s="73"/>
      <c r="R37" s="73"/>
      <c r="S37" s="73"/>
      <c r="T37" s="73"/>
      <c r="U37" s="73"/>
      <c r="V37" s="73"/>
      <c r="W37" s="73"/>
      <c r="X37" s="73"/>
      <c r="Y37" s="73"/>
    </row>
    <row r="38" ht="15.75" customHeight="1">
      <c r="B38" s="73"/>
      <c r="C38" s="73"/>
      <c r="D38" s="73"/>
      <c r="E38" s="73"/>
      <c r="F38" s="73"/>
      <c r="G38" s="73"/>
      <c r="H38" s="73"/>
      <c r="I38" s="73"/>
      <c r="J38" s="73"/>
      <c r="K38" s="73"/>
      <c r="L38" s="73"/>
      <c r="M38" s="73"/>
      <c r="N38" s="73"/>
      <c r="O38" s="73"/>
      <c r="P38" s="73"/>
      <c r="Q38" s="73"/>
      <c r="R38" s="73"/>
      <c r="S38" s="73"/>
      <c r="T38" s="73"/>
      <c r="U38" s="73"/>
      <c r="V38" s="73"/>
      <c r="W38" s="73"/>
      <c r="X38" s="73"/>
      <c r="Y38" s="73"/>
    </row>
    <row r="39" ht="15.75" customHeight="1">
      <c r="B39" s="73"/>
      <c r="C39" s="73"/>
      <c r="D39" s="73"/>
      <c r="E39" s="73"/>
      <c r="F39" s="73"/>
      <c r="G39" s="73"/>
      <c r="H39" s="73"/>
      <c r="I39" s="73"/>
      <c r="J39" s="73"/>
      <c r="K39" s="73"/>
      <c r="L39" s="73"/>
      <c r="M39" s="73"/>
      <c r="N39" s="73"/>
      <c r="O39" s="73"/>
      <c r="P39" s="73"/>
      <c r="Q39" s="73"/>
      <c r="R39" s="73"/>
      <c r="S39" s="73"/>
      <c r="T39" s="73"/>
      <c r="U39" s="73"/>
      <c r="V39" s="73"/>
      <c r="W39" s="73"/>
      <c r="X39" s="73"/>
      <c r="Y39" s="73"/>
    </row>
    <row r="40" ht="15.75" customHeight="1">
      <c r="B40" s="73"/>
      <c r="C40" s="73"/>
      <c r="D40" s="73"/>
      <c r="E40" s="73"/>
      <c r="F40" s="73"/>
      <c r="G40" s="73"/>
      <c r="H40" s="73"/>
      <c r="I40" s="73"/>
      <c r="J40" s="73"/>
      <c r="K40" s="73"/>
      <c r="L40" s="73"/>
      <c r="M40" s="73"/>
      <c r="N40" s="73"/>
      <c r="O40" s="73"/>
      <c r="P40" s="73"/>
      <c r="Q40" s="73"/>
      <c r="R40" s="73"/>
      <c r="S40" s="73"/>
      <c r="T40" s="73"/>
      <c r="U40" s="73"/>
      <c r="V40" s="73"/>
      <c r="W40" s="73"/>
      <c r="X40" s="73"/>
      <c r="Y40" s="73"/>
    </row>
    <row r="41" ht="15.75" customHeight="1">
      <c r="B41" s="73"/>
      <c r="C41" s="73"/>
      <c r="D41" s="73"/>
      <c r="E41" s="73"/>
      <c r="F41" s="73"/>
      <c r="G41" s="73"/>
      <c r="H41" s="73"/>
      <c r="I41" s="73"/>
      <c r="J41" s="73"/>
      <c r="K41" s="73"/>
      <c r="L41" s="73"/>
      <c r="M41" s="73"/>
      <c r="N41" s="73"/>
      <c r="O41" s="73"/>
      <c r="P41" s="73"/>
      <c r="Q41" s="73"/>
      <c r="R41" s="73"/>
      <c r="S41" s="73"/>
      <c r="T41" s="73"/>
      <c r="U41" s="73"/>
      <c r="V41" s="73"/>
      <c r="W41" s="73"/>
      <c r="X41" s="73"/>
      <c r="Y41" s="73"/>
    </row>
    <row r="42" ht="15.75" customHeight="1">
      <c r="B42" s="73"/>
      <c r="C42" s="73"/>
      <c r="D42" s="73"/>
      <c r="E42" s="73"/>
      <c r="F42" s="73"/>
      <c r="G42" s="73"/>
      <c r="H42" s="73"/>
      <c r="I42" s="73"/>
      <c r="J42" s="73"/>
      <c r="K42" s="73"/>
      <c r="L42" s="73"/>
      <c r="M42" s="73"/>
      <c r="N42" s="73"/>
      <c r="O42" s="73"/>
      <c r="P42" s="73"/>
      <c r="Q42" s="73"/>
      <c r="R42" s="73"/>
      <c r="S42" s="73"/>
      <c r="T42" s="73"/>
      <c r="U42" s="73"/>
      <c r="V42" s="73"/>
      <c r="W42" s="73"/>
      <c r="X42" s="73"/>
      <c r="Y42" s="73"/>
    </row>
    <row r="43" ht="15.75" customHeight="1">
      <c r="B43" s="73"/>
      <c r="C43" s="73"/>
      <c r="D43" s="73"/>
      <c r="E43" s="73"/>
      <c r="F43" s="73"/>
      <c r="G43" s="73"/>
      <c r="H43" s="73"/>
      <c r="I43" s="73"/>
      <c r="J43" s="73"/>
      <c r="K43" s="73"/>
      <c r="L43" s="73"/>
      <c r="M43" s="73"/>
      <c r="N43" s="73"/>
      <c r="O43" s="73"/>
      <c r="P43" s="73"/>
      <c r="Q43" s="73"/>
      <c r="R43" s="73"/>
      <c r="S43" s="73"/>
      <c r="T43" s="73"/>
      <c r="U43" s="73"/>
      <c r="V43" s="73"/>
      <c r="W43" s="73"/>
      <c r="X43" s="73"/>
      <c r="Y43" s="73"/>
    </row>
    <row r="44" ht="15.75" customHeight="1">
      <c r="B44" s="73"/>
      <c r="C44" s="73"/>
      <c r="D44" s="73"/>
      <c r="E44" s="73"/>
      <c r="F44" s="73"/>
      <c r="G44" s="73"/>
      <c r="H44" s="73"/>
      <c r="I44" s="73"/>
      <c r="J44" s="73"/>
      <c r="K44" s="73"/>
      <c r="L44" s="73"/>
      <c r="M44" s="73"/>
      <c r="N44" s="73"/>
      <c r="O44" s="73"/>
      <c r="P44" s="73"/>
      <c r="Q44" s="73"/>
      <c r="R44" s="73"/>
      <c r="S44" s="73"/>
      <c r="T44" s="73"/>
      <c r="U44" s="73"/>
      <c r="V44" s="73"/>
      <c r="W44" s="73"/>
      <c r="X44" s="73"/>
      <c r="Y44" s="73"/>
    </row>
    <row r="45" ht="15.75" customHeight="1">
      <c r="B45" s="73"/>
      <c r="C45" s="73"/>
      <c r="D45" s="73"/>
      <c r="E45" s="73"/>
      <c r="F45" s="73"/>
      <c r="G45" s="73"/>
      <c r="H45" s="73"/>
      <c r="I45" s="73"/>
      <c r="J45" s="73"/>
      <c r="K45" s="73"/>
      <c r="L45" s="73"/>
      <c r="M45" s="73"/>
      <c r="N45" s="73"/>
      <c r="O45" s="73"/>
      <c r="P45" s="73"/>
      <c r="Q45" s="73"/>
      <c r="R45" s="73"/>
      <c r="S45" s="73"/>
      <c r="T45" s="73"/>
      <c r="U45" s="73"/>
      <c r="V45" s="73"/>
      <c r="W45" s="73"/>
      <c r="X45" s="73"/>
      <c r="Y45" s="73"/>
    </row>
    <row r="46" ht="15.75" customHeight="1">
      <c r="B46" s="73"/>
      <c r="C46" s="73"/>
      <c r="D46" s="73"/>
      <c r="E46" s="73"/>
      <c r="F46" s="73"/>
      <c r="G46" s="73"/>
      <c r="H46" s="73"/>
      <c r="I46" s="73"/>
      <c r="J46" s="73"/>
      <c r="K46" s="73"/>
      <c r="L46" s="73"/>
      <c r="M46" s="73"/>
      <c r="N46" s="73"/>
      <c r="O46" s="73"/>
      <c r="P46" s="73"/>
      <c r="Q46" s="73"/>
      <c r="R46" s="73"/>
      <c r="S46" s="73"/>
      <c r="T46" s="73"/>
      <c r="U46" s="73"/>
      <c r="V46" s="73"/>
      <c r="W46" s="73"/>
      <c r="X46" s="73"/>
      <c r="Y46" s="73"/>
    </row>
    <row r="47" ht="15.75" customHeight="1">
      <c r="B47" s="73"/>
      <c r="C47" s="73"/>
      <c r="D47" s="73"/>
      <c r="E47" s="73"/>
      <c r="F47" s="73"/>
      <c r="G47" s="73"/>
      <c r="H47" s="73"/>
      <c r="I47" s="73"/>
      <c r="J47" s="73"/>
      <c r="K47" s="73"/>
      <c r="L47" s="73"/>
      <c r="M47" s="73"/>
      <c r="N47" s="73"/>
      <c r="O47" s="73"/>
      <c r="P47" s="73"/>
      <c r="Q47" s="73"/>
      <c r="R47" s="73"/>
      <c r="S47" s="73"/>
      <c r="T47" s="73"/>
      <c r="U47" s="73"/>
      <c r="V47" s="73"/>
      <c r="W47" s="73"/>
      <c r="X47" s="73"/>
      <c r="Y47" s="73"/>
    </row>
    <row r="48" ht="15.75" customHeight="1">
      <c r="B48" s="73"/>
      <c r="C48" s="73"/>
      <c r="D48" s="73"/>
      <c r="E48" s="73"/>
      <c r="F48" s="73"/>
      <c r="G48" s="73"/>
      <c r="H48" s="73"/>
      <c r="I48" s="73"/>
      <c r="J48" s="73"/>
      <c r="K48" s="73"/>
      <c r="L48" s="73"/>
      <c r="M48" s="73"/>
      <c r="N48" s="73"/>
      <c r="O48" s="73"/>
      <c r="P48" s="73"/>
      <c r="Q48" s="73"/>
      <c r="R48" s="73"/>
      <c r="S48" s="73"/>
      <c r="T48" s="73"/>
      <c r="U48" s="73"/>
      <c r="V48" s="73"/>
      <c r="W48" s="73"/>
      <c r="X48" s="73"/>
      <c r="Y48" s="73"/>
    </row>
    <row r="49" ht="15.75" customHeight="1">
      <c r="B49" s="73"/>
      <c r="C49" s="73"/>
      <c r="D49" s="73"/>
      <c r="E49" s="73"/>
      <c r="F49" s="73"/>
      <c r="G49" s="73"/>
      <c r="H49" s="73"/>
      <c r="I49" s="73"/>
      <c r="J49" s="73"/>
      <c r="K49" s="73"/>
      <c r="L49" s="73"/>
      <c r="M49" s="73"/>
      <c r="N49" s="73"/>
      <c r="O49" s="73"/>
      <c r="P49" s="73"/>
      <c r="Q49" s="73"/>
      <c r="R49" s="73"/>
      <c r="S49" s="73"/>
      <c r="T49" s="73"/>
      <c r="U49" s="73"/>
      <c r="V49" s="73"/>
      <c r="W49" s="73"/>
      <c r="X49" s="73"/>
      <c r="Y49" s="73"/>
    </row>
    <row r="50" ht="15.75" customHeight="1">
      <c r="B50" s="73"/>
      <c r="C50" s="73"/>
      <c r="D50" s="73"/>
      <c r="E50" s="73"/>
      <c r="F50" s="73"/>
      <c r="G50" s="73"/>
      <c r="H50" s="73"/>
      <c r="I50" s="73"/>
      <c r="J50" s="73"/>
      <c r="K50" s="73"/>
      <c r="L50" s="73"/>
      <c r="M50" s="73"/>
      <c r="N50" s="73"/>
      <c r="O50" s="73"/>
      <c r="P50" s="73"/>
      <c r="Q50" s="73"/>
      <c r="R50" s="73"/>
      <c r="S50" s="73"/>
      <c r="T50" s="73"/>
      <c r="U50" s="73"/>
      <c r="V50" s="73"/>
      <c r="W50" s="73"/>
      <c r="X50" s="73"/>
      <c r="Y50" s="73"/>
    </row>
    <row r="51" ht="15.75" customHeight="1">
      <c r="B51" s="73"/>
      <c r="C51" s="73"/>
      <c r="D51" s="73"/>
      <c r="E51" s="73"/>
      <c r="F51" s="73"/>
      <c r="G51" s="73"/>
      <c r="H51" s="73"/>
      <c r="I51" s="73"/>
      <c r="J51" s="73"/>
      <c r="K51" s="73"/>
      <c r="L51" s="73"/>
      <c r="M51" s="73"/>
      <c r="N51" s="73"/>
      <c r="O51" s="73"/>
      <c r="P51" s="73"/>
      <c r="Q51" s="73"/>
      <c r="R51" s="73"/>
      <c r="S51" s="73"/>
      <c r="T51" s="73"/>
      <c r="U51" s="73"/>
      <c r="V51" s="73"/>
      <c r="W51" s="73"/>
      <c r="X51" s="73"/>
      <c r="Y51" s="73"/>
    </row>
    <row r="52" ht="15.75" customHeight="1">
      <c r="B52" s="73"/>
      <c r="C52" s="73"/>
      <c r="D52" s="73"/>
      <c r="E52" s="73"/>
      <c r="F52" s="73"/>
      <c r="G52" s="73"/>
      <c r="H52" s="73"/>
      <c r="I52" s="73"/>
      <c r="J52" s="73"/>
      <c r="K52" s="73"/>
      <c r="L52" s="73"/>
      <c r="M52" s="73"/>
      <c r="N52" s="73"/>
      <c r="O52" s="73"/>
      <c r="P52" s="73"/>
      <c r="Q52" s="73"/>
      <c r="R52" s="73"/>
      <c r="S52" s="73"/>
      <c r="T52" s="73"/>
      <c r="U52" s="73"/>
      <c r="V52" s="73"/>
      <c r="W52" s="73"/>
      <c r="X52" s="73"/>
      <c r="Y52" s="73"/>
    </row>
    <row r="53" ht="15.75" customHeight="1">
      <c r="B53" s="73"/>
      <c r="C53" s="73"/>
      <c r="D53" s="73"/>
      <c r="E53" s="73"/>
      <c r="F53" s="73"/>
      <c r="G53" s="73"/>
      <c r="H53" s="73"/>
      <c r="I53" s="73"/>
      <c r="J53" s="73"/>
      <c r="K53" s="73"/>
      <c r="L53" s="73"/>
      <c r="M53" s="73"/>
      <c r="N53" s="73"/>
      <c r="O53" s="73"/>
      <c r="P53" s="73"/>
      <c r="Q53" s="73"/>
      <c r="R53" s="73"/>
      <c r="S53" s="73"/>
      <c r="T53" s="73"/>
      <c r="U53" s="73"/>
      <c r="V53" s="73"/>
      <c r="W53" s="73"/>
      <c r="X53" s="73"/>
      <c r="Y53" s="73"/>
    </row>
    <row r="54" ht="15.75" customHeight="1">
      <c r="B54" s="73"/>
      <c r="C54" s="73"/>
      <c r="D54" s="73"/>
      <c r="E54" s="73"/>
      <c r="F54" s="73"/>
      <c r="G54" s="73"/>
      <c r="H54" s="73"/>
      <c r="I54" s="73"/>
      <c r="J54" s="73"/>
      <c r="K54" s="73"/>
      <c r="L54" s="73"/>
      <c r="M54" s="73"/>
      <c r="N54" s="73"/>
      <c r="O54" s="73"/>
      <c r="P54" s="73"/>
      <c r="Q54" s="73"/>
      <c r="R54" s="73"/>
      <c r="S54" s="73"/>
      <c r="T54" s="73"/>
      <c r="U54" s="73"/>
      <c r="V54" s="73"/>
      <c r="W54" s="73"/>
      <c r="X54" s="73"/>
      <c r="Y54" s="73"/>
    </row>
    <row r="55" ht="15.75" customHeight="1">
      <c r="B55" s="73"/>
      <c r="C55" s="73"/>
      <c r="D55" s="73"/>
      <c r="E55" s="73"/>
      <c r="F55" s="73"/>
      <c r="G55" s="73"/>
      <c r="H55" s="73"/>
      <c r="I55" s="73"/>
      <c r="J55" s="73"/>
      <c r="K55" s="73"/>
      <c r="L55" s="73"/>
      <c r="M55" s="73"/>
      <c r="N55" s="73"/>
      <c r="O55" s="73"/>
      <c r="P55" s="73"/>
      <c r="Q55" s="73"/>
      <c r="R55" s="73"/>
      <c r="S55" s="73"/>
      <c r="T55" s="73"/>
      <c r="U55" s="73"/>
      <c r="V55" s="73"/>
      <c r="W55" s="73"/>
      <c r="X55" s="73"/>
      <c r="Y55" s="73"/>
    </row>
    <row r="56" ht="15.75" customHeight="1">
      <c r="B56" s="73"/>
      <c r="C56" s="73"/>
      <c r="D56" s="73"/>
      <c r="E56" s="73"/>
      <c r="F56" s="73"/>
      <c r="G56" s="73"/>
      <c r="H56" s="73"/>
      <c r="I56" s="73"/>
      <c r="J56" s="73"/>
      <c r="K56" s="73"/>
      <c r="L56" s="73"/>
      <c r="M56" s="73"/>
      <c r="N56" s="73"/>
      <c r="O56" s="73"/>
      <c r="P56" s="73"/>
      <c r="Q56" s="73"/>
      <c r="R56" s="73"/>
      <c r="S56" s="73"/>
      <c r="T56" s="73"/>
      <c r="U56" s="73"/>
      <c r="V56" s="73"/>
      <c r="W56" s="73"/>
      <c r="X56" s="73"/>
      <c r="Y56" s="73"/>
    </row>
    <row r="57" ht="15.75" customHeight="1">
      <c r="B57" s="73"/>
      <c r="C57" s="73"/>
      <c r="D57" s="73"/>
      <c r="E57" s="73"/>
      <c r="F57" s="73"/>
      <c r="G57" s="73"/>
      <c r="H57" s="73"/>
      <c r="I57" s="73"/>
      <c r="J57" s="73"/>
      <c r="K57" s="73"/>
      <c r="L57" s="73"/>
      <c r="M57" s="73"/>
      <c r="N57" s="73"/>
      <c r="O57" s="73"/>
      <c r="P57" s="73"/>
      <c r="Q57" s="73"/>
      <c r="R57" s="73"/>
      <c r="S57" s="73"/>
      <c r="T57" s="73"/>
      <c r="U57" s="73"/>
      <c r="V57" s="73"/>
      <c r="W57" s="73"/>
      <c r="X57" s="73"/>
      <c r="Y57" s="73"/>
    </row>
    <row r="58" ht="15.75" customHeight="1">
      <c r="B58" s="73"/>
      <c r="C58" s="73"/>
      <c r="D58" s="73"/>
      <c r="E58" s="73"/>
      <c r="F58" s="73"/>
      <c r="G58" s="73"/>
      <c r="H58" s="73"/>
      <c r="I58" s="73"/>
      <c r="J58" s="73"/>
      <c r="K58" s="73"/>
      <c r="L58" s="73"/>
      <c r="M58" s="73"/>
      <c r="N58" s="73"/>
      <c r="O58" s="73"/>
      <c r="P58" s="73"/>
      <c r="Q58" s="73"/>
      <c r="R58" s="73"/>
      <c r="S58" s="73"/>
      <c r="T58" s="73"/>
      <c r="U58" s="73"/>
      <c r="V58" s="73"/>
      <c r="W58" s="73"/>
      <c r="X58" s="73"/>
      <c r="Y58" s="73"/>
    </row>
    <row r="59" ht="15.75" customHeight="1">
      <c r="B59" s="73"/>
      <c r="C59" s="73"/>
      <c r="D59" s="73"/>
      <c r="E59" s="73"/>
      <c r="F59" s="73"/>
      <c r="G59" s="73"/>
      <c r="H59" s="73"/>
      <c r="I59" s="73"/>
      <c r="J59" s="73"/>
      <c r="K59" s="73"/>
      <c r="L59" s="73"/>
      <c r="M59" s="73"/>
      <c r="N59" s="73"/>
      <c r="O59" s="73"/>
      <c r="P59" s="73"/>
      <c r="Q59" s="73"/>
      <c r="R59" s="73"/>
      <c r="S59" s="73"/>
      <c r="T59" s="73"/>
      <c r="U59" s="73"/>
      <c r="V59" s="73"/>
      <c r="W59" s="73"/>
      <c r="X59" s="73"/>
      <c r="Y59" s="73"/>
    </row>
    <row r="60" ht="15.75" customHeight="1">
      <c r="B60" s="73"/>
      <c r="C60" s="73"/>
      <c r="D60" s="73"/>
      <c r="E60" s="73"/>
      <c r="F60" s="73"/>
      <c r="G60" s="73"/>
      <c r="H60" s="73"/>
      <c r="I60" s="73"/>
      <c r="J60" s="73"/>
      <c r="K60" s="73"/>
      <c r="L60" s="73"/>
      <c r="M60" s="73"/>
      <c r="N60" s="73"/>
      <c r="O60" s="73"/>
      <c r="P60" s="73"/>
      <c r="Q60" s="73"/>
      <c r="R60" s="73"/>
      <c r="S60" s="73"/>
      <c r="T60" s="73"/>
      <c r="U60" s="73"/>
      <c r="V60" s="73"/>
      <c r="W60" s="73"/>
      <c r="X60" s="73"/>
      <c r="Y60" s="73"/>
    </row>
    <row r="61" ht="15.75" customHeight="1">
      <c r="B61" s="73"/>
      <c r="C61" s="73"/>
      <c r="D61" s="73"/>
      <c r="E61" s="73"/>
      <c r="F61" s="73"/>
      <c r="G61" s="73"/>
      <c r="H61" s="73"/>
      <c r="I61" s="73"/>
      <c r="J61" s="73"/>
      <c r="K61" s="73"/>
      <c r="L61" s="73"/>
      <c r="M61" s="73"/>
      <c r="N61" s="73"/>
      <c r="O61" s="73"/>
      <c r="P61" s="73"/>
      <c r="Q61" s="73"/>
      <c r="R61" s="73"/>
      <c r="S61" s="73"/>
      <c r="T61" s="73"/>
      <c r="U61" s="73"/>
      <c r="V61" s="73"/>
      <c r="W61" s="73"/>
      <c r="X61" s="73"/>
      <c r="Y61" s="73"/>
    </row>
    <row r="62" ht="15.75" customHeight="1">
      <c r="B62" s="73"/>
      <c r="C62" s="73"/>
      <c r="D62" s="73"/>
      <c r="E62" s="73"/>
      <c r="F62" s="73"/>
      <c r="G62" s="73"/>
      <c r="H62" s="73"/>
      <c r="I62" s="73"/>
      <c r="J62" s="73"/>
      <c r="K62" s="73"/>
      <c r="L62" s="73"/>
      <c r="M62" s="73"/>
      <c r="N62" s="73"/>
      <c r="O62" s="73"/>
      <c r="P62" s="73"/>
      <c r="Q62" s="73"/>
      <c r="R62" s="73"/>
      <c r="S62" s="73"/>
      <c r="T62" s="73"/>
      <c r="U62" s="73"/>
      <c r="V62" s="73"/>
      <c r="W62" s="73"/>
      <c r="X62" s="73"/>
      <c r="Y62" s="73"/>
    </row>
    <row r="63" ht="15.75" customHeight="1">
      <c r="B63" s="73"/>
      <c r="C63" s="73"/>
      <c r="D63" s="73"/>
      <c r="E63" s="73"/>
      <c r="F63" s="73"/>
      <c r="G63" s="73"/>
      <c r="H63" s="73"/>
      <c r="I63" s="73"/>
      <c r="J63" s="73"/>
      <c r="K63" s="73"/>
      <c r="L63" s="73"/>
      <c r="M63" s="73"/>
      <c r="N63" s="73"/>
      <c r="O63" s="73"/>
      <c r="P63" s="73"/>
      <c r="Q63" s="73"/>
      <c r="R63" s="73"/>
      <c r="S63" s="73"/>
      <c r="T63" s="73"/>
      <c r="U63" s="73"/>
      <c r="V63" s="73"/>
      <c r="W63" s="73"/>
      <c r="X63" s="73"/>
      <c r="Y63" s="73"/>
    </row>
    <row r="64" ht="15.75" customHeight="1">
      <c r="B64" s="73"/>
      <c r="C64" s="73"/>
      <c r="D64" s="73"/>
      <c r="E64" s="73"/>
      <c r="F64" s="73"/>
      <c r="G64" s="73"/>
      <c r="H64" s="73"/>
      <c r="I64" s="73"/>
      <c r="J64" s="73"/>
      <c r="K64" s="73"/>
      <c r="L64" s="73"/>
      <c r="M64" s="73"/>
      <c r="N64" s="73"/>
      <c r="O64" s="73"/>
      <c r="P64" s="73"/>
      <c r="Q64" s="73"/>
      <c r="R64" s="73"/>
      <c r="S64" s="73"/>
      <c r="T64" s="73"/>
      <c r="U64" s="73"/>
      <c r="V64" s="73"/>
      <c r="W64" s="73"/>
      <c r="X64" s="73"/>
      <c r="Y64" s="73"/>
    </row>
    <row r="65" ht="15.75" customHeight="1">
      <c r="B65" s="73"/>
      <c r="C65" s="73"/>
      <c r="D65" s="73"/>
      <c r="E65" s="73"/>
      <c r="F65" s="73"/>
      <c r="G65" s="73"/>
      <c r="H65" s="73"/>
      <c r="I65" s="73"/>
      <c r="J65" s="73"/>
      <c r="K65" s="73"/>
      <c r="L65" s="73"/>
      <c r="M65" s="73"/>
      <c r="N65" s="73"/>
      <c r="O65" s="73"/>
      <c r="P65" s="73"/>
      <c r="Q65" s="73"/>
      <c r="R65" s="73"/>
      <c r="S65" s="73"/>
      <c r="T65" s="73"/>
      <c r="U65" s="73"/>
      <c r="V65" s="73"/>
      <c r="W65" s="73"/>
      <c r="X65" s="73"/>
      <c r="Y65" s="73"/>
    </row>
    <row r="66" ht="15.75" customHeight="1">
      <c r="B66" s="73"/>
      <c r="C66" s="73"/>
      <c r="D66" s="73"/>
      <c r="E66" s="73"/>
      <c r="F66" s="73"/>
      <c r="G66" s="73"/>
      <c r="H66" s="73"/>
      <c r="I66" s="73"/>
      <c r="J66" s="73"/>
      <c r="K66" s="73"/>
      <c r="L66" s="73"/>
      <c r="M66" s="73"/>
      <c r="N66" s="73"/>
      <c r="O66" s="73"/>
      <c r="P66" s="73"/>
      <c r="Q66" s="73"/>
      <c r="R66" s="73"/>
      <c r="S66" s="73"/>
      <c r="T66" s="73"/>
      <c r="U66" s="73"/>
      <c r="V66" s="73"/>
      <c r="W66" s="73"/>
      <c r="X66" s="73"/>
      <c r="Y66" s="73"/>
    </row>
    <row r="67" ht="15.75" customHeight="1">
      <c r="B67" s="73"/>
      <c r="C67" s="73"/>
      <c r="D67" s="73"/>
      <c r="E67" s="73"/>
      <c r="F67" s="73"/>
      <c r="G67" s="73"/>
      <c r="H67" s="73"/>
      <c r="I67" s="73"/>
      <c r="J67" s="73"/>
      <c r="K67" s="73"/>
      <c r="L67" s="73"/>
      <c r="M67" s="73"/>
      <c r="N67" s="73"/>
      <c r="O67" s="73"/>
      <c r="P67" s="73"/>
      <c r="Q67" s="73"/>
      <c r="R67" s="73"/>
      <c r="S67" s="73"/>
      <c r="T67" s="73"/>
      <c r="U67" s="73"/>
      <c r="V67" s="73"/>
      <c r="W67" s="73"/>
      <c r="X67" s="73"/>
      <c r="Y67" s="73"/>
    </row>
    <row r="68" ht="15.75" customHeight="1">
      <c r="B68" s="73"/>
      <c r="C68" s="73"/>
      <c r="D68" s="73"/>
      <c r="E68" s="73"/>
      <c r="F68" s="73"/>
      <c r="G68" s="73"/>
      <c r="H68" s="73"/>
      <c r="I68" s="73"/>
      <c r="J68" s="73"/>
      <c r="K68" s="73"/>
      <c r="L68" s="73"/>
      <c r="M68" s="73"/>
      <c r="N68" s="73"/>
      <c r="O68" s="73"/>
      <c r="P68" s="73"/>
      <c r="Q68" s="73"/>
      <c r="R68" s="73"/>
      <c r="S68" s="73"/>
      <c r="T68" s="73"/>
      <c r="U68" s="73"/>
      <c r="V68" s="73"/>
      <c r="W68" s="73"/>
      <c r="X68" s="73"/>
      <c r="Y68" s="73"/>
    </row>
    <row r="69" ht="15.75" customHeight="1">
      <c r="B69" s="73"/>
      <c r="C69" s="73"/>
      <c r="D69" s="73"/>
      <c r="E69" s="73"/>
      <c r="F69" s="73"/>
      <c r="G69" s="73"/>
      <c r="H69" s="73"/>
      <c r="I69" s="73"/>
      <c r="J69" s="73"/>
      <c r="K69" s="73"/>
      <c r="L69" s="73"/>
      <c r="M69" s="73"/>
      <c r="N69" s="73"/>
      <c r="O69" s="73"/>
      <c r="P69" s="73"/>
      <c r="Q69" s="73"/>
      <c r="R69" s="73"/>
      <c r="S69" s="73"/>
      <c r="T69" s="73"/>
      <c r="U69" s="73"/>
      <c r="V69" s="73"/>
      <c r="W69" s="73"/>
      <c r="X69" s="73"/>
      <c r="Y69" s="73"/>
    </row>
    <row r="70" ht="15.75" customHeight="1">
      <c r="B70" s="73"/>
      <c r="C70" s="73"/>
      <c r="D70" s="73"/>
      <c r="E70" s="73"/>
      <c r="F70" s="73"/>
      <c r="G70" s="73"/>
      <c r="H70" s="73"/>
      <c r="I70" s="73"/>
      <c r="J70" s="73"/>
      <c r="K70" s="73"/>
      <c r="L70" s="73"/>
      <c r="M70" s="73"/>
      <c r="N70" s="73"/>
      <c r="O70" s="73"/>
      <c r="P70" s="73"/>
      <c r="Q70" s="73"/>
      <c r="R70" s="73"/>
      <c r="S70" s="73"/>
      <c r="T70" s="73"/>
      <c r="U70" s="73"/>
      <c r="V70" s="73"/>
      <c r="W70" s="73"/>
      <c r="X70" s="73"/>
      <c r="Y70" s="73"/>
    </row>
    <row r="71" ht="15.75" customHeight="1">
      <c r="B71" s="73"/>
      <c r="C71" s="73"/>
      <c r="D71" s="73"/>
      <c r="E71" s="73"/>
      <c r="F71" s="73"/>
      <c r="G71" s="73"/>
      <c r="H71" s="73"/>
      <c r="I71" s="73"/>
      <c r="J71" s="73"/>
      <c r="K71" s="73"/>
      <c r="L71" s="73"/>
      <c r="M71" s="73"/>
      <c r="N71" s="73"/>
      <c r="O71" s="73"/>
      <c r="P71" s="73"/>
      <c r="Q71" s="73"/>
      <c r="R71" s="73"/>
      <c r="S71" s="73"/>
      <c r="T71" s="73"/>
      <c r="U71" s="73"/>
      <c r="V71" s="73"/>
      <c r="W71" s="73"/>
      <c r="X71" s="73"/>
      <c r="Y71" s="73"/>
    </row>
    <row r="72" ht="15.75" customHeight="1">
      <c r="B72" s="73"/>
      <c r="C72" s="73"/>
      <c r="D72" s="73"/>
      <c r="E72" s="73"/>
      <c r="F72" s="73"/>
      <c r="G72" s="73"/>
      <c r="H72" s="73"/>
      <c r="I72" s="73"/>
      <c r="J72" s="73"/>
      <c r="K72" s="73"/>
      <c r="L72" s="73"/>
      <c r="M72" s="73"/>
      <c r="N72" s="73"/>
      <c r="O72" s="73"/>
      <c r="P72" s="73"/>
      <c r="Q72" s="73"/>
      <c r="R72" s="73"/>
      <c r="S72" s="73"/>
      <c r="T72" s="73"/>
      <c r="U72" s="73"/>
      <c r="V72" s="73"/>
      <c r="W72" s="73"/>
      <c r="X72" s="73"/>
      <c r="Y72" s="73"/>
    </row>
    <row r="73" ht="15.75" customHeight="1">
      <c r="B73" s="73"/>
      <c r="C73" s="73"/>
      <c r="D73" s="73"/>
      <c r="E73" s="73"/>
      <c r="F73" s="73"/>
      <c r="G73" s="73"/>
      <c r="H73" s="73"/>
      <c r="I73" s="73"/>
      <c r="J73" s="73"/>
      <c r="K73" s="73"/>
      <c r="L73" s="73"/>
      <c r="M73" s="73"/>
      <c r="N73" s="73"/>
      <c r="O73" s="73"/>
      <c r="P73" s="73"/>
      <c r="Q73" s="73"/>
      <c r="R73" s="73"/>
      <c r="S73" s="73"/>
      <c r="T73" s="73"/>
      <c r="U73" s="73"/>
      <c r="V73" s="73"/>
      <c r="W73" s="73"/>
      <c r="X73" s="73"/>
      <c r="Y73" s="73"/>
    </row>
    <row r="74" ht="15.75" customHeight="1">
      <c r="B74" s="73"/>
      <c r="C74" s="73"/>
      <c r="D74" s="73"/>
      <c r="E74" s="73"/>
      <c r="F74" s="73"/>
      <c r="G74" s="73"/>
      <c r="H74" s="73"/>
      <c r="I74" s="73"/>
      <c r="J74" s="73"/>
      <c r="K74" s="73"/>
      <c r="L74" s="73"/>
      <c r="M74" s="73"/>
      <c r="N74" s="73"/>
      <c r="O74" s="73"/>
      <c r="P74" s="73"/>
      <c r="Q74" s="73"/>
      <c r="R74" s="73"/>
      <c r="S74" s="73"/>
      <c r="T74" s="73"/>
      <c r="U74" s="73"/>
      <c r="V74" s="73"/>
      <c r="W74" s="73"/>
      <c r="X74" s="73"/>
      <c r="Y74" s="73"/>
    </row>
    <row r="75" ht="15.75" customHeight="1">
      <c r="B75" s="73"/>
      <c r="C75" s="73"/>
      <c r="D75" s="73"/>
      <c r="E75" s="73"/>
      <c r="F75" s="73"/>
      <c r="G75" s="73"/>
      <c r="H75" s="73"/>
      <c r="I75" s="73"/>
      <c r="J75" s="73"/>
      <c r="K75" s="73"/>
      <c r="L75" s="73"/>
      <c r="M75" s="73"/>
      <c r="N75" s="73"/>
      <c r="O75" s="73"/>
      <c r="P75" s="73"/>
      <c r="Q75" s="73"/>
      <c r="R75" s="73"/>
      <c r="S75" s="73"/>
      <c r="T75" s="73"/>
      <c r="U75" s="73"/>
      <c r="V75" s="73"/>
      <c r="W75" s="73"/>
      <c r="X75" s="73"/>
      <c r="Y75" s="73"/>
    </row>
    <row r="76" ht="15.75" customHeight="1">
      <c r="B76" s="73"/>
      <c r="C76" s="73"/>
      <c r="D76" s="73"/>
      <c r="E76" s="73"/>
      <c r="F76" s="73"/>
      <c r="G76" s="73"/>
      <c r="H76" s="73"/>
      <c r="I76" s="73"/>
      <c r="J76" s="73"/>
      <c r="K76" s="73"/>
      <c r="L76" s="73"/>
      <c r="M76" s="73"/>
      <c r="N76" s="73"/>
      <c r="O76" s="73"/>
      <c r="P76" s="73"/>
      <c r="Q76" s="73"/>
      <c r="R76" s="73"/>
      <c r="S76" s="73"/>
      <c r="T76" s="73"/>
      <c r="U76" s="73"/>
      <c r="V76" s="73"/>
      <c r="W76" s="73"/>
      <c r="X76" s="73"/>
      <c r="Y76" s="73"/>
    </row>
    <row r="77" ht="15.75" customHeight="1">
      <c r="B77" s="73"/>
      <c r="C77" s="73"/>
      <c r="D77" s="73"/>
      <c r="E77" s="73"/>
      <c r="F77" s="73"/>
      <c r="G77" s="73"/>
      <c r="H77" s="73"/>
      <c r="I77" s="73"/>
      <c r="J77" s="73"/>
      <c r="K77" s="73"/>
      <c r="L77" s="73"/>
      <c r="M77" s="73"/>
      <c r="N77" s="73"/>
      <c r="O77" s="73"/>
      <c r="P77" s="73"/>
      <c r="Q77" s="73"/>
      <c r="R77" s="73"/>
      <c r="S77" s="73"/>
      <c r="T77" s="73"/>
      <c r="U77" s="73"/>
      <c r="V77" s="73"/>
      <c r="W77" s="73"/>
      <c r="X77" s="73"/>
      <c r="Y77" s="73"/>
    </row>
    <row r="78" ht="1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row>
    <row r="79" ht="1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row>
    <row r="80" ht="1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row>
    <row r="81" ht="1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row>
    <row r="82" ht="1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row>
    <row r="83" ht="1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row>
    <row r="84" ht="1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row>
    <row r="85" ht="1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row>
    <row r="86" ht="1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row>
    <row r="87" ht="1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row>
    <row r="88" ht="1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row>
    <row r="89" ht="1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row>
    <row r="90" ht="1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row>
    <row r="91" ht="1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row>
    <row r="92" ht="1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row>
    <row r="93" ht="1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row>
    <row r="94" ht="1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row>
    <row r="95" ht="1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row>
    <row r="96" ht="1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row>
    <row r="97" ht="1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row>
    <row r="98" ht="1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row>
    <row r="99" ht="1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row>
    <row r="100" ht="1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row>
    <row r="101" ht="1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row>
    <row r="102" ht="1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row>
    <row r="103" ht="1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row>
    <row r="104" ht="1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row>
    <row r="105" ht="1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row>
    <row r="106" ht="1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row>
    <row r="107" ht="1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row>
    <row r="108" ht="1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row>
    <row r="109" ht="1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row>
    <row r="110" ht="1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row>
    <row r="111" ht="1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row>
    <row r="112" ht="1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row>
    <row r="113" ht="1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row>
    <row r="114" ht="1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row>
    <row r="115" ht="1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row>
    <row r="116" ht="1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row>
    <row r="117" ht="1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row>
    <row r="118" ht="1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row>
    <row r="119" ht="1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row>
    <row r="120" ht="1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row>
    <row r="121" ht="1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row>
    <row r="122" ht="1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row>
    <row r="123" ht="1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row>
    <row r="124" ht="1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row>
    <row r="125" ht="1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row>
    <row r="126" ht="1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row>
    <row r="127" ht="1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row>
    <row r="128" ht="1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row>
    <row r="129" ht="1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row>
    <row r="130" ht="1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row>
    <row r="131" ht="1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row>
    <row r="132" ht="1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row>
    <row r="133" ht="1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row>
    <row r="134" ht="1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row>
    <row r="135" ht="1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row>
    <row r="136" ht="1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row>
    <row r="137" ht="1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row>
    <row r="138" ht="1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row>
    <row r="139" ht="1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row>
    <row r="140" ht="1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row>
    <row r="141" ht="1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row>
    <row r="142" ht="1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row>
    <row r="143" ht="1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row>
    <row r="144" ht="1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row>
    <row r="145" ht="1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row>
    <row r="146" ht="1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row>
    <row r="147" ht="1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row>
    <row r="148" ht="1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row>
    <row r="149" ht="1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row>
    <row r="150" ht="1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row>
    <row r="151" ht="1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row>
    <row r="152" ht="1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row>
    <row r="153" ht="1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row>
    <row r="154" ht="1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row>
    <row r="155" ht="1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row>
    <row r="156" ht="1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row>
    <row r="157" ht="1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row>
    <row r="158" ht="1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row>
    <row r="159" ht="1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row>
    <row r="160" ht="1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row>
    <row r="161" ht="1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row>
    <row r="162" ht="1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row>
    <row r="163" ht="1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row>
    <row r="164" ht="1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row>
    <row r="165" ht="1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row>
    <row r="166" ht="1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row>
    <row r="167" ht="1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row>
    <row r="168" ht="1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row>
    <row r="169" ht="1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row>
    <row r="170" ht="1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row>
    <row r="171" ht="1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row>
    <row r="172" ht="1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row>
    <row r="173" ht="1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row>
    <row r="174" ht="1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row>
    <row r="175" ht="1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row>
    <row r="176" ht="1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row>
    <row r="177" ht="1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row>
    <row r="178" ht="1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row>
    <row r="179" ht="1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row>
    <row r="180" ht="1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row>
    <row r="181" ht="1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row>
    <row r="182" ht="1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row>
    <row r="183" ht="1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row>
    <row r="184" ht="1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row>
    <row r="185" ht="1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row>
    <row r="186" ht="1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row>
    <row r="187" ht="1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row>
    <row r="188" ht="1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row>
    <row r="189" ht="1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row>
    <row r="190" ht="1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row>
    <row r="191" ht="1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row>
    <row r="192" ht="1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row>
    <row r="193" ht="1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row>
    <row r="194" ht="1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row>
    <row r="195" ht="1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row>
    <row r="196" ht="1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row>
    <row r="197" ht="1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row>
    <row r="198" ht="1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row>
    <row r="199" ht="1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row>
    <row r="200" ht="1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row>
    <row r="201" ht="1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row>
    <row r="202" ht="1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row>
    <row r="203" ht="1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row>
    <row r="204" ht="1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row>
    <row r="205" ht="1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row>
    <row r="206" ht="1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row>
    <row r="207" ht="1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row>
    <row r="208" ht="1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row>
    <row r="209" ht="1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row>
    <row r="210" ht="1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row>
    <row r="211" ht="1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row>
    <row r="212" ht="1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row>
    <row r="213" ht="1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row>
    <row r="214" ht="1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row>
    <row r="215" ht="1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row>
    <row r="216" ht="1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row>
    <row r="217" ht="1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row>
    <row r="218" ht="1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row>
    <row r="219" ht="1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row>
    <row r="220" ht="1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row>
    <row r="221" ht="1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row>
    <row r="222" ht="1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row>
    <row r="223" ht="1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row>
    <row r="224" ht="1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row>
    <row r="225" ht="1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row>
    <row r="226" ht="1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row>
    <row r="227" ht="1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row>
    <row r="228" ht="1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row>
    <row r="229" ht="1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row>
    <row r="230" ht="1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row>
    <row r="231" ht="1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row>
    <row r="232" ht="1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row>
    <row r="233" ht="1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row>
    <row r="234" ht="1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row>
    <row r="235" ht="1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row>
    <row r="236" ht="1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row>
    <row r="237" ht="1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row>
    <row r="238" ht="1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row>
    <row r="239" ht="1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row>
    <row r="240" ht="1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row>
    <row r="241" ht="1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row>
    <row r="242" ht="1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row>
    <row r="243" ht="1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row>
    <row r="244" ht="1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row>
    <row r="245" ht="1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row>
    <row r="246" ht="1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row>
    <row r="247" ht="1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row>
    <row r="248" ht="1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row>
    <row r="249" ht="1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row>
    <row r="250" ht="1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row>
    <row r="251" ht="1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row>
    <row r="252" ht="1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row>
    <row r="253" ht="1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row>
    <row r="254" ht="1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row>
    <row r="255" ht="1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row>
    <row r="256" ht="1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row>
    <row r="257" ht="1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row>
    <row r="258" ht="1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row>
    <row r="259" ht="1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row>
    <row r="260" ht="1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row>
    <row r="261" ht="1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row>
    <row r="262" ht="1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row>
    <row r="263" ht="1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row>
    <row r="264" ht="1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row>
    <row r="265" ht="1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row>
    <row r="266" ht="1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row>
    <row r="267" ht="1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row>
    <row r="268" ht="1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row>
    <row r="269" ht="1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row>
    <row r="270" ht="1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row>
    <row r="271" ht="1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row>
    <row r="272" ht="1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row>
    <row r="273" ht="1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row>
    <row r="274" ht="1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row>
    <row r="275" ht="1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row>
    <row r="276" ht="1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row>
    <row r="277" ht="1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row>
    <row r="278" ht="1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row>
    <row r="279" ht="1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row>
    <row r="280" ht="1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row>
    <row r="281" ht="1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row>
    <row r="282" ht="1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row>
    <row r="283" ht="1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row>
    <row r="284" ht="1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row>
    <row r="285" ht="1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row>
    <row r="286" ht="1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row>
    <row r="287" ht="1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row>
    <row r="288" ht="1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row>
    <row r="289" ht="1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row>
    <row r="290" ht="1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row>
    <row r="291" ht="1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row>
    <row r="292" ht="1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row>
    <row r="293" ht="1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row>
    <row r="294" ht="1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row>
    <row r="295" ht="1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row>
    <row r="296" ht="1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row>
    <row r="297" ht="1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row>
    <row r="298" ht="1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row>
    <row r="299" ht="1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row>
    <row r="300" ht="1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row>
    <row r="301" ht="1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row>
    <row r="302" ht="1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row>
    <row r="303" ht="1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row>
    <row r="304" ht="1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row>
    <row r="305" ht="1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row>
    <row r="306" ht="1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row>
    <row r="307" ht="1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row>
    <row r="308" ht="1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row>
    <row r="309" ht="1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row>
    <row r="310" ht="1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row>
    <row r="311" ht="1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row>
    <row r="312" ht="1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row>
    <row r="313" ht="1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row>
    <row r="314" ht="1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row>
    <row r="315" ht="1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row>
    <row r="316" ht="1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row>
    <row r="317" ht="1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row>
    <row r="318" ht="1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row>
    <row r="319" ht="1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row>
    <row r="320" ht="1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row>
    <row r="321" ht="1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row>
    <row r="322" ht="1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row>
    <row r="323" ht="1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row>
    <row r="324" ht="1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row>
    <row r="325" ht="1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row>
    <row r="326" ht="1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row>
    <row r="327" ht="1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row>
    <row r="328" ht="1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row>
    <row r="329" ht="1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row>
    <row r="330" ht="1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row>
    <row r="331" ht="1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row>
    <row r="332" ht="1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row>
    <row r="333" ht="1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row>
    <row r="334" ht="1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row>
    <row r="335" ht="1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row>
    <row r="336" ht="1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row>
    <row r="337" ht="1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row>
    <row r="338" ht="1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row>
    <row r="339" ht="1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row>
    <row r="340" ht="1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row>
    <row r="341" ht="1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row>
    <row r="342" ht="1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row>
    <row r="343" ht="1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row>
    <row r="344" ht="1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row>
    <row r="345" ht="1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row>
    <row r="346" ht="1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row>
    <row r="347" ht="1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row>
    <row r="348" ht="1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row>
    <row r="349" ht="1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row>
    <row r="350" ht="1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row>
    <row r="351" ht="1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row>
    <row r="352" ht="1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row>
    <row r="353" ht="1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row>
    <row r="354" ht="1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row>
    <row r="355" ht="1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row>
    <row r="356" ht="1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row>
    <row r="357" ht="1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row>
    <row r="358" ht="1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row>
    <row r="359" ht="1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row>
    <row r="360" ht="1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row>
    <row r="361" ht="1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row>
    <row r="362" ht="1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row>
    <row r="363" ht="1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row>
    <row r="364" ht="1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row>
    <row r="365" ht="1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row>
    <row r="366" ht="1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row>
    <row r="367" ht="1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row>
    <row r="368" ht="1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row>
    <row r="369" ht="1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row>
    <row r="370" ht="1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row>
    <row r="371" ht="1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row>
    <row r="372" ht="1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row>
    <row r="373" ht="1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row>
    <row r="374" ht="1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row>
    <row r="375" ht="1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row>
    <row r="376" ht="1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row>
    <row r="377" ht="1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row>
    <row r="378" ht="1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row>
    <row r="379" ht="1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row>
    <row r="380" ht="1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row>
    <row r="381" ht="1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row>
    <row r="382" ht="1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row>
    <row r="383" ht="1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row>
    <row r="384" ht="1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row>
    <row r="385" ht="1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row>
    <row r="386" ht="1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row>
    <row r="387" ht="1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row>
    <row r="388" ht="1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row>
    <row r="389" ht="1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row>
    <row r="390" ht="1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row>
    <row r="391" ht="1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row>
    <row r="392" ht="1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row>
    <row r="393" ht="1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row>
    <row r="394" ht="1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row>
    <row r="395" ht="1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row>
    <row r="396" ht="1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row>
    <row r="397" ht="1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row>
    <row r="398" ht="1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row>
    <row r="399" ht="1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row>
    <row r="400" ht="1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row>
    <row r="401" ht="1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row>
    <row r="402" ht="1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row>
    <row r="403" ht="1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row>
    <row r="404" ht="1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row>
    <row r="405" ht="1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row>
    <row r="406" ht="1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row>
    <row r="407" ht="1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row>
    <row r="408" ht="1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row>
    <row r="409" ht="1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row>
    <row r="410" ht="1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row>
    <row r="411" ht="1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row>
    <row r="412" ht="1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row>
    <row r="413" ht="1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row>
    <row r="414" ht="1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row>
    <row r="415" ht="1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row>
    <row r="416" ht="1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row>
    <row r="417" ht="1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row>
    <row r="418" ht="1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row>
    <row r="419" ht="1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row>
    <row r="420" ht="1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row>
    <row r="421" ht="1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row>
    <row r="422" ht="1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row>
    <row r="423" ht="1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row>
    <row r="424" ht="1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row>
    <row r="425" ht="1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row>
    <row r="426" ht="1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row>
    <row r="427" ht="1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row>
    <row r="428" ht="1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row>
    <row r="429" ht="1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row>
    <row r="430" ht="1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row>
    <row r="431" ht="1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row>
    <row r="432" ht="1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row>
    <row r="433" ht="1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row>
    <row r="434" ht="1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row>
    <row r="435" ht="1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row>
    <row r="436" ht="1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row>
    <row r="437" ht="1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row>
    <row r="438" ht="1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row>
    <row r="439" ht="1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row>
    <row r="440" ht="1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row>
    <row r="441" ht="1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row>
    <row r="442" ht="1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row>
    <row r="443" ht="1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row>
    <row r="444" ht="1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row>
    <row r="445" ht="1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row>
    <row r="446" ht="1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row>
    <row r="447" ht="1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row>
    <row r="448" ht="1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row>
    <row r="449" ht="1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row>
    <row r="450" ht="1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row>
    <row r="451" ht="1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row>
    <row r="452" ht="1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row>
    <row r="453" ht="1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row>
    <row r="454" ht="1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row>
    <row r="455" ht="1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row>
    <row r="456" ht="1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row>
    <row r="457" ht="1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row>
    <row r="458" ht="1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row>
    <row r="459" ht="1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row>
    <row r="460" ht="1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row>
    <row r="461" ht="1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row>
    <row r="462" ht="1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row>
    <row r="463" ht="1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row>
    <row r="464" ht="1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row>
    <row r="465" ht="1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row>
    <row r="466" ht="1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row>
    <row r="467" ht="1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row>
    <row r="468" ht="1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row>
    <row r="469" ht="1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row>
    <row r="470" ht="1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row>
    <row r="471" ht="1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row>
    <row r="472" ht="1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row>
    <row r="473" ht="1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row>
    <row r="474" ht="1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row>
    <row r="475" ht="1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row>
    <row r="476" ht="1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row>
    <row r="477" ht="1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row>
    <row r="478" ht="1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row>
    <row r="479" ht="1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row>
    <row r="480" ht="1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row>
    <row r="481" ht="1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row>
    <row r="482" ht="1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row>
    <row r="483" ht="1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row>
    <row r="484" ht="1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row>
    <row r="485" ht="1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row>
    <row r="486" ht="1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row>
    <row r="487" ht="1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row>
    <row r="488" ht="1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row>
    <row r="489" ht="1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row>
    <row r="490" ht="1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row>
    <row r="491" ht="1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row>
    <row r="492" ht="1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row>
    <row r="493" ht="1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row>
    <row r="494" ht="1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row>
    <row r="495" ht="1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row>
    <row r="496" ht="1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row>
    <row r="497" ht="1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row>
    <row r="498" ht="1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row>
    <row r="499" ht="1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row>
    <row r="500" ht="1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row>
    <row r="501" ht="1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row>
    <row r="502" ht="1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row>
    <row r="503" ht="1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row>
    <row r="504" ht="1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row>
    <row r="505" ht="1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row>
    <row r="506" ht="1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row>
    <row r="507" ht="1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row>
    <row r="508" ht="1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row>
    <row r="509" ht="1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row>
    <row r="510" ht="1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row>
    <row r="511" ht="1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row>
    <row r="512" ht="1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row>
    <row r="513" ht="1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row>
    <row r="514" ht="1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row>
    <row r="515" ht="1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row>
    <row r="516" ht="1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row>
    <row r="517" ht="1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row>
    <row r="518" ht="1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row>
    <row r="519" ht="1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row>
    <row r="520" ht="1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row>
    <row r="521" ht="1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row>
    <row r="522" ht="1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row>
    <row r="523" ht="1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row>
    <row r="524" ht="1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row>
    <row r="525" ht="1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row>
    <row r="526" ht="1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row>
    <row r="527" ht="1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row>
    <row r="528" ht="1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row>
    <row r="529" ht="1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row>
    <row r="530" ht="1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row>
    <row r="531" ht="1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row>
    <row r="532" ht="1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row>
    <row r="533" ht="1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row>
    <row r="534" ht="1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row>
    <row r="535" ht="1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row>
    <row r="536" ht="1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row>
    <row r="537" ht="1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row>
    <row r="538" ht="1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row>
    <row r="539" ht="1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row>
    <row r="540" ht="1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row>
    <row r="541" ht="1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row>
    <row r="542" ht="1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row>
    <row r="543" ht="1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row>
    <row r="544" ht="1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row>
    <row r="545" ht="1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row>
    <row r="546" ht="1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row>
    <row r="547" ht="1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row>
    <row r="548" ht="1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row>
    <row r="549" ht="1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row>
    <row r="550" ht="1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row>
    <row r="551" ht="1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row>
    <row r="552" ht="1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row>
    <row r="553" ht="1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row>
    <row r="554" ht="1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row>
    <row r="555" ht="1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row>
    <row r="556" ht="1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row>
    <row r="557" ht="1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row>
    <row r="558" ht="1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row>
    <row r="559" ht="1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row>
    <row r="560" ht="1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row>
    <row r="561" ht="1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row>
    <row r="562" ht="1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row>
    <row r="563" ht="1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row>
    <row r="564" ht="1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row>
    <row r="565" ht="1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row>
    <row r="566" ht="1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row>
    <row r="567" ht="1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row>
    <row r="568" ht="1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row>
    <row r="569" ht="1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row>
    <row r="570" ht="1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row>
    <row r="571" ht="1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row>
    <row r="572" ht="1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row>
    <row r="573" ht="1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row>
    <row r="574" ht="1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row>
    <row r="575" ht="1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row>
    <row r="576" ht="1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row>
    <row r="577" ht="1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row>
    <row r="578" ht="1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row>
    <row r="579" ht="1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row>
    <row r="580" ht="1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row>
    <row r="581" ht="1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row>
    <row r="582" ht="1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row>
    <row r="583" ht="1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row>
    <row r="584" ht="1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row>
    <row r="585" ht="1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row>
    <row r="586" ht="1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row>
    <row r="587" ht="1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row>
    <row r="588" ht="1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row>
    <row r="589" ht="1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row>
    <row r="590" ht="1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row>
    <row r="591" ht="1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row>
    <row r="592" ht="1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row>
    <row r="593" ht="1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row>
    <row r="594" ht="1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row>
    <row r="595" ht="1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row>
    <row r="596" ht="1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row>
    <row r="597" ht="1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row>
    <row r="598" ht="1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row>
    <row r="599" ht="1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row>
    <row r="600" ht="1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row>
    <row r="601" ht="1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row>
    <row r="602" ht="1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row>
    <row r="603" ht="1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row>
    <row r="604" ht="1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row>
    <row r="605" ht="1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row>
    <row r="606" ht="1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row>
    <row r="607" ht="1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row>
    <row r="608" ht="1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row>
    <row r="609" ht="1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row>
    <row r="610" ht="1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row>
    <row r="611" ht="1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row>
    <row r="612" ht="1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row>
    <row r="613" ht="1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row>
    <row r="614" ht="1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row>
    <row r="615" ht="1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row>
    <row r="616" ht="1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row>
    <row r="617" ht="1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row>
    <row r="618" ht="1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row>
    <row r="619" ht="1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row>
    <row r="620" ht="1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row>
    <row r="621" ht="1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row>
    <row r="622" ht="1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row>
    <row r="623" ht="1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row>
    <row r="624" ht="1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row>
    <row r="625" ht="1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row>
    <row r="626" ht="1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row>
    <row r="627" ht="1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row>
    <row r="628" ht="1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row>
    <row r="629" ht="1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row>
    <row r="630" ht="1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row>
    <row r="631" ht="1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row>
    <row r="632" ht="1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row>
    <row r="633" ht="1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row>
    <row r="634" ht="1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row>
    <row r="635" ht="1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row>
    <row r="636" ht="1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row>
    <row r="637" ht="1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row>
    <row r="638" ht="1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row>
    <row r="639" ht="1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row>
    <row r="640" ht="1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row>
    <row r="641" ht="1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row>
    <row r="642" ht="1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row>
    <row r="643" ht="1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row>
    <row r="644" ht="1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row>
    <row r="645" ht="1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row>
    <row r="646" ht="1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row>
    <row r="647" ht="1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row>
    <row r="648" ht="1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row>
    <row r="649" ht="1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row>
    <row r="650" ht="1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row>
    <row r="651" ht="1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row>
    <row r="652" ht="1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row>
    <row r="653" ht="1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row>
    <row r="654" ht="1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row>
    <row r="655" ht="1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row>
    <row r="656" ht="1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row>
    <row r="657" ht="1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row>
    <row r="658" ht="1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row>
    <row r="659" ht="1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row>
    <row r="660" ht="1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row>
    <row r="661" ht="1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row>
    <row r="662" ht="1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row>
    <row r="663" ht="1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row>
    <row r="664" ht="1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row>
    <row r="665" ht="1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row>
    <row r="666" ht="1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row>
    <row r="667" ht="1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row>
    <row r="668" ht="1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row>
    <row r="669" ht="1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row>
    <row r="670" ht="1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row>
    <row r="671" ht="1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row>
    <row r="672" ht="1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row>
    <row r="673" ht="1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row>
    <row r="674" ht="1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row>
    <row r="675" ht="1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row>
    <row r="676" ht="1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row>
    <row r="677" ht="1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row>
    <row r="678" ht="1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row>
    <row r="679" ht="1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row>
    <row r="680" ht="1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row>
    <row r="681" ht="1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row>
    <row r="682" ht="1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row>
    <row r="683" ht="1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row>
    <row r="684" ht="1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row>
    <row r="685" ht="1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row>
    <row r="686" ht="1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row>
    <row r="687" ht="1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row>
    <row r="688" ht="1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row>
    <row r="689" ht="1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row>
    <row r="690" ht="1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row>
    <row r="691" ht="1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row>
    <row r="692" ht="1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row>
    <row r="693" ht="1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row>
    <row r="694" ht="1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row>
    <row r="695" ht="1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row>
    <row r="696" ht="1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row>
    <row r="697" ht="1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row>
    <row r="698" ht="1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row>
    <row r="699" ht="1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row>
    <row r="700" ht="1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row>
    <row r="701" ht="1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row>
    <row r="702" ht="1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row>
    <row r="703" ht="1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row>
    <row r="704" ht="1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row>
    <row r="705" ht="1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row>
    <row r="706" ht="1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row>
    <row r="707" ht="1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row>
    <row r="708" ht="1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row>
    <row r="709" ht="1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row>
    <row r="710" ht="1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row>
    <row r="711" ht="1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row>
    <row r="712" ht="1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row>
    <row r="713" ht="1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row>
    <row r="714" ht="1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row>
    <row r="715" ht="1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row>
    <row r="716" ht="1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row>
    <row r="717" ht="1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row>
    <row r="718" ht="1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row>
    <row r="719" ht="1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row>
    <row r="720" ht="1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row>
    <row r="721" ht="1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row>
    <row r="722" ht="1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row>
    <row r="723" ht="1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row>
    <row r="724" ht="1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row>
    <row r="725" ht="1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row>
    <row r="726" ht="1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row>
    <row r="727" ht="1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row>
    <row r="728" ht="1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row>
    <row r="729" ht="1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row>
    <row r="730" ht="1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row>
    <row r="731" ht="1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row>
    <row r="732" ht="1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row>
    <row r="733" ht="1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row>
    <row r="734" ht="1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row>
    <row r="735" ht="1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row>
    <row r="736" ht="1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row>
    <row r="737" ht="1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row>
    <row r="738" ht="1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row>
    <row r="739" ht="1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row>
    <row r="740" ht="1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row>
    <row r="741" ht="1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row>
    <row r="742" ht="1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row>
    <row r="743" ht="1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row>
    <row r="744" ht="1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row>
    <row r="745" ht="1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row>
    <row r="746" ht="1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row>
    <row r="747" ht="1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row>
    <row r="748" ht="1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row>
    <row r="749" ht="1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row>
    <row r="750" ht="1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row>
    <row r="751" ht="1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row>
    <row r="752" ht="1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row>
    <row r="753" ht="1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row>
    <row r="754" ht="1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row>
    <row r="755" ht="1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row>
    <row r="756" ht="1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row>
    <row r="757" ht="1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row>
    <row r="758" ht="1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row>
    <row r="759" ht="1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row>
    <row r="760" ht="1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row>
    <row r="761" ht="1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row>
    <row r="762" ht="1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row>
    <row r="763" ht="1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row>
    <row r="764" ht="1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row>
    <row r="765" ht="1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row>
    <row r="766" ht="1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row>
    <row r="767" ht="1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row>
    <row r="768" ht="1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row>
    <row r="769" ht="1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row>
    <row r="770" ht="1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row>
    <row r="771" ht="1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row>
    <row r="772" ht="1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row>
    <row r="773" ht="1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row>
    <row r="774" ht="1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row>
    <row r="775" ht="1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row>
    <row r="776" ht="1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row>
    <row r="777" ht="1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row>
    <row r="778" ht="1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row>
    <row r="779" ht="1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row>
    <row r="780" ht="1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row>
    <row r="781" ht="1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row>
    <row r="782" ht="1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row>
    <row r="783" ht="1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row>
    <row r="784" ht="1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row>
    <row r="785" ht="1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row>
    <row r="786" ht="1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row>
    <row r="787" ht="1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row>
    <row r="788" ht="1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row>
    <row r="789" ht="1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row>
    <row r="790" ht="1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row>
    <row r="791" ht="1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row>
    <row r="792" ht="1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row>
    <row r="793" ht="1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row>
    <row r="794" ht="1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row>
    <row r="795" ht="1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row>
    <row r="796" ht="1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row>
    <row r="797" ht="1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row>
    <row r="798" ht="1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row>
    <row r="799" ht="1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row>
    <row r="800" ht="1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row>
    <row r="801" ht="1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row>
    <row r="802" ht="1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row>
    <row r="803" ht="1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row>
    <row r="804" ht="1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row>
    <row r="805" ht="1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row>
    <row r="806" ht="1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row>
    <row r="807" ht="1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row>
    <row r="808" ht="1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row>
    <row r="809" ht="1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row>
    <row r="810" ht="1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row>
    <row r="811" ht="1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row>
    <row r="812" ht="1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row>
    <row r="813" ht="1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row>
    <row r="814" ht="1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row>
    <row r="815" ht="1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row>
    <row r="816" ht="1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row>
    <row r="817" ht="1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row>
    <row r="818" ht="1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row>
    <row r="819" ht="1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row>
    <row r="820" ht="1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row>
    <row r="821" ht="1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row>
    <row r="822" ht="1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row>
    <row r="823" ht="1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row>
    <row r="824" ht="1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row>
    <row r="825" ht="1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row>
    <row r="826" ht="1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row>
    <row r="827" ht="1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row>
    <row r="828" ht="1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row>
    <row r="829" ht="1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row>
    <row r="830" ht="1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row>
    <row r="831" ht="1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row>
    <row r="832" ht="1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row>
    <row r="833" ht="1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row>
    <row r="834" ht="1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row>
    <row r="835" ht="1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row>
    <row r="836" ht="1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row>
    <row r="837" ht="1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row>
    <row r="838" ht="1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row>
    <row r="839" ht="1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row>
    <row r="840" ht="1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row>
    <row r="841" ht="1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row>
    <row r="842" ht="1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row>
    <row r="843" ht="1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row>
    <row r="844" ht="1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row>
    <row r="845" ht="1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row>
    <row r="846" ht="1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row>
    <row r="847" ht="1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row>
    <row r="848" ht="1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row>
    <row r="849" ht="1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row>
    <row r="850" ht="1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row>
    <row r="851" ht="1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row>
    <row r="852" ht="1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row>
    <row r="853" ht="1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row>
    <row r="854" ht="1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row>
    <row r="855" ht="1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row>
    <row r="856" ht="1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row>
    <row r="857" ht="1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row>
    <row r="858" ht="1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row>
    <row r="859" ht="1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row>
    <row r="860" ht="1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row>
    <row r="861" ht="1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row>
    <row r="862" ht="1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row>
    <row r="863" ht="1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row>
    <row r="864" ht="1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row>
    <row r="865" ht="1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row>
    <row r="866" ht="1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row>
    <row r="867" ht="1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row>
    <row r="868" ht="1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row>
    <row r="869" ht="1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row>
    <row r="870" ht="1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row>
    <row r="871" ht="1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row>
    <row r="872" ht="1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row>
    <row r="873" ht="1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row>
    <row r="874" ht="1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row>
    <row r="875" ht="1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row>
    <row r="876" ht="1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row>
    <row r="877" ht="1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row>
    <row r="878" ht="1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row>
    <row r="879" ht="1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row>
    <row r="880" ht="1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row>
    <row r="881" ht="1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row>
    <row r="882" ht="1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row>
    <row r="883" ht="1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row>
    <row r="884" ht="1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row>
    <row r="885" ht="1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row>
    <row r="886" ht="1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row>
    <row r="887" ht="1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row>
    <row r="888" ht="1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row>
    <row r="889" ht="1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row>
    <row r="890" ht="1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row>
    <row r="891" ht="1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row>
    <row r="892" ht="1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row>
    <row r="893" ht="1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row>
    <row r="894" ht="1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row>
    <row r="895" ht="1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row>
    <row r="896" ht="1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row>
    <row r="897" ht="1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row>
    <row r="898" ht="1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row>
    <row r="899" ht="1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row>
    <row r="900" ht="1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row>
    <row r="901" ht="1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row>
    <row r="902" ht="1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row>
    <row r="903" ht="1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row>
    <row r="904" ht="1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row>
    <row r="905" ht="1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row>
    <row r="906" ht="1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row>
    <row r="907" ht="1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row>
    <row r="908" ht="1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row>
    <row r="909" ht="1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row>
    <row r="910" ht="1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row>
    <row r="911" ht="1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row>
    <row r="912" ht="1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row>
    <row r="913" ht="1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row>
    <row r="914" ht="1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row>
    <row r="915" ht="1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row>
    <row r="916" ht="1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row>
    <row r="917" ht="1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row>
    <row r="918" ht="1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row>
    <row r="919" ht="1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row>
    <row r="920" ht="1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row>
    <row r="921" ht="1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row>
    <row r="922" ht="1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row>
    <row r="923" ht="1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row>
    <row r="924" ht="1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row>
    <row r="925" ht="1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row>
    <row r="926" ht="1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row>
    <row r="927" ht="1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row>
    <row r="928" ht="1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row>
    <row r="929" ht="1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row>
    <row r="930" ht="1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row>
    <row r="931" ht="1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row>
    <row r="932" ht="1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row>
    <row r="933" ht="1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row>
    <row r="934" ht="1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row>
    <row r="935" ht="1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row>
    <row r="936" ht="1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row>
    <row r="937" ht="1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row>
    <row r="938" ht="1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row>
    <row r="939" ht="1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row>
    <row r="940" ht="1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row>
    <row r="941" ht="1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row>
    <row r="942" ht="1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row>
    <row r="943" ht="1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row>
    <row r="944" ht="1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row>
    <row r="945" ht="1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row>
    <row r="946" ht="1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row>
    <row r="947" ht="1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row>
    <row r="948" ht="1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row>
    <row r="949" ht="1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row>
    <row r="950" ht="1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row>
    <row r="951" ht="1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row>
    <row r="952" ht="1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row>
    <row r="953" ht="1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row>
    <row r="954" ht="1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row>
    <row r="955" ht="1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row>
    <row r="956" ht="1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row>
    <row r="957" ht="1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row>
    <row r="958" ht="1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row>
    <row r="959" ht="1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row>
    <row r="960" ht="1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row>
    <row r="961" ht="1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row>
    <row r="962" ht="1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row>
    <row r="963" ht="1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row>
    <row r="964" ht="1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row>
    <row r="965" ht="1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row>
    <row r="966" ht="1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row>
    <row r="967" ht="1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row>
    <row r="968" ht="1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row>
    <row r="969" ht="1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row>
    <row r="970" ht="15.75" customHeight="1">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row>
    <row r="971" ht="15.75" customHeight="1">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row>
    <row r="972" ht="15.75" customHeight="1">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row>
    <row r="973" ht="15.75" customHeight="1">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row>
    <row r="974" ht="15.75" customHeight="1">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row>
    <row r="975" ht="15.75" customHeight="1">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row>
    <row r="976" ht="15.75" customHeight="1">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row>
    <row r="977" ht="15.75" customHeight="1">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row>
    <row r="978" ht="15.75" customHeight="1">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row>
    <row r="979" ht="15.75" customHeight="1">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row>
    <row r="980" ht="15.75" customHeight="1">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row>
    <row r="981" ht="15.75" customHeight="1">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row>
    <row r="982" ht="15.75" customHeight="1">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row>
    <row r="983" ht="15.75" customHeight="1">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row>
    <row r="984" ht="15.75" customHeight="1">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row>
    <row r="985" ht="15.75" customHeight="1">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row>
    <row r="986" ht="15.75" customHeight="1">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row>
    <row r="987" ht="15.75" customHeight="1">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row>
    <row r="988" ht="15.75" customHeight="1">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row>
    <row r="989" ht="15.75" customHeight="1">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row>
    <row r="990" ht="15.75" customHeight="1">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row>
    <row r="991" ht="15.75" customHeight="1">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row>
    <row r="992" ht="15.75" customHeight="1">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row>
    <row r="993" ht="15.75" customHeight="1">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row>
    <row r="994" ht="15.75" customHeight="1">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row>
    <row r="995" ht="15.75" customHeight="1">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row>
    <row r="996" ht="15.75" customHeight="1">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row>
    <row r="997" ht="15.75" customHeight="1">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row>
    <row r="998" ht="15.75" customHeight="1">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row>
    <row r="999" ht="15.75" customHeight="1">
      <c r="B999" s="73"/>
      <c r="C999" s="73"/>
      <c r="D999" s="73"/>
      <c r="E999" s="73"/>
      <c r="G999" s="73"/>
      <c r="H999" s="73"/>
      <c r="I999" s="73"/>
      <c r="J999" s="73"/>
      <c r="K999" s="73"/>
      <c r="L999" s="73"/>
      <c r="M999" s="73"/>
      <c r="N999" s="73"/>
      <c r="O999" s="73"/>
      <c r="P999" s="73"/>
      <c r="Q999" s="73"/>
      <c r="R999" s="73"/>
      <c r="S999" s="73"/>
      <c r="T999" s="73"/>
      <c r="U999" s="73"/>
      <c r="V999" s="73"/>
      <c r="W999" s="73"/>
      <c r="X999" s="73"/>
      <c r="Y999" s="73"/>
    </row>
    <row r="1000" ht="15.75" customHeight="1">
      <c r="B1000" s="73"/>
      <c r="C1000" s="73"/>
      <c r="D1000" s="73"/>
      <c r="E1000" s="73"/>
      <c r="G1000" s="73"/>
      <c r="H1000" s="73"/>
      <c r="I1000" s="73"/>
      <c r="J1000" s="73"/>
      <c r="K1000" s="73"/>
      <c r="L1000" s="73"/>
      <c r="M1000" s="73"/>
      <c r="N1000" s="73"/>
      <c r="O1000" s="73"/>
      <c r="P1000" s="73"/>
      <c r="Q1000" s="73"/>
      <c r="R1000" s="73"/>
      <c r="S1000" s="73"/>
      <c r="T1000" s="73"/>
      <c r="U1000" s="73"/>
      <c r="V1000" s="73"/>
      <c r="W1000" s="73"/>
      <c r="X1000" s="73"/>
      <c r="Y1000" s="73"/>
    </row>
    <row r="1001" ht="15.75" customHeight="1">
      <c r="B1001" s="73"/>
      <c r="C1001" s="73"/>
      <c r="D1001" s="73"/>
      <c r="E1001" s="73"/>
      <c r="G1001" s="73"/>
      <c r="H1001" s="73"/>
      <c r="I1001" s="73"/>
      <c r="J1001" s="73"/>
      <c r="L1001" s="73"/>
      <c r="M1001" s="73"/>
      <c r="N1001" s="73"/>
      <c r="O1001" s="73"/>
      <c r="P1001" s="73"/>
      <c r="Q1001" s="73"/>
      <c r="R1001" s="73"/>
      <c r="S1001" s="73"/>
      <c r="U1001" s="73"/>
      <c r="V1001" s="73"/>
      <c r="W1001" s="73"/>
      <c r="X1001" s="73"/>
    </row>
  </sheetData>
  <mergeCells count="3">
    <mergeCell ref="A1:A2"/>
    <mergeCell ref="B1:B7"/>
    <mergeCell ref="B10:B16"/>
  </mergeCells>
  <dataValidations>
    <dataValidation type="list" allowBlank="1" sqref="C2:Y2 L3 N3:Y3 G3:I4 Q4:Y4 G5:H5 C3:E6 N4:O6 Q5:V6 V7 C7:D8 H6:H8 C9 N7:N9 Q7:T9 Q10:S10 S11:S12 Q11:Q18 X5:Y24 X25">
      <formula1>VRMUpdate!$C:$C</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15.88"/>
    <col customWidth="1" min="3" max="3" width="15.75"/>
    <col customWidth="1" min="4" max="4" width="22.25"/>
    <col customWidth="1" min="5" max="6" width="12.63"/>
  </cols>
  <sheetData>
    <row r="1">
      <c r="A1" s="193" t="s">
        <v>1428</v>
      </c>
    </row>
    <row r="2">
      <c r="A2" s="194" t="s">
        <v>51</v>
      </c>
      <c r="B2" s="195" t="s">
        <v>53</v>
      </c>
      <c r="C2" s="194" t="s">
        <v>58</v>
      </c>
      <c r="D2" s="194" t="s">
        <v>65</v>
      </c>
    </row>
    <row r="3">
      <c r="A3" s="126" t="s">
        <v>72</v>
      </c>
      <c r="B3" s="126" t="s">
        <v>76</v>
      </c>
      <c r="C3" s="126" t="s">
        <v>76</v>
      </c>
      <c r="D3" s="126" t="s">
        <v>76</v>
      </c>
    </row>
    <row r="4">
      <c r="A4" s="126" t="s">
        <v>76</v>
      </c>
      <c r="B4" s="126" t="s">
        <v>84</v>
      </c>
      <c r="C4" s="126" t="s">
        <v>84</v>
      </c>
      <c r="D4" s="126" t="s">
        <v>84</v>
      </c>
    </row>
    <row r="5">
      <c r="A5" s="126" t="s">
        <v>107</v>
      </c>
      <c r="B5" s="126" t="s">
        <v>114</v>
      </c>
      <c r="C5" s="126" t="s">
        <v>195</v>
      </c>
      <c r="D5" s="126" t="s">
        <v>95</v>
      </c>
    </row>
    <row r="6">
      <c r="A6" s="126" t="s">
        <v>120</v>
      </c>
      <c r="B6" s="126" t="s">
        <v>132</v>
      </c>
      <c r="C6" s="126" t="s">
        <v>216</v>
      </c>
      <c r="D6" s="126" t="s">
        <v>111</v>
      </c>
    </row>
    <row r="7">
      <c r="A7" s="126" t="s">
        <v>126</v>
      </c>
      <c r="B7" s="126" t="s">
        <v>135</v>
      </c>
      <c r="C7" s="126" t="s">
        <v>246</v>
      </c>
      <c r="D7" s="126" t="s">
        <v>114</v>
      </c>
    </row>
    <row r="8">
      <c r="A8" s="126" t="s">
        <v>132</v>
      </c>
      <c r="B8" s="126" t="s">
        <v>189</v>
      </c>
      <c r="C8" s="126" t="s">
        <v>321</v>
      </c>
      <c r="D8" s="126" t="s">
        <v>117</v>
      </c>
    </row>
    <row r="9">
      <c r="A9" s="126" t="s">
        <v>135</v>
      </c>
      <c r="B9" s="126" t="s">
        <v>192</v>
      </c>
      <c r="C9" s="126" t="s">
        <v>327</v>
      </c>
      <c r="D9" s="126" t="s">
        <v>120</v>
      </c>
    </row>
    <row r="10">
      <c r="A10" s="126" t="s">
        <v>138</v>
      </c>
      <c r="B10" s="126" t="s">
        <v>195</v>
      </c>
      <c r="C10" s="126" t="s">
        <v>363</v>
      </c>
      <c r="D10" s="126" t="s">
        <v>123</v>
      </c>
    </row>
    <row r="11">
      <c r="A11" s="126" t="s">
        <v>150</v>
      </c>
      <c r="B11" s="126" t="s">
        <v>201</v>
      </c>
      <c r="C11" s="126" t="s">
        <v>372</v>
      </c>
      <c r="D11" s="126" t="s">
        <v>132</v>
      </c>
    </row>
    <row r="12">
      <c r="A12" s="126" t="s">
        <v>156</v>
      </c>
      <c r="B12" s="126" t="s">
        <v>207</v>
      </c>
      <c r="C12" s="126" t="s">
        <v>378</v>
      </c>
      <c r="D12" s="126" t="s">
        <v>135</v>
      </c>
    </row>
    <row r="13">
      <c r="A13" s="126" t="s">
        <v>162</v>
      </c>
      <c r="B13" s="126" t="s">
        <v>216</v>
      </c>
      <c r="C13" s="126" t="s">
        <v>393</v>
      </c>
      <c r="D13" s="126" t="s">
        <v>138</v>
      </c>
    </row>
    <row r="14">
      <c r="A14" s="126" t="s">
        <v>165</v>
      </c>
      <c r="B14" s="126" t="s">
        <v>234</v>
      </c>
      <c r="C14" s="119"/>
      <c r="D14" s="126" t="s">
        <v>156</v>
      </c>
    </row>
    <row r="15">
      <c r="A15" s="126" t="s">
        <v>1164</v>
      </c>
      <c r="B15" s="126" t="s">
        <v>246</v>
      </c>
      <c r="C15" s="119"/>
      <c r="D15" s="126" t="s">
        <v>162</v>
      </c>
    </row>
    <row r="16">
      <c r="A16" s="126" t="s">
        <v>189</v>
      </c>
      <c r="B16" s="126" t="s">
        <v>260</v>
      </c>
      <c r="C16" s="119"/>
      <c r="D16" s="126" t="s">
        <v>180</v>
      </c>
    </row>
    <row r="17">
      <c r="A17" s="126" t="s">
        <v>192</v>
      </c>
      <c r="B17" s="126" t="s">
        <v>265</v>
      </c>
      <c r="C17" s="119"/>
      <c r="D17" s="126"/>
    </row>
    <row r="18">
      <c r="A18" s="126" t="s">
        <v>195</v>
      </c>
      <c r="B18" s="126" t="s">
        <v>268</v>
      </c>
      <c r="C18" s="119"/>
      <c r="D18" s="126" t="s">
        <v>195</v>
      </c>
    </row>
    <row r="19">
      <c r="A19" s="126" t="s">
        <v>201</v>
      </c>
      <c r="B19" s="126" t="s">
        <v>277</v>
      </c>
      <c r="C19" s="119"/>
      <c r="D19" s="126" t="s">
        <v>201</v>
      </c>
    </row>
    <row r="20">
      <c r="A20" s="126" t="s">
        <v>207</v>
      </c>
      <c r="B20" s="126" t="s">
        <v>306</v>
      </c>
      <c r="C20" s="119"/>
      <c r="D20" s="126" t="s">
        <v>207</v>
      </c>
    </row>
    <row r="21" ht="15.75" customHeight="1">
      <c r="A21" s="126" t="s">
        <v>216</v>
      </c>
      <c r="B21" s="126" t="s">
        <v>309</v>
      </c>
      <c r="C21" s="119"/>
      <c r="D21" s="126" t="s">
        <v>216</v>
      </c>
    </row>
    <row r="22" ht="15.75" customHeight="1">
      <c r="A22" s="126" t="s">
        <v>234</v>
      </c>
      <c r="B22" s="126" t="s">
        <v>318</v>
      </c>
      <c r="C22" s="119"/>
      <c r="D22" s="126" t="s">
        <v>234</v>
      </c>
    </row>
    <row r="23" ht="15.75" customHeight="1">
      <c r="A23" s="126" t="s">
        <v>246</v>
      </c>
      <c r="B23" s="126" t="s">
        <v>321</v>
      </c>
      <c r="C23" s="119"/>
      <c r="D23" s="126" t="s">
        <v>260</v>
      </c>
    </row>
    <row r="24" ht="15.75" customHeight="1">
      <c r="A24" s="126" t="s">
        <v>249</v>
      </c>
      <c r="B24" s="126" t="s">
        <v>324</v>
      </c>
      <c r="C24" s="119"/>
      <c r="D24" s="126" t="s">
        <v>265</v>
      </c>
    </row>
    <row r="25" ht="15.75" customHeight="1">
      <c r="A25" s="126" t="s">
        <v>260</v>
      </c>
      <c r="B25" s="126" t="s">
        <v>327</v>
      </c>
      <c r="C25" s="119"/>
      <c r="D25" s="126" t="s">
        <v>268</v>
      </c>
    </row>
    <row r="26" ht="15.75" customHeight="1">
      <c r="A26" s="126" t="s">
        <v>265</v>
      </c>
      <c r="B26" s="126" t="s">
        <v>330</v>
      </c>
      <c r="C26" s="119"/>
      <c r="D26" s="126" t="s">
        <v>283</v>
      </c>
    </row>
    <row r="27" ht="15.75" customHeight="1">
      <c r="A27" s="126" t="s">
        <v>268</v>
      </c>
      <c r="B27" s="126" t="s">
        <v>339</v>
      </c>
      <c r="C27" s="119"/>
      <c r="D27" s="126" t="s">
        <v>289</v>
      </c>
    </row>
    <row r="28" ht="15.75" customHeight="1">
      <c r="A28" s="126" t="s">
        <v>277</v>
      </c>
      <c r="B28" s="126" t="s">
        <v>348</v>
      </c>
      <c r="C28" s="119"/>
      <c r="D28" s="126" t="s">
        <v>306</v>
      </c>
    </row>
    <row r="29" ht="15.75" customHeight="1">
      <c r="A29" s="126" t="s">
        <v>283</v>
      </c>
      <c r="B29" s="126" t="s">
        <v>360</v>
      </c>
      <c r="C29" s="119"/>
      <c r="D29" s="126" t="s">
        <v>309</v>
      </c>
    </row>
    <row r="30" ht="15.75" customHeight="1">
      <c r="A30" s="126" t="s">
        <v>289</v>
      </c>
      <c r="B30" s="126" t="s">
        <v>363</v>
      </c>
      <c r="C30" s="119"/>
      <c r="D30" s="126"/>
    </row>
    <row r="31" ht="15.75" customHeight="1">
      <c r="A31" s="126" t="s">
        <v>306</v>
      </c>
      <c r="B31" s="126" t="s">
        <v>366</v>
      </c>
      <c r="C31" s="119"/>
      <c r="D31" s="126" t="s">
        <v>321</v>
      </c>
    </row>
    <row r="32" ht="15.75" customHeight="1">
      <c r="A32" s="126" t="s">
        <v>309</v>
      </c>
      <c r="B32" s="126" t="s">
        <v>372</v>
      </c>
      <c r="C32" s="119"/>
      <c r="D32" s="126" t="s">
        <v>324</v>
      </c>
    </row>
    <row r="33" ht="15.75" customHeight="1">
      <c r="A33" s="126" t="s">
        <v>318</v>
      </c>
      <c r="B33" s="126" t="s">
        <v>378</v>
      </c>
      <c r="C33" s="119"/>
      <c r="D33" s="126" t="s">
        <v>327</v>
      </c>
    </row>
    <row r="34" ht="15.75" customHeight="1">
      <c r="A34" s="126" t="s">
        <v>321</v>
      </c>
      <c r="B34" s="126" t="s">
        <v>384</v>
      </c>
      <c r="C34" s="119"/>
      <c r="D34" s="126" t="s">
        <v>345</v>
      </c>
    </row>
    <row r="35" ht="15.75" customHeight="1">
      <c r="A35" s="126" t="s">
        <v>327</v>
      </c>
      <c r="B35" s="126" t="s">
        <v>393</v>
      </c>
      <c r="C35" s="119"/>
      <c r="D35" s="126" t="s">
        <v>354</v>
      </c>
    </row>
    <row r="36" ht="15.75" customHeight="1">
      <c r="A36" s="126" t="s">
        <v>330</v>
      </c>
      <c r="B36" s="126"/>
      <c r="C36" s="119"/>
      <c r="D36" s="126" t="s">
        <v>360</v>
      </c>
    </row>
    <row r="37" ht="15.75" customHeight="1">
      <c r="A37" s="126" t="s">
        <v>348</v>
      </c>
      <c r="B37" s="119"/>
      <c r="C37" s="119"/>
      <c r="D37" s="126" t="s">
        <v>363</v>
      </c>
    </row>
    <row r="38" ht="15.75" customHeight="1">
      <c r="A38" s="126" t="s">
        <v>360</v>
      </c>
      <c r="B38" s="119"/>
      <c r="C38" s="119"/>
      <c r="D38" s="126" t="s">
        <v>366</v>
      </c>
    </row>
    <row r="39" ht="15.75" customHeight="1">
      <c r="A39" s="126" t="s">
        <v>363</v>
      </c>
      <c r="B39" s="119"/>
      <c r="C39" s="119"/>
      <c r="D39" s="126" t="s">
        <v>372</v>
      </c>
    </row>
    <row r="40" ht="15.75" customHeight="1">
      <c r="A40" s="126" t="s">
        <v>366</v>
      </c>
      <c r="B40" s="119"/>
      <c r="C40" s="119"/>
      <c r="D40" s="126" t="s">
        <v>375</v>
      </c>
    </row>
    <row r="41" ht="15.75" customHeight="1">
      <c r="A41" s="126" t="s">
        <v>372</v>
      </c>
      <c r="B41" s="119"/>
      <c r="C41" s="119"/>
      <c r="D41" s="126" t="s">
        <v>378</v>
      </c>
    </row>
    <row r="42" ht="15.75" customHeight="1">
      <c r="A42" s="126" t="s">
        <v>375</v>
      </c>
      <c r="B42" s="119"/>
      <c r="C42" s="119"/>
      <c r="D42" s="126" t="s">
        <v>384</v>
      </c>
    </row>
    <row r="43" ht="15.75" customHeight="1">
      <c r="A43" s="126" t="s">
        <v>378</v>
      </c>
      <c r="B43" s="119"/>
      <c r="C43" s="119"/>
      <c r="D43" s="196"/>
    </row>
    <row r="44" ht="15.75" customHeight="1">
      <c r="A44" s="126" t="s">
        <v>384</v>
      </c>
      <c r="B44" s="119"/>
      <c r="C44" s="119"/>
      <c r="D44" s="119"/>
    </row>
    <row r="45" ht="15.75" customHeight="1">
      <c r="A45" s="126" t="s">
        <v>393</v>
      </c>
      <c r="B45" s="119"/>
      <c r="C45" s="119"/>
      <c r="D45" s="119"/>
    </row>
    <row r="46" ht="15.75" customHeight="1">
      <c r="A46" s="126"/>
      <c r="B46" s="119"/>
      <c r="C46" s="119"/>
      <c r="D46" s="119"/>
    </row>
    <row r="47" ht="15.75" customHeight="1">
      <c r="A47" s="197"/>
      <c r="B47" s="198"/>
      <c r="C47" s="198"/>
      <c r="D47" s="198"/>
    </row>
    <row r="48" ht="15.75" customHeight="1">
      <c r="A48" s="197"/>
      <c r="B48" s="198"/>
      <c r="C48" s="198"/>
      <c r="D48" s="198"/>
    </row>
    <row r="49" ht="15.75" customHeight="1">
      <c r="A49" s="197"/>
      <c r="B49" s="198"/>
      <c r="C49" s="198"/>
      <c r="D49" s="198"/>
    </row>
    <row r="50" ht="15.75" customHeight="1">
      <c r="A50" s="197"/>
      <c r="B50" s="198"/>
      <c r="C50" s="198"/>
      <c r="D50" s="198"/>
    </row>
    <row r="51" ht="15.75" customHeight="1">
      <c r="A51" s="197"/>
      <c r="B51" s="198"/>
      <c r="C51" s="198"/>
      <c r="D51" s="198"/>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D1"/>
  </mergeCells>
  <dataValidations>
    <dataValidation type="list" allowBlank="1" sqref="A3:D13 A14:B36 D14:D42 A37:A51">
      <formula1>VRMUpdate!$C:$C</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4.88"/>
    <col customWidth="1" hidden="1" min="3" max="3" width="5.13"/>
    <col customWidth="1" min="4" max="4" width="5.13"/>
    <col customWidth="1" hidden="1" min="5" max="5" width="5.13"/>
    <col customWidth="1" min="6" max="6" width="5.13"/>
    <col customWidth="1" hidden="1" min="7" max="7" width="5.13"/>
    <col customWidth="1" min="8" max="8" width="5.13"/>
    <col customWidth="1" hidden="1" min="9" max="10" width="5.13"/>
    <col customWidth="1" min="11" max="11" width="5.13"/>
    <col customWidth="1" hidden="1" min="12" max="12" width="5.13"/>
    <col customWidth="1" min="13" max="13" width="5.13"/>
    <col customWidth="1" hidden="1" min="14" max="15" width="5.13"/>
    <col customWidth="1" min="16" max="16" width="5.13"/>
    <col customWidth="1" hidden="1" min="17" max="17" width="5.13"/>
    <col customWidth="1" min="18" max="18" width="5.13"/>
    <col customWidth="1" hidden="1" min="19" max="19" width="5.13"/>
    <col customWidth="1" min="20" max="20" width="5.13"/>
    <col customWidth="1" hidden="1" min="21" max="21" width="5.13"/>
    <col customWidth="1" min="22" max="22" width="5.13"/>
    <col customWidth="1" hidden="1" min="23" max="23" width="5.13"/>
    <col customWidth="1" min="24" max="24" width="5.13"/>
    <col customWidth="1" hidden="1" min="25" max="25" width="5.13"/>
    <col customWidth="1" min="26" max="26" width="5.13"/>
    <col customWidth="1" hidden="1" min="27" max="27" width="5.13"/>
    <col customWidth="1" min="28" max="28" width="5.13"/>
    <col customWidth="1" hidden="1" min="29" max="29" width="5.13"/>
    <col customWidth="1" min="30" max="30" width="5.13"/>
  </cols>
  <sheetData>
    <row r="1">
      <c r="A1" s="199" t="s">
        <v>1429</v>
      </c>
      <c r="B1" s="200" t="s">
        <v>1425</v>
      </c>
      <c r="C1" s="201" t="s">
        <v>49</v>
      </c>
      <c r="D1" s="201" t="s">
        <v>400</v>
      </c>
      <c r="E1" s="201" t="s">
        <v>51</v>
      </c>
      <c r="F1" s="201" t="s">
        <v>401</v>
      </c>
      <c r="G1" s="201" t="s">
        <v>52</v>
      </c>
      <c r="H1" s="201" t="s">
        <v>403</v>
      </c>
      <c r="I1" s="202" t="s">
        <v>53</v>
      </c>
      <c r="J1" s="202" t="s">
        <v>54</v>
      </c>
      <c r="K1" s="202" t="s">
        <v>402</v>
      </c>
      <c r="L1" s="201" t="s">
        <v>55</v>
      </c>
      <c r="M1" s="201" t="s">
        <v>1430</v>
      </c>
      <c r="N1" s="201" t="s">
        <v>56</v>
      </c>
      <c r="O1" s="202" t="s">
        <v>59</v>
      </c>
      <c r="P1" s="202" t="s">
        <v>1431</v>
      </c>
      <c r="Q1" s="201" t="s">
        <v>60</v>
      </c>
      <c r="R1" s="201" t="s">
        <v>405</v>
      </c>
      <c r="S1" s="201" t="s">
        <v>61</v>
      </c>
      <c r="T1" s="202" t="s">
        <v>1432</v>
      </c>
      <c r="U1" s="201" t="s">
        <v>62</v>
      </c>
      <c r="V1" s="201" t="s">
        <v>406</v>
      </c>
      <c r="W1" s="201" t="s">
        <v>63</v>
      </c>
      <c r="X1" s="201" t="s">
        <v>407</v>
      </c>
      <c r="Y1" s="201" t="s">
        <v>64</v>
      </c>
      <c r="Z1" s="202" t="s">
        <v>408</v>
      </c>
      <c r="AA1" s="201" t="s">
        <v>65</v>
      </c>
      <c r="AB1" s="201" t="s">
        <v>409</v>
      </c>
      <c r="AC1" s="201" t="s">
        <v>66</v>
      </c>
      <c r="AD1" s="201" t="s">
        <v>410</v>
      </c>
    </row>
    <row r="2">
      <c r="C2" s="126" t="s">
        <v>95</v>
      </c>
      <c r="D2" s="203" t="s">
        <v>95</v>
      </c>
      <c r="E2" s="126" t="s">
        <v>84</v>
      </c>
      <c r="F2" s="126" t="s">
        <v>375</v>
      </c>
      <c r="G2" s="126" t="s">
        <v>84</v>
      </c>
      <c r="H2" s="126" t="s">
        <v>84</v>
      </c>
      <c r="I2" s="126" t="s">
        <v>84</v>
      </c>
      <c r="J2" s="119" t="s">
        <v>240</v>
      </c>
      <c r="K2" s="126" t="s">
        <v>243</v>
      </c>
      <c r="L2" s="129" t="s">
        <v>252</v>
      </c>
      <c r="M2" s="204" t="s">
        <v>384</v>
      </c>
      <c r="N2" s="129" t="s">
        <v>240</v>
      </c>
      <c r="O2" s="126" t="s">
        <v>252</v>
      </c>
      <c r="P2" s="126" t="s">
        <v>384</v>
      </c>
      <c r="Q2" s="126" t="s">
        <v>84</v>
      </c>
      <c r="R2" s="203" t="s">
        <v>123</v>
      </c>
      <c r="S2" s="126" t="s">
        <v>84</v>
      </c>
      <c r="T2" s="203" t="s">
        <v>207</v>
      </c>
      <c r="U2" s="126" t="s">
        <v>84</v>
      </c>
      <c r="V2" s="126" t="s">
        <v>84</v>
      </c>
      <c r="W2" s="126" t="s">
        <v>95</v>
      </c>
      <c r="X2" s="126" t="s">
        <v>132</v>
      </c>
      <c r="Y2" s="126" t="s">
        <v>95</v>
      </c>
      <c r="Z2" s="203" t="s">
        <v>132</v>
      </c>
      <c r="AA2" s="119" t="s">
        <v>84</v>
      </c>
      <c r="AB2" s="126" t="s">
        <v>84</v>
      </c>
      <c r="AC2" s="126" t="s">
        <v>84</v>
      </c>
      <c r="AD2" s="126" t="s">
        <v>84</v>
      </c>
    </row>
    <row r="3">
      <c r="C3" s="126" t="s">
        <v>117</v>
      </c>
      <c r="D3" s="126" t="s">
        <v>132</v>
      </c>
      <c r="E3" s="126" t="s">
        <v>95</v>
      </c>
      <c r="F3" s="129" t="s">
        <v>384</v>
      </c>
      <c r="G3" s="126" t="s">
        <v>117</v>
      </c>
      <c r="H3" s="126" t="s">
        <v>114</v>
      </c>
      <c r="I3" s="126" t="s">
        <v>252</v>
      </c>
      <c r="J3" s="119" t="s">
        <v>384</v>
      </c>
      <c r="K3" s="126" t="s">
        <v>372</v>
      </c>
      <c r="L3" s="119"/>
      <c r="M3" s="119"/>
      <c r="N3" s="129" t="s">
        <v>384</v>
      </c>
      <c r="O3" s="126" t="s">
        <v>375</v>
      </c>
      <c r="P3" s="126"/>
      <c r="Q3" s="126" t="s">
        <v>117</v>
      </c>
      <c r="R3" s="203" t="s">
        <v>150</v>
      </c>
      <c r="S3" s="126" t="s">
        <v>150</v>
      </c>
      <c r="T3" s="126"/>
      <c r="U3" s="126" t="s">
        <v>95</v>
      </c>
      <c r="V3" s="126" t="s">
        <v>114</v>
      </c>
      <c r="W3" s="126" t="s">
        <v>117</v>
      </c>
      <c r="X3" s="203" t="s">
        <v>162</v>
      </c>
      <c r="Y3" s="126" t="s">
        <v>252</v>
      </c>
      <c r="Z3" s="203" t="s">
        <v>252</v>
      </c>
      <c r="AA3" s="126" t="s">
        <v>95</v>
      </c>
      <c r="AB3" s="126" t="s">
        <v>95</v>
      </c>
      <c r="AC3" s="126" t="s">
        <v>95</v>
      </c>
      <c r="AD3" s="126" t="s">
        <v>95</v>
      </c>
    </row>
    <row r="4">
      <c r="A4" s="126" t="s">
        <v>333</v>
      </c>
      <c r="C4" s="126" t="s">
        <v>183</v>
      </c>
      <c r="D4" s="126" t="s">
        <v>165</v>
      </c>
      <c r="E4" s="126" t="s">
        <v>252</v>
      </c>
      <c r="G4" s="126" t="s">
        <v>132</v>
      </c>
      <c r="H4" s="126" t="s">
        <v>117</v>
      </c>
      <c r="I4" s="126" t="s">
        <v>260</v>
      </c>
      <c r="J4" s="126"/>
      <c r="K4" s="126" t="s">
        <v>384</v>
      </c>
      <c r="L4" s="119"/>
      <c r="M4" s="119"/>
      <c r="N4" s="119"/>
      <c r="O4" s="126" t="s">
        <v>378</v>
      </c>
      <c r="P4" s="126"/>
      <c r="Q4" s="126" t="s">
        <v>123</v>
      </c>
      <c r="R4" s="126" t="s">
        <v>207</v>
      </c>
      <c r="S4" s="126" t="s">
        <v>207</v>
      </c>
      <c r="T4" s="126"/>
      <c r="U4" s="126" t="s">
        <v>117</v>
      </c>
      <c r="V4" s="126" t="s">
        <v>117</v>
      </c>
      <c r="W4" s="126" t="s">
        <v>132</v>
      </c>
      <c r="X4" s="126" t="s">
        <v>183</v>
      </c>
      <c r="Y4" s="119"/>
      <c r="Z4" s="126" t="s">
        <v>306</v>
      </c>
      <c r="AA4" s="126" t="s">
        <v>117</v>
      </c>
      <c r="AB4" s="203" t="s">
        <v>156</v>
      </c>
      <c r="AC4" s="126" t="s">
        <v>117</v>
      </c>
      <c r="AD4" s="126" t="s">
        <v>114</v>
      </c>
    </row>
    <row r="5">
      <c r="A5" s="126" t="s">
        <v>336</v>
      </c>
      <c r="C5" s="126" t="s">
        <v>252</v>
      </c>
      <c r="D5" s="203" t="s">
        <v>183</v>
      </c>
      <c r="E5" s="126" t="s">
        <v>260</v>
      </c>
      <c r="G5" s="126" t="s">
        <v>183</v>
      </c>
      <c r="H5" s="126" t="s">
        <v>132</v>
      </c>
      <c r="I5" s="126" t="s">
        <v>265</v>
      </c>
      <c r="J5" s="126"/>
      <c r="K5" s="126"/>
      <c r="L5" s="119"/>
      <c r="M5" s="119"/>
      <c r="N5" s="119"/>
      <c r="O5" s="126" t="s">
        <v>384</v>
      </c>
      <c r="P5" s="126"/>
      <c r="Q5" s="126" t="s">
        <v>150</v>
      </c>
      <c r="R5" s="203" t="s">
        <v>243</v>
      </c>
      <c r="S5" s="126" t="s">
        <v>252</v>
      </c>
      <c r="U5" s="126" t="s">
        <v>132</v>
      </c>
      <c r="V5" s="126" t="s">
        <v>120</v>
      </c>
      <c r="W5" s="126" t="s">
        <v>183</v>
      </c>
      <c r="X5" s="203" t="s">
        <v>372</v>
      </c>
      <c r="Y5" s="119"/>
      <c r="Z5" s="119"/>
      <c r="AA5" s="126" t="s">
        <v>132</v>
      </c>
      <c r="AB5" s="126" t="s">
        <v>132</v>
      </c>
      <c r="AC5" s="126" t="s">
        <v>132</v>
      </c>
      <c r="AD5" s="126" t="s">
        <v>117</v>
      </c>
    </row>
    <row r="6">
      <c r="A6" s="126" t="s">
        <v>339</v>
      </c>
      <c r="C6" s="126" t="s">
        <v>321</v>
      </c>
      <c r="D6" s="126" t="s">
        <v>207</v>
      </c>
      <c r="E6" s="126" t="s">
        <v>265</v>
      </c>
      <c r="G6" s="126" t="s">
        <v>252</v>
      </c>
      <c r="H6" s="126" t="s">
        <v>156</v>
      </c>
      <c r="I6" s="126" t="s">
        <v>321</v>
      </c>
      <c r="J6" s="126"/>
      <c r="K6" s="126"/>
      <c r="L6" s="119"/>
      <c r="M6" s="119"/>
      <c r="N6" s="119"/>
      <c r="O6" s="126"/>
      <c r="P6" s="119"/>
      <c r="Q6" s="126" t="s">
        <v>207</v>
      </c>
      <c r="R6" s="126" t="s">
        <v>252</v>
      </c>
      <c r="S6" s="119"/>
      <c r="T6" s="119"/>
      <c r="U6" s="126" t="s">
        <v>135</v>
      </c>
      <c r="V6" s="126" t="s">
        <v>138</v>
      </c>
      <c r="W6" s="126" t="s">
        <v>252</v>
      </c>
      <c r="X6" s="126" t="s">
        <v>390</v>
      </c>
      <c r="Y6" s="119"/>
      <c r="Z6" s="119"/>
      <c r="AA6" s="126" t="s">
        <v>135</v>
      </c>
      <c r="AB6" s="126" t="s">
        <v>183</v>
      </c>
      <c r="AC6" s="126" t="s">
        <v>135</v>
      </c>
      <c r="AD6" s="126" t="s">
        <v>132</v>
      </c>
    </row>
    <row r="7">
      <c r="A7" s="126" t="s">
        <v>348</v>
      </c>
      <c r="C7" s="126" t="s">
        <v>336</v>
      </c>
      <c r="D7" s="203" t="s">
        <v>252</v>
      </c>
      <c r="E7" s="126" t="s">
        <v>321</v>
      </c>
      <c r="G7" s="126" t="s">
        <v>321</v>
      </c>
      <c r="H7" s="126" t="s">
        <v>183</v>
      </c>
      <c r="I7" s="126" t="s">
        <v>360</v>
      </c>
      <c r="J7" s="126"/>
      <c r="K7" s="126"/>
      <c r="L7" s="119"/>
      <c r="M7" s="119"/>
      <c r="N7" s="119"/>
      <c r="O7" s="126"/>
      <c r="P7" s="119"/>
      <c r="Q7" s="126" t="s">
        <v>252</v>
      </c>
      <c r="R7" s="203" t="s">
        <v>306</v>
      </c>
      <c r="S7" s="119"/>
      <c r="T7" s="119"/>
      <c r="U7" s="126" t="s">
        <v>207</v>
      </c>
      <c r="V7" s="126" t="s">
        <v>150</v>
      </c>
      <c r="W7" s="126" t="s">
        <v>372</v>
      </c>
      <c r="X7" s="126"/>
      <c r="Y7" s="119"/>
      <c r="Z7" s="119"/>
      <c r="AA7" s="126" t="s">
        <v>183</v>
      </c>
      <c r="AB7" s="126" t="s">
        <v>207</v>
      </c>
      <c r="AC7" s="126" t="s">
        <v>252</v>
      </c>
      <c r="AD7" s="126" t="s">
        <v>135</v>
      </c>
    </row>
    <row r="8">
      <c r="A8" s="126" t="s">
        <v>351</v>
      </c>
      <c r="B8" s="205">
        <f>countif(knap.agi,rept("?",6)&amp;"*")+
countif(knap.kxn,rept("?",6)&amp;"*")+
countif(knap.hwb,rept("?",6)&amp;"*")+
countif(knap.ekxn,rept("?",6)&amp;"*")+
countif(knap.egt,rept("?",6)&amp;"*")+
countif(knap.gkxn,rept("?",6)&amp;"*")+
countif(knap.gen,rept("?",6)&amp;"*")+
countif(knap.kmp,rept("?",6)&amp;"*")+
countif(knap.hcc,rept("?",6)&amp;"*")+
countif(knap.lu2,rept("?",6)&amp;"*")+
countif(knap.myc,rept("?",6)&amp;"*")+
countif(knap.nar,rept("?",6)&amp;"*")+
countif(knap.que,rept("?",6)&amp;"*")</f>
        <v>107</v>
      </c>
      <c r="C8" s="126" t="s">
        <v>372</v>
      </c>
      <c r="D8" s="126" t="s">
        <v>363</v>
      </c>
      <c r="E8" s="126" t="s">
        <v>327</v>
      </c>
      <c r="G8" s="126" t="s">
        <v>336</v>
      </c>
      <c r="H8" s="126" t="s">
        <v>222</v>
      </c>
      <c r="I8" s="126" t="s">
        <v>372</v>
      </c>
      <c r="J8" s="126"/>
      <c r="K8" s="126"/>
      <c r="L8" s="119"/>
      <c r="M8" s="119"/>
      <c r="N8" s="119"/>
      <c r="O8" s="119"/>
      <c r="P8" s="119"/>
      <c r="Q8" s="126" t="s">
        <v>306</v>
      </c>
      <c r="R8" s="203" t="s">
        <v>336</v>
      </c>
      <c r="S8" s="119"/>
      <c r="U8" s="126" t="s">
        <v>252</v>
      </c>
      <c r="V8" s="126" t="s">
        <v>207</v>
      </c>
      <c r="W8" s="126" t="s">
        <v>390</v>
      </c>
      <c r="X8" s="126"/>
      <c r="Y8" s="119"/>
      <c r="Z8" s="119"/>
      <c r="AA8" s="126" t="s">
        <v>207</v>
      </c>
      <c r="AB8" s="126" t="s">
        <v>252</v>
      </c>
      <c r="AC8" s="126" t="s">
        <v>260</v>
      </c>
      <c r="AD8" s="126" t="s">
        <v>150</v>
      </c>
    </row>
    <row r="9">
      <c r="A9" s="126" t="s">
        <v>354</v>
      </c>
      <c r="B9" s="206"/>
      <c r="C9" s="126" t="s">
        <v>390</v>
      </c>
      <c r="D9" s="126" t="s">
        <v>372</v>
      </c>
      <c r="E9" s="126" t="s">
        <v>372</v>
      </c>
      <c r="G9" s="126" t="s">
        <v>360</v>
      </c>
      <c r="H9" s="126" t="s">
        <v>228</v>
      </c>
      <c r="I9" s="126" t="s">
        <v>384</v>
      </c>
      <c r="J9" s="119"/>
      <c r="K9" s="126"/>
      <c r="L9" s="119"/>
      <c r="M9" s="119"/>
      <c r="N9" s="119"/>
      <c r="O9" s="119"/>
      <c r="P9" s="119"/>
      <c r="Q9" s="126" t="s">
        <v>375</v>
      </c>
      <c r="R9" s="203" t="s">
        <v>375</v>
      </c>
      <c r="S9" s="119"/>
      <c r="T9" s="119"/>
      <c r="U9" s="126" t="s">
        <v>260</v>
      </c>
      <c r="V9" s="203" t="s">
        <v>240</v>
      </c>
      <c r="W9" s="126" t="s">
        <v>336</v>
      </c>
      <c r="X9" s="126"/>
      <c r="Y9" s="119"/>
      <c r="Z9" s="119"/>
      <c r="AA9" s="126" t="s">
        <v>252</v>
      </c>
      <c r="AB9" s="126" t="s">
        <v>260</v>
      </c>
      <c r="AC9" s="126" t="s">
        <v>265</v>
      </c>
      <c r="AD9" s="126" t="s">
        <v>165</v>
      </c>
    </row>
    <row r="10">
      <c r="A10" s="126" t="s">
        <v>360</v>
      </c>
      <c r="B10" s="200" t="s">
        <v>1426</v>
      </c>
      <c r="D10" s="126" t="s">
        <v>378</v>
      </c>
      <c r="E10" s="126" t="s">
        <v>375</v>
      </c>
      <c r="G10" s="126" t="s">
        <v>375</v>
      </c>
      <c r="H10" s="126" t="s">
        <v>237</v>
      </c>
      <c r="J10" s="119"/>
      <c r="K10" s="126"/>
      <c r="L10" s="119"/>
      <c r="M10" s="119"/>
      <c r="N10" s="119"/>
      <c r="O10" s="119"/>
      <c r="P10" s="119"/>
      <c r="Q10" s="126" t="s">
        <v>378</v>
      </c>
      <c r="R10" s="119"/>
      <c r="S10" s="119"/>
      <c r="T10" s="119"/>
      <c r="U10" s="126" t="s">
        <v>265</v>
      </c>
      <c r="V10" s="203" t="s">
        <v>260</v>
      </c>
      <c r="W10" s="126"/>
      <c r="X10" s="126"/>
      <c r="Y10" s="119"/>
      <c r="Z10" s="119"/>
      <c r="AA10" s="126" t="s">
        <v>260</v>
      </c>
      <c r="AB10" s="203" t="s">
        <v>321</v>
      </c>
      <c r="AC10" s="126" t="s">
        <v>321</v>
      </c>
      <c r="AD10" s="126" t="s">
        <v>183</v>
      </c>
    </row>
    <row r="11">
      <c r="A11" s="126" t="s">
        <v>363</v>
      </c>
      <c r="D11" s="126" t="s">
        <v>390</v>
      </c>
      <c r="E11" s="126" t="s">
        <v>384</v>
      </c>
      <c r="G11" s="126" t="s">
        <v>384</v>
      </c>
      <c r="H11" s="126" t="s">
        <v>252</v>
      </c>
      <c r="J11" s="119"/>
      <c r="K11" s="126"/>
      <c r="L11" s="119"/>
      <c r="M11" s="119"/>
      <c r="N11" s="119"/>
      <c r="O11" s="119"/>
      <c r="P11" s="119"/>
      <c r="Q11" s="126" t="s">
        <v>390</v>
      </c>
      <c r="R11" s="119"/>
      <c r="S11" s="119"/>
      <c r="T11" s="119"/>
      <c r="U11" s="126" t="s">
        <v>327</v>
      </c>
      <c r="V11" s="126" t="s">
        <v>306</v>
      </c>
      <c r="W11" s="126"/>
      <c r="X11" s="126"/>
      <c r="Y11" s="119"/>
      <c r="Z11" s="119"/>
      <c r="AA11" s="126" t="s">
        <v>265</v>
      </c>
      <c r="AB11" s="126" t="s">
        <v>327</v>
      </c>
      <c r="AC11" s="126" t="s">
        <v>336</v>
      </c>
      <c r="AD11" s="126" t="s">
        <v>207</v>
      </c>
    </row>
    <row r="12">
      <c r="A12" s="126" t="s">
        <v>372</v>
      </c>
      <c r="D12" s="126"/>
      <c r="E12" s="126" t="s">
        <v>393</v>
      </c>
      <c r="G12" s="126" t="s">
        <v>390</v>
      </c>
      <c r="H12" s="126" t="s">
        <v>260</v>
      </c>
      <c r="J12" s="119"/>
      <c r="K12" s="126"/>
      <c r="L12" s="119"/>
      <c r="M12" s="119"/>
      <c r="N12" s="119"/>
      <c r="O12" s="119"/>
      <c r="P12" s="119"/>
      <c r="Q12" s="126"/>
      <c r="R12" s="119"/>
      <c r="S12" s="119"/>
      <c r="T12" s="119"/>
      <c r="U12" s="126" t="s">
        <v>336</v>
      </c>
      <c r="V12" s="126" t="s">
        <v>321</v>
      </c>
      <c r="W12" s="126"/>
      <c r="X12" s="126"/>
      <c r="Y12" s="119"/>
      <c r="Z12" s="119"/>
      <c r="AA12" s="126" t="s">
        <v>321</v>
      </c>
      <c r="AB12" s="126" t="s">
        <v>336</v>
      </c>
      <c r="AC12" s="126" t="s">
        <v>390</v>
      </c>
      <c r="AD12" s="126" t="s">
        <v>213</v>
      </c>
    </row>
    <row r="13">
      <c r="A13" s="126" t="s">
        <v>375</v>
      </c>
      <c r="H13" s="126" t="s">
        <v>268</v>
      </c>
      <c r="J13" s="119"/>
      <c r="K13" s="126"/>
      <c r="L13" s="119"/>
      <c r="M13" s="119"/>
      <c r="N13" s="119"/>
      <c r="O13" s="119"/>
      <c r="P13" s="119"/>
      <c r="Q13" s="119"/>
      <c r="R13" s="119"/>
      <c r="S13" s="119"/>
      <c r="T13" s="119"/>
      <c r="U13" s="126" t="s">
        <v>354</v>
      </c>
      <c r="V13" s="126" t="s">
        <v>333</v>
      </c>
      <c r="W13" s="126"/>
      <c r="X13" s="126"/>
      <c r="Y13" s="119"/>
      <c r="Z13" s="119"/>
      <c r="AA13" s="126" t="s">
        <v>324</v>
      </c>
      <c r="AB13" s="126" t="s">
        <v>339</v>
      </c>
      <c r="AD13" s="126" t="s">
        <v>216</v>
      </c>
    </row>
    <row r="14">
      <c r="A14" s="126" t="s">
        <v>378</v>
      </c>
      <c r="H14" s="126" t="s">
        <v>303</v>
      </c>
      <c r="J14" s="119"/>
      <c r="K14" s="126"/>
      <c r="L14" s="119"/>
      <c r="M14" s="119"/>
      <c r="N14" s="119"/>
      <c r="O14" s="119"/>
      <c r="P14" s="119"/>
      <c r="Q14" s="119"/>
      <c r="R14" s="119"/>
      <c r="S14" s="119"/>
      <c r="T14" s="119"/>
      <c r="U14" s="126" t="s">
        <v>390</v>
      </c>
      <c r="V14" s="126" t="s">
        <v>336</v>
      </c>
      <c r="W14" s="126"/>
      <c r="X14" s="126"/>
      <c r="Y14" s="119"/>
      <c r="Z14" s="119"/>
      <c r="AA14" s="126" t="s">
        <v>327</v>
      </c>
      <c r="AB14" s="126" t="s">
        <v>354</v>
      </c>
      <c r="AD14" s="126" t="s">
        <v>237</v>
      </c>
    </row>
    <row r="15">
      <c r="A15" s="129" t="s">
        <v>384</v>
      </c>
      <c r="H15" s="126" t="s">
        <v>306</v>
      </c>
      <c r="J15" s="119"/>
      <c r="K15" s="126"/>
      <c r="L15" s="119"/>
      <c r="M15" s="119"/>
      <c r="N15" s="119"/>
      <c r="O15" s="119"/>
      <c r="P15" s="119"/>
      <c r="Q15" s="119"/>
      <c r="R15" s="119"/>
      <c r="S15" s="119"/>
      <c r="T15" s="119"/>
      <c r="U15" s="126"/>
      <c r="V15" s="126" t="s">
        <v>339</v>
      </c>
      <c r="W15" s="119"/>
      <c r="X15" s="126"/>
      <c r="Y15" s="119"/>
      <c r="Z15" s="119"/>
      <c r="AA15" s="126" t="s">
        <v>336</v>
      </c>
      <c r="AB15" s="203" t="s">
        <v>360</v>
      </c>
      <c r="AD15" s="126" t="s">
        <v>240</v>
      </c>
    </row>
    <row r="16">
      <c r="A16" s="126" t="s">
        <v>390</v>
      </c>
      <c r="H16" s="126" t="s">
        <v>321</v>
      </c>
      <c r="J16" s="119"/>
      <c r="K16" s="126"/>
      <c r="L16" s="119"/>
      <c r="M16" s="119"/>
      <c r="N16" s="119"/>
      <c r="O16" s="119"/>
      <c r="P16" s="119"/>
      <c r="Q16" s="119"/>
      <c r="R16" s="119"/>
      <c r="S16" s="119"/>
      <c r="T16" s="119"/>
      <c r="U16" s="126"/>
      <c r="V16" s="126" t="s">
        <v>360</v>
      </c>
      <c r="W16" s="119"/>
      <c r="X16" s="126"/>
      <c r="Y16" s="119"/>
      <c r="Z16" s="119"/>
      <c r="AA16" s="126" t="s">
        <v>372</v>
      </c>
      <c r="AB16" s="126" t="s">
        <v>372</v>
      </c>
      <c r="AD16" s="203" t="s">
        <v>252</v>
      </c>
    </row>
    <row r="17">
      <c r="A17" s="126" t="s">
        <v>393</v>
      </c>
      <c r="B17" s="205">
        <f>counta(knap.agi.sim)-1
+counta(knap.kxn.sim)-1+
counta(knap.hwb.sim)-1+
counta(knap.ekxn.sim)-1+
counta(knap.ecg,)-1+
counta(knap.gen.sim)-1+
counta(knap.kmp.sim)-1+
counta(knap.lu2.sim)-1+
counta(knap.gkxn.sim)-1+
counta(knap.nar.sim)-1+
COUNTA(knap.que.sim)-1</f>
        <v>115</v>
      </c>
      <c r="H17" s="203" t="s">
        <v>336</v>
      </c>
      <c r="J17" s="119"/>
      <c r="K17" s="126"/>
      <c r="L17" s="119"/>
      <c r="M17" s="119"/>
      <c r="N17" s="119"/>
      <c r="O17" s="119"/>
      <c r="P17" s="119"/>
      <c r="Q17" s="119"/>
      <c r="R17" s="119"/>
      <c r="S17" s="119"/>
      <c r="T17" s="119"/>
      <c r="U17" s="126"/>
      <c r="V17" s="126" t="s">
        <v>378</v>
      </c>
      <c r="W17" s="119"/>
      <c r="X17" s="126"/>
      <c r="Y17" s="119"/>
      <c r="Z17" s="119"/>
      <c r="AA17" s="126" t="s">
        <v>390</v>
      </c>
      <c r="AB17" s="203" t="s">
        <v>384</v>
      </c>
      <c r="AD17" s="126" t="s">
        <v>260</v>
      </c>
    </row>
    <row r="18">
      <c r="B18" s="119"/>
      <c r="H18" s="126" t="s">
        <v>372</v>
      </c>
      <c r="J18" s="119"/>
      <c r="K18" s="126"/>
      <c r="L18" s="119"/>
      <c r="M18" s="119"/>
      <c r="N18" s="119"/>
      <c r="O18" s="119"/>
      <c r="P18" s="119"/>
      <c r="Q18" s="119"/>
      <c r="R18" s="119"/>
      <c r="S18" s="119"/>
      <c r="T18" s="119"/>
      <c r="U18" s="126"/>
      <c r="V18" s="126"/>
      <c r="W18" s="119"/>
      <c r="X18" s="126"/>
      <c r="Y18" s="119"/>
      <c r="Z18" s="119"/>
      <c r="AA18" s="126"/>
      <c r="AB18" s="126" t="s">
        <v>390</v>
      </c>
      <c r="AD18" s="126" t="s">
        <v>265</v>
      </c>
    </row>
    <row r="19">
      <c r="B19" s="119"/>
      <c r="H19" s="126" t="s">
        <v>384</v>
      </c>
      <c r="J19" s="119"/>
      <c r="K19" s="126"/>
      <c r="L19" s="119"/>
      <c r="M19" s="119"/>
      <c r="N19" s="119"/>
      <c r="O19" s="119"/>
      <c r="P19" s="119"/>
      <c r="Q19" s="119"/>
      <c r="R19" s="119"/>
      <c r="S19" s="119"/>
      <c r="T19" s="119"/>
      <c r="U19" s="119"/>
      <c r="V19" s="126"/>
      <c r="W19" s="119"/>
      <c r="X19" s="126"/>
      <c r="Y19" s="119"/>
      <c r="Z19" s="119"/>
      <c r="AA19" s="126"/>
      <c r="AB19" s="126" t="s">
        <v>393</v>
      </c>
      <c r="AD19" s="126" t="s">
        <v>268</v>
      </c>
    </row>
    <row r="20">
      <c r="B20" s="119"/>
      <c r="H20" s="126" t="s">
        <v>390</v>
      </c>
      <c r="J20" s="119"/>
      <c r="K20" s="126"/>
      <c r="L20" s="119"/>
      <c r="M20" s="119"/>
      <c r="N20" s="119"/>
      <c r="O20" s="119"/>
      <c r="P20" s="119"/>
      <c r="Q20" s="119"/>
      <c r="R20" s="119"/>
      <c r="S20" s="119"/>
      <c r="T20" s="119"/>
      <c r="U20" s="119"/>
      <c r="V20" s="126"/>
      <c r="W20" s="119"/>
      <c r="X20" s="119"/>
      <c r="Y20" s="119"/>
      <c r="Z20" s="119"/>
      <c r="AA20" s="126"/>
      <c r="AB20" s="126"/>
      <c r="AD20" s="126" t="s">
        <v>277</v>
      </c>
    </row>
    <row r="21" ht="15.75" customHeight="1">
      <c r="B21" s="119"/>
      <c r="J21" s="119"/>
      <c r="K21" s="126"/>
      <c r="L21" s="119"/>
      <c r="M21" s="119"/>
      <c r="N21" s="119"/>
      <c r="O21" s="119"/>
      <c r="P21" s="119"/>
      <c r="Q21" s="119"/>
      <c r="R21" s="119"/>
      <c r="S21" s="119"/>
      <c r="T21" s="119"/>
      <c r="U21" s="119"/>
      <c r="V21" s="126"/>
      <c r="W21" s="119"/>
      <c r="X21" s="119"/>
      <c r="Y21" s="119"/>
      <c r="Z21" s="119"/>
      <c r="AA21" s="126"/>
      <c r="AB21" s="126"/>
      <c r="AD21" s="126" t="s">
        <v>300</v>
      </c>
    </row>
    <row r="22" ht="15.75" customHeight="1">
      <c r="B22" s="119"/>
      <c r="J22" s="119"/>
      <c r="K22" s="126"/>
      <c r="L22" s="119"/>
      <c r="M22" s="119"/>
      <c r="N22" s="119"/>
      <c r="O22" s="119"/>
      <c r="P22" s="119"/>
      <c r="Q22" s="119"/>
      <c r="R22" s="119"/>
      <c r="S22" s="119"/>
      <c r="T22" s="119"/>
      <c r="U22" s="119"/>
      <c r="V22" s="126"/>
      <c r="W22" s="119"/>
      <c r="X22" s="119"/>
      <c r="Y22" s="119"/>
      <c r="Z22" s="119"/>
      <c r="AA22" s="126"/>
      <c r="AB22" s="126"/>
      <c r="AD22" s="126" t="s">
        <v>306</v>
      </c>
    </row>
    <row r="23" ht="15.75" customHeight="1">
      <c r="B23" s="119"/>
      <c r="J23" s="119"/>
      <c r="K23" s="126"/>
      <c r="L23" s="119"/>
      <c r="M23" s="119"/>
      <c r="N23" s="119"/>
      <c r="O23" s="119"/>
      <c r="P23" s="119"/>
      <c r="Q23" s="119"/>
      <c r="R23" s="119"/>
      <c r="S23" s="119"/>
      <c r="T23" s="119"/>
      <c r="U23" s="119"/>
      <c r="V23" s="126"/>
      <c r="W23" s="119"/>
      <c r="X23" s="119"/>
      <c r="Y23" s="119"/>
      <c r="Z23" s="119"/>
      <c r="AA23" s="126"/>
      <c r="AB23" s="126"/>
      <c r="AD23" s="126" t="s">
        <v>321</v>
      </c>
    </row>
    <row r="24" ht="15.75" customHeight="1">
      <c r="B24" s="119"/>
      <c r="J24" s="119"/>
      <c r="K24" s="126"/>
      <c r="L24" s="119"/>
      <c r="M24" s="119"/>
      <c r="N24" s="119"/>
      <c r="O24" s="119"/>
      <c r="P24" s="119"/>
      <c r="Q24" s="119"/>
      <c r="R24" s="119"/>
      <c r="S24" s="119"/>
      <c r="T24" s="119"/>
      <c r="U24" s="119"/>
      <c r="V24" s="126"/>
      <c r="W24" s="119"/>
      <c r="X24" s="119"/>
      <c r="Y24" s="119"/>
      <c r="Z24" s="119"/>
      <c r="AA24" s="126"/>
      <c r="AB24" s="126"/>
      <c r="AD24" s="126" t="s">
        <v>324</v>
      </c>
    </row>
    <row r="25" ht="15.75" customHeight="1">
      <c r="B25" s="119"/>
      <c r="J25" s="119"/>
      <c r="K25" s="126"/>
      <c r="L25" s="119"/>
      <c r="M25" s="119"/>
      <c r="N25" s="119"/>
      <c r="O25" s="119"/>
      <c r="P25" s="119"/>
      <c r="Q25" s="119"/>
      <c r="R25" s="119"/>
      <c r="S25" s="119"/>
      <c r="T25" s="119"/>
      <c r="U25" s="119"/>
      <c r="V25" s="126"/>
      <c r="W25" s="119"/>
      <c r="X25" s="119"/>
      <c r="Y25" s="119"/>
      <c r="Z25" s="119"/>
      <c r="AA25" s="126"/>
      <c r="AB25" s="126"/>
      <c r="AD25" s="126" t="s">
        <v>336</v>
      </c>
    </row>
    <row r="26" ht="15.75" customHeight="1">
      <c r="B26" s="119"/>
      <c r="J26" s="119"/>
      <c r="K26" s="126"/>
      <c r="L26" s="119"/>
      <c r="M26" s="119"/>
      <c r="N26" s="119"/>
      <c r="O26" s="119"/>
      <c r="P26" s="119"/>
      <c r="Q26" s="119"/>
      <c r="R26" s="119"/>
      <c r="S26" s="119"/>
      <c r="T26" s="119"/>
      <c r="U26" s="119"/>
      <c r="V26" s="126"/>
      <c r="W26" s="119"/>
      <c r="X26" s="119"/>
      <c r="Y26" s="119"/>
      <c r="Z26" s="119"/>
      <c r="AA26" s="126"/>
      <c r="AB26" s="119"/>
      <c r="AD26" s="126" t="s">
        <v>339</v>
      </c>
    </row>
    <row r="27" ht="15.75" customHeight="1">
      <c r="B27" s="119"/>
      <c r="J27" s="119"/>
      <c r="K27" s="126"/>
      <c r="L27" s="119"/>
      <c r="M27" s="119"/>
      <c r="N27" s="119"/>
      <c r="O27" s="119"/>
      <c r="P27" s="119"/>
      <c r="Q27" s="119"/>
      <c r="R27" s="119"/>
      <c r="S27" s="119"/>
      <c r="T27" s="119"/>
      <c r="U27" s="119"/>
      <c r="V27" s="126"/>
      <c r="W27" s="119"/>
      <c r="X27" s="119"/>
      <c r="Y27" s="119"/>
      <c r="Z27" s="119"/>
      <c r="AA27" s="126"/>
      <c r="AB27" s="119"/>
      <c r="AD27" s="126" t="s">
        <v>354</v>
      </c>
    </row>
    <row r="28" ht="15.75" customHeight="1">
      <c r="B28" s="119"/>
      <c r="J28" s="119"/>
      <c r="K28" s="126"/>
      <c r="L28" s="119"/>
      <c r="M28" s="119"/>
      <c r="N28" s="119"/>
      <c r="O28" s="119"/>
      <c r="P28" s="119"/>
      <c r="Q28" s="119"/>
      <c r="R28" s="119"/>
      <c r="S28" s="119"/>
      <c r="T28" s="119"/>
      <c r="U28" s="119"/>
      <c r="V28" s="126"/>
      <c r="W28" s="119"/>
      <c r="X28" s="119"/>
      <c r="Y28" s="119"/>
      <c r="Z28" s="119"/>
      <c r="AA28" s="126"/>
      <c r="AB28" s="119"/>
      <c r="AD28" s="203" t="s">
        <v>360</v>
      </c>
    </row>
    <row r="29" ht="15.75" customHeight="1">
      <c r="B29" s="119"/>
      <c r="J29" s="119"/>
      <c r="K29" s="126"/>
      <c r="L29" s="119"/>
      <c r="M29" s="119"/>
      <c r="N29" s="119"/>
      <c r="O29" s="119"/>
      <c r="P29" s="119"/>
      <c r="Q29" s="119"/>
      <c r="R29" s="119"/>
      <c r="S29" s="119"/>
      <c r="T29" s="119"/>
      <c r="U29" s="119"/>
      <c r="V29" s="126"/>
      <c r="W29" s="119"/>
      <c r="X29" s="119"/>
      <c r="Y29" s="126"/>
      <c r="Z29" s="126"/>
      <c r="AA29" s="126"/>
      <c r="AB29" s="119"/>
      <c r="AD29" s="203" t="s">
        <v>372</v>
      </c>
    </row>
    <row r="30" ht="15.75" customHeight="1">
      <c r="B30" s="119"/>
      <c r="J30" s="119"/>
      <c r="K30" s="126"/>
      <c r="L30" s="119"/>
      <c r="M30" s="119"/>
      <c r="N30" s="119"/>
      <c r="O30" s="119"/>
      <c r="P30" s="119"/>
      <c r="Q30" s="119"/>
      <c r="R30" s="119"/>
      <c r="S30" s="119"/>
      <c r="T30" s="119"/>
      <c r="U30" s="119"/>
      <c r="V30" s="126"/>
      <c r="W30" s="119"/>
      <c r="X30" s="119"/>
      <c r="Y30" s="126"/>
      <c r="Z30" s="126"/>
      <c r="AA30" s="126"/>
      <c r="AB30" s="119"/>
      <c r="AD30" s="203" t="s">
        <v>378</v>
      </c>
    </row>
    <row r="31" ht="15.75" customHeight="1">
      <c r="B31" s="119"/>
      <c r="J31" s="119"/>
      <c r="K31" s="126"/>
      <c r="L31" s="119"/>
      <c r="M31" s="119"/>
      <c r="N31" s="119"/>
      <c r="O31" s="119"/>
      <c r="P31" s="119"/>
      <c r="Q31" s="119"/>
      <c r="R31" s="119"/>
      <c r="S31" s="119"/>
      <c r="T31" s="119"/>
      <c r="U31" s="119"/>
      <c r="V31" s="126"/>
      <c r="W31" s="119"/>
      <c r="X31" s="119"/>
      <c r="Y31" s="126"/>
      <c r="Z31" s="126"/>
      <c r="AA31" s="126"/>
      <c r="AB31" s="119"/>
      <c r="AD31" s="203" t="s">
        <v>390</v>
      </c>
    </row>
    <row r="32" ht="15.75" customHeight="1">
      <c r="B32" s="119"/>
      <c r="J32" s="119"/>
      <c r="K32" s="126"/>
      <c r="L32" s="119"/>
      <c r="M32" s="119"/>
      <c r="N32" s="119"/>
      <c r="O32" s="119"/>
      <c r="P32" s="119"/>
      <c r="Q32" s="119"/>
      <c r="R32" s="119"/>
      <c r="S32" s="119"/>
      <c r="T32" s="119"/>
      <c r="U32" s="119"/>
      <c r="V32" s="126"/>
      <c r="W32" s="119"/>
      <c r="X32" s="119"/>
      <c r="Y32" s="126"/>
      <c r="Z32" s="126"/>
      <c r="AA32" s="126"/>
      <c r="AB32" s="119"/>
      <c r="AD32" s="203" t="s">
        <v>393</v>
      </c>
    </row>
    <row r="33" ht="15.75" customHeight="1">
      <c r="B33" s="119"/>
      <c r="J33" s="119"/>
      <c r="K33" s="126"/>
      <c r="L33" s="119"/>
      <c r="M33" s="119"/>
      <c r="N33" s="119"/>
      <c r="O33" s="119"/>
      <c r="P33" s="119"/>
      <c r="Q33" s="119"/>
      <c r="R33" s="119"/>
      <c r="S33" s="119"/>
      <c r="T33" s="119"/>
      <c r="U33" s="119"/>
      <c r="V33" s="126"/>
      <c r="W33" s="119"/>
      <c r="X33" s="119"/>
      <c r="Y33" s="126"/>
      <c r="Z33" s="126"/>
      <c r="AA33" s="119"/>
      <c r="AB33" s="119"/>
    </row>
    <row r="34" ht="15.75" customHeight="1">
      <c r="B34" s="119"/>
      <c r="J34" s="119"/>
      <c r="K34" s="126"/>
      <c r="L34" s="119"/>
      <c r="M34" s="119"/>
      <c r="N34" s="119"/>
      <c r="O34" s="119"/>
      <c r="P34" s="119"/>
      <c r="Q34" s="119"/>
      <c r="R34" s="119"/>
      <c r="S34" s="119"/>
      <c r="T34" s="119"/>
      <c r="U34" s="119"/>
      <c r="V34" s="126"/>
      <c r="W34" s="119"/>
      <c r="X34" s="119"/>
      <c r="Y34" s="126"/>
      <c r="Z34" s="126"/>
      <c r="AA34" s="119"/>
      <c r="AB34" s="119"/>
    </row>
    <row r="35" ht="15.75" customHeight="1">
      <c r="B35" s="119"/>
      <c r="J35" s="119"/>
      <c r="K35" s="126"/>
      <c r="L35" s="119"/>
      <c r="M35" s="119"/>
      <c r="N35" s="119"/>
      <c r="O35" s="119"/>
      <c r="P35" s="119"/>
      <c r="Q35" s="119"/>
      <c r="R35" s="119"/>
      <c r="S35" s="119"/>
      <c r="T35" s="119"/>
      <c r="U35" s="119"/>
      <c r="V35" s="126"/>
      <c r="W35" s="119"/>
      <c r="X35" s="119"/>
      <c r="Y35" s="126"/>
      <c r="Z35" s="126"/>
      <c r="AA35" s="119"/>
      <c r="AB35" s="119"/>
    </row>
    <row r="36" ht="15.75" customHeight="1">
      <c r="B36" s="119"/>
      <c r="J36" s="119"/>
      <c r="K36" s="126"/>
      <c r="L36" s="119"/>
      <c r="M36" s="119"/>
      <c r="N36" s="119"/>
      <c r="O36" s="119"/>
      <c r="P36" s="119"/>
      <c r="Q36" s="119"/>
      <c r="R36" s="119"/>
      <c r="S36" s="119"/>
      <c r="T36" s="119"/>
      <c r="U36" s="119"/>
      <c r="V36" s="126"/>
      <c r="W36" s="119"/>
      <c r="X36" s="119"/>
      <c r="Y36" s="126"/>
      <c r="Z36" s="126"/>
      <c r="AA36" s="119"/>
      <c r="AB36" s="119"/>
    </row>
    <row r="37" ht="15.75" customHeight="1">
      <c r="B37" s="119"/>
      <c r="J37" s="119"/>
      <c r="K37" s="126"/>
      <c r="L37" s="119"/>
      <c r="M37" s="119"/>
      <c r="N37" s="119"/>
      <c r="O37" s="119"/>
      <c r="P37" s="119"/>
      <c r="Q37" s="119"/>
      <c r="R37" s="119"/>
      <c r="S37" s="119"/>
      <c r="T37" s="119"/>
      <c r="U37" s="119"/>
      <c r="V37" s="126"/>
      <c r="W37" s="119"/>
      <c r="X37" s="119"/>
      <c r="Y37" s="126"/>
      <c r="Z37" s="126"/>
      <c r="AA37" s="119"/>
      <c r="AB37" s="119"/>
    </row>
    <row r="38" ht="15.75" customHeight="1">
      <c r="B38" s="119"/>
      <c r="J38" s="119"/>
      <c r="K38" s="126"/>
      <c r="L38" s="119"/>
      <c r="M38" s="119"/>
      <c r="N38" s="119"/>
      <c r="O38" s="119"/>
      <c r="P38" s="119"/>
      <c r="Q38" s="119"/>
      <c r="R38" s="119"/>
      <c r="S38" s="119"/>
      <c r="T38" s="119"/>
      <c r="U38" s="119"/>
      <c r="V38" s="126"/>
      <c r="W38" s="119"/>
      <c r="X38" s="119"/>
      <c r="Y38" s="126"/>
      <c r="Z38" s="126"/>
      <c r="AA38" s="119"/>
      <c r="AB38" s="119"/>
    </row>
    <row r="39" ht="15.75" customHeight="1">
      <c r="B39" s="119"/>
      <c r="J39" s="119"/>
      <c r="K39" s="126"/>
      <c r="L39" s="119"/>
      <c r="M39" s="119"/>
      <c r="N39" s="119"/>
      <c r="O39" s="119"/>
      <c r="P39" s="119"/>
      <c r="Q39" s="119"/>
      <c r="R39" s="119"/>
      <c r="S39" s="119"/>
      <c r="T39" s="119"/>
      <c r="U39" s="119"/>
      <c r="V39" s="126"/>
      <c r="W39" s="119"/>
      <c r="X39" s="119"/>
      <c r="Y39" s="126"/>
      <c r="Z39" s="126"/>
      <c r="AA39" s="119"/>
      <c r="AB39" s="119"/>
    </row>
    <row r="40" ht="15.75" customHeight="1">
      <c r="B40" s="119"/>
      <c r="J40" s="119"/>
      <c r="K40" s="126"/>
      <c r="L40" s="119"/>
      <c r="M40" s="119"/>
      <c r="N40" s="119"/>
      <c r="O40" s="119"/>
      <c r="P40" s="119"/>
      <c r="Q40" s="119"/>
      <c r="R40" s="119"/>
      <c r="S40" s="119"/>
      <c r="T40" s="119"/>
      <c r="U40" s="119"/>
      <c r="V40" s="126"/>
      <c r="W40" s="119"/>
      <c r="Y40" s="126"/>
      <c r="Z40" s="126"/>
      <c r="AA40" s="119"/>
      <c r="AB40" s="119"/>
    </row>
    <row r="41" ht="15.75" customHeight="1">
      <c r="V41" s="126"/>
      <c r="AB41" s="119"/>
    </row>
    <row r="42" ht="15.75" customHeight="1">
      <c r="V42" s="126"/>
      <c r="AB42" s="126"/>
    </row>
    <row r="43" ht="15.75" customHeight="1">
      <c r="AB43" s="126"/>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A73" s="126"/>
    </row>
    <row r="74" ht="15.75" customHeight="1">
      <c r="A74" s="126" t="s">
        <v>354</v>
      </c>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3"/>
    <mergeCell ref="B1:B7"/>
    <mergeCell ref="B10:B16"/>
  </mergeCells>
  <dataValidations>
    <dataValidation type="list" allowBlank="1" sqref="C2:AD2 C3:K3 N3:AD3 Q4:X4 Z4:AD4 K4:K5 O4:O5 Q5:S5 U5:X6 C4:E9 G4:I9 Q6:R9 U7:W9 Q10:Q11 D10:E12 G10:H12 AA5:AD12 U10:V14 V15:V17 AA13:AB17 AB18:AB19 H13:H20 AD13:AD32 A73:A74">
      <formula1>VRMUpdate!$C:$C</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0"/>
    <col customWidth="1" min="2" max="2" width="10.88"/>
    <col customWidth="1" hidden="1" min="3" max="5" width="5.75"/>
    <col customWidth="1" min="6" max="6" width="5.75"/>
    <col customWidth="1" hidden="1" min="7" max="8" width="5.75"/>
    <col customWidth="1" min="9" max="9" width="5.75"/>
    <col customWidth="1" hidden="1" min="10" max="10" width="5.75"/>
    <col customWidth="1" min="11" max="11" width="5.75"/>
    <col customWidth="1" hidden="1" min="12" max="16" width="5.75"/>
    <col customWidth="1" min="17" max="17" width="5.75"/>
  </cols>
  <sheetData>
    <row r="1">
      <c r="A1" s="199" t="s">
        <v>1433</v>
      </c>
      <c r="B1" s="200" t="s">
        <v>1425</v>
      </c>
      <c r="C1" s="201" t="s">
        <v>49</v>
      </c>
      <c r="D1" s="201" t="s">
        <v>51</v>
      </c>
      <c r="E1" s="201" t="s">
        <v>52</v>
      </c>
      <c r="F1" s="201" t="s">
        <v>403</v>
      </c>
      <c r="G1" s="202" t="s">
        <v>53</v>
      </c>
      <c r="H1" s="201" t="s">
        <v>54</v>
      </c>
      <c r="I1" s="202" t="s">
        <v>402</v>
      </c>
      <c r="J1" s="201" t="s">
        <v>55</v>
      </c>
      <c r="K1" s="201" t="s">
        <v>1430</v>
      </c>
      <c r="L1" s="201" t="s">
        <v>56</v>
      </c>
      <c r="M1" s="201" t="s">
        <v>62</v>
      </c>
      <c r="N1" s="201" t="s">
        <v>63</v>
      </c>
      <c r="O1" s="201" t="s">
        <v>64</v>
      </c>
      <c r="P1" s="201" t="s">
        <v>66</v>
      </c>
      <c r="Q1" s="201" t="s">
        <v>410</v>
      </c>
    </row>
    <row r="2">
      <c r="C2" s="207" t="s">
        <v>117</v>
      </c>
      <c r="D2" s="207" t="s">
        <v>321</v>
      </c>
      <c r="E2" s="126" t="s">
        <v>246</v>
      </c>
      <c r="F2" s="126"/>
      <c r="G2" s="126" t="s">
        <v>162</v>
      </c>
      <c r="H2" s="126" t="s">
        <v>246</v>
      </c>
      <c r="I2" s="208" t="s">
        <v>156</v>
      </c>
      <c r="J2" s="126" t="s">
        <v>162</v>
      </c>
      <c r="K2" s="208" t="s">
        <v>156</v>
      </c>
      <c r="L2" s="126" t="s">
        <v>246</v>
      </c>
      <c r="M2" s="207" t="s">
        <v>95</v>
      </c>
      <c r="N2" s="126" t="s">
        <v>107</v>
      </c>
      <c r="O2" s="126" t="s">
        <v>135</v>
      </c>
      <c r="P2" s="207" t="s">
        <v>95</v>
      </c>
      <c r="Q2" s="208" t="s">
        <v>321</v>
      </c>
    </row>
    <row r="3">
      <c r="C3" s="207" t="s">
        <v>135</v>
      </c>
      <c r="D3" s="126" t="s">
        <v>327</v>
      </c>
      <c r="E3" s="126" t="s">
        <v>309</v>
      </c>
      <c r="F3" s="126"/>
      <c r="G3" s="207" t="s">
        <v>246</v>
      </c>
      <c r="H3" s="207" t="s">
        <v>321</v>
      </c>
      <c r="I3" s="126" t="s">
        <v>246</v>
      </c>
      <c r="J3" s="126" t="s">
        <v>321</v>
      </c>
      <c r="K3" s="126" t="s">
        <v>246</v>
      </c>
      <c r="L3" s="207" t="s">
        <v>327</v>
      </c>
      <c r="M3" s="207" t="s">
        <v>117</v>
      </c>
      <c r="N3" s="207" t="s">
        <v>117</v>
      </c>
      <c r="O3" s="207" t="s">
        <v>156</v>
      </c>
      <c r="P3" s="126" t="s">
        <v>107</v>
      </c>
      <c r="Q3" s="126"/>
    </row>
    <row r="4">
      <c r="C4" s="207" t="s">
        <v>234</v>
      </c>
      <c r="D4" s="126" t="s">
        <v>384</v>
      </c>
      <c r="E4" s="207" t="s">
        <v>321</v>
      </c>
      <c r="F4" s="126"/>
      <c r="G4" s="126" t="s">
        <v>321</v>
      </c>
      <c r="I4" s="207" t="s">
        <v>321</v>
      </c>
      <c r="J4" s="207" t="s">
        <v>327</v>
      </c>
      <c r="K4" s="208" t="s">
        <v>309</v>
      </c>
      <c r="L4" s="126"/>
      <c r="M4" s="126" t="s">
        <v>135</v>
      </c>
      <c r="N4" s="126" t="s">
        <v>135</v>
      </c>
      <c r="O4" s="126" t="s">
        <v>246</v>
      </c>
      <c r="P4" s="207" t="s">
        <v>117</v>
      </c>
      <c r="Q4" s="126"/>
    </row>
    <row r="5">
      <c r="C5" s="126"/>
      <c r="D5" s="126" t="s">
        <v>393</v>
      </c>
      <c r="E5" s="126" t="s">
        <v>384</v>
      </c>
      <c r="F5" s="126"/>
      <c r="G5" s="126" t="s">
        <v>384</v>
      </c>
      <c r="I5" s="208" t="s">
        <v>384</v>
      </c>
      <c r="J5" s="126"/>
      <c r="K5" s="207" t="s">
        <v>327</v>
      </c>
      <c r="L5" s="126"/>
      <c r="M5" s="126" t="s">
        <v>156</v>
      </c>
      <c r="N5" s="126" t="s">
        <v>156</v>
      </c>
      <c r="O5" s="126" t="s">
        <v>321</v>
      </c>
      <c r="P5" s="126" t="s">
        <v>156</v>
      </c>
      <c r="Q5" s="126"/>
    </row>
    <row r="6">
      <c r="C6" s="126"/>
      <c r="D6" s="126"/>
      <c r="E6" s="126"/>
      <c r="F6" s="126"/>
      <c r="G6" s="126"/>
      <c r="H6" s="126"/>
      <c r="I6" s="126"/>
      <c r="J6" s="126"/>
      <c r="K6" s="208" t="s">
        <v>384</v>
      </c>
      <c r="L6" s="126"/>
      <c r="M6" s="126" t="s">
        <v>162</v>
      </c>
      <c r="N6" s="126" t="s">
        <v>162</v>
      </c>
      <c r="O6" s="126" t="s">
        <v>384</v>
      </c>
      <c r="P6" s="126" t="s">
        <v>162</v>
      </c>
      <c r="Q6" s="126"/>
    </row>
    <row r="7">
      <c r="C7" s="126"/>
      <c r="D7" s="126"/>
      <c r="E7" s="126"/>
      <c r="F7" s="126"/>
      <c r="G7" s="126"/>
      <c r="H7" s="126"/>
      <c r="I7" s="126"/>
      <c r="J7" s="126"/>
      <c r="K7" s="126"/>
      <c r="L7" s="126"/>
      <c r="M7" s="126" t="s">
        <v>246</v>
      </c>
      <c r="N7" s="126" t="s">
        <v>246</v>
      </c>
      <c r="O7" s="126" t="s">
        <v>183</v>
      </c>
      <c r="P7" s="207" t="s">
        <v>246</v>
      </c>
      <c r="Q7" s="126"/>
    </row>
    <row r="8">
      <c r="B8" s="205">
        <f>countif(mic.agi,rept("?",6)&amp;"*")+
countif(mic.kxn,rept("?",6)&amp;"*")+
countif(mic.hwb,rept("?",6)&amp;"*")+
countif(mic.ekxn,rept("?",6)&amp;"*")+
countif(mic.egt,rept("?",6)&amp;"*")+
countif(mic.kmp,rept("?",6)&amp;"*")+
countif(mic.lu2,rept("?",6)&amp;"*")+
countif(mic.myc,rept("?",6)&amp;"*")+
countif(mic.que,rept("?",6)&amp;"*")</f>
        <v>76</v>
      </c>
      <c r="C8" s="126"/>
      <c r="D8" s="126"/>
      <c r="E8" s="126"/>
      <c r="F8" s="126"/>
      <c r="G8" s="126"/>
      <c r="H8" s="126"/>
      <c r="I8" s="126"/>
      <c r="J8" s="126"/>
      <c r="K8" s="126"/>
      <c r="L8" s="126"/>
      <c r="M8" s="126" t="s">
        <v>321</v>
      </c>
      <c r="N8" s="207" t="s">
        <v>283</v>
      </c>
      <c r="O8" s="126" t="s">
        <v>268</v>
      </c>
      <c r="P8" s="126" t="s">
        <v>265</v>
      </c>
      <c r="Q8" s="126"/>
    </row>
    <row r="9">
      <c r="A9" s="126"/>
      <c r="B9" s="206"/>
      <c r="C9" s="126"/>
      <c r="D9" s="126"/>
      <c r="E9" s="126"/>
      <c r="F9" s="126"/>
      <c r="G9" s="126"/>
      <c r="H9" s="126"/>
      <c r="I9" s="126"/>
      <c r="J9" s="126"/>
      <c r="K9" s="126"/>
      <c r="L9" s="126"/>
      <c r="M9" s="126" t="s">
        <v>327</v>
      </c>
      <c r="N9" s="126" t="s">
        <v>384</v>
      </c>
      <c r="O9" s="126" t="s">
        <v>366</v>
      </c>
      <c r="P9" s="126" t="s">
        <v>321</v>
      </c>
      <c r="Q9" s="126"/>
    </row>
    <row r="10">
      <c r="A10" s="126"/>
      <c r="B10" s="200" t="s">
        <v>1426</v>
      </c>
      <c r="C10" s="126"/>
      <c r="D10" s="126"/>
      <c r="E10" s="126"/>
      <c r="F10" s="126"/>
      <c r="G10" s="126"/>
      <c r="H10" s="126"/>
      <c r="I10" s="126"/>
      <c r="J10" s="126"/>
      <c r="K10" s="126"/>
      <c r="L10" s="126"/>
      <c r="M10" s="207" t="s">
        <v>384</v>
      </c>
      <c r="N10" s="126" t="s">
        <v>132</v>
      </c>
      <c r="O10" s="126"/>
      <c r="P10" s="126" t="s">
        <v>327</v>
      </c>
      <c r="Q10" s="126"/>
    </row>
    <row r="11">
      <c r="A11" s="126"/>
      <c r="C11" s="126"/>
      <c r="D11" s="126"/>
      <c r="E11" s="126"/>
      <c r="F11" s="126"/>
      <c r="G11" s="126"/>
      <c r="H11" s="126"/>
      <c r="I11" s="126"/>
      <c r="J11" s="126"/>
      <c r="K11" s="126"/>
      <c r="L11" s="126"/>
      <c r="M11" s="126" t="s">
        <v>132</v>
      </c>
      <c r="N11" s="126" t="s">
        <v>183</v>
      </c>
      <c r="O11" s="126"/>
      <c r="P11" s="126" t="s">
        <v>384</v>
      </c>
      <c r="Q11" s="126"/>
    </row>
    <row r="12">
      <c r="A12" s="126"/>
      <c r="C12" s="126"/>
      <c r="D12" s="126"/>
      <c r="E12" s="126"/>
      <c r="F12" s="126"/>
      <c r="G12" s="126"/>
      <c r="H12" s="126"/>
      <c r="I12" s="126"/>
      <c r="J12" s="126"/>
      <c r="K12" s="126"/>
      <c r="L12" s="126"/>
      <c r="M12" s="126" t="s">
        <v>165</v>
      </c>
      <c r="N12" s="126" t="s">
        <v>268</v>
      </c>
      <c r="O12" s="126"/>
      <c r="P12" s="126" t="s">
        <v>393</v>
      </c>
      <c r="Q12" s="126"/>
    </row>
    <row r="13">
      <c r="A13" s="126"/>
      <c r="C13" s="126"/>
      <c r="D13" s="126"/>
      <c r="E13" s="126"/>
      <c r="F13" s="126"/>
      <c r="G13" s="126"/>
      <c r="H13" s="126"/>
      <c r="I13" s="126"/>
      <c r="J13" s="126"/>
      <c r="K13" s="126"/>
      <c r="L13" s="126"/>
      <c r="M13" s="126" t="s">
        <v>183</v>
      </c>
      <c r="N13" s="126" t="s">
        <v>366</v>
      </c>
      <c r="O13" s="126"/>
      <c r="P13" s="126" t="s">
        <v>132</v>
      </c>
      <c r="Q13" s="126"/>
    </row>
    <row r="14">
      <c r="A14" s="126"/>
      <c r="C14" s="126"/>
      <c r="D14" s="126"/>
      <c r="E14" s="126"/>
      <c r="F14" s="126"/>
      <c r="G14" s="126"/>
      <c r="H14" s="126"/>
      <c r="I14" s="126"/>
      <c r="J14" s="126"/>
      <c r="K14" s="126"/>
      <c r="L14" s="126"/>
      <c r="M14" s="126" t="s">
        <v>207</v>
      </c>
      <c r="N14" s="126"/>
      <c r="O14" s="126"/>
      <c r="P14" s="126" t="s">
        <v>165</v>
      </c>
      <c r="Q14" s="126"/>
    </row>
    <row r="15">
      <c r="A15" s="126"/>
      <c r="C15" s="126"/>
      <c r="D15" s="126"/>
      <c r="E15" s="126"/>
      <c r="F15" s="126"/>
      <c r="G15" s="126"/>
      <c r="H15" s="126"/>
      <c r="I15" s="126"/>
      <c r="J15" s="126"/>
      <c r="K15" s="126"/>
      <c r="L15" s="126"/>
      <c r="M15" s="126" t="s">
        <v>268</v>
      </c>
      <c r="N15" s="126"/>
      <c r="O15" s="126"/>
      <c r="P15" s="126" t="s">
        <v>183</v>
      </c>
      <c r="Q15" s="126"/>
    </row>
    <row r="16">
      <c r="A16" s="126"/>
      <c r="C16" s="126"/>
      <c r="D16" s="126"/>
      <c r="E16" s="126"/>
      <c r="F16" s="126"/>
      <c r="G16" s="126"/>
      <c r="H16" s="126"/>
      <c r="I16" s="126"/>
      <c r="J16" s="126"/>
      <c r="K16" s="126"/>
      <c r="L16" s="126"/>
      <c r="M16" s="126" t="s">
        <v>336</v>
      </c>
      <c r="N16" s="126"/>
      <c r="O16" s="126"/>
      <c r="P16" s="126" t="s">
        <v>207</v>
      </c>
      <c r="Q16" s="126"/>
      <c r="T16" s="209"/>
    </row>
    <row r="17">
      <c r="A17" s="126"/>
      <c r="B17" s="205">
        <f>
countif(mic.hwb.sim,rept("?",6)&amp;"*")+
countif(mic.ekxn.sim,rept("?",6)&amp;"*")+
countif(mic.ecg,rept("?",6)&amp;"*")+
countif(mic.egcg,rept("?",6)&amp;"*")+
countif(mic.que.sim,rept("?",6)&amp;"*")</f>
        <v>10</v>
      </c>
      <c r="C17" s="126"/>
      <c r="D17" s="126"/>
      <c r="E17" s="126"/>
      <c r="F17" s="126"/>
      <c r="G17" s="126"/>
      <c r="H17" s="126"/>
      <c r="I17" s="126"/>
      <c r="J17" s="126"/>
      <c r="K17" s="126"/>
      <c r="L17" s="126"/>
      <c r="M17" s="126" t="s">
        <v>360</v>
      </c>
      <c r="N17" s="126"/>
      <c r="O17" s="126"/>
      <c r="P17" s="126" t="s">
        <v>268</v>
      </c>
      <c r="Q17" s="126"/>
    </row>
    <row r="18">
      <c r="A18" s="126"/>
      <c r="B18" s="126"/>
      <c r="C18" s="126"/>
      <c r="D18" s="126"/>
      <c r="E18" s="126"/>
      <c r="F18" s="126"/>
      <c r="G18" s="126"/>
      <c r="H18" s="126"/>
      <c r="I18" s="126"/>
      <c r="J18" s="126"/>
      <c r="K18" s="126"/>
      <c r="L18" s="126"/>
      <c r="M18" s="126" t="s">
        <v>366</v>
      </c>
      <c r="N18" s="126"/>
      <c r="O18" s="126"/>
      <c r="P18" s="126" t="s">
        <v>360</v>
      </c>
      <c r="Q18" s="126"/>
    </row>
    <row r="19">
      <c r="A19" s="126"/>
      <c r="B19" s="126"/>
      <c r="C19" s="126"/>
      <c r="D19" s="126"/>
      <c r="E19" s="126"/>
      <c r="F19" s="126"/>
      <c r="G19" s="126"/>
      <c r="H19" s="126"/>
      <c r="I19" s="126"/>
      <c r="J19" s="126"/>
      <c r="K19" s="126"/>
      <c r="L19" s="126"/>
      <c r="M19" s="126" t="s">
        <v>378</v>
      </c>
      <c r="N19" s="126"/>
      <c r="O19" s="126"/>
      <c r="P19" s="126" t="s">
        <v>366</v>
      </c>
      <c r="Q19" s="126"/>
    </row>
    <row r="20">
      <c r="A20" s="126"/>
      <c r="B20" s="126"/>
      <c r="C20" s="126"/>
      <c r="D20" s="126"/>
      <c r="E20" s="126"/>
      <c r="F20" s="126"/>
      <c r="G20" s="126"/>
      <c r="H20" s="126"/>
      <c r="I20" s="126"/>
      <c r="J20" s="126"/>
      <c r="K20" s="126"/>
      <c r="L20" s="126"/>
      <c r="M20" s="126"/>
      <c r="N20" s="126"/>
      <c r="O20" s="126"/>
      <c r="P20" s="126" t="s">
        <v>378</v>
      </c>
      <c r="Q20" s="126"/>
    </row>
    <row r="21" ht="15.75" customHeight="1">
      <c r="A21" s="126"/>
      <c r="B21" s="126"/>
      <c r="C21" s="126"/>
      <c r="D21" s="126"/>
      <c r="E21" s="126"/>
      <c r="F21" s="126"/>
      <c r="G21" s="126"/>
      <c r="H21" s="126"/>
      <c r="I21" s="126"/>
      <c r="J21" s="126"/>
      <c r="K21" s="126"/>
      <c r="L21" s="126"/>
      <c r="M21" s="126"/>
      <c r="N21" s="126"/>
      <c r="O21" s="126"/>
      <c r="P21" s="126" t="s">
        <v>381</v>
      </c>
      <c r="Q21" s="126"/>
    </row>
    <row r="22" ht="15.75" customHeight="1">
      <c r="A22" s="126"/>
      <c r="B22" s="126"/>
      <c r="C22" s="126"/>
      <c r="D22" s="126"/>
      <c r="E22" s="126"/>
      <c r="F22" s="126"/>
      <c r="G22" s="126"/>
      <c r="H22" s="126"/>
      <c r="I22" s="126"/>
      <c r="J22" s="126"/>
      <c r="K22" s="126"/>
      <c r="L22" s="126"/>
      <c r="M22" s="126"/>
      <c r="N22" s="126"/>
      <c r="O22" s="126"/>
      <c r="P22" s="126"/>
      <c r="Q22" s="126"/>
    </row>
    <row r="23" ht="15.75" customHeight="1">
      <c r="A23" s="126"/>
      <c r="B23" s="126"/>
      <c r="C23" s="126"/>
      <c r="D23" s="126"/>
      <c r="E23" s="126"/>
      <c r="F23" s="126"/>
      <c r="G23" s="126"/>
      <c r="H23" s="126"/>
      <c r="I23" s="126"/>
      <c r="J23" s="126"/>
      <c r="K23" s="126"/>
      <c r="L23" s="126"/>
      <c r="M23" s="126"/>
      <c r="N23" s="126"/>
      <c r="O23" s="126"/>
      <c r="P23" s="126"/>
      <c r="Q23" s="126"/>
    </row>
    <row r="24" ht="15.75" customHeight="1">
      <c r="A24" s="126"/>
      <c r="B24" s="126"/>
      <c r="C24" s="126"/>
      <c r="D24" s="126"/>
      <c r="E24" s="126"/>
      <c r="F24" s="126"/>
      <c r="G24" s="126"/>
      <c r="H24" s="126"/>
      <c r="I24" s="126"/>
      <c r="J24" s="126"/>
      <c r="K24" s="126"/>
      <c r="L24" s="126"/>
      <c r="M24" s="126"/>
      <c r="N24" s="126"/>
      <c r="O24" s="126"/>
      <c r="P24" s="126"/>
      <c r="Q24" s="126"/>
    </row>
    <row r="25" ht="15.75" customHeight="1">
      <c r="A25" s="126"/>
      <c r="B25" s="126"/>
      <c r="C25" s="126"/>
      <c r="D25" s="126"/>
      <c r="E25" s="126"/>
      <c r="F25" s="126"/>
      <c r="G25" s="126"/>
      <c r="H25" s="126"/>
      <c r="I25" s="126"/>
      <c r="J25" s="126"/>
      <c r="K25" s="126"/>
      <c r="L25" s="126"/>
      <c r="M25" s="126"/>
      <c r="N25" s="126"/>
      <c r="O25" s="126"/>
      <c r="P25" s="126"/>
      <c r="Q25" s="126"/>
    </row>
    <row r="26" ht="15.75" customHeight="1">
      <c r="A26" s="126"/>
      <c r="B26" s="126"/>
      <c r="C26" s="126"/>
      <c r="D26" s="126"/>
      <c r="E26" s="126"/>
      <c r="F26" s="126"/>
      <c r="G26" s="126"/>
      <c r="H26" s="126"/>
      <c r="I26" s="126"/>
      <c r="J26" s="126"/>
      <c r="K26" s="126"/>
      <c r="L26" s="126"/>
      <c r="M26" s="126"/>
      <c r="N26" s="126"/>
      <c r="O26" s="126"/>
      <c r="P26" s="126"/>
      <c r="Q26" s="126"/>
    </row>
    <row r="27" ht="15.75" customHeight="1">
      <c r="A27" s="126"/>
      <c r="B27" s="126"/>
      <c r="C27" s="126"/>
      <c r="D27" s="126"/>
      <c r="E27" s="126"/>
      <c r="F27" s="126"/>
      <c r="G27" s="126"/>
      <c r="H27" s="126"/>
      <c r="I27" s="126"/>
      <c r="J27" s="126"/>
      <c r="K27" s="126"/>
      <c r="L27" s="126"/>
      <c r="M27" s="126"/>
      <c r="N27" s="126"/>
      <c r="O27" s="126"/>
      <c r="P27" s="126"/>
      <c r="Q27" s="126"/>
    </row>
    <row r="28" ht="15.75" customHeight="1">
      <c r="A28" s="126"/>
      <c r="B28" s="126"/>
      <c r="C28" s="126"/>
      <c r="D28" s="126"/>
      <c r="E28" s="126"/>
      <c r="F28" s="126"/>
      <c r="G28" s="126"/>
      <c r="H28" s="126"/>
      <c r="I28" s="126"/>
      <c r="J28" s="126"/>
      <c r="K28" s="126"/>
      <c r="L28" s="126"/>
      <c r="M28" s="126"/>
      <c r="N28" s="126"/>
      <c r="O28" s="126"/>
      <c r="P28" s="126"/>
      <c r="Q28" s="126"/>
    </row>
    <row r="29" ht="15.75" customHeight="1">
      <c r="A29" s="126"/>
      <c r="B29" s="126"/>
      <c r="C29" s="126"/>
      <c r="D29" s="126"/>
      <c r="E29" s="126"/>
      <c r="G29" s="126"/>
      <c r="H29" s="126"/>
      <c r="I29" s="126"/>
      <c r="J29" s="126"/>
      <c r="K29" s="126"/>
      <c r="L29" s="126"/>
      <c r="M29" s="126"/>
      <c r="N29" s="126"/>
      <c r="O29" s="126"/>
      <c r="P29" s="126"/>
      <c r="Q29" s="126"/>
    </row>
    <row r="30" ht="15.75" customHeight="1">
      <c r="A30" s="126"/>
      <c r="B30" s="126"/>
      <c r="C30" s="126"/>
      <c r="D30" s="126"/>
      <c r="E30" s="126"/>
      <c r="G30" s="126"/>
      <c r="H30" s="126"/>
      <c r="I30" s="126"/>
      <c r="J30" s="126"/>
      <c r="K30" s="126"/>
      <c r="L30" s="126"/>
      <c r="M30" s="126"/>
      <c r="N30" s="126"/>
      <c r="O30" s="126"/>
      <c r="P30" s="126"/>
      <c r="Q30" s="126"/>
    </row>
    <row r="31" ht="15.75" customHeight="1">
      <c r="A31" s="126"/>
      <c r="B31" s="126"/>
      <c r="C31" s="126"/>
      <c r="D31" s="126"/>
      <c r="E31" s="126"/>
      <c r="G31" s="126"/>
      <c r="H31" s="126"/>
      <c r="I31" s="126"/>
      <c r="J31" s="126"/>
      <c r="K31" s="126"/>
      <c r="L31" s="126"/>
      <c r="M31" s="126"/>
      <c r="N31" s="126"/>
      <c r="O31" s="126"/>
      <c r="P31" s="126"/>
      <c r="Q31" s="126"/>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8"/>
    <mergeCell ref="B1:B7"/>
    <mergeCell ref="B10:B16"/>
  </mergeCells>
  <dataValidations>
    <dataValidation type="list" allowBlank="1" sqref="G2:Q3 C2:E4 I4:K4 D5:E5 G4:G5 I5 K5:K6 M4:Q9 P10:Q10 M10:N13 M14:M19 P11:P21">
      <formula1>VRMUpdate!$C:$C</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5.13"/>
    <col customWidth="1" hidden="1" min="3" max="17" width="5.13"/>
    <col customWidth="1" min="18" max="18" width="22.25"/>
    <col customWidth="1" min="19" max="19" width="5.0"/>
    <col customWidth="1" min="20" max="20" width="19.25"/>
    <col customWidth="1" min="21" max="22" width="13.5"/>
    <col customWidth="1" min="23" max="23" width="10.25"/>
    <col customWidth="1" hidden="1" min="24" max="24" width="5.13"/>
    <col customWidth="1" min="25" max="25" width="12.75"/>
    <col customWidth="1" min="26" max="26" width="13.5"/>
    <col customWidth="1" min="27" max="27" width="15.38"/>
    <col customWidth="1" min="28" max="28" width="19.25"/>
    <col customWidth="1" min="29" max="29" width="13.5"/>
    <col customWidth="1" min="30" max="30" width="15.0"/>
    <col customWidth="1" min="31" max="31" width="11.25"/>
    <col customWidth="1" min="32" max="32" width="15.63"/>
  </cols>
  <sheetData>
    <row r="1">
      <c r="A1" s="210" t="s">
        <v>1434</v>
      </c>
      <c r="B1" s="211" t="s">
        <v>1425</v>
      </c>
      <c r="C1" s="67" t="s">
        <v>49</v>
      </c>
      <c r="D1" s="67" t="s">
        <v>50</v>
      </c>
      <c r="E1" s="67" t="s">
        <v>52</v>
      </c>
      <c r="F1" s="67" t="s">
        <v>51</v>
      </c>
      <c r="G1" s="68" t="s">
        <v>53</v>
      </c>
      <c r="H1" s="67" t="s">
        <v>55</v>
      </c>
      <c r="I1" s="67" t="s">
        <v>57</v>
      </c>
      <c r="J1" s="67" t="s">
        <v>58</v>
      </c>
      <c r="K1" s="68" t="s">
        <v>59</v>
      </c>
      <c r="L1" s="67" t="s">
        <v>60</v>
      </c>
      <c r="M1" s="67" t="s">
        <v>63</v>
      </c>
      <c r="N1" s="67" t="s">
        <v>64</v>
      </c>
      <c r="O1" s="67" t="s">
        <v>62</v>
      </c>
      <c r="P1" s="67" t="s">
        <v>65</v>
      </c>
      <c r="Q1" s="67" t="s">
        <v>66</v>
      </c>
      <c r="R1" s="212" t="s">
        <v>400</v>
      </c>
      <c r="S1" s="212" t="s">
        <v>1435</v>
      </c>
      <c r="T1" s="212" t="s">
        <v>403</v>
      </c>
      <c r="U1" s="212" t="s">
        <v>401</v>
      </c>
      <c r="V1" s="213" t="s">
        <v>402</v>
      </c>
      <c r="W1" s="212" t="s">
        <v>1430</v>
      </c>
      <c r="X1" s="212" t="s">
        <v>1436</v>
      </c>
      <c r="Y1" s="212" t="s">
        <v>404</v>
      </c>
      <c r="Z1" s="213" t="s">
        <v>1431</v>
      </c>
      <c r="AA1" s="212" t="s">
        <v>405</v>
      </c>
      <c r="AB1" s="212" t="s">
        <v>407</v>
      </c>
      <c r="AC1" s="212" t="s">
        <v>408</v>
      </c>
      <c r="AD1" s="212" t="s">
        <v>406</v>
      </c>
      <c r="AE1" s="212" t="s">
        <v>409</v>
      </c>
      <c r="AF1" s="212" t="s">
        <v>410</v>
      </c>
    </row>
    <row r="2">
      <c r="C2" s="192" t="s">
        <v>183</v>
      </c>
      <c r="D2" s="73"/>
      <c r="E2" s="192" t="s">
        <v>228</v>
      </c>
      <c r="F2" s="192" t="s">
        <v>309</v>
      </c>
      <c r="G2" s="192" t="s">
        <v>201</v>
      </c>
      <c r="H2" s="192" t="s">
        <v>216</v>
      </c>
      <c r="I2" s="192"/>
      <c r="J2" s="192" t="s">
        <v>363</v>
      </c>
      <c r="K2" s="192" t="s">
        <v>268</v>
      </c>
      <c r="L2" s="192" t="s">
        <v>107</v>
      </c>
      <c r="M2" s="192" t="s">
        <v>123</v>
      </c>
      <c r="N2" s="192" t="s">
        <v>183</v>
      </c>
      <c r="O2" s="192" t="s">
        <v>84</v>
      </c>
      <c r="P2" s="192" t="s">
        <v>150</v>
      </c>
      <c r="Q2" s="192" t="s">
        <v>107</v>
      </c>
      <c r="R2" s="214" t="s">
        <v>132</v>
      </c>
      <c r="S2" s="215"/>
      <c r="T2" s="214" t="s">
        <v>84</v>
      </c>
      <c r="U2" s="214" t="s">
        <v>201</v>
      </c>
      <c r="V2" s="214" t="s">
        <v>201</v>
      </c>
      <c r="W2" s="214" t="s">
        <v>384</v>
      </c>
      <c r="X2" s="214"/>
      <c r="Y2" s="214" t="s">
        <v>363</v>
      </c>
      <c r="Z2" s="214" t="s">
        <v>268</v>
      </c>
      <c r="AA2" s="214" t="s">
        <v>207</v>
      </c>
      <c r="AB2" s="214" t="s">
        <v>183</v>
      </c>
      <c r="AC2" s="214" t="s">
        <v>268</v>
      </c>
      <c r="AD2" s="214" t="s">
        <v>84</v>
      </c>
      <c r="AE2" s="214" t="s">
        <v>123</v>
      </c>
      <c r="AF2" s="214" t="s">
        <v>114</v>
      </c>
    </row>
    <row r="3">
      <c r="C3" s="192" t="s">
        <v>309</v>
      </c>
      <c r="D3" s="73"/>
      <c r="E3" s="192" t="s">
        <v>283</v>
      </c>
      <c r="F3" s="192" t="s">
        <v>234</v>
      </c>
      <c r="G3" s="192" t="s">
        <v>207</v>
      </c>
      <c r="H3" s="192" t="s">
        <v>393</v>
      </c>
      <c r="I3" s="192"/>
      <c r="J3" s="192" t="s">
        <v>393</v>
      </c>
      <c r="K3" s="192" t="s">
        <v>393</v>
      </c>
      <c r="L3" s="192" t="s">
        <v>123</v>
      </c>
      <c r="M3" s="192" t="s">
        <v>132</v>
      </c>
      <c r="N3" s="192" t="s">
        <v>252</v>
      </c>
      <c r="O3" s="192" t="s">
        <v>107</v>
      </c>
      <c r="P3" s="192" t="s">
        <v>156</v>
      </c>
      <c r="Q3" s="192" t="s">
        <v>114</v>
      </c>
      <c r="R3" s="214" t="s">
        <v>156</v>
      </c>
      <c r="S3" s="215"/>
      <c r="T3" s="214" t="s">
        <v>95</v>
      </c>
      <c r="U3" s="214" t="s">
        <v>268</v>
      </c>
      <c r="V3" s="214" t="s">
        <v>327</v>
      </c>
      <c r="W3" s="214"/>
      <c r="X3" s="214"/>
      <c r="Y3" s="214" t="s">
        <v>321</v>
      </c>
      <c r="Z3" s="214" t="s">
        <v>384</v>
      </c>
      <c r="AA3" s="214" t="s">
        <v>243</v>
      </c>
      <c r="AB3" s="214" t="s">
        <v>283</v>
      </c>
      <c r="AC3" s="214" t="s">
        <v>384</v>
      </c>
      <c r="AD3" s="214" t="s">
        <v>114</v>
      </c>
      <c r="AE3" s="214" t="s">
        <v>228</v>
      </c>
      <c r="AF3" s="214" t="s">
        <v>117</v>
      </c>
    </row>
    <row r="4">
      <c r="C4" s="192" t="s">
        <v>237</v>
      </c>
      <c r="D4" s="73"/>
      <c r="E4" s="192" t="s">
        <v>300</v>
      </c>
      <c r="F4" s="192" t="s">
        <v>216</v>
      </c>
      <c r="G4" s="192" t="s">
        <v>309</v>
      </c>
      <c r="H4" s="192" t="s">
        <v>372</v>
      </c>
      <c r="I4" s="192"/>
      <c r="J4" s="192" t="s">
        <v>327</v>
      </c>
      <c r="K4" s="192" t="s">
        <v>372</v>
      </c>
      <c r="L4" s="192" t="s">
        <v>150</v>
      </c>
      <c r="M4" s="192" t="s">
        <v>156</v>
      </c>
      <c r="N4" s="192" t="s">
        <v>156</v>
      </c>
      <c r="O4" s="192" t="s">
        <v>114</v>
      </c>
      <c r="P4" s="192" t="s">
        <v>207</v>
      </c>
      <c r="Q4" s="192" t="s">
        <v>117</v>
      </c>
      <c r="R4" s="214" t="s">
        <v>165</v>
      </c>
      <c r="S4" s="215"/>
      <c r="T4" s="214" t="s">
        <v>117</v>
      </c>
      <c r="U4" s="214" t="s">
        <v>372</v>
      </c>
      <c r="V4" s="214" t="s">
        <v>372</v>
      </c>
      <c r="W4" s="214"/>
      <c r="X4" s="214"/>
      <c r="Y4" s="214"/>
      <c r="Z4" s="214"/>
      <c r="AA4" s="214" t="s">
        <v>306</v>
      </c>
      <c r="AB4" s="214" t="s">
        <v>309</v>
      </c>
      <c r="AC4" s="215"/>
      <c r="AD4" s="214" t="s">
        <v>117</v>
      </c>
      <c r="AE4" s="215"/>
      <c r="AF4" s="214" t="s">
        <v>120</v>
      </c>
    </row>
    <row r="5">
      <c r="C5" s="192" t="s">
        <v>231</v>
      </c>
      <c r="D5" s="73"/>
      <c r="E5" s="192" t="s">
        <v>390</v>
      </c>
      <c r="F5" s="192" t="s">
        <v>268</v>
      </c>
      <c r="G5" s="192" t="s">
        <v>339</v>
      </c>
      <c r="H5" s="192" t="s">
        <v>384</v>
      </c>
      <c r="I5" s="192"/>
      <c r="J5" s="192"/>
      <c r="K5" s="192" t="s">
        <v>384</v>
      </c>
      <c r="L5" s="192" t="s">
        <v>207</v>
      </c>
      <c r="M5" s="192" t="s">
        <v>183</v>
      </c>
      <c r="N5" s="192" t="s">
        <v>132</v>
      </c>
      <c r="O5" s="192" t="s">
        <v>117</v>
      </c>
      <c r="P5" s="192" t="s">
        <v>321</v>
      </c>
      <c r="Q5" s="192" t="s">
        <v>135</v>
      </c>
      <c r="R5" s="214" t="s">
        <v>174</v>
      </c>
      <c r="S5" s="215"/>
      <c r="T5" s="214" t="s">
        <v>183</v>
      </c>
      <c r="U5" s="214" t="s">
        <v>375</v>
      </c>
      <c r="V5" s="214" t="s">
        <v>384</v>
      </c>
      <c r="W5" s="214"/>
      <c r="X5" s="214"/>
      <c r="Y5" s="214"/>
      <c r="Z5" s="214"/>
      <c r="AA5" s="214" t="s">
        <v>375</v>
      </c>
      <c r="AB5" s="214" t="s">
        <v>390</v>
      </c>
      <c r="AC5" s="215"/>
      <c r="AD5" s="214" t="s">
        <v>120</v>
      </c>
      <c r="AE5" s="215"/>
      <c r="AF5" s="214" t="s">
        <v>132</v>
      </c>
    </row>
    <row r="6">
      <c r="C6" s="192" t="s">
        <v>123</v>
      </c>
      <c r="D6" s="73"/>
      <c r="E6" s="192" t="s">
        <v>384</v>
      </c>
      <c r="F6" s="192" t="s">
        <v>363</v>
      </c>
      <c r="G6" s="192" t="s">
        <v>372</v>
      </c>
      <c r="H6" s="192"/>
      <c r="I6" s="192"/>
      <c r="J6" s="192"/>
      <c r="K6" s="192"/>
      <c r="L6" s="192" t="s">
        <v>243</v>
      </c>
      <c r="M6" s="192" t="s">
        <v>222</v>
      </c>
      <c r="N6" s="192" t="s">
        <v>360</v>
      </c>
      <c r="O6" s="192" t="s">
        <v>138</v>
      </c>
      <c r="P6" s="192" t="s">
        <v>324</v>
      </c>
      <c r="Q6" s="192" t="s">
        <v>138</v>
      </c>
      <c r="R6" s="214" t="s">
        <v>180</v>
      </c>
      <c r="S6" s="215"/>
      <c r="T6" s="214" t="s">
        <v>216</v>
      </c>
      <c r="U6" s="214" t="s">
        <v>384</v>
      </c>
      <c r="V6" s="214" t="s">
        <v>393</v>
      </c>
      <c r="W6" s="214"/>
      <c r="X6" s="214"/>
      <c r="Y6" s="214"/>
      <c r="Z6" s="214"/>
      <c r="AA6" s="214" t="s">
        <v>378</v>
      </c>
      <c r="AB6" s="215"/>
      <c r="AC6" s="215"/>
      <c r="AD6" s="214" t="s">
        <v>207</v>
      </c>
      <c r="AE6" s="215"/>
      <c r="AF6" s="214" t="s">
        <v>138</v>
      </c>
    </row>
    <row r="7">
      <c r="C7" s="192" t="s">
        <v>207</v>
      </c>
      <c r="D7" s="73"/>
      <c r="E7" s="192"/>
      <c r="F7" s="192" t="s">
        <v>393</v>
      </c>
      <c r="G7" s="192" t="s">
        <v>384</v>
      </c>
      <c r="H7" s="192"/>
      <c r="I7" s="192"/>
      <c r="J7" s="192"/>
      <c r="K7" s="192"/>
      <c r="L7" s="192" t="s">
        <v>306</v>
      </c>
      <c r="M7" s="192" t="s">
        <v>237</v>
      </c>
      <c r="N7" s="192" t="s">
        <v>384</v>
      </c>
      <c r="O7" s="192" t="s">
        <v>150</v>
      </c>
      <c r="P7" s="192" t="s">
        <v>327</v>
      </c>
      <c r="Q7" s="192" t="s">
        <v>150</v>
      </c>
      <c r="R7" s="214" t="s">
        <v>183</v>
      </c>
      <c r="S7" s="215"/>
      <c r="T7" s="214" t="s">
        <v>222</v>
      </c>
      <c r="U7" s="214" t="s">
        <v>393</v>
      </c>
      <c r="V7" s="214"/>
      <c r="W7" s="214"/>
      <c r="X7" s="214"/>
      <c r="Y7" s="214"/>
      <c r="Z7" s="214"/>
      <c r="AA7" s="215"/>
      <c r="AB7" s="215"/>
      <c r="AC7" s="215"/>
      <c r="AD7" s="214" t="s">
        <v>216</v>
      </c>
      <c r="AE7" s="215"/>
      <c r="AF7" s="214" t="s">
        <v>207</v>
      </c>
    </row>
    <row r="8">
      <c r="B8" s="216">
        <f>countif(nap.agi,rept("?",6)&amp;"*")+
countif(nap.kxn,rept("?",6)&amp;"*")+
countif(nap.hwb,rept("?",6)&amp;"*")+
countif(nap.ekxn,rept("?",6)&amp;"*")+
countif(nap.egt,rept("?",6)&amp;"*")+
countif(nap.erd,rept("?",6)&amp;"*")+
countif(nap.gkxn,rept("?",6)&amp;"*")+
countif(nap.gen,rept("?",6)&amp;"*")+
countif(nap.kmp,rept("?",6)&amp;"*")+
countif(nap.lu2,rept("?",6)&amp;"*")+
countif(nap.myc,rept("?",6)&amp;"*")+
countif(nap.nar,rept("?",6)&amp;"*")+
countif(nap.que,rept("?",6)&amp;"*")</f>
        <v>147</v>
      </c>
      <c r="C8" s="192" t="s">
        <v>243</v>
      </c>
      <c r="D8" s="73"/>
      <c r="E8" s="192"/>
      <c r="F8" s="192" t="s">
        <v>201</v>
      </c>
      <c r="G8" s="192" t="s">
        <v>393</v>
      </c>
      <c r="H8" s="192"/>
      <c r="I8" s="192"/>
      <c r="J8" s="192"/>
      <c r="K8" s="192"/>
      <c r="L8" s="192" t="s">
        <v>378</v>
      </c>
      <c r="M8" s="192" t="s">
        <v>243</v>
      </c>
      <c r="N8" s="73"/>
      <c r="O8" s="192" t="s">
        <v>156</v>
      </c>
      <c r="P8" s="192" t="s">
        <v>363</v>
      </c>
      <c r="Q8" s="192" t="s">
        <v>156</v>
      </c>
      <c r="R8" s="214" t="s">
        <v>237</v>
      </c>
      <c r="S8" s="215"/>
      <c r="T8" s="214" t="s">
        <v>283</v>
      </c>
      <c r="U8" s="214"/>
      <c r="V8" s="214"/>
      <c r="W8" s="214"/>
      <c r="X8" s="214"/>
      <c r="Y8" s="214"/>
      <c r="Z8" s="214"/>
      <c r="AA8" s="215"/>
      <c r="AB8" s="215"/>
      <c r="AC8" s="215"/>
      <c r="AD8" s="214" t="s">
        <v>228</v>
      </c>
      <c r="AE8" s="215"/>
      <c r="AF8" s="214" t="s">
        <v>216</v>
      </c>
    </row>
    <row r="9">
      <c r="A9" s="26"/>
      <c r="B9" s="217"/>
      <c r="C9" s="192" t="s">
        <v>283</v>
      </c>
      <c r="D9" s="73"/>
      <c r="E9" s="192"/>
      <c r="F9" s="192" t="s">
        <v>321</v>
      </c>
      <c r="G9" s="192"/>
      <c r="H9" s="192"/>
      <c r="I9" s="192"/>
      <c r="J9" s="192"/>
      <c r="K9" s="192"/>
      <c r="L9" s="73"/>
      <c r="M9" s="192" t="s">
        <v>283</v>
      </c>
      <c r="N9" s="73"/>
      <c r="O9" s="192" t="s">
        <v>165</v>
      </c>
      <c r="P9" s="192" t="s">
        <v>375</v>
      </c>
      <c r="Q9" s="192" t="s">
        <v>165</v>
      </c>
      <c r="R9" s="214" t="s">
        <v>243</v>
      </c>
      <c r="S9" s="215"/>
      <c r="T9" s="214" t="s">
        <v>321</v>
      </c>
      <c r="U9" s="214"/>
      <c r="V9" s="214"/>
      <c r="W9" s="214"/>
      <c r="X9" s="214"/>
      <c r="Y9" s="214"/>
      <c r="Z9" s="214"/>
      <c r="AA9" s="215"/>
      <c r="AB9" s="215"/>
      <c r="AC9" s="215"/>
      <c r="AD9" s="214" t="s">
        <v>268</v>
      </c>
      <c r="AE9" s="215"/>
      <c r="AF9" s="214" t="s">
        <v>228</v>
      </c>
    </row>
    <row r="10">
      <c r="A10" s="26"/>
      <c r="B10" s="211" t="s">
        <v>1426</v>
      </c>
      <c r="C10" s="192" t="s">
        <v>363</v>
      </c>
      <c r="D10" s="73"/>
      <c r="E10" s="192"/>
      <c r="F10" s="192" t="s">
        <v>324</v>
      </c>
      <c r="G10" s="192"/>
      <c r="H10" s="192"/>
      <c r="I10" s="192"/>
      <c r="J10" s="192"/>
      <c r="K10" s="192"/>
      <c r="L10" s="73"/>
      <c r="M10" s="192" t="s">
        <v>351</v>
      </c>
      <c r="N10" s="73"/>
      <c r="O10" s="192" t="s">
        <v>168</v>
      </c>
      <c r="P10" s="73"/>
      <c r="Q10" s="192" t="s">
        <v>168</v>
      </c>
      <c r="R10" s="214" t="s">
        <v>283</v>
      </c>
      <c r="S10" s="215"/>
      <c r="T10" s="214" t="s">
        <v>336</v>
      </c>
      <c r="U10" s="214"/>
      <c r="V10" s="214"/>
      <c r="W10" s="214"/>
      <c r="X10" s="214"/>
      <c r="Y10" s="214"/>
      <c r="Z10" s="214"/>
      <c r="AA10" s="215"/>
      <c r="AB10" s="215"/>
      <c r="AC10" s="215"/>
      <c r="AD10" s="214" t="s">
        <v>277</v>
      </c>
      <c r="AE10" s="215"/>
      <c r="AF10" s="214" t="s">
        <v>234</v>
      </c>
    </row>
    <row r="11">
      <c r="A11" s="26"/>
      <c r="C11" s="192" t="s">
        <v>390</v>
      </c>
      <c r="D11" s="73"/>
      <c r="E11" s="73"/>
      <c r="F11" s="192" t="s">
        <v>372</v>
      </c>
      <c r="G11" s="192"/>
      <c r="H11" s="192"/>
      <c r="I11" s="192"/>
      <c r="J11" s="192"/>
      <c r="K11" s="192"/>
      <c r="L11" s="73"/>
      <c r="M11" s="192" t="s">
        <v>360</v>
      </c>
      <c r="N11" s="73"/>
      <c r="O11" s="192" t="s">
        <v>183</v>
      </c>
      <c r="P11" s="73"/>
      <c r="Q11" s="192" t="s">
        <v>183</v>
      </c>
      <c r="R11" s="214" t="s">
        <v>318</v>
      </c>
      <c r="S11" s="215"/>
      <c r="T11" s="214" t="s">
        <v>384</v>
      </c>
      <c r="U11" s="214"/>
      <c r="V11" s="214"/>
      <c r="W11" s="214"/>
      <c r="X11" s="214"/>
      <c r="Y11" s="214"/>
      <c r="Z11" s="214"/>
      <c r="AA11" s="215"/>
      <c r="AB11" s="215"/>
      <c r="AC11" s="215"/>
      <c r="AD11" s="214" t="s">
        <v>306</v>
      </c>
      <c r="AE11" s="215"/>
      <c r="AF11" s="214" t="s">
        <v>249</v>
      </c>
    </row>
    <row r="12">
      <c r="A12" s="26"/>
      <c r="C12" s="192" t="s">
        <v>318</v>
      </c>
      <c r="D12" s="73"/>
      <c r="E12" s="73"/>
      <c r="F12" s="192" t="s">
        <v>384</v>
      </c>
      <c r="G12" s="192"/>
      <c r="H12" s="192"/>
      <c r="I12" s="192"/>
      <c r="J12" s="192"/>
      <c r="K12" s="192"/>
      <c r="L12" s="73"/>
      <c r="M12" s="192" t="s">
        <v>384</v>
      </c>
      <c r="N12" s="73"/>
      <c r="O12" s="192" t="s">
        <v>207</v>
      </c>
      <c r="P12" s="73"/>
      <c r="Q12" s="192" t="s">
        <v>207</v>
      </c>
      <c r="R12" s="214" t="s">
        <v>390</v>
      </c>
      <c r="S12" s="215"/>
      <c r="T12" s="214" t="s">
        <v>390</v>
      </c>
      <c r="U12" s="214"/>
      <c r="V12" s="214"/>
      <c r="W12" s="214"/>
      <c r="X12" s="214"/>
      <c r="Y12" s="214"/>
      <c r="Z12" s="214"/>
      <c r="AA12" s="215"/>
      <c r="AB12" s="215"/>
      <c r="AC12" s="215"/>
      <c r="AD12" s="214" t="s">
        <v>318</v>
      </c>
      <c r="AE12" s="215"/>
      <c r="AF12" s="214" t="s">
        <v>300</v>
      </c>
    </row>
    <row r="13">
      <c r="A13" s="26"/>
      <c r="C13" s="73"/>
      <c r="D13" s="73"/>
      <c r="E13" s="73"/>
      <c r="F13" s="192" t="s">
        <v>306</v>
      </c>
      <c r="G13" s="192"/>
      <c r="H13" s="192"/>
      <c r="I13" s="192"/>
      <c r="J13" s="192"/>
      <c r="K13" s="192"/>
      <c r="L13" s="73"/>
      <c r="M13" s="192" t="s">
        <v>390</v>
      </c>
      <c r="N13" s="73"/>
      <c r="O13" s="192" t="s">
        <v>225</v>
      </c>
      <c r="P13" s="73"/>
      <c r="Q13" s="192" t="s">
        <v>213</v>
      </c>
      <c r="R13" s="215"/>
      <c r="S13" s="215"/>
      <c r="T13" s="214" t="s">
        <v>393</v>
      </c>
      <c r="U13" s="214"/>
      <c r="V13" s="214"/>
      <c r="W13" s="214"/>
      <c r="X13" s="214"/>
      <c r="Y13" s="214"/>
      <c r="Z13" s="214"/>
      <c r="AA13" s="215"/>
      <c r="AB13" s="215"/>
      <c r="AC13" s="215"/>
      <c r="AD13" s="214" t="s">
        <v>321</v>
      </c>
      <c r="AE13" s="215"/>
      <c r="AF13" s="214" t="s">
        <v>324</v>
      </c>
    </row>
    <row r="14">
      <c r="A14" s="26"/>
      <c r="C14" s="73"/>
      <c r="D14" s="73"/>
      <c r="E14" s="73"/>
      <c r="F14" s="73"/>
      <c r="G14" s="192"/>
      <c r="H14" s="192"/>
      <c r="I14" s="192"/>
      <c r="J14" s="192"/>
      <c r="K14" s="192"/>
      <c r="L14" s="73"/>
      <c r="M14" s="73"/>
      <c r="N14" s="73"/>
      <c r="O14" s="192" t="s">
        <v>237</v>
      </c>
      <c r="P14" s="73"/>
      <c r="Q14" s="192" t="s">
        <v>222</v>
      </c>
      <c r="R14" s="215"/>
      <c r="S14" s="215"/>
      <c r="T14" s="215"/>
      <c r="U14" s="214"/>
      <c r="V14" s="214"/>
      <c r="W14" s="214"/>
      <c r="X14" s="214"/>
      <c r="Y14" s="214"/>
      <c r="Z14" s="214"/>
      <c r="AA14" s="215"/>
      <c r="AB14" s="215"/>
      <c r="AC14" s="215"/>
      <c r="AD14" s="214" t="s">
        <v>327</v>
      </c>
      <c r="AE14" s="215"/>
      <c r="AF14" s="214" t="s">
        <v>327</v>
      </c>
    </row>
    <row r="15">
      <c r="A15" s="26"/>
      <c r="C15" s="73"/>
      <c r="D15" s="73"/>
      <c r="E15" s="73"/>
      <c r="F15" s="73"/>
      <c r="G15" s="192"/>
      <c r="H15" s="192"/>
      <c r="I15" s="192"/>
      <c r="J15" s="192"/>
      <c r="K15" s="192"/>
      <c r="L15" s="73"/>
      <c r="M15" s="73"/>
      <c r="N15" s="73"/>
      <c r="O15" s="192" t="s">
        <v>243</v>
      </c>
      <c r="P15" s="73"/>
      <c r="Q15" s="192" t="s">
        <v>225</v>
      </c>
      <c r="R15" s="215"/>
      <c r="S15" s="215"/>
      <c r="T15" s="215"/>
      <c r="U15" s="214"/>
      <c r="V15" s="214"/>
      <c r="W15" s="214"/>
      <c r="X15" s="214"/>
      <c r="Y15" s="214"/>
      <c r="Z15" s="214"/>
      <c r="AA15" s="215"/>
      <c r="AB15" s="215"/>
      <c r="AC15" s="215"/>
      <c r="AD15" s="214" t="s">
        <v>336</v>
      </c>
      <c r="AE15" s="215"/>
      <c r="AF15" s="214" t="s">
        <v>372</v>
      </c>
    </row>
    <row r="16">
      <c r="A16" s="26"/>
      <c r="C16" s="73"/>
      <c r="D16" s="73"/>
      <c r="E16" s="73"/>
      <c r="F16" s="73"/>
      <c r="G16" s="192"/>
      <c r="H16" s="192"/>
      <c r="I16" s="192"/>
      <c r="J16" s="192"/>
      <c r="K16" s="192"/>
      <c r="L16" s="73"/>
      <c r="M16" s="73"/>
      <c r="N16" s="73"/>
      <c r="O16" s="192" t="s">
        <v>252</v>
      </c>
      <c r="P16" s="73"/>
      <c r="Q16" s="192" t="s">
        <v>234</v>
      </c>
      <c r="R16" s="215"/>
      <c r="S16" s="215"/>
      <c r="T16" s="215"/>
      <c r="U16" s="214"/>
      <c r="V16" s="214"/>
      <c r="W16" s="214"/>
      <c r="X16" s="214"/>
      <c r="Y16" s="214"/>
      <c r="Z16" s="214"/>
      <c r="AA16" s="215"/>
      <c r="AB16" s="215"/>
      <c r="AC16" s="215"/>
      <c r="AD16" s="214" t="s">
        <v>339</v>
      </c>
      <c r="AE16" s="215"/>
      <c r="AF16" s="214" t="s">
        <v>378</v>
      </c>
    </row>
    <row r="17">
      <c r="A17" s="26"/>
      <c r="B17" s="216">
        <f>countif(nap.agi.sim,rept("?",6)&amp;"*")+
countif(nap.kxn.sim,rept("?",6)&amp;"*")+
countif(nap.hwb.sim,rept("?",6)&amp;"*")+
countif(nap.ekxn.sim,rept("?",6)&amp;"*")+
countif(nap.egt.sim,rept("?",6)&amp;"*")+
countif(nap.erd.sim,rept("?",6)&amp;"*")+
countif(nap.gkxn.sim,rept("?",6)&amp;"*")+
countif(nap.gen.sim,rept("?",6)&amp;"*")+
countif(nap.kmp.sim,rept("?",6)&amp;"*")+
countif(nap.lu2.sim,rept("?",6)&amp;"*")+
countif(nap.myc.sim,rept("?",6)&amp;"*")+
countif(nap.nar.sim,rept("?",6)&amp;"*")+
countif(nap.que.sim,rept("?",6)&amp;"*")</f>
        <v>91</v>
      </c>
      <c r="C17" s="73"/>
      <c r="D17" s="73"/>
      <c r="E17" s="73"/>
      <c r="F17" s="73"/>
      <c r="G17" s="192"/>
      <c r="H17" s="192"/>
      <c r="I17" s="192"/>
      <c r="J17" s="192"/>
      <c r="K17" s="192"/>
      <c r="L17" s="73"/>
      <c r="M17" s="73"/>
      <c r="N17" s="73"/>
      <c r="O17" s="192" t="s">
        <v>265</v>
      </c>
      <c r="P17" s="73"/>
      <c r="Q17" s="192" t="s">
        <v>237</v>
      </c>
      <c r="R17" s="215"/>
      <c r="S17" s="215"/>
      <c r="T17" s="215"/>
      <c r="U17" s="214"/>
      <c r="V17" s="214"/>
      <c r="W17" s="214"/>
      <c r="X17" s="214"/>
      <c r="Y17" s="214"/>
      <c r="Z17" s="215"/>
      <c r="AA17" s="215"/>
      <c r="AB17" s="215"/>
      <c r="AC17" s="215"/>
      <c r="AD17" s="214" t="s">
        <v>375</v>
      </c>
      <c r="AE17" s="215"/>
      <c r="AF17" s="214" t="s">
        <v>381</v>
      </c>
    </row>
    <row r="18">
      <c r="A18" s="73"/>
      <c r="B18" s="218"/>
      <c r="C18" s="73"/>
      <c r="D18" s="73"/>
      <c r="E18" s="73"/>
      <c r="F18" s="73"/>
      <c r="G18" s="73"/>
      <c r="H18" s="73"/>
      <c r="I18" s="73"/>
      <c r="J18" s="73"/>
      <c r="K18" s="73"/>
      <c r="L18" s="73"/>
      <c r="M18" s="73"/>
      <c r="N18" s="73"/>
      <c r="O18" s="192" t="s">
        <v>268</v>
      </c>
      <c r="P18" s="73"/>
      <c r="Q18" s="192" t="s">
        <v>243</v>
      </c>
      <c r="R18" s="215"/>
      <c r="S18" s="215"/>
      <c r="T18" s="215"/>
      <c r="U18" s="214"/>
      <c r="V18" s="215"/>
      <c r="W18" s="215"/>
      <c r="X18" s="215"/>
      <c r="Y18" s="215"/>
      <c r="Z18" s="215"/>
      <c r="AA18" s="215"/>
      <c r="AB18" s="215"/>
      <c r="AC18" s="215"/>
      <c r="AD18" s="214" t="s">
        <v>378</v>
      </c>
      <c r="AE18" s="215"/>
      <c r="AF18" s="214" t="s">
        <v>384</v>
      </c>
    </row>
    <row r="19">
      <c r="A19" s="73"/>
      <c r="B19" s="218"/>
      <c r="C19" s="73"/>
      <c r="D19" s="73"/>
      <c r="E19" s="73"/>
      <c r="F19" s="73"/>
      <c r="G19" s="73"/>
      <c r="H19" s="73"/>
      <c r="I19" s="73"/>
      <c r="J19" s="73"/>
      <c r="K19" s="73"/>
      <c r="L19" s="73"/>
      <c r="M19" s="73"/>
      <c r="N19" s="73"/>
      <c r="O19" s="192" t="s">
        <v>277</v>
      </c>
      <c r="P19" s="73"/>
      <c r="Q19" s="192" t="s">
        <v>249</v>
      </c>
      <c r="R19" s="215"/>
      <c r="S19" s="215"/>
      <c r="T19" s="215"/>
      <c r="U19" s="214"/>
      <c r="V19" s="215"/>
      <c r="W19" s="215"/>
      <c r="X19" s="215"/>
      <c r="Y19" s="215"/>
      <c r="Z19" s="215"/>
      <c r="AA19" s="215"/>
      <c r="AB19" s="215"/>
      <c r="AC19" s="215"/>
      <c r="AD19" s="214" t="s">
        <v>390</v>
      </c>
      <c r="AE19" s="215"/>
      <c r="AF19" s="214" t="s">
        <v>390</v>
      </c>
    </row>
    <row r="20">
      <c r="A20" s="73"/>
      <c r="B20" s="218"/>
      <c r="C20" s="73"/>
      <c r="D20" s="73"/>
      <c r="E20" s="73"/>
      <c r="F20" s="73"/>
      <c r="G20" s="73"/>
      <c r="H20" s="73"/>
      <c r="I20" s="73"/>
      <c r="J20" s="73"/>
      <c r="K20" s="73"/>
      <c r="L20" s="73"/>
      <c r="M20" s="73"/>
      <c r="N20" s="73"/>
      <c r="O20" s="192" t="s">
        <v>283</v>
      </c>
      <c r="P20" s="73"/>
      <c r="Q20" s="192" t="s">
        <v>252</v>
      </c>
      <c r="R20" s="215"/>
      <c r="S20" s="215"/>
      <c r="T20" s="215"/>
      <c r="U20" s="215"/>
      <c r="V20" s="215"/>
      <c r="W20" s="215"/>
      <c r="X20" s="215"/>
      <c r="Y20" s="215"/>
      <c r="Z20" s="215"/>
      <c r="AA20" s="215"/>
      <c r="AB20" s="215"/>
      <c r="AC20" s="215"/>
      <c r="AD20" s="215"/>
      <c r="AE20" s="215"/>
      <c r="AF20" s="214" t="s">
        <v>393</v>
      </c>
    </row>
    <row r="21" ht="15.75" customHeight="1">
      <c r="A21" s="73"/>
      <c r="B21" s="218"/>
      <c r="C21" s="73"/>
      <c r="D21" s="73"/>
      <c r="E21" s="73"/>
      <c r="F21" s="73"/>
      <c r="G21" s="73"/>
      <c r="H21" s="73"/>
      <c r="I21" s="73"/>
      <c r="J21" s="73"/>
      <c r="K21" s="73"/>
      <c r="L21" s="73"/>
      <c r="M21" s="73"/>
      <c r="N21" s="73"/>
      <c r="O21" s="192" t="s">
        <v>300</v>
      </c>
      <c r="P21" s="73"/>
      <c r="Q21" s="192" t="s">
        <v>265</v>
      </c>
      <c r="R21" s="215"/>
      <c r="S21" s="215"/>
      <c r="T21" s="215"/>
      <c r="U21" s="215"/>
      <c r="V21" s="215"/>
      <c r="W21" s="215"/>
      <c r="X21" s="215"/>
      <c r="Y21" s="215"/>
      <c r="Z21" s="215"/>
      <c r="AA21" s="215"/>
      <c r="AB21" s="215"/>
      <c r="AC21" s="215"/>
      <c r="AD21" s="215"/>
      <c r="AE21" s="215"/>
      <c r="AF21" s="215"/>
    </row>
    <row r="22" ht="15.75" customHeight="1">
      <c r="A22" s="73"/>
      <c r="B22" s="218"/>
      <c r="C22" s="73"/>
      <c r="D22" s="73"/>
      <c r="E22" s="73"/>
      <c r="F22" s="73"/>
      <c r="G22" s="73"/>
      <c r="H22" s="73"/>
      <c r="I22" s="73"/>
      <c r="J22" s="73"/>
      <c r="K22" s="73"/>
      <c r="L22" s="73"/>
      <c r="M22" s="73"/>
      <c r="N22" s="73"/>
      <c r="O22" s="192" t="s">
        <v>306</v>
      </c>
      <c r="P22" s="73"/>
      <c r="Q22" s="192" t="s">
        <v>277</v>
      </c>
      <c r="R22" s="215"/>
      <c r="S22" s="215"/>
      <c r="T22" s="215"/>
      <c r="U22" s="215"/>
      <c r="V22" s="215"/>
      <c r="W22" s="215"/>
      <c r="X22" s="215"/>
      <c r="Y22" s="215"/>
      <c r="Z22" s="215"/>
      <c r="AA22" s="215"/>
      <c r="AB22" s="215"/>
      <c r="AC22" s="215"/>
      <c r="AD22" s="215"/>
      <c r="AE22" s="215"/>
      <c r="AF22" s="215"/>
    </row>
    <row r="23" ht="15.75" customHeight="1">
      <c r="A23" s="73"/>
      <c r="B23" s="218"/>
      <c r="C23" s="73"/>
      <c r="D23" s="73"/>
      <c r="E23" s="73"/>
      <c r="F23" s="73"/>
      <c r="G23" s="73"/>
      <c r="H23" s="73"/>
      <c r="I23" s="73"/>
      <c r="J23" s="73"/>
      <c r="K23" s="73"/>
      <c r="L23" s="73"/>
      <c r="M23" s="73"/>
      <c r="N23" s="73"/>
      <c r="O23" s="192" t="s">
        <v>321</v>
      </c>
      <c r="P23" s="73"/>
      <c r="Q23" s="192" t="s">
        <v>283</v>
      </c>
      <c r="R23" s="215"/>
      <c r="S23" s="215"/>
      <c r="T23" s="215"/>
      <c r="U23" s="215"/>
      <c r="V23" s="215"/>
      <c r="W23" s="215"/>
      <c r="X23" s="215"/>
      <c r="Y23" s="215"/>
      <c r="Z23" s="215"/>
      <c r="AA23" s="215"/>
      <c r="AB23" s="215"/>
      <c r="AC23" s="215"/>
      <c r="AD23" s="215"/>
      <c r="AE23" s="215"/>
      <c r="AF23" s="215"/>
    </row>
    <row r="24" ht="15.75" customHeight="1">
      <c r="A24" s="73"/>
      <c r="B24" s="218"/>
      <c r="C24" s="73"/>
      <c r="D24" s="73"/>
      <c r="E24" s="73"/>
      <c r="F24" s="73"/>
      <c r="G24" s="73"/>
      <c r="H24" s="73"/>
      <c r="I24" s="73"/>
      <c r="J24" s="73"/>
      <c r="K24" s="73"/>
      <c r="L24" s="73"/>
      <c r="M24" s="73"/>
      <c r="N24" s="73"/>
      <c r="O24" s="192" t="s">
        <v>327</v>
      </c>
      <c r="P24" s="73"/>
      <c r="Q24" s="192" t="s">
        <v>300</v>
      </c>
      <c r="R24" s="215"/>
      <c r="S24" s="215"/>
      <c r="T24" s="215"/>
      <c r="U24" s="215"/>
      <c r="V24" s="215"/>
      <c r="W24" s="215"/>
      <c r="X24" s="215"/>
      <c r="Y24" s="215"/>
      <c r="Z24" s="215"/>
      <c r="AA24" s="215"/>
      <c r="AB24" s="215"/>
      <c r="AC24" s="215"/>
      <c r="AD24" s="215"/>
      <c r="AE24" s="215"/>
      <c r="AF24" s="215"/>
    </row>
    <row r="25" ht="15.75" customHeight="1">
      <c r="A25" s="73"/>
      <c r="B25" s="218"/>
      <c r="C25" s="73"/>
      <c r="D25" s="73"/>
      <c r="E25" s="73"/>
      <c r="F25" s="73"/>
      <c r="G25" s="73"/>
      <c r="H25" s="73"/>
      <c r="I25" s="73"/>
      <c r="J25" s="73"/>
      <c r="K25" s="73"/>
      <c r="L25" s="73"/>
      <c r="M25" s="73"/>
      <c r="N25" s="73"/>
      <c r="O25" s="192" t="s">
        <v>336</v>
      </c>
      <c r="P25" s="73"/>
      <c r="Q25" s="192" t="s">
        <v>306</v>
      </c>
      <c r="R25" s="215"/>
      <c r="S25" s="215"/>
      <c r="T25" s="215"/>
      <c r="U25" s="215"/>
      <c r="V25" s="215"/>
      <c r="W25" s="215"/>
      <c r="X25" s="215"/>
      <c r="Y25" s="215"/>
      <c r="Z25" s="215"/>
      <c r="AA25" s="215"/>
      <c r="AB25" s="215"/>
      <c r="AC25" s="215"/>
      <c r="AD25" s="215"/>
      <c r="AE25" s="215"/>
      <c r="AF25" s="215"/>
    </row>
    <row r="26" ht="15.75" customHeight="1">
      <c r="A26" s="73"/>
      <c r="B26" s="218"/>
      <c r="C26" s="73"/>
      <c r="D26" s="73"/>
      <c r="E26" s="73"/>
      <c r="F26" s="73"/>
      <c r="G26" s="73"/>
      <c r="H26" s="73"/>
      <c r="I26" s="73"/>
      <c r="J26" s="73"/>
      <c r="K26" s="73"/>
      <c r="L26" s="73"/>
      <c r="M26" s="73"/>
      <c r="N26" s="73"/>
      <c r="O26" s="192" t="s">
        <v>342</v>
      </c>
      <c r="P26" s="73"/>
      <c r="Q26" s="192" t="s">
        <v>309</v>
      </c>
      <c r="R26" s="215"/>
      <c r="S26" s="215"/>
      <c r="T26" s="215"/>
      <c r="U26" s="215"/>
      <c r="V26" s="215"/>
      <c r="W26" s="215"/>
      <c r="X26" s="215"/>
      <c r="Y26" s="215"/>
      <c r="Z26" s="215"/>
      <c r="AA26" s="215"/>
      <c r="AB26" s="215"/>
      <c r="AC26" s="215"/>
      <c r="AD26" s="215"/>
      <c r="AE26" s="215"/>
      <c r="AF26" s="215"/>
    </row>
    <row r="27" ht="15.75" customHeight="1">
      <c r="A27" s="73"/>
      <c r="B27" s="218"/>
      <c r="C27" s="73"/>
      <c r="D27" s="73"/>
      <c r="E27" s="73"/>
      <c r="F27" s="73"/>
      <c r="G27" s="73"/>
      <c r="H27" s="73"/>
      <c r="I27" s="73"/>
      <c r="J27" s="73"/>
      <c r="K27" s="73"/>
      <c r="L27" s="73"/>
      <c r="M27" s="73"/>
      <c r="N27" s="73"/>
      <c r="O27" s="192" t="s">
        <v>360</v>
      </c>
      <c r="P27" s="73"/>
      <c r="Q27" s="192" t="s">
        <v>321</v>
      </c>
      <c r="R27" s="215"/>
      <c r="S27" s="215"/>
      <c r="T27" s="215"/>
      <c r="U27" s="215"/>
      <c r="V27" s="215"/>
      <c r="W27" s="215"/>
      <c r="X27" s="215"/>
      <c r="Y27" s="215"/>
      <c r="Z27" s="215"/>
      <c r="AA27" s="215"/>
      <c r="AB27" s="215"/>
      <c r="AC27" s="215"/>
      <c r="AD27" s="215"/>
      <c r="AE27" s="215"/>
      <c r="AF27" s="215"/>
    </row>
    <row r="28" ht="15.75" customHeight="1">
      <c r="A28" s="73"/>
      <c r="B28" s="218"/>
      <c r="C28" s="73"/>
      <c r="D28" s="73"/>
      <c r="E28" s="73"/>
      <c r="F28" s="73"/>
      <c r="G28" s="73"/>
      <c r="H28" s="73"/>
      <c r="I28" s="73"/>
      <c r="J28" s="73"/>
      <c r="K28" s="73"/>
      <c r="L28" s="73"/>
      <c r="M28" s="73"/>
      <c r="N28" s="73"/>
      <c r="O28" s="192" t="s">
        <v>366</v>
      </c>
      <c r="P28" s="73"/>
      <c r="Q28" s="192" t="s">
        <v>327</v>
      </c>
      <c r="R28" s="215"/>
      <c r="S28" s="215"/>
      <c r="T28" s="215"/>
      <c r="U28" s="215"/>
      <c r="V28" s="215"/>
      <c r="W28" s="215"/>
      <c r="X28" s="215"/>
      <c r="Y28" s="215"/>
      <c r="Z28" s="215"/>
      <c r="AA28" s="215"/>
      <c r="AB28" s="215"/>
      <c r="AC28" s="215"/>
      <c r="AD28" s="215"/>
      <c r="AE28" s="215"/>
      <c r="AF28" s="215"/>
    </row>
    <row r="29" ht="15.75" customHeight="1">
      <c r="A29" s="73"/>
      <c r="B29" s="218"/>
      <c r="C29" s="73"/>
      <c r="D29" s="73"/>
      <c r="E29" s="73"/>
      <c r="F29" s="73"/>
      <c r="G29" s="73"/>
      <c r="H29" s="73"/>
      <c r="I29" s="73"/>
      <c r="J29" s="73"/>
      <c r="K29" s="73"/>
      <c r="L29" s="73"/>
      <c r="M29" s="73"/>
      <c r="N29" s="73"/>
      <c r="O29" s="192" t="s">
        <v>372</v>
      </c>
      <c r="P29" s="73"/>
      <c r="Q29" s="192" t="s">
        <v>333</v>
      </c>
      <c r="R29" s="215"/>
      <c r="S29" s="215"/>
      <c r="T29" s="215"/>
      <c r="U29" s="215"/>
      <c r="V29" s="215"/>
      <c r="W29" s="215"/>
      <c r="X29" s="215"/>
      <c r="Y29" s="215"/>
      <c r="Z29" s="215"/>
      <c r="AA29" s="215"/>
      <c r="AB29" s="215"/>
      <c r="AC29" s="215"/>
      <c r="AD29" s="215"/>
      <c r="AE29" s="215"/>
      <c r="AF29" s="215"/>
    </row>
    <row r="30" ht="15.75" customHeight="1">
      <c r="A30" s="73"/>
      <c r="B30" s="218"/>
      <c r="C30" s="73"/>
      <c r="D30" s="73"/>
      <c r="E30" s="73"/>
      <c r="F30" s="73"/>
      <c r="G30" s="73"/>
      <c r="H30" s="73"/>
      <c r="I30" s="73"/>
      <c r="J30" s="73"/>
      <c r="K30" s="73"/>
      <c r="L30" s="73"/>
      <c r="M30" s="73"/>
      <c r="N30" s="73"/>
      <c r="O30" s="192" t="s">
        <v>378</v>
      </c>
      <c r="P30" s="73"/>
      <c r="Q30" s="192" t="s">
        <v>336</v>
      </c>
      <c r="R30" s="215"/>
      <c r="S30" s="215"/>
      <c r="T30" s="215"/>
      <c r="U30" s="215"/>
      <c r="V30" s="215"/>
      <c r="W30" s="215"/>
      <c r="X30" s="215"/>
      <c r="Y30" s="215"/>
      <c r="Z30" s="215"/>
      <c r="AA30" s="215"/>
      <c r="AB30" s="215"/>
      <c r="AC30" s="215"/>
      <c r="AD30" s="215"/>
      <c r="AE30" s="215"/>
      <c r="AF30" s="215"/>
    </row>
    <row r="31" ht="15.75" customHeight="1">
      <c r="A31" s="73"/>
      <c r="B31" s="218"/>
      <c r="C31" s="73"/>
      <c r="D31" s="73"/>
      <c r="E31" s="73"/>
      <c r="F31" s="73"/>
      <c r="G31" s="73"/>
      <c r="H31" s="73"/>
      <c r="I31" s="73"/>
      <c r="J31" s="73"/>
      <c r="K31" s="73"/>
      <c r="L31" s="73"/>
      <c r="M31" s="73"/>
      <c r="N31" s="73"/>
      <c r="O31" s="192" t="s">
        <v>384</v>
      </c>
      <c r="P31" s="73"/>
      <c r="Q31" s="192" t="s">
        <v>339</v>
      </c>
      <c r="R31" s="215"/>
      <c r="S31" s="215"/>
      <c r="T31" s="215"/>
      <c r="U31" s="215"/>
      <c r="V31" s="215"/>
      <c r="W31" s="215"/>
      <c r="X31" s="215"/>
      <c r="Y31" s="215"/>
      <c r="Z31" s="215"/>
      <c r="AA31" s="215"/>
      <c r="AB31" s="215"/>
      <c r="AC31" s="215"/>
      <c r="AD31" s="215"/>
      <c r="AE31" s="215"/>
      <c r="AF31" s="215"/>
    </row>
    <row r="32" ht="15.75" customHeight="1">
      <c r="A32" s="73"/>
      <c r="B32" s="218"/>
      <c r="C32" s="73"/>
      <c r="D32" s="73"/>
      <c r="E32" s="73"/>
      <c r="F32" s="73"/>
      <c r="G32" s="73"/>
      <c r="H32" s="73"/>
      <c r="I32" s="73"/>
      <c r="J32" s="73"/>
      <c r="K32" s="73"/>
      <c r="L32" s="73"/>
      <c r="M32" s="73"/>
      <c r="N32" s="73"/>
      <c r="O32" s="192" t="s">
        <v>393</v>
      </c>
      <c r="P32" s="73"/>
      <c r="Q32" s="192" t="s">
        <v>342</v>
      </c>
      <c r="R32" s="215"/>
      <c r="S32" s="215"/>
      <c r="T32" s="215"/>
      <c r="U32" s="215"/>
      <c r="V32" s="215"/>
      <c r="W32" s="215"/>
      <c r="X32" s="215"/>
      <c r="Y32" s="215"/>
      <c r="Z32" s="215"/>
      <c r="AA32" s="215"/>
      <c r="AB32" s="215"/>
      <c r="AC32" s="215"/>
      <c r="AD32" s="215"/>
      <c r="AE32" s="215"/>
      <c r="AF32" s="215"/>
    </row>
    <row r="33" ht="15.75" customHeight="1">
      <c r="A33" s="73"/>
      <c r="B33" s="218"/>
      <c r="C33" s="73"/>
      <c r="D33" s="73"/>
      <c r="E33" s="73"/>
      <c r="F33" s="73"/>
      <c r="G33" s="73"/>
      <c r="H33" s="73"/>
      <c r="I33" s="73"/>
      <c r="J33" s="73"/>
      <c r="K33" s="73"/>
      <c r="L33" s="73"/>
      <c r="M33" s="73"/>
      <c r="N33" s="73"/>
      <c r="O33" s="73"/>
      <c r="P33" s="73"/>
      <c r="Q33" s="192" t="s">
        <v>360</v>
      </c>
      <c r="R33" s="215"/>
      <c r="S33" s="215"/>
      <c r="T33" s="215"/>
      <c r="U33" s="215"/>
      <c r="V33" s="215"/>
      <c r="W33" s="215"/>
      <c r="X33" s="215"/>
      <c r="Y33" s="215"/>
      <c r="Z33" s="215"/>
      <c r="AA33" s="215"/>
      <c r="AB33" s="215"/>
      <c r="AC33" s="215"/>
      <c r="AD33" s="215"/>
      <c r="AE33" s="215"/>
      <c r="AF33" s="215"/>
    </row>
    <row r="34" ht="15.75" customHeight="1">
      <c r="A34" s="73"/>
      <c r="B34" s="218"/>
      <c r="C34" s="73"/>
      <c r="D34" s="73"/>
      <c r="E34" s="73"/>
      <c r="F34" s="73"/>
      <c r="G34" s="73"/>
      <c r="H34" s="73"/>
      <c r="I34" s="73"/>
      <c r="J34" s="73"/>
      <c r="K34" s="73"/>
      <c r="L34" s="73"/>
      <c r="M34" s="73"/>
      <c r="N34" s="73"/>
      <c r="O34" s="73"/>
      <c r="P34" s="73"/>
      <c r="Q34" s="192" t="s">
        <v>366</v>
      </c>
      <c r="R34" s="215"/>
      <c r="S34" s="215"/>
      <c r="T34" s="215"/>
      <c r="U34" s="215"/>
      <c r="V34" s="215"/>
      <c r="W34" s="215"/>
      <c r="X34" s="215"/>
      <c r="Y34" s="215"/>
      <c r="Z34" s="215"/>
      <c r="AA34" s="215"/>
      <c r="AB34" s="215"/>
      <c r="AC34" s="215"/>
      <c r="AD34" s="215"/>
      <c r="AE34" s="215"/>
      <c r="AF34" s="215"/>
    </row>
    <row r="35" ht="15.75" customHeight="1">
      <c r="A35" s="73"/>
      <c r="B35" s="218"/>
      <c r="C35" s="73"/>
      <c r="D35" s="73"/>
      <c r="E35" s="73"/>
      <c r="F35" s="73"/>
      <c r="G35" s="73"/>
      <c r="H35" s="73"/>
      <c r="I35" s="73"/>
      <c r="J35" s="73"/>
      <c r="K35" s="73"/>
      <c r="L35" s="73"/>
      <c r="M35" s="73"/>
      <c r="N35" s="73"/>
      <c r="O35" s="73"/>
      <c r="P35" s="73"/>
      <c r="Q35" s="192" t="s">
        <v>372</v>
      </c>
      <c r="R35" s="215"/>
      <c r="S35" s="215"/>
      <c r="T35" s="215"/>
      <c r="U35" s="215"/>
      <c r="V35" s="215"/>
      <c r="W35" s="215"/>
      <c r="X35" s="215"/>
      <c r="Y35" s="215"/>
      <c r="Z35" s="215"/>
      <c r="AA35" s="215"/>
      <c r="AB35" s="215"/>
      <c r="AC35" s="215"/>
      <c r="AD35" s="215"/>
      <c r="AE35" s="215"/>
      <c r="AF35" s="215"/>
    </row>
    <row r="36" ht="15.75" customHeight="1">
      <c r="A36" s="73"/>
      <c r="B36" s="218"/>
      <c r="C36" s="73"/>
      <c r="D36" s="73"/>
      <c r="E36" s="73"/>
      <c r="F36" s="73"/>
      <c r="G36" s="73"/>
      <c r="H36" s="73"/>
      <c r="I36" s="73"/>
      <c r="J36" s="73"/>
      <c r="K36" s="73"/>
      <c r="L36" s="73"/>
      <c r="M36" s="73"/>
      <c r="N36" s="73"/>
      <c r="O36" s="73"/>
      <c r="P36" s="73"/>
      <c r="Q36" s="192" t="s">
        <v>378</v>
      </c>
      <c r="R36" s="215"/>
      <c r="S36" s="215"/>
      <c r="T36" s="215"/>
      <c r="U36" s="215"/>
      <c r="V36" s="215"/>
      <c r="W36" s="215"/>
      <c r="X36" s="215"/>
      <c r="Y36" s="215"/>
      <c r="Z36" s="215"/>
      <c r="AA36" s="215"/>
      <c r="AB36" s="215"/>
      <c r="AC36" s="215"/>
      <c r="AD36" s="215"/>
      <c r="AE36" s="215"/>
      <c r="AF36" s="215"/>
    </row>
    <row r="37" ht="15.75" customHeight="1">
      <c r="A37" s="73"/>
      <c r="B37" s="218"/>
      <c r="C37" s="73"/>
      <c r="D37" s="73"/>
      <c r="E37" s="73"/>
      <c r="F37" s="73"/>
      <c r="G37" s="73"/>
      <c r="H37" s="73"/>
      <c r="I37" s="73"/>
      <c r="J37" s="73"/>
      <c r="K37" s="73"/>
      <c r="L37" s="73"/>
      <c r="M37" s="73"/>
      <c r="N37" s="73"/>
      <c r="O37" s="73"/>
      <c r="P37" s="73"/>
      <c r="Q37" s="192" t="s">
        <v>381</v>
      </c>
      <c r="R37" s="215"/>
      <c r="S37" s="215"/>
      <c r="T37" s="215"/>
      <c r="U37" s="215"/>
      <c r="V37" s="215"/>
      <c r="W37" s="215"/>
      <c r="X37" s="215"/>
      <c r="Y37" s="215"/>
      <c r="Z37" s="215"/>
      <c r="AA37" s="215"/>
      <c r="AB37" s="215"/>
      <c r="AC37" s="215"/>
      <c r="AD37" s="215"/>
      <c r="AE37" s="215"/>
      <c r="AF37" s="215"/>
    </row>
    <row r="38" ht="15.75" customHeight="1">
      <c r="A38" s="73"/>
      <c r="B38" s="218"/>
      <c r="C38" s="73"/>
      <c r="D38" s="73"/>
      <c r="E38" s="73"/>
      <c r="F38" s="73"/>
      <c r="G38" s="73"/>
      <c r="H38" s="73"/>
      <c r="I38" s="73"/>
      <c r="J38" s="73"/>
      <c r="K38" s="73"/>
      <c r="L38" s="73"/>
      <c r="M38" s="73"/>
      <c r="N38" s="73"/>
      <c r="O38" s="73"/>
      <c r="P38" s="73"/>
      <c r="Q38" s="192" t="s">
        <v>384</v>
      </c>
      <c r="R38" s="215"/>
      <c r="S38" s="215"/>
      <c r="T38" s="215"/>
      <c r="U38" s="215"/>
      <c r="V38" s="215"/>
      <c r="W38" s="215"/>
      <c r="X38" s="215"/>
      <c r="Y38" s="215"/>
      <c r="Z38" s="215"/>
      <c r="AA38" s="215"/>
      <c r="AB38" s="215"/>
      <c r="AC38" s="215"/>
      <c r="AD38" s="215"/>
      <c r="AE38" s="215"/>
      <c r="AF38" s="215"/>
    </row>
    <row r="39" ht="15.75" customHeight="1">
      <c r="A39" s="73"/>
      <c r="B39" s="218"/>
      <c r="C39" s="73"/>
      <c r="D39" s="73"/>
      <c r="E39" s="73"/>
      <c r="F39" s="73"/>
      <c r="G39" s="73"/>
      <c r="H39" s="73"/>
      <c r="I39" s="73"/>
      <c r="J39" s="73"/>
      <c r="K39" s="73"/>
      <c r="L39" s="73"/>
      <c r="M39" s="73"/>
      <c r="N39" s="73"/>
      <c r="O39" s="73"/>
      <c r="P39" s="73"/>
      <c r="Q39" s="73"/>
      <c r="R39" s="215"/>
      <c r="S39" s="215"/>
      <c r="T39" s="215"/>
      <c r="U39" s="215"/>
      <c r="V39" s="215"/>
      <c r="W39" s="215"/>
      <c r="X39" s="215"/>
      <c r="Y39" s="215"/>
      <c r="Z39" s="215"/>
      <c r="AA39" s="215"/>
      <c r="AB39" s="215"/>
      <c r="AC39" s="215"/>
      <c r="AD39" s="215"/>
      <c r="AE39" s="215"/>
      <c r="AF39" s="215"/>
    </row>
    <row r="40" ht="15.75" customHeight="1">
      <c r="A40" s="73"/>
      <c r="B40" s="218"/>
      <c r="C40" s="73"/>
      <c r="D40" s="73"/>
      <c r="E40" s="73"/>
      <c r="F40" s="73"/>
      <c r="G40" s="73"/>
      <c r="H40" s="73"/>
      <c r="I40" s="73"/>
      <c r="J40" s="73"/>
      <c r="K40" s="73"/>
      <c r="L40" s="73"/>
      <c r="M40" s="73"/>
      <c r="N40" s="73"/>
      <c r="O40" s="73"/>
      <c r="P40" s="73"/>
      <c r="Q40" s="73"/>
      <c r="R40" s="215"/>
      <c r="S40" s="215"/>
      <c r="T40" s="215"/>
      <c r="U40" s="215"/>
      <c r="V40" s="215"/>
      <c r="W40" s="215"/>
      <c r="X40" s="215"/>
      <c r="Y40" s="215"/>
      <c r="Z40" s="215"/>
      <c r="AA40" s="215"/>
      <c r="AB40" s="215"/>
      <c r="AC40" s="215"/>
      <c r="AD40" s="215"/>
      <c r="AE40" s="215"/>
      <c r="AF40" s="215"/>
    </row>
    <row r="41" ht="15.75" customHeight="1">
      <c r="A41" s="73"/>
      <c r="B41" s="218"/>
      <c r="C41" s="73"/>
      <c r="D41" s="73"/>
      <c r="E41" s="73"/>
      <c r="F41" s="73"/>
      <c r="G41" s="73"/>
      <c r="H41" s="73"/>
      <c r="I41" s="73"/>
      <c r="J41" s="73"/>
      <c r="K41" s="73"/>
      <c r="L41" s="73"/>
      <c r="M41" s="73"/>
      <c r="N41" s="73"/>
      <c r="O41" s="73"/>
      <c r="P41" s="73"/>
      <c r="Q41" s="73"/>
      <c r="R41" s="215"/>
      <c r="S41" s="215"/>
      <c r="T41" s="215"/>
      <c r="U41" s="215"/>
      <c r="V41" s="215"/>
      <c r="W41" s="215"/>
      <c r="X41" s="215"/>
      <c r="Y41" s="215"/>
      <c r="Z41" s="215"/>
      <c r="AA41" s="215"/>
      <c r="AB41" s="215"/>
      <c r="AC41" s="215"/>
      <c r="AD41" s="215"/>
      <c r="AE41" s="215"/>
      <c r="AF41" s="215"/>
    </row>
    <row r="42" ht="15.75" customHeight="1">
      <c r="A42" s="73"/>
      <c r="B42" s="218"/>
      <c r="C42" s="73"/>
      <c r="D42" s="73"/>
      <c r="E42" s="73"/>
      <c r="F42" s="73"/>
      <c r="G42" s="73"/>
      <c r="H42" s="73"/>
      <c r="I42" s="73"/>
      <c r="J42" s="73"/>
      <c r="K42" s="73"/>
      <c r="L42" s="73"/>
      <c r="M42" s="73"/>
      <c r="N42" s="73"/>
      <c r="O42" s="73"/>
      <c r="P42" s="73"/>
      <c r="Q42" s="73"/>
      <c r="R42" s="215"/>
      <c r="S42" s="215"/>
      <c r="T42" s="215"/>
      <c r="U42" s="215"/>
      <c r="V42" s="215"/>
      <c r="W42" s="215"/>
      <c r="X42" s="215"/>
      <c r="Y42" s="215"/>
      <c r="Z42" s="215"/>
      <c r="AA42" s="215"/>
      <c r="AB42" s="215"/>
      <c r="AC42" s="215"/>
      <c r="AE42" s="215"/>
      <c r="AF42" s="215"/>
    </row>
    <row r="43" ht="15.75" customHeight="1">
      <c r="A43" s="73"/>
      <c r="B43" s="218"/>
      <c r="C43" s="73"/>
      <c r="D43" s="73"/>
      <c r="E43" s="73"/>
      <c r="F43" s="73"/>
      <c r="G43" s="73"/>
      <c r="H43" s="73"/>
      <c r="I43" s="73"/>
      <c r="J43" s="73"/>
      <c r="K43" s="73"/>
      <c r="L43" s="73"/>
      <c r="M43" s="73"/>
      <c r="N43" s="73"/>
      <c r="O43" s="73"/>
      <c r="P43" s="73"/>
      <c r="Q43" s="73"/>
      <c r="R43" s="215"/>
      <c r="S43" s="215"/>
      <c r="U43" s="215"/>
      <c r="V43" s="215"/>
      <c r="W43" s="215"/>
      <c r="X43" s="215"/>
      <c r="Y43" s="215"/>
      <c r="Z43" s="215"/>
      <c r="AA43" s="215"/>
      <c r="AB43" s="215"/>
      <c r="AC43" s="215"/>
      <c r="AE43" s="215"/>
      <c r="AF43" s="215"/>
    </row>
    <row r="44" ht="15.75" customHeight="1">
      <c r="A44" s="73"/>
      <c r="B44" s="218"/>
      <c r="C44" s="73"/>
      <c r="D44" s="73"/>
      <c r="E44" s="73"/>
      <c r="F44" s="73"/>
      <c r="G44" s="73"/>
      <c r="H44" s="73"/>
      <c r="I44" s="73"/>
      <c r="J44" s="73"/>
      <c r="K44" s="73"/>
      <c r="L44" s="73"/>
      <c r="M44" s="73"/>
      <c r="N44" s="73"/>
      <c r="O44" s="73"/>
      <c r="P44" s="73"/>
      <c r="Q44" s="73"/>
      <c r="R44" s="215"/>
      <c r="S44" s="215"/>
      <c r="U44" s="215"/>
      <c r="V44" s="215"/>
      <c r="W44" s="215"/>
      <c r="X44" s="215"/>
      <c r="Y44" s="215"/>
      <c r="Z44" s="215"/>
      <c r="AA44" s="215"/>
      <c r="AB44" s="215"/>
      <c r="AC44" s="215"/>
      <c r="AE44" s="215"/>
      <c r="AF44" s="215"/>
    </row>
    <row r="45" ht="15.75" customHeight="1">
      <c r="A45" s="73"/>
      <c r="B45" s="218"/>
      <c r="C45" s="73"/>
      <c r="D45" s="73"/>
      <c r="E45" s="73"/>
      <c r="F45" s="73"/>
      <c r="G45" s="73"/>
      <c r="H45" s="73"/>
      <c r="I45" s="73"/>
      <c r="J45" s="73"/>
      <c r="K45" s="73"/>
      <c r="L45" s="73"/>
      <c r="M45" s="73"/>
      <c r="N45" s="73"/>
      <c r="O45" s="73"/>
      <c r="P45" s="73"/>
      <c r="Q45" s="73"/>
      <c r="R45" s="215"/>
      <c r="S45" s="215"/>
      <c r="U45" s="215"/>
      <c r="V45" s="215"/>
      <c r="W45" s="215"/>
      <c r="X45" s="215"/>
      <c r="Y45" s="215"/>
      <c r="Z45" s="215"/>
      <c r="AA45" s="215"/>
      <c r="AB45" s="215"/>
      <c r="AC45" s="215"/>
      <c r="AE45" s="215"/>
    </row>
    <row r="46" ht="15.75" customHeight="1">
      <c r="A46" s="73"/>
      <c r="B46" s="218"/>
      <c r="C46" s="73"/>
      <c r="D46" s="73"/>
      <c r="E46" s="73"/>
      <c r="F46" s="73"/>
      <c r="G46" s="73"/>
      <c r="H46" s="73"/>
      <c r="I46" s="73"/>
      <c r="J46" s="73"/>
      <c r="K46" s="73"/>
      <c r="L46" s="73"/>
      <c r="M46" s="73"/>
      <c r="N46" s="73"/>
      <c r="O46" s="73"/>
      <c r="P46" s="73"/>
      <c r="Q46" s="73"/>
      <c r="R46" s="215"/>
      <c r="S46" s="215"/>
      <c r="U46" s="215"/>
      <c r="V46" s="215"/>
      <c r="W46" s="215"/>
      <c r="X46" s="215"/>
      <c r="Y46" s="215"/>
      <c r="Z46" s="215"/>
      <c r="AA46" s="215"/>
      <c r="AB46" s="215"/>
      <c r="AC46" s="215"/>
      <c r="AE46" s="215"/>
    </row>
    <row r="47" ht="15.75" customHeight="1">
      <c r="A47" s="73"/>
      <c r="B47" s="218"/>
      <c r="C47" s="73"/>
      <c r="D47" s="73"/>
      <c r="E47" s="73"/>
      <c r="F47" s="73"/>
      <c r="G47" s="73"/>
      <c r="H47" s="73"/>
      <c r="I47" s="73"/>
      <c r="J47" s="73"/>
      <c r="K47" s="73"/>
      <c r="L47" s="73"/>
      <c r="M47" s="73"/>
      <c r="N47" s="73"/>
      <c r="O47" s="73"/>
      <c r="P47" s="73"/>
      <c r="Q47" s="73"/>
      <c r="R47" s="215"/>
      <c r="S47" s="215"/>
      <c r="U47" s="215"/>
      <c r="V47" s="215"/>
      <c r="W47" s="215"/>
      <c r="X47" s="215"/>
      <c r="Y47" s="215"/>
      <c r="Z47" s="215"/>
      <c r="AA47" s="215"/>
      <c r="AB47" s="215"/>
      <c r="AC47" s="215"/>
      <c r="AE47" s="215"/>
    </row>
    <row r="48" ht="15.75" customHeight="1">
      <c r="A48" s="73"/>
      <c r="B48" s="218"/>
      <c r="C48" s="73"/>
      <c r="D48" s="73"/>
      <c r="E48" s="73"/>
      <c r="F48" s="73"/>
      <c r="G48" s="73"/>
      <c r="H48" s="73"/>
      <c r="I48" s="73"/>
      <c r="J48" s="73"/>
      <c r="K48" s="73"/>
      <c r="L48" s="73"/>
      <c r="M48" s="73"/>
      <c r="N48" s="73"/>
      <c r="O48" s="73"/>
      <c r="P48" s="73"/>
      <c r="Q48" s="73"/>
      <c r="R48" s="215"/>
      <c r="S48" s="215"/>
      <c r="U48" s="215"/>
      <c r="V48" s="215"/>
      <c r="W48" s="215"/>
      <c r="X48" s="215"/>
      <c r="Y48" s="215"/>
      <c r="Z48" s="215"/>
      <c r="AA48" s="215"/>
      <c r="AC48" s="215"/>
    </row>
    <row r="49" ht="15.75" customHeight="1">
      <c r="A49" s="73"/>
      <c r="B49" s="218"/>
      <c r="C49" s="73"/>
      <c r="D49" s="73"/>
      <c r="E49" s="73"/>
      <c r="F49" s="73"/>
      <c r="G49" s="73"/>
      <c r="H49" s="73"/>
      <c r="I49" s="73"/>
      <c r="J49" s="73"/>
      <c r="K49" s="73"/>
      <c r="L49" s="73"/>
      <c r="M49" s="73"/>
      <c r="N49" s="73"/>
      <c r="O49" s="73"/>
      <c r="P49" s="73"/>
      <c r="Q49" s="73"/>
      <c r="S49" s="215"/>
      <c r="U49" s="215"/>
      <c r="V49" s="215"/>
      <c r="W49" s="215"/>
      <c r="X49" s="215"/>
      <c r="Y49" s="215"/>
      <c r="AA49" s="215"/>
      <c r="AC49" s="215"/>
    </row>
    <row r="50" ht="15.75" customHeight="1">
      <c r="A50" s="73"/>
      <c r="B50" s="218"/>
      <c r="C50" s="73"/>
      <c r="D50" s="73"/>
      <c r="E50" s="73"/>
      <c r="F50" s="73"/>
      <c r="G50" s="73"/>
      <c r="H50" s="73"/>
      <c r="I50" s="73"/>
      <c r="J50" s="73"/>
      <c r="K50" s="73"/>
      <c r="L50" s="73"/>
      <c r="M50" s="73"/>
      <c r="N50" s="73"/>
      <c r="O50" s="73"/>
      <c r="P50" s="73"/>
      <c r="Q50" s="73"/>
      <c r="S50" s="215"/>
      <c r="U50" s="215"/>
      <c r="V50" s="215"/>
      <c r="W50" s="215"/>
      <c r="X50" s="215"/>
      <c r="Y50" s="215"/>
      <c r="AA50" s="215"/>
      <c r="AC50" s="215"/>
    </row>
    <row r="51" ht="15.75" customHeight="1">
      <c r="A51" s="73"/>
      <c r="B51" s="218"/>
      <c r="C51" s="73"/>
      <c r="D51" s="73"/>
      <c r="E51" s="73"/>
      <c r="F51" s="73"/>
      <c r="G51" s="73"/>
      <c r="H51" s="73"/>
      <c r="I51" s="73"/>
      <c r="J51" s="73"/>
      <c r="K51" s="73"/>
      <c r="L51" s="73"/>
      <c r="M51" s="73"/>
      <c r="N51" s="73"/>
      <c r="O51" s="73"/>
      <c r="P51" s="73"/>
      <c r="Q51" s="73"/>
      <c r="S51" s="215"/>
      <c r="U51" s="215"/>
      <c r="V51" s="215"/>
      <c r="W51" s="215"/>
      <c r="X51" s="215"/>
      <c r="Y51" s="215"/>
      <c r="AA51" s="215"/>
      <c r="AC51" s="215"/>
    </row>
  </sheetData>
  <mergeCells count="3">
    <mergeCell ref="A1:A8"/>
    <mergeCell ref="B1:B7"/>
    <mergeCell ref="B10:B16"/>
  </mergeCells>
  <dataValidations>
    <dataValidation type="list" allowBlank="1" sqref="T2:AF3 T4:AB5 T6:AA6 E2:R7 E8:M8 O8:R9 E9:K10 C2:C12 Q10:R12 F11:K13 M9:M13 T7:Z13 U14:Z16 G14:K17 U17:Y17 U18:U19 AD4:AD19 AF4:AF20 O10:O32 Q13:Q38">
      <formula1>VRMUpdate!$C:$C</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32" width="5.13"/>
  </cols>
  <sheetData>
    <row r="1">
      <c r="A1" s="199" t="s">
        <v>1437</v>
      </c>
      <c r="B1" s="200" t="s">
        <v>1425</v>
      </c>
      <c r="C1" s="201" t="s">
        <v>49</v>
      </c>
      <c r="D1" s="201" t="s">
        <v>50</v>
      </c>
      <c r="E1" s="201" t="s">
        <v>51</v>
      </c>
      <c r="F1" s="201" t="s">
        <v>52</v>
      </c>
      <c r="G1" s="202" t="s">
        <v>53</v>
      </c>
      <c r="H1" s="201" t="s">
        <v>54</v>
      </c>
      <c r="I1" s="201" t="s">
        <v>56</v>
      </c>
      <c r="J1" s="201" t="s">
        <v>57</v>
      </c>
      <c r="K1" s="201" t="s">
        <v>58</v>
      </c>
      <c r="L1" s="202" t="s">
        <v>59</v>
      </c>
      <c r="M1" s="201" t="s">
        <v>60</v>
      </c>
      <c r="N1" s="201" t="s">
        <v>61</v>
      </c>
      <c r="O1" s="201" t="s">
        <v>62</v>
      </c>
      <c r="P1" s="201" t="s">
        <v>63</v>
      </c>
      <c r="Q1" s="201" t="s">
        <v>64</v>
      </c>
      <c r="R1" s="201" t="s">
        <v>65</v>
      </c>
      <c r="S1" s="201" t="s">
        <v>66</v>
      </c>
      <c r="T1" s="219" t="s">
        <v>400</v>
      </c>
      <c r="U1" s="220" t="s">
        <v>401</v>
      </c>
      <c r="V1" s="220" t="s">
        <v>403</v>
      </c>
      <c r="W1" s="219" t="s">
        <v>1432</v>
      </c>
      <c r="X1" s="219" t="s">
        <v>405</v>
      </c>
      <c r="Y1" s="219" t="s">
        <v>402</v>
      </c>
      <c r="Z1" s="220" t="s">
        <v>1430</v>
      </c>
      <c r="AA1" s="219" t="s">
        <v>404</v>
      </c>
      <c r="AB1" s="220" t="s">
        <v>406</v>
      </c>
      <c r="AC1" s="220" t="s">
        <v>407</v>
      </c>
      <c r="AD1" s="220" t="s">
        <v>408</v>
      </c>
      <c r="AE1" s="220" t="s">
        <v>409</v>
      </c>
      <c r="AF1" s="220" t="s">
        <v>410</v>
      </c>
    </row>
    <row r="2">
      <c r="C2" s="126" t="s">
        <v>171</v>
      </c>
      <c r="D2" s="119" t="s">
        <v>210</v>
      </c>
      <c r="E2" s="126" t="s">
        <v>268</v>
      </c>
      <c r="F2" s="126" t="s">
        <v>201</v>
      </c>
      <c r="G2" s="126" t="s">
        <v>274</v>
      </c>
      <c r="H2" s="126" t="s">
        <v>240</v>
      </c>
      <c r="I2" s="119" t="s">
        <v>240</v>
      </c>
      <c r="J2" s="119" t="s">
        <v>156</v>
      </c>
      <c r="K2" s="119" t="s">
        <v>210</v>
      </c>
      <c r="L2" s="119" t="s">
        <v>384</v>
      </c>
      <c r="M2" s="126" t="s">
        <v>207</v>
      </c>
      <c r="N2" s="126" t="s">
        <v>150</v>
      </c>
      <c r="O2" s="126" t="s">
        <v>107</v>
      </c>
      <c r="P2" s="126" t="s">
        <v>132</v>
      </c>
      <c r="Q2" s="126" t="s">
        <v>240</v>
      </c>
      <c r="R2" s="126" t="s">
        <v>156</v>
      </c>
      <c r="S2" s="126" t="s">
        <v>107</v>
      </c>
      <c r="T2" s="221" t="s">
        <v>107</v>
      </c>
      <c r="U2" s="222" t="s">
        <v>240</v>
      </c>
      <c r="V2" s="222" t="s">
        <v>201</v>
      </c>
      <c r="W2" s="221" t="s">
        <v>150</v>
      </c>
      <c r="X2" s="221" t="s">
        <v>150</v>
      </c>
      <c r="Y2" s="222" t="s">
        <v>240</v>
      </c>
      <c r="Z2" s="223" t="s">
        <v>240</v>
      </c>
      <c r="AA2" s="224" t="s">
        <v>156</v>
      </c>
      <c r="AB2" s="222" t="s">
        <v>84</v>
      </c>
      <c r="AC2" s="222" t="s">
        <v>107</v>
      </c>
      <c r="AD2" s="222" t="s">
        <v>268</v>
      </c>
      <c r="AE2" s="224" t="s">
        <v>156</v>
      </c>
      <c r="AF2" s="221" t="s">
        <v>95</v>
      </c>
    </row>
    <row r="3">
      <c r="C3" s="126" t="s">
        <v>201</v>
      </c>
      <c r="D3" s="126"/>
      <c r="E3" s="126" t="s">
        <v>324</v>
      </c>
      <c r="F3" s="126" t="s">
        <v>207</v>
      </c>
      <c r="G3" s="126" t="s">
        <v>324</v>
      </c>
      <c r="H3" s="126" t="s">
        <v>268</v>
      </c>
      <c r="I3" s="126"/>
      <c r="J3" s="126"/>
      <c r="K3" s="126"/>
      <c r="L3" s="126"/>
      <c r="M3" s="126"/>
      <c r="N3" s="126" t="s">
        <v>207</v>
      </c>
      <c r="O3" s="126" t="s">
        <v>240</v>
      </c>
      <c r="P3" s="126" t="s">
        <v>201</v>
      </c>
      <c r="Q3" s="126" t="s">
        <v>268</v>
      </c>
      <c r="R3" s="126" t="s">
        <v>186</v>
      </c>
      <c r="S3" s="126" t="s">
        <v>132</v>
      </c>
      <c r="T3" s="221" t="s">
        <v>156</v>
      </c>
      <c r="U3" s="222" t="s">
        <v>268</v>
      </c>
      <c r="V3" s="223" t="s">
        <v>207</v>
      </c>
      <c r="W3" s="224" t="s">
        <v>210</v>
      </c>
      <c r="X3" s="224" t="s">
        <v>207</v>
      </c>
      <c r="Y3" s="222" t="s">
        <v>268</v>
      </c>
      <c r="Z3" s="222"/>
      <c r="AA3" s="222"/>
      <c r="AB3" s="222" t="s">
        <v>107</v>
      </c>
      <c r="AC3" s="224" t="s">
        <v>132</v>
      </c>
      <c r="AD3" s="222" t="s">
        <v>384</v>
      </c>
      <c r="AE3" s="224" t="s">
        <v>207</v>
      </c>
      <c r="AF3" s="221" t="s">
        <v>107</v>
      </c>
    </row>
    <row r="4">
      <c r="C4" s="126" t="s">
        <v>207</v>
      </c>
      <c r="E4" s="126" t="s">
        <v>375</v>
      </c>
      <c r="F4" s="126" t="s">
        <v>240</v>
      </c>
      <c r="G4" s="126" t="s">
        <v>372</v>
      </c>
      <c r="H4" s="126" t="s">
        <v>384</v>
      </c>
      <c r="I4" s="126"/>
      <c r="J4" s="126"/>
      <c r="K4" s="126"/>
      <c r="L4" s="126"/>
      <c r="M4" s="126"/>
      <c r="N4" s="126"/>
      <c r="O4" s="126" t="s">
        <v>268</v>
      </c>
      <c r="P4" s="126" t="s">
        <v>268</v>
      </c>
      <c r="Q4" s="126" t="s">
        <v>384</v>
      </c>
      <c r="R4" s="126" t="s">
        <v>324</v>
      </c>
      <c r="S4" s="126" t="s">
        <v>156</v>
      </c>
      <c r="T4" s="221" t="s">
        <v>201</v>
      </c>
      <c r="U4" s="221" t="s">
        <v>372</v>
      </c>
      <c r="V4" s="221" t="s">
        <v>384</v>
      </c>
      <c r="W4" s="221"/>
      <c r="X4" s="221"/>
      <c r="Y4" s="221" t="s">
        <v>274</v>
      </c>
      <c r="Z4" s="222"/>
      <c r="AA4" s="222"/>
      <c r="AB4" s="221" t="s">
        <v>210</v>
      </c>
      <c r="AC4" s="223" t="s">
        <v>201</v>
      </c>
      <c r="AD4" s="222"/>
      <c r="AE4" s="224" t="s">
        <v>324</v>
      </c>
      <c r="AF4" s="222" t="s">
        <v>132</v>
      </c>
    </row>
    <row r="5">
      <c r="D5" s="126"/>
      <c r="E5" s="126" t="s">
        <v>384</v>
      </c>
      <c r="G5" s="126" t="s">
        <v>375</v>
      </c>
      <c r="H5" s="126"/>
      <c r="I5" s="126"/>
      <c r="J5" s="126"/>
      <c r="K5" s="126"/>
      <c r="L5" s="126"/>
      <c r="M5" s="126"/>
      <c r="N5" s="126"/>
      <c r="O5" s="126" t="s">
        <v>342</v>
      </c>
      <c r="P5" s="126"/>
      <c r="Q5" s="126"/>
      <c r="R5" s="126"/>
      <c r="S5" s="126" t="s">
        <v>240</v>
      </c>
      <c r="T5" s="221" t="s">
        <v>268</v>
      </c>
      <c r="U5" s="221" t="s">
        <v>375</v>
      </c>
      <c r="V5" s="222"/>
      <c r="W5" s="221"/>
      <c r="X5" s="221"/>
      <c r="Y5" s="222" t="s">
        <v>327</v>
      </c>
      <c r="Z5" s="222"/>
      <c r="AA5" s="222"/>
      <c r="AB5" s="222" t="s">
        <v>268</v>
      </c>
      <c r="AC5" s="224" t="s">
        <v>268</v>
      </c>
      <c r="AD5" s="222"/>
      <c r="AE5" s="223" t="s">
        <v>327</v>
      </c>
      <c r="AF5" s="221" t="s">
        <v>135</v>
      </c>
    </row>
    <row r="6">
      <c r="C6" s="126"/>
      <c r="D6" s="126"/>
      <c r="E6" s="126" t="s">
        <v>393</v>
      </c>
      <c r="F6" s="126"/>
      <c r="G6" s="126" t="s">
        <v>384</v>
      </c>
      <c r="H6" s="126"/>
      <c r="I6" s="126"/>
      <c r="J6" s="126"/>
      <c r="K6" s="126"/>
      <c r="L6" s="126"/>
      <c r="M6" s="126"/>
      <c r="N6" s="126"/>
      <c r="O6" s="126"/>
      <c r="P6" s="126"/>
      <c r="Q6" s="126"/>
      <c r="R6" s="126"/>
      <c r="S6" s="126" t="s">
        <v>268</v>
      </c>
      <c r="T6" s="221" t="s">
        <v>375</v>
      </c>
      <c r="U6" s="222" t="s">
        <v>384</v>
      </c>
      <c r="V6" s="222"/>
      <c r="W6" s="221"/>
      <c r="X6" s="221"/>
      <c r="Y6" s="221" t="s">
        <v>372</v>
      </c>
      <c r="Z6" s="222"/>
      <c r="AA6" s="222"/>
      <c r="AB6" s="222" t="s">
        <v>333</v>
      </c>
      <c r="AC6" s="224" t="s">
        <v>324</v>
      </c>
      <c r="AD6" s="222"/>
      <c r="AE6" s="224" t="s">
        <v>384</v>
      </c>
      <c r="AF6" s="221" t="s">
        <v>171</v>
      </c>
    </row>
    <row r="7">
      <c r="C7" s="126"/>
      <c r="D7" s="126"/>
      <c r="F7" s="126"/>
      <c r="G7" s="126" t="s">
        <v>393</v>
      </c>
      <c r="H7" s="126"/>
      <c r="I7" s="126"/>
      <c r="J7" s="126"/>
      <c r="K7" s="126"/>
      <c r="L7" s="126"/>
      <c r="M7" s="126"/>
      <c r="N7" s="126"/>
      <c r="O7" s="126"/>
      <c r="P7" s="126"/>
      <c r="Q7" s="126"/>
      <c r="R7" s="126"/>
      <c r="S7" s="126" t="s">
        <v>324</v>
      </c>
      <c r="T7" s="221" t="s">
        <v>393</v>
      </c>
      <c r="U7" s="225"/>
      <c r="V7" s="222"/>
      <c r="W7" s="221"/>
      <c r="X7" s="221"/>
      <c r="Y7" s="221" t="s">
        <v>375</v>
      </c>
      <c r="Z7" s="222"/>
      <c r="AA7" s="222"/>
      <c r="AB7" s="222" t="s">
        <v>342</v>
      </c>
      <c r="AC7" s="221" t="s">
        <v>393</v>
      </c>
      <c r="AD7" s="222"/>
      <c r="AE7" s="222"/>
      <c r="AF7" s="221" t="s">
        <v>210</v>
      </c>
    </row>
    <row r="8">
      <c r="B8" s="205">
        <f>countif(np.agi,rept("?",6)&amp;"*")+
countif(np.kxn,rept("?",6)&amp;"*")+
countif(np.hwb,rept("?",6)&amp;"*")+
countif(np.ekxn,rept("?",6)&amp;"*")+
countif(np.bun,rept("?",6)&amp;"*")+
countif(np.erd,rept("?",6)&amp;"*")+
countif(np.gkxn,rept("?",6)&amp;"*")+
countif(np.gen,rept("?",6)&amp;"*")+
countif(np.kmp,rept("?",6)&amp;"*")+
countif(np.lu2,rept("?",6)&amp;"*")+
countif(np.myc,rept("?",6)&amp;"*")+
countif(np.nar,rept("?",6)&amp;"*")+
countif(np.que,rept("?",6)&amp;"*")</f>
        <v>45</v>
      </c>
      <c r="C8" s="126"/>
      <c r="D8" s="126"/>
      <c r="E8" s="126"/>
      <c r="F8" s="126"/>
      <c r="G8" s="126"/>
      <c r="H8" s="126"/>
      <c r="I8" s="126"/>
      <c r="J8" s="126"/>
      <c r="K8" s="126"/>
      <c r="L8" s="126"/>
      <c r="M8" s="126"/>
      <c r="N8" s="126"/>
      <c r="O8" s="126"/>
      <c r="P8" s="126"/>
      <c r="Q8" s="126"/>
      <c r="R8" s="126"/>
      <c r="S8" s="126" t="s">
        <v>333</v>
      </c>
      <c r="T8" s="222"/>
      <c r="U8" s="222"/>
      <c r="V8" s="222"/>
      <c r="W8" s="221"/>
      <c r="X8" s="221"/>
      <c r="Y8" s="222" t="s">
        <v>384</v>
      </c>
      <c r="Z8" s="222"/>
      <c r="AA8" s="222"/>
      <c r="AB8" s="221" t="s">
        <v>384</v>
      </c>
      <c r="AC8" s="222"/>
      <c r="AD8" s="222"/>
      <c r="AE8" s="222"/>
      <c r="AF8" s="221" t="s">
        <v>240</v>
      </c>
    </row>
    <row r="9">
      <c r="A9" s="209" t="s">
        <v>21</v>
      </c>
      <c r="B9" s="206"/>
      <c r="C9" s="126"/>
      <c r="D9" s="126"/>
      <c r="E9" s="126"/>
      <c r="F9" s="126"/>
      <c r="G9" s="126"/>
      <c r="H9" s="126"/>
      <c r="I9" s="126"/>
      <c r="J9" s="126"/>
      <c r="K9" s="126"/>
      <c r="L9" s="126"/>
      <c r="M9" s="126"/>
      <c r="N9" s="126"/>
      <c r="O9" s="126"/>
      <c r="P9" s="126"/>
      <c r="Q9" s="126"/>
      <c r="R9" s="126"/>
      <c r="S9" s="126" t="s">
        <v>342</v>
      </c>
      <c r="T9" s="222"/>
      <c r="U9" s="222"/>
      <c r="V9" s="222"/>
      <c r="W9" s="221"/>
      <c r="X9" s="221"/>
      <c r="Y9" s="222" t="s">
        <v>393</v>
      </c>
      <c r="Z9" s="222"/>
      <c r="AA9" s="222"/>
      <c r="AB9" s="221" t="s">
        <v>393</v>
      </c>
      <c r="AC9" s="222"/>
      <c r="AD9" s="222"/>
      <c r="AE9" s="222"/>
      <c r="AF9" s="222" t="s">
        <v>268</v>
      </c>
    </row>
    <row r="10">
      <c r="A10" s="221" t="s">
        <v>393</v>
      </c>
      <c r="B10" s="200" t="s">
        <v>1426</v>
      </c>
      <c r="C10" s="126"/>
      <c r="D10" s="126"/>
      <c r="E10" s="126"/>
      <c r="F10" s="126"/>
      <c r="G10" s="126"/>
      <c r="H10" s="126"/>
      <c r="I10" s="126"/>
      <c r="J10" s="126"/>
      <c r="K10" s="126"/>
      <c r="L10" s="126"/>
      <c r="M10" s="126"/>
      <c r="N10" s="126"/>
      <c r="O10" s="126"/>
      <c r="P10" s="126"/>
      <c r="Q10" s="126"/>
      <c r="R10" s="126"/>
      <c r="S10" s="126" t="s">
        <v>375</v>
      </c>
      <c r="T10" s="222"/>
      <c r="U10" s="222"/>
      <c r="V10" s="222"/>
      <c r="W10" s="222"/>
      <c r="X10" s="222"/>
      <c r="Y10" s="222"/>
      <c r="Z10" s="222"/>
      <c r="AA10" s="222"/>
      <c r="AB10" s="222"/>
      <c r="AC10" s="222"/>
      <c r="AD10" s="222"/>
      <c r="AE10" s="222"/>
      <c r="AF10" s="222" t="s">
        <v>306</v>
      </c>
    </row>
    <row r="11">
      <c r="C11" s="126"/>
      <c r="D11" s="126"/>
      <c r="E11" s="126"/>
      <c r="F11" s="126"/>
      <c r="G11" s="126"/>
      <c r="H11" s="126"/>
      <c r="I11" s="126"/>
      <c r="J11" s="126"/>
      <c r="K11" s="126"/>
      <c r="L11" s="126"/>
      <c r="M11" s="126"/>
      <c r="N11" s="126"/>
      <c r="O11" s="126"/>
      <c r="P11" s="126"/>
      <c r="Q11" s="126"/>
      <c r="R11" s="126"/>
      <c r="S11" s="126" t="s">
        <v>384</v>
      </c>
      <c r="T11" s="222"/>
      <c r="U11" s="222"/>
      <c r="V11" s="222"/>
      <c r="W11" s="222"/>
      <c r="X11" s="222"/>
      <c r="Y11" s="222"/>
      <c r="Z11" s="222"/>
      <c r="AA11" s="222"/>
      <c r="AB11" s="222"/>
      <c r="AC11" s="222"/>
      <c r="AD11" s="222"/>
      <c r="AE11" s="222"/>
      <c r="AF11" s="222" t="s">
        <v>324</v>
      </c>
    </row>
    <row r="12">
      <c r="C12" s="126"/>
      <c r="D12" s="126"/>
      <c r="E12" s="126"/>
      <c r="F12" s="126"/>
      <c r="G12" s="126"/>
      <c r="H12" s="126"/>
      <c r="I12" s="126"/>
      <c r="J12" s="126"/>
      <c r="K12" s="126"/>
      <c r="L12" s="126"/>
      <c r="M12" s="126"/>
      <c r="N12" s="126"/>
      <c r="O12" s="126"/>
      <c r="P12" s="126"/>
      <c r="Q12" s="126"/>
      <c r="R12" s="126"/>
      <c r="S12" s="126" t="s">
        <v>393</v>
      </c>
      <c r="T12" s="222"/>
      <c r="U12" s="222"/>
      <c r="V12" s="222"/>
      <c r="W12" s="222"/>
      <c r="X12" s="222"/>
      <c r="Y12" s="222"/>
      <c r="Z12" s="222"/>
      <c r="AA12" s="222"/>
      <c r="AB12" s="222"/>
      <c r="AC12" s="222"/>
      <c r="AD12" s="222"/>
      <c r="AE12" s="222"/>
      <c r="AF12" s="221" t="s">
        <v>333</v>
      </c>
    </row>
    <row r="13">
      <c r="C13" s="126"/>
      <c r="D13" s="126"/>
      <c r="E13" s="126"/>
      <c r="F13" s="126"/>
      <c r="G13" s="126"/>
      <c r="H13" s="126"/>
      <c r="I13" s="126"/>
      <c r="J13" s="126"/>
      <c r="K13" s="126"/>
      <c r="L13" s="126"/>
      <c r="M13" s="126"/>
      <c r="N13" s="126"/>
      <c r="O13" s="126"/>
      <c r="P13" s="126"/>
      <c r="Q13" s="126"/>
      <c r="R13" s="126"/>
      <c r="S13" s="126"/>
      <c r="T13" s="222"/>
      <c r="U13" s="222"/>
      <c r="V13" s="222"/>
      <c r="W13" s="222"/>
      <c r="X13" s="222"/>
      <c r="Y13" s="222"/>
      <c r="Z13" s="222"/>
      <c r="AA13" s="222"/>
      <c r="AB13" s="222"/>
      <c r="AC13" s="222"/>
      <c r="AD13" s="222"/>
      <c r="AE13" s="222"/>
      <c r="AF13" s="222" t="s">
        <v>342</v>
      </c>
    </row>
    <row r="14">
      <c r="C14" s="126"/>
      <c r="D14" s="126"/>
      <c r="E14" s="126"/>
      <c r="F14" s="126"/>
      <c r="G14" s="126"/>
      <c r="H14" s="126"/>
      <c r="I14" s="126"/>
      <c r="J14" s="126"/>
      <c r="K14" s="126"/>
      <c r="L14" s="126"/>
      <c r="M14" s="126"/>
      <c r="N14" s="126"/>
      <c r="O14" s="126"/>
      <c r="P14" s="126"/>
      <c r="Q14" s="126"/>
      <c r="R14" s="126"/>
      <c r="S14" s="126"/>
      <c r="T14" s="222"/>
      <c r="U14" s="222"/>
      <c r="V14" s="222"/>
      <c r="W14" s="222"/>
      <c r="X14" s="222"/>
      <c r="Y14" s="222"/>
      <c r="Z14" s="222"/>
      <c r="AA14" s="222"/>
      <c r="AB14" s="222"/>
      <c r="AC14" s="222"/>
      <c r="AD14" s="222"/>
      <c r="AE14" s="222"/>
      <c r="AF14" s="222" t="s">
        <v>348</v>
      </c>
    </row>
    <row r="15">
      <c r="C15" s="126"/>
      <c r="D15" s="126"/>
      <c r="E15" s="126"/>
      <c r="F15" s="126"/>
      <c r="G15" s="126"/>
      <c r="H15" s="126"/>
      <c r="I15" s="126"/>
      <c r="J15" s="126"/>
      <c r="K15" s="126"/>
      <c r="L15" s="126"/>
      <c r="M15" s="126"/>
      <c r="N15" s="126"/>
      <c r="O15" s="126"/>
      <c r="P15" s="126"/>
      <c r="Q15" s="126"/>
      <c r="R15" s="126"/>
      <c r="S15" s="126"/>
      <c r="T15" s="222"/>
      <c r="U15" s="222"/>
      <c r="V15" s="222"/>
      <c r="W15" s="222"/>
      <c r="X15" s="222"/>
      <c r="Y15" s="222"/>
      <c r="Z15" s="222"/>
      <c r="AA15" s="222"/>
      <c r="AB15" s="222"/>
      <c r="AC15" s="222"/>
      <c r="AD15" s="222"/>
      <c r="AE15" s="222"/>
      <c r="AF15" s="222" t="s">
        <v>354</v>
      </c>
    </row>
    <row r="16">
      <c r="C16" s="126"/>
      <c r="D16" s="126"/>
      <c r="E16" s="126"/>
      <c r="F16" s="126"/>
      <c r="G16" s="126"/>
      <c r="H16" s="126"/>
      <c r="I16" s="126"/>
      <c r="J16" s="126"/>
      <c r="K16" s="126"/>
      <c r="L16" s="126"/>
      <c r="M16" s="126"/>
      <c r="N16" s="126"/>
      <c r="O16" s="126"/>
      <c r="P16" s="126"/>
      <c r="Q16" s="126"/>
      <c r="R16" s="126"/>
      <c r="S16" s="126"/>
      <c r="T16" s="222"/>
      <c r="U16" s="222"/>
      <c r="V16" s="222"/>
      <c r="W16" s="222"/>
      <c r="X16" s="222"/>
      <c r="Y16" s="222"/>
      <c r="Z16" s="222"/>
      <c r="AA16" s="222"/>
      <c r="AB16" s="222"/>
      <c r="AC16" s="222"/>
      <c r="AD16" s="222"/>
      <c r="AE16" s="222"/>
      <c r="AF16" s="221" t="s">
        <v>375</v>
      </c>
    </row>
    <row r="17">
      <c r="B17" s="205">
        <f>
countif(np.kxn.sim,rept("?",6)&amp;"*")+
countif(np.hwb.sim,rept("?",6)&amp;"*")+
countif(np.ekxn.sim,rept("?",6)&amp;"*")+
countif(np.egt.sim,rept("?",6)&amp;"*")+
countif(np.kmp.sim,rept("?",6)&amp;"*")+
countif(np.lu2.sim,rept("?",6)&amp;"*")+
countif(np.myc.sim,rept("?",6)&amp;"*")+
countif(np.nar.sim,rept("?",6)&amp;"*")+
countif(np.que.sim,rept("?",6)&amp;"*")</f>
        <v>56</v>
      </c>
      <c r="C17" s="126"/>
      <c r="D17" s="126"/>
      <c r="E17" s="126"/>
      <c r="F17" s="126"/>
      <c r="G17" s="126"/>
      <c r="H17" s="126"/>
      <c r="I17" s="126"/>
      <c r="J17" s="126"/>
      <c r="K17" s="126"/>
      <c r="L17" s="126"/>
      <c r="M17" s="126"/>
      <c r="N17" s="126"/>
      <c r="O17" s="126"/>
      <c r="P17" s="126"/>
      <c r="Q17" s="126"/>
      <c r="R17" s="126"/>
      <c r="S17" s="126"/>
      <c r="T17" s="222"/>
      <c r="U17" s="222"/>
      <c r="V17" s="222"/>
      <c r="W17" s="222"/>
      <c r="X17" s="222"/>
      <c r="Y17" s="222"/>
      <c r="Z17" s="222"/>
      <c r="AA17" s="222"/>
      <c r="AB17" s="222"/>
      <c r="AC17" s="222"/>
      <c r="AD17" s="222"/>
      <c r="AE17" s="222"/>
      <c r="AF17" s="222" t="s">
        <v>384</v>
      </c>
    </row>
    <row r="18">
      <c r="C18" s="126"/>
      <c r="D18" s="126"/>
      <c r="E18" s="126"/>
      <c r="F18" s="126"/>
      <c r="G18" s="126"/>
      <c r="H18" s="126"/>
      <c r="I18" s="126"/>
      <c r="J18" s="126"/>
      <c r="K18" s="126"/>
      <c r="L18" s="126"/>
      <c r="M18" s="126"/>
      <c r="N18" s="126"/>
      <c r="O18" s="126"/>
      <c r="P18" s="126"/>
      <c r="Q18" s="126"/>
      <c r="R18" s="126"/>
      <c r="S18" s="126"/>
      <c r="T18" s="222"/>
      <c r="U18" s="222"/>
      <c r="V18" s="222"/>
      <c r="W18" s="222"/>
      <c r="X18" s="222"/>
      <c r="Y18" s="222"/>
      <c r="Z18" s="222"/>
      <c r="AA18" s="222"/>
      <c r="AB18" s="222"/>
      <c r="AC18" s="222"/>
      <c r="AD18" s="222"/>
      <c r="AE18" s="222"/>
      <c r="AF18" s="222" t="s">
        <v>393</v>
      </c>
    </row>
    <row r="19">
      <c r="C19" s="126"/>
      <c r="D19" s="126"/>
      <c r="E19" s="126"/>
      <c r="F19" s="126"/>
      <c r="G19" s="126"/>
      <c r="H19" s="126"/>
      <c r="I19" s="126"/>
      <c r="J19" s="126"/>
      <c r="K19" s="126"/>
      <c r="L19" s="126"/>
      <c r="M19" s="126"/>
      <c r="N19" s="126"/>
      <c r="O19" s="126"/>
      <c r="P19" s="126"/>
      <c r="Q19" s="126"/>
      <c r="R19" s="126"/>
      <c r="S19" s="126"/>
      <c r="T19" s="225"/>
      <c r="U19" s="222"/>
      <c r="V19" s="222"/>
      <c r="W19" s="222"/>
      <c r="X19" s="222"/>
      <c r="Y19" s="222"/>
      <c r="Z19" s="222"/>
      <c r="AA19" s="222"/>
      <c r="AB19" s="222"/>
      <c r="AC19" s="222"/>
      <c r="AD19" s="222"/>
      <c r="AE19" s="222"/>
      <c r="AF19" s="222"/>
    </row>
    <row r="20">
      <c r="C20" s="126"/>
      <c r="D20" s="126"/>
      <c r="E20" s="126"/>
      <c r="F20" s="126"/>
      <c r="G20" s="126"/>
      <c r="H20" s="126"/>
      <c r="I20" s="126"/>
      <c r="J20" s="126"/>
      <c r="K20" s="126"/>
      <c r="L20" s="126"/>
      <c r="M20" s="126"/>
      <c r="N20" s="126"/>
      <c r="O20" s="126"/>
      <c r="P20" s="126"/>
      <c r="Q20" s="126"/>
      <c r="R20" s="126"/>
      <c r="S20" s="126"/>
      <c r="T20" s="222"/>
      <c r="U20" s="225"/>
      <c r="V20" s="222"/>
      <c r="W20" s="222"/>
      <c r="X20" s="222"/>
      <c r="Y20" s="222"/>
      <c r="Z20" s="222"/>
      <c r="AA20" s="222"/>
      <c r="AB20" s="222"/>
      <c r="AC20" s="222"/>
      <c r="AD20" s="222"/>
      <c r="AE20" s="222"/>
      <c r="AF20" s="222"/>
    </row>
    <row r="21" ht="15.75" customHeight="1">
      <c r="C21" s="126"/>
      <c r="D21" s="126"/>
      <c r="E21" s="126"/>
      <c r="F21" s="126"/>
      <c r="G21" s="126"/>
      <c r="H21" s="126"/>
      <c r="I21" s="126"/>
      <c r="J21" s="126"/>
      <c r="K21" s="126"/>
      <c r="L21" s="126"/>
      <c r="M21" s="126"/>
      <c r="N21" s="126"/>
      <c r="O21" s="126"/>
      <c r="P21" s="126"/>
      <c r="Q21" s="126"/>
      <c r="R21" s="126"/>
      <c r="S21" s="126"/>
      <c r="T21" s="222"/>
      <c r="U21" s="222"/>
      <c r="V21" s="222"/>
      <c r="W21" s="222"/>
      <c r="X21" s="222"/>
      <c r="Y21" s="222"/>
      <c r="Z21" s="222"/>
      <c r="AA21" s="222"/>
      <c r="AB21" s="222"/>
      <c r="AC21" s="222"/>
      <c r="AD21" s="222"/>
      <c r="AE21" s="222"/>
      <c r="AF21" s="222"/>
    </row>
    <row r="22" ht="15.75" customHeight="1">
      <c r="C22" s="126"/>
      <c r="D22" s="126"/>
      <c r="E22" s="126"/>
      <c r="F22" s="126"/>
      <c r="G22" s="126"/>
      <c r="H22" s="126"/>
      <c r="I22" s="126"/>
      <c r="J22" s="126"/>
      <c r="K22" s="126"/>
      <c r="L22" s="126"/>
      <c r="M22" s="126"/>
      <c r="N22" s="126"/>
      <c r="O22" s="126"/>
      <c r="P22" s="126"/>
      <c r="Q22" s="126"/>
      <c r="R22" s="126"/>
      <c r="S22" s="126"/>
      <c r="T22" s="222"/>
      <c r="U22" s="222"/>
      <c r="V22" s="222"/>
      <c r="W22" s="222"/>
      <c r="X22" s="222"/>
      <c r="Y22" s="222"/>
      <c r="Z22" s="222"/>
      <c r="AA22" s="222"/>
      <c r="AB22" s="222"/>
      <c r="AC22" s="222"/>
      <c r="AD22" s="222"/>
      <c r="AE22" s="222"/>
      <c r="AF22" s="222"/>
    </row>
    <row r="23" ht="15.75" customHeight="1">
      <c r="C23" s="126"/>
      <c r="D23" s="126"/>
      <c r="E23" s="126"/>
      <c r="F23" s="126"/>
      <c r="G23" s="126"/>
      <c r="H23" s="126"/>
      <c r="I23" s="126"/>
      <c r="J23" s="126"/>
      <c r="K23" s="126"/>
      <c r="L23" s="126"/>
      <c r="M23" s="126"/>
      <c r="N23" s="126"/>
      <c r="O23" s="126"/>
      <c r="P23" s="126"/>
      <c r="Q23" s="126"/>
      <c r="R23" s="126"/>
      <c r="S23" s="126"/>
      <c r="T23" s="222"/>
      <c r="U23" s="222"/>
      <c r="V23" s="222"/>
      <c r="W23" s="222"/>
      <c r="X23" s="222"/>
      <c r="Y23" s="222"/>
      <c r="Z23" s="222"/>
      <c r="AA23" s="222"/>
      <c r="AB23" s="222"/>
      <c r="AC23" s="222"/>
      <c r="AD23" s="222"/>
      <c r="AE23" s="222"/>
      <c r="AF23" s="222"/>
    </row>
    <row r="24" ht="15.75" customHeight="1">
      <c r="C24" s="126"/>
      <c r="D24" s="126"/>
      <c r="E24" s="126"/>
      <c r="F24" s="126"/>
      <c r="G24" s="126"/>
      <c r="H24" s="126"/>
      <c r="I24" s="126"/>
      <c r="J24" s="126"/>
      <c r="K24" s="126"/>
      <c r="L24" s="126"/>
      <c r="M24" s="126"/>
      <c r="N24" s="126"/>
      <c r="O24" s="126"/>
      <c r="P24" s="126"/>
      <c r="Q24" s="126"/>
      <c r="R24" s="126"/>
      <c r="S24" s="126"/>
      <c r="T24" s="222"/>
      <c r="U24" s="222"/>
      <c r="V24" s="222"/>
      <c r="W24" s="222"/>
      <c r="X24" s="222"/>
      <c r="Y24" s="222"/>
      <c r="Z24" s="222"/>
      <c r="AA24" s="222"/>
      <c r="AB24" s="222"/>
      <c r="AC24" s="222"/>
      <c r="AD24" s="222"/>
      <c r="AE24" s="222"/>
      <c r="AF24" s="222"/>
    </row>
    <row r="25" ht="15.75" customHeight="1">
      <c r="A25" s="222"/>
      <c r="B25" s="126"/>
      <c r="C25" s="126"/>
      <c r="D25" s="126"/>
      <c r="E25" s="126"/>
      <c r="F25" s="126"/>
      <c r="G25" s="126"/>
      <c r="H25" s="126"/>
      <c r="I25" s="126"/>
      <c r="J25" s="126"/>
      <c r="K25" s="126"/>
      <c r="L25" s="126"/>
      <c r="M25" s="126"/>
      <c r="N25" s="126"/>
      <c r="O25" s="126"/>
      <c r="P25" s="126"/>
      <c r="Q25" s="126"/>
      <c r="R25" s="126"/>
      <c r="S25" s="126"/>
      <c r="T25" s="222"/>
      <c r="U25" s="222"/>
      <c r="V25" s="222"/>
      <c r="W25" s="222"/>
      <c r="X25" s="222"/>
      <c r="Y25" s="222"/>
      <c r="Z25" s="222"/>
      <c r="AA25" s="222"/>
      <c r="AB25" s="222"/>
      <c r="AC25" s="222"/>
      <c r="AD25" s="222"/>
      <c r="AE25" s="222"/>
      <c r="AF25" s="222"/>
    </row>
    <row r="26" ht="15.75" customHeight="1">
      <c r="A26" s="222"/>
      <c r="B26" s="126"/>
      <c r="C26" s="126"/>
      <c r="D26" s="126"/>
      <c r="E26" s="126"/>
      <c r="F26" s="126"/>
      <c r="G26" s="126"/>
      <c r="H26" s="126"/>
      <c r="I26" s="126"/>
      <c r="J26" s="126"/>
      <c r="K26" s="126"/>
      <c r="L26" s="126"/>
      <c r="M26" s="126"/>
      <c r="N26" s="126"/>
      <c r="O26" s="126"/>
      <c r="P26" s="126"/>
      <c r="Q26" s="126"/>
      <c r="R26" s="126"/>
      <c r="S26" s="126"/>
      <c r="T26" s="222"/>
      <c r="U26" s="222"/>
      <c r="V26" s="222"/>
      <c r="W26" s="222"/>
      <c r="X26" s="222"/>
      <c r="Y26" s="222"/>
      <c r="Z26" s="222"/>
      <c r="AA26" s="222"/>
      <c r="AB26" s="222"/>
      <c r="AC26" s="222"/>
      <c r="AD26" s="222"/>
      <c r="AE26" s="222"/>
      <c r="AF26" s="222"/>
    </row>
    <row r="27" ht="15.75" customHeight="1">
      <c r="B27" s="126"/>
      <c r="C27" s="126"/>
      <c r="D27" s="126"/>
      <c r="E27" s="126"/>
      <c r="F27" s="126"/>
      <c r="G27" s="126"/>
      <c r="H27" s="126"/>
      <c r="I27" s="126"/>
      <c r="J27" s="126"/>
      <c r="K27" s="126"/>
      <c r="L27" s="126"/>
      <c r="M27" s="126"/>
      <c r="N27" s="126"/>
      <c r="O27" s="126"/>
      <c r="P27" s="126"/>
      <c r="Q27" s="126"/>
      <c r="R27" s="126"/>
      <c r="S27" s="126"/>
      <c r="T27" s="222"/>
      <c r="U27" s="222"/>
      <c r="V27" s="222"/>
      <c r="W27" s="222"/>
      <c r="X27" s="222"/>
      <c r="Y27" s="222"/>
      <c r="Z27" s="222"/>
      <c r="AA27" s="222"/>
      <c r="AB27" s="222"/>
      <c r="AC27" s="222"/>
      <c r="AD27" s="222"/>
      <c r="AE27" s="222"/>
      <c r="AF27" s="222"/>
    </row>
    <row r="28" ht="15.75" customHeight="1">
      <c r="B28" s="126"/>
      <c r="C28" s="126"/>
      <c r="D28" s="126"/>
      <c r="E28" s="126"/>
      <c r="F28" s="126"/>
      <c r="T28" s="222"/>
      <c r="U28" s="222"/>
      <c r="V28" s="222"/>
      <c r="W28" s="222"/>
      <c r="X28" s="222"/>
      <c r="Y28" s="222"/>
      <c r="Z28" s="225"/>
      <c r="AA28" s="225"/>
      <c r="AB28" s="225"/>
      <c r="AC28" s="222"/>
      <c r="AD28" s="225"/>
      <c r="AE28" s="222"/>
      <c r="AF28" s="222"/>
    </row>
    <row r="29" ht="15.75" customHeight="1">
      <c r="B29" s="126"/>
      <c r="C29" s="126"/>
      <c r="D29" s="126"/>
      <c r="E29" s="126"/>
      <c r="F29" s="126"/>
      <c r="G29" s="126"/>
      <c r="H29" s="126"/>
      <c r="I29" s="126"/>
      <c r="J29" s="126"/>
      <c r="K29" s="126"/>
      <c r="L29" s="126"/>
      <c r="M29" s="126"/>
      <c r="N29" s="126"/>
      <c r="O29" s="126"/>
      <c r="P29" s="126"/>
      <c r="Q29" s="126"/>
      <c r="R29" s="126"/>
      <c r="S29" s="126"/>
      <c r="T29" s="222"/>
      <c r="U29" s="222"/>
      <c r="V29" s="222"/>
      <c r="W29" s="222"/>
      <c r="X29" s="222"/>
      <c r="Y29" s="225"/>
      <c r="Z29" s="222"/>
      <c r="AA29" s="222"/>
      <c r="AB29" s="222"/>
      <c r="AC29" s="225"/>
      <c r="AD29" s="222"/>
      <c r="AE29" s="225"/>
      <c r="AF29" s="222"/>
    </row>
    <row r="30" ht="15.75" customHeight="1">
      <c r="B30" s="126"/>
      <c r="C30" s="126"/>
      <c r="D30" s="126"/>
      <c r="E30" s="126"/>
      <c r="F30" s="126"/>
      <c r="G30" s="126"/>
      <c r="H30" s="126"/>
      <c r="I30" s="126"/>
      <c r="J30" s="126"/>
      <c r="K30" s="126"/>
      <c r="L30" s="126"/>
      <c r="M30" s="126"/>
      <c r="N30" s="126"/>
      <c r="O30" s="126"/>
      <c r="P30" s="126"/>
      <c r="Q30" s="126"/>
      <c r="R30" s="126"/>
      <c r="S30" s="126"/>
      <c r="T30" s="222"/>
      <c r="U30" s="222"/>
      <c r="V30" s="222"/>
      <c r="W30" s="222"/>
      <c r="X30" s="222"/>
      <c r="Y30" s="222"/>
      <c r="Z30" s="222"/>
      <c r="AA30" s="222"/>
      <c r="AB30" s="222"/>
      <c r="AC30" s="222"/>
      <c r="AD30" s="222"/>
      <c r="AE30" s="222"/>
      <c r="AF30" s="222"/>
    </row>
    <row r="31" ht="15.75" customHeight="1">
      <c r="B31" s="126"/>
      <c r="C31" s="126"/>
      <c r="D31" s="126"/>
      <c r="E31" s="126"/>
      <c r="F31" s="126"/>
      <c r="G31" s="126"/>
      <c r="H31" s="126"/>
      <c r="I31" s="126"/>
      <c r="J31" s="126"/>
      <c r="K31" s="126"/>
      <c r="L31" s="126"/>
      <c r="M31" s="126"/>
      <c r="N31" s="126"/>
      <c r="O31" s="126"/>
      <c r="P31" s="126"/>
      <c r="Q31" s="126"/>
      <c r="R31" s="126"/>
      <c r="S31" s="126"/>
      <c r="T31" s="222"/>
      <c r="U31" s="222"/>
      <c r="V31" s="222"/>
      <c r="W31" s="222"/>
      <c r="X31" s="222"/>
      <c r="Y31" s="222"/>
      <c r="Z31" s="222"/>
      <c r="AA31" s="222"/>
      <c r="AB31" s="222"/>
      <c r="AC31" s="222"/>
      <c r="AD31" s="222"/>
      <c r="AE31" s="222"/>
      <c r="AF31" s="225"/>
    </row>
    <row r="32" ht="15.75" customHeight="1">
      <c r="B32" s="126"/>
      <c r="C32" s="126"/>
      <c r="D32" s="126"/>
      <c r="E32" s="126"/>
      <c r="F32" s="126"/>
      <c r="G32" s="126"/>
      <c r="H32" s="126"/>
      <c r="I32" s="126"/>
      <c r="J32" s="126"/>
      <c r="K32" s="126"/>
      <c r="L32" s="126"/>
      <c r="M32" s="126"/>
      <c r="N32" s="126"/>
      <c r="O32" s="126"/>
      <c r="P32" s="126"/>
      <c r="Q32" s="126"/>
      <c r="R32" s="126"/>
      <c r="S32" s="126"/>
      <c r="T32" s="222"/>
      <c r="U32" s="222"/>
      <c r="V32" s="222"/>
      <c r="W32" s="222"/>
      <c r="X32" s="222"/>
      <c r="Y32" s="222"/>
      <c r="Z32" s="222"/>
      <c r="AA32" s="222"/>
      <c r="AB32" s="222"/>
      <c r="AC32" s="222"/>
      <c r="AD32" s="222"/>
      <c r="AE32" s="222"/>
      <c r="AF32" s="222"/>
    </row>
    <row r="33" ht="15.75" customHeight="1">
      <c r="B33" s="126"/>
      <c r="C33" s="126"/>
      <c r="D33" s="126"/>
      <c r="E33" s="126"/>
      <c r="F33" s="126"/>
      <c r="G33" s="126"/>
      <c r="H33" s="126"/>
      <c r="I33" s="126"/>
      <c r="J33" s="126"/>
      <c r="K33" s="126"/>
      <c r="L33" s="126"/>
      <c r="M33" s="126"/>
      <c r="N33" s="126"/>
      <c r="O33" s="126"/>
      <c r="P33" s="126"/>
      <c r="Q33" s="126"/>
      <c r="R33" s="126"/>
      <c r="S33" s="126"/>
      <c r="T33" s="222"/>
      <c r="U33" s="222"/>
      <c r="V33" s="222"/>
      <c r="W33" s="222"/>
      <c r="X33" s="222"/>
      <c r="Y33" s="222"/>
      <c r="Z33" s="222"/>
      <c r="AA33" s="222"/>
      <c r="AB33" s="222"/>
      <c r="AC33" s="222"/>
      <c r="AD33" s="222"/>
      <c r="AE33" s="222"/>
      <c r="AF33" s="222"/>
    </row>
    <row r="34" ht="15.75" customHeight="1">
      <c r="B34" s="126"/>
      <c r="C34" s="126"/>
      <c r="D34" s="126"/>
      <c r="E34" s="126"/>
      <c r="F34" s="126"/>
      <c r="G34" s="126"/>
      <c r="H34" s="126"/>
      <c r="I34" s="126"/>
      <c r="J34" s="126"/>
      <c r="K34" s="126"/>
      <c r="L34" s="126"/>
      <c r="M34" s="126"/>
      <c r="N34" s="126"/>
      <c r="O34" s="126"/>
      <c r="P34" s="126"/>
      <c r="Q34" s="126"/>
      <c r="R34" s="126"/>
      <c r="S34" s="126"/>
      <c r="T34" s="222"/>
      <c r="U34" s="222"/>
      <c r="V34" s="222"/>
      <c r="W34" s="222"/>
      <c r="X34" s="222"/>
      <c r="Y34" s="222"/>
      <c r="Z34" s="222"/>
      <c r="AA34" s="222"/>
      <c r="AB34" s="222"/>
      <c r="AC34" s="222"/>
      <c r="AD34" s="222"/>
      <c r="AE34" s="222"/>
      <c r="AF34" s="222"/>
    </row>
    <row r="35" ht="15.75" customHeight="1">
      <c r="B35" s="126"/>
      <c r="C35" s="126"/>
      <c r="D35" s="126"/>
      <c r="E35" s="126"/>
      <c r="F35" s="126"/>
      <c r="G35" s="126"/>
      <c r="H35" s="126"/>
      <c r="I35" s="126"/>
      <c r="J35" s="126"/>
      <c r="K35" s="126"/>
      <c r="L35" s="126"/>
      <c r="M35" s="126"/>
      <c r="N35" s="126"/>
      <c r="O35" s="126"/>
      <c r="P35" s="126"/>
      <c r="Q35" s="126"/>
      <c r="R35" s="126"/>
      <c r="S35" s="126"/>
      <c r="T35" s="222"/>
      <c r="U35" s="222"/>
      <c r="V35" s="225"/>
      <c r="W35" s="222"/>
      <c r="X35" s="222"/>
      <c r="Y35" s="222"/>
      <c r="Z35" s="222"/>
      <c r="AA35" s="222"/>
      <c r="AB35" s="222"/>
      <c r="AC35" s="222"/>
      <c r="AD35" s="222"/>
      <c r="AE35" s="222"/>
      <c r="AF35" s="222"/>
    </row>
    <row r="36" ht="15.75" customHeight="1">
      <c r="B36" s="126"/>
      <c r="C36" s="126"/>
      <c r="D36" s="126"/>
      <c r="E36" s="126"/>
      <c r="F36" s="126"/>
      <c r="G36" s="126"/>
      <c r="H36" s="126"/>
      <c r="I36" s="126"/>
      <c r="J36" s="126"/>
      <c r="K36" s="126"/>
      <c r="L36" s="126"/>
      <c r="M36" s="126"/>
      <c r="N36" s="126"/>
      <c r="O36" s="126"/>
      <c r="P36" s="126"/>
      <c r="Q36" s="126"/>
      <c r="R36" s="126"/>
      <c r="S36" s="126"/>
      <c r="T36" s="222"/>
      <c r="U36" s="222"/>
      <c r="V36" s="225"/>
      <c r="W36" s="222"/>
      <c r="X36" s="222"/>
      <c r="Y36" s="222"/>
      <c r="Z36" s="222"/>
      <c r="AA36" s="222"/>
      <c r="AB36" s="222"/>
      <c r="AC36" s="222"/>
      <c r="AD36" s="222"/>
      <c r="AE36" s="222"/>
      <c r="AF36" s="222"/>
    </row>
    <row r="37" ht="15.75" customHeight="1">
      <c r="B37" s="126"/>
      <c r="C37" s="126"/>
      <c r="D37" s="126"/>
      <c r="E37" s="126"/>
      <c r="F37" s="126"/>
      <c r="G37" s="126"/>
      <c r="H37" s="126"/>
      <c r="I37" s="126"/>
      <c r="J37" s="126"/>
      <c r="K37" s="126"/>
      <c r="L37" s="126"/>
      <c r="M37" s="126"/>
      <c r="N37" s="126"/>
      <c r="O37" s="126"/>
      <c r="P37" s="126"/>
      <c r="Q37" s="126"/>
      <c r="R37" s="126"/>
      <c r="S37" s="126"/>
      <c r="T37" s="222"/>
      <c r="U37" s="222"/>
      <c r="V37" s="225"/>
      <c r="W37" s="222"/>
      <c r="X37" s="222"/>
      <c r="Y37" s="222"/>
      <c r="Z37" s="222"/>
      <c r="AA37" s="222"/>
      <c r="AB37" s="222"/>
      <c r="AC37" s="222"/>
      <c r="AD37" s="222"/>
      <c r="AE37" s="222"/>
      <c r="AF37" s="222"/>
    </row>
    <row r="38" ht="15.75" customHeight="1">
      <c r="B38" s="126"/>
      <c r="C38" s="126"/>
      <c r="D38" s="126"/>
      <c r="E38" s="126"/>
      <c r="F38" s="126"/>
      <c r="G38" s="126"/>
      <c r="H38" s="126"/>
      <c r="I38" s="126"/>
      <c r="J38" s="126"/>
      <c r="K38" s="126"/>
      <c r="L38" s="126"/>
      <c r="M38" s="126"/>
      <c r="N38" s="126"/>
      <c r="O38" s="126"/>
      <c r="P38" s="126"/>
      <c r="Q38" s="126"/>
      <c r="R38" s="126"/>
      <c r="S38" s="126"/>
      <c r="T38" s="222"/>
      <c r="U38" s="222"/>
      <c r="V38" s="225"/>
      <c r="W38" s="222"/>
      <c r="X38" s="222"/>
      <c r="Y38" s="222"/>
      <c r="Z38" s="222"/>
      <c r="AA38" s="222"/>
      <c r="AB38" s="222"/>
      <c r="AC38" s="222"/>
      <c r="AD38" s="222"/>
      <c r="AE38" s="222"/>
      <c r="AF38" s="222"/>
    </row>
    <row r="39" ht="15.75" customHeight="1">
      <c r="B39" s="126"/>
      <c r="C39" s="126"/>
      <c r="D39" s="126"/>
      <c r="E39" s="126"/>
      <c r="F39" s="126"/>
      <c r="G39" s="126"/>
      <c r="H39" s="126"/>
      <c r="I39" s="126"/>
      <c r="J39" s="126"/>
      <c r="K39" s="126"/>
      <c r="L39" s="126"/>
      <c r="M39" s="126"/>
      <c r="N39" s="126"/>
      <c r="O39" s="126"/>
      <c r="P39" s="126"/>
      <c r="Q39" s="126"/>
      <c r="R39" s="126"/>
      <c r="S39" s="126"/>
      <c r="T39" s="222"/>
      <c r="U39" s="222"/>
      <c r="V39" s="225"/>
      <c r="W39" s="222"/>
      <c r="X39" s="222"/>
      <c r="Y39" s="222"/>
      <c r="Z39" s="222"/>
      <c r="AA39" s="222"/>
      <c r="AB39" s="222"/>
      <c r="AC39" s="222"/>
      <c r="AD39" s="222"/>
      <c r="AE39" s="222"/>
      <c r="AF39" s="222"/>
    </row>
    <row r="40" ht="15.75" customHeight="1">
      <c r="T40" s="222"/>
      <c r="U40" s="222"/>
      <c r="V40" s="225"/>
      <c r="W40" s="225"/>
      <c r="X40" s="225"/>
      <c r="Y40" s="222"/>
      <c r="Z40" s="225"/>
      <c r="AA40" s="225"/>
      <c r="AB40" s="225"/>
      <c r="AC40" s="222"/>
      <c r="AD40" s="225"/>
      <c r="AE40" s="222"/>
      <c r="AF40" s="222"/>
    </row>
    <row r="41" ht="15.75" customHeight="1">
      <c r="T41" s="225"/>
      <c r="U41" s="222"/>
      <c r="V41" s="225"/>
      <c r="W41" s="225"/>
      <c r="X41" s="225"/>
      <c r="Y41" s="225"/>
      <c r="Z41" s="225"/>
      <c r="AA41" s="225"/>
      <c r="AB41" s="225"/>
      <c r="AC41" s="225"/>
      <c r="AD41" s="225"/>
      <c r="AE41" s="225"/>
      <c r="AF41" s="222"/>
    </row>
    <row r="42" ht="15.75" customHeight="1">
      <c r="T42" s="225"/>
      <c r="U42" s="225"/>
      <c r="V42" s="225"/>
      <c r="W42" s="225"/>
      <c r="X42" s="225"/>
      <c r="Y42" s="225"/>
      <c r="Z42" s="225"/>
      <c r="AA42" s="225"/>
      <c r="AB42" s="225"/>
      <c r="AC42" s="225"/>
      <c r="AD42" s="225"/>
      <c r="AE42" s="225"/>
      <c r="AF42" s="222"/>
    </row>
    <row r="43" ht="15.75" customHeight="1">
      <c r="T43" s="225"/>
      <c r="U43" s="225"/>
      <c r="V43" s="225"/>
      <c r="W43" s="225"/>
      <c r="X43" s="225"/>
      <c r="Y43" s="225"/>
      <c r="Z43" s="225"/>
      <c r="AA43" s="225"/>
      <c r="AB43" s="225"/>
      <c r="AC43" s="225"/>
      <c r="AD43" s="225"/>
      <c r="AE43" s="225"/>
      <c r="AF43" s="225"/>
    </row>
    <row r="44" ht="15.75" customHeight="1">
      <c r="T44" s="225"/>
      <c r="U44" s="225"/>
      <c r="V44" s="225"/>
      <c r="W44" s="225"/>
      <c r="X44" s="225"/>
      <c r="Y44" s="225"/>
      <c r="Z44" s="225"/>
      <c r="AA44" s="225"/>
      <c r="AB44" s="225"/>
      <c r="AC44" s="225"/>
      <c r="AD44" s="225"/>
      <c r="AE44" s="225"/>
      <c r="AF44" s="225"/>
    </row>
    <row r="45" ht="15.75" customHeight="1">
      <c r="T45" s="225"/>
      <c r="U45" s="225"/>
      <c r="V45" s="225"/>
      <c r="W45" s="225"/>
      <c r="X45" s="225"/>
      <c r="Y45" s="225"/>
      <c r="Z45" s="225"/>
      <c r="AA45" s="225"/>
      <c r="AB45" s="225"/>
      <c r="AC45" s="225"/>
      <c r="AD45" s="225"/>
      <c r="AE45" s="225"/>
      <c r="AF45" s="225"/>
    </row>
    <row r="46" ht="15.75" customHeight="1">
      <c r="T46" s="225"/>
      <c r="U46" s="225"/>
      <c r="V46" s="225"/>
      <c r="W46" s="225"/>
      <c r="X46" s="225"/>
      <c r="Y46" s="225"/>
      <c r="Z46" s="225"/>
      <c r="AA46" s="225"/>
      <c r="AB46" s="225"/>
      <c r="AC46" s="225"/>
      <c r="AD46" s="225"/>
      <c r="AE46" s="225"/>
      <c r="AF46" s="225"/>
    </row>
    <row r="47" ht="15.75" customHeight="1">
      <c r="T47" s="225"/>
      <c r="U47" s="225"/>
      <c r="V47" s="225"/>
      <c r="W47" s="225"/>
      <c r="X47" s="225"/>
      <c r="Y47" s="225"/>
      <c r="Z47" s="225"/>
      <c r="AA47" s="225"/>
      <c r="AB47" s="225"/>
      <c r="AC47" s="225"/>
      <c r="AD47" s="225"/>
      <c r="AE47" s="225"/>
      <c r="AF47" s="225"/>
    </row>
    <row r="48" ht="15.75" customHeight="1">
      <c r="T48" s="225"/>
      <c r="U48" s="225"/>
      <c r="W48" s="225"/>
      <c r="X48" s="225"/>
      <c r="Y48" s="225"/>
      <c r="Z48" s="225"/>
      <c r="AA48" s="225"/>
      <c r="AB48" s="225"/>
      <c r="AC48" s="225"/>
      <c r="AD48" s="225"/>
      <c r="AE48" s="225"/>
      <c r="AF48" s="225"/>
    </row>
    <row r="49" ht="15.75" customHeight="1">
      <c r="T49" s="225"/>
      <c r="U49" s="225"/>
      <c r="W49" s="225"/>
      <c r="X49" s="225"/>
      <c r="Y49" s="225"/>
      <c r="Z49" s="225"/>
      <c r="AA49" s="225"/>
      <c r="AB49" s="225"/>
      <c r="AC49" s="225"/>
      <c r="AD49" s="225"/>
      <c r="AE49" s="225"/>
      <c r="AF49" s="225"/>
    </row>
    <row r="50" ht="15.75" customHeight="1">
      <c r="T50" s="225"/>
      <c r="U50" s="225"/>
      <c r="W50" s="225"/>
      <c r="X50" s="225"/>
      <c r="Y50" s="225"/>
      <c r="Z50" s="225"/>
      <c r="AA50" s="225"/>
      <c r="AB50" s="225"/>
      <c r="AC50" s="225"/>
      <c r="AD50" s="225"/>
      <c r="AE50" s="225"/>
      <c r="AF50" s="225"/>
    </row>
    <row r="51" ht="15.75" customHeight="1">
      <c r="T51" s="225"/>
      <c r="U51" s="225"/>
      <c r="W51" s="225"/>
      <c r="X51" s="225"/>
      <c r="Y51" s="225"/>
      <c r="Z51" s="225"/>
      <c r="AA51" s="225"/>
      <c r="AB51" s="225"/>
      <c r="AC51" s="225"/>
      <c r="AD51" s="225"/>
      <c r="AE51" s="225"/>
      <c r="AF51" s="225"/>
    </row>
    <row r="52" ht="15.75" customHeight="1">
      <c r="T52" s="225"/>
      <c r="U52" s="225"/>
      <c r="W52" s="225"/>
      <c r="X52" s="225"/>
      <c r="Y52" s="225"/>
      <c r="Z52" s="225"/>
      <c r="AA52" s="225"/>
      <c r="AB52" s="225"/>
      <c r="AC52" s="225"/>
      <c r="AD52" s="225"/>
      <c r="AE52" s="225"/>
      <c r="AF52" s="225"/>
    </row>
    <row r="53" ht="15.75" customHeight="1">
      <c r="T53" s="225"/>
      <c r="U53" s="225"/>
      <c r="W53" s="225"/>
      <c r="X53" s="225"/>
      <c r="Z53" s="225"/>
      <c r="AA53" s="225"/>
      <c r="AB53" s="225"/>
      <c r="AC53" s="225"/>
      <c r="AD53" s="225"/>
      <c r="AE53" s="225"/>
      <c r="AF53" s="225"/>
    </row>
    <row r="54" ht="15.75" customHeight="1">
      <c r="T54" s="225"/>
      <c r="U54" s="225"/>
      <c r="W54" s="225"/>
      <c r="X54" s="225"/>
      <c r="Z54" s="225"/>
      <c r="AA54" s="225"/>
      <c r="AB54" s="225"/>
      <c r="AC54" s="225"/>
      <c r="AD54" s="225"/>
      <c r="AE54" s="225"/>
      <c r="AF54" s="225"/>
    </row>
    <row r="55" ht="15.75" customHeight="1">
      <c r="T55" s="225"/>
      <c r="U55" s="225"/>
      <c r="W55" s="225"/>
      <c r="X55" s="225"/>
      <c r="Z55" s="225"/>
      <c r="AA55" s="225"/>
      <c r="AB55" s="225"/>
      <c r="AC55" s="225"/>
      <c r="AD55" s="225"/>
      <c r="AE55" s="225"/>
      <c r="AF55" s="225"/>
    </row>
    <row r="56" ht="15.75" customHeight="1">
      <c r="T56" s="225"/>
      <c r="U56" s="225"/>
      <c r="W56" s="225"/>
      <c r="X56" s="225"/>
      <c r="Z56" s="225"/>
      <c r="AA56" s="225"/>
      <c r="AB56" s="225"/>
      <c r="AC56" s="225"/>
      <c r="AD56" s="225"/>
      <c r="AE56" s="225"/>
      <c r="AF56" s="225"/>
    </row>
    <row r="57" ht="15.75" customHeight="1">
      <c r="T57" s="225"/>
      <c r="U57" s="225"/>
      <c r="W57" s="225"/>
      <c r="X57" s="225"/>
      <c r="Z57" s="225"/>
      <c r="AA57" s="225"/>
      <c r="AB57" s="225"/>
      <c r="AC57" s="225"/>
      <c r="AD57" s="225"/>
      <c r="AE57" s="225"/>
      <c r="AF57" s="225"/>
    </row>
    <row r="58" ht="15.75" customHeight="1">
      <c r="T58" s="225"/>
      <c r="U58" s="225"/>
      <c r="W58" s="225"/>
      <c r="X58" s="225"/>
      <c r="Z58" s="225"/>
      <c r="AA58" s="225"/>
      <c r="AB58" s="225"/>
      <c r="AC58" s="225"/>
      <c r="AD58" s="225"/>
      <c r="AE58" s="225"/>
    </row>
  </sheetData>
  <mergeCells count="3">
    <mergeCell ref="A1:A8"/>
    <mergeCell ref="B1:B7"/>
    <mergeCell ref="B10:B16"/>
  </mergeCells>
  <dataValidations>
    <dataValidation type="list" allowBlank="1" sqref="C2:AF2 N3:Y3 AB3:AF3 C3:C4 E3:H4 O4:Y4 O5 E5:E6 S5:U6 AE4:AF6 G5:G7 S7:T7 AB4:AC7 W5:Y9 AB8:AB9 A10 S8:S12 AF7:AF18">
      <formula1>VRMUpdate!$C:$C</formula1>
    </dataValidation>
  </dataValidations>
  <hyperlinks>
    <hyperlink r:id="rId2" ref="A9"/>
  </hyperlinks>
  <drawing r:id="rId3"/>
  <legacyDrawing r:id="rId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9.25"/>
    <col customWidth="1" min="3" max="16" width="10.13"/>
  </cols>
  <sheetData>
    <row r="1">
      <c r="A1" s="199" t="s">
        <v>1438</v>
      </c>
      <c r="B1" s="200" t="s">
        <v>1425</v>
      </c>
      <c r="C1" s="201" t="s">
        <v>49</v>
      </c>
      <c r="D1" s="201" t="s">
        <v>51</v>
      </c>
      <c r="E1" s="201" t="s">
        <v>52</v>
      </c>
      <c r="F1" s="202" t="s">
        <v>53</v>
      </c>
      <c r="G1" s="202" t="s">
        <v>402</v>
      </c>
      <c r="H1" s="201" t="s">
        <v>54</v>
      </c>
      <c r="I1" s="201" t="s">
        <v>55</v>
      </c>
      <c r="J1" s="201" t="s">
        <v>1430</v>
      </c>
      <c r="K1" s="201" t="s">
        <v>56</v>
      </c>
      <c r="L1" s="201" t="s">
        <v>62</v>
      </c>
      <c r="M1" s="201" t="s">
        <v>63</v>
      </c>
      <c r="N1" s="201" t="s">
        <v>64</v>
      </c>
      <c r="O1" s="201" t="s">
        <v>65</v>
      </c>
      <c r="P1" s="201" t="s">
        <v>66</v>
      </c>
    </row>
    <row r="2">
      <c r="C2" s="119" t="s">
        <v>120</v>
      </c>
      <c r="D2" s="119" t="s">
        <v>246</v>
      </c>
      <c r="E2" s="119" t="s">
        <v>234</v>
      </c>
      <c r="F2" s="119" t="s">
        <v>162</v>
      </c>
      <c r="G2" s="119" t="s">
        <v>246</v>
      </c>
      <c r="H2" s="119" t="s">
        <v>246</v>
      </c>
      <c r="I2" s="119" t="s">
        <v>162</v>
      </c>
      <c r="J2" s="119" t="s">
        <v>246</v>
      </c>
      <c r="K2" s="119" t="s">
        <v>246</v>
      </c>
      <c r="L2" s="119" t="s">
        <v>95</v>
      </c>
      <c r="M2" s="119" t="s">
        <v>107</v>
      </c>
      <c r="N2" s="119" t="s">
        <v>120</v>
      </c>
      <c r="O2" s="119" t="s">
        <v>156</v>
      </c>
      <c r="P2" s="119" t="s">
        <v>95</v>
      </c>
    </row>
    <row r="3">
      <c r="C3" s="119" t="s">
        <v>135</v>
      </c>
      <c r="D3" s="119" t="s">
        <v>306</v>
      </c>
      <c r="E3" s="119" t="s">
        <v>246</v>
      </c>
      <c r="F3" s="119" t="s">
        <v>246</v>
      </c>
      <c r="G3" s="119" t="s">
        <v>321</v>
      </c>
      <c r="H3" s="119" t="s">
        <v>321</v>
      </c>
      <c r="I3" s="119" t="s">
        <v>246</v>
      </c>
      <c r="J3" s="119" t="s">
        <v>327</v>
      </c>
      <c r="K3" s="119" t="s">
        <v>327</v>
      </c>
      <c r="L3" s="119" t="s">
        <v>117</v>
      </c>
      <c r="M3" s="119" t="s">
        <v>117</v>
      </c>
      <c r="N3" s="119" t="s">
        <v>132</v>
      </c>
      <c r="O3" s="119" t="s">
        <v>180</v>
      </c>
      <c r="P3" s="119" t="s">
        <v>107</v>
      </c>
    </row>
    <row r="4">
      <c r="C4" s="119" t="s">
        <v>180</v>
      </c>
      <c r="D4" s="119" t="s">
        <v>321</v>
      </c>
      <c r="E4" s="119" t="s">
        <v>306</v>
      </c>
      <c r="F4" s="119" t="s">
        <v>306</v>
      </c>
      <c r="G4" s="119" t="s">
        <v>327</v>
      </c>
      <c r="H4" s="119" t="s">
        <v>384</v>
      </c>
      <c r="I4" s="119" t="s">
        <v>321</v>
      </c>
      <c r="L4" s="119" t="s">
        <v>120</v>
      </c>
      <c r="M4" s="119" t="s">
        <v>120</v>
      </c>
      <c r="N4" s="119" t="s">
        <v>135</v>
      </c>
      <c r="P4" s="119" t="s">
        <v>117</v>
      </c>
    </row>
    <row r="5">
      <c r="D5" s="119" t="s">
        <v>327</v>
      </c>
      <c r="E5" s="119" t="s">
        <v>321</v>
      </c>
      <c r="F5" s="119" t="s">
        <v>321</v>
      </c>
      <c r="G5" s="130" t="s">
        <v>384</v>
      </c>
      <c r="I5" s="119" t="s">
        <v>327</v>
      </c>
      <c r="L5" s="119" t="s">
        <v>132</v>
      </c>
      <c r="M5" s="119" t="s">
        <v>132</v>
      </c>
      <c r="N5" s="119" t="s">
        <v>156</v>
      </c>
      <c r="P5" s="119" t="s">
        <v>120</v>
      </c>
    </row>
    <row r="6">
      <c r="D6" s="130" t="s">
        <v>384</v>
      </c>
      <c r="E6" s="119" t="s">
        <v>327</v>
      </c>
      <c r="F6" s="119" t="s">
        <v>327</v>
      </c>
      <c r="L6" s="119" t="s">
        <v>135</v>
      </c>
      <c r="M6" s="119" t="s">
        <v>135</v>
      </c>
      <c r="N6" s="119" t="s">
        <v>183</v>
      </c>
      <c r="P6" s="119" t="s">
        <v>132</v>
      </c>
    </row>
    <row r="7">
      <c r="D7" s="130" t="s">
        <v>393</v>
      </c>
      <c r="E7" s="119" t="s">
        <v>309</v>
      </c>
      <c r="F7" s="130" t="s">
        <v>384</v>
      </c>
      <c r="L7" s="119" t="s">
        <v>156</v>
      </c>
      <c r="M7" s="119" t="s">
        <v>156</v>
      </c>
      <c r="N7" s="119" t="s">
        <v>268</v>
      </c>
      <c r="P7" s="119" t="s">
        <v>156</v>
      </c>
    </row>
    <row r="8">
      <c r="B8" s="205">
        <f>countif(us.agi,rept("?",6)&amp;"*")+
countif(us.kxn,rept("?",6)&amp;"*")+
countif(us.hwb,rept("?",6)&amp;"*")+
countif(us.ekxn,rept("?",6)&amp;"*")+
countif(us.egt,rept("?",6)&amp;"*")+
countif(us.kmp,rept("?",6)&amp;"*")+
countif(us.lu2,rept("?",6)&amp;"*")+
countif(us.myc,rept("?",6)&amp;"*")+
countif(us.nar,rept("?",6)&amp;"*")+
countif(us.que,rept("?",6)&amp;"*")</f>
        <v>98</v>
      </c>
      <c r="D8" s="226" t="s">
        <v>372</v>
      </c>
      <c r="F8" s="130" t="s">
        <v>393</v>
      </c>
      <c r="L8" s="119" t="s">
        <v>162</v>
      </c>
      <c r="M8" s="119" t="s">
        <v>162</v>
      </c>
      <c r="N8" s="119" t="s">
        <v>306</v>
      </c>
      <c r="P8" s="119" t="s">
        <v>162</v>
      </c>
    </row>
    <row r="9">
      <c r="A9" s="209" t="s">
        <v>23</v>
      </c>
      <c r="B9" s="206"/>
      <c r="F9" s="226" t="s">
        <v>372</v>
      </c>
      <c r="L9" s="119" t="s">
        <v>165</v>
      </c>
      <c r="M9" s="119" t="s">
        <v>180</v>
      </c>
      <c r="N9" s="119" t="s">
        <v>321</v>
      </c>
      <c r="P9" s="119" t="s">
        <v>165</v>
      </c>
    </row>
    <row r="10">
      <c r="A10" s="126"/>
      <c r="B10" s="200" t="s">
        <v>1426</v>
      </c>
      <c r="L10" s="119" t="s">
        <v>183</v>
      </c>
      <c r="M10" s="119" t="s">
        <v>183</v>
      </c>
      <c r="N10" s="119" t="s">
        <v>366</v>
      </c>
      <c r="P10" s="119" t="s">
        <v>183</v>
      </c>
    </row>
    <row r="11">
      <c r="A11" s="126"/>
      <c r="L11" s="119" t="s">
        <v>207</v>
      </c>
      <c r="M11" s="119" t="s">
        <v>246</v>
      </c>
      <c r="N11" s="130" t="s">
        <v>384</v>
      </c>
      <c r="P11" s="119" t="s">
        <v>207</v>
      </c>
    </row>
    <row r="12">
      <c r="A12" s="126"/>
      <c r="L12" s="119" t="s">
        <v>246</v>
      </c>
      <c r="M12" s="119" t="s">
        <v>268</v>
      </c>
      <c r="P12" s="119" t="s">
        <v>246</v>
      </c>
    </row>
    <row r="13">
      <c r="A13" s="126"/>
      <c r="L13" s="119" t="s">
        <v>268</v>
      </c>
      <c r="M13" s="119" t="s">
        <v>283</v>
      </c>
      <c r="P13" s="119" t="s">
        <v>268</v>
      </c>
    </row>
    <row r="14">
      <c r="A14" s="126"/>
      <c r="L14" s="119" t="s">
        <v>306</v>
      </c>
      <c r="M14" s="119" t="s">
        <v>306</v>
      </c>
      <c r="P14" s="119" t="s">
        <v>306</v>
      </c>
    </row>
    <row r="15">
      <c r="A15" s="126"/>
      <c r="L15" s="119" t="s">
        <v>321</v>
      </c>
      <c r="M15" s="119" t="s">
        <v>366</v>
      </c>
      <c r="P15" s="119" t="s">
        <v>309</v>
      </c>
    </row>
    <row r="16">
      <c r="A16" s="126"/>
      <c r="L16" s="119" t="s">
        <v>327</v>
      </c>
      <c r="M16" s="119" t="s">
        <v>171</v>
      </c>
      <c r="P16" s="119" t="s">
        <v>321</v>
      </c>
    </row>
    <row r="17">
      <c r="A17" s="126"/>
      <c r="B17" s="205">
        <f>
countif(us.ekxn.sim,rept("?",6)&amp;"*")+
countif(us.egt.sim,rept("?",6)&amp;"*")
</f>
        <v>7</v>
      </c>
      <c r="L17" s="119" t="s">
        <v>336</v>
      </c>
      <c r="P17" s="119" t="s">
        <v>327</v>
      </c>
    </row>
    <row r="18">
      <c r="L18" s="119" t="s">
        <v>360</v>
      </c>
      <c r="P18" s="119" t="s">
        <v>360</v>
      </c>
    </row>
    <row r="19">
      <c r="L19" s="119" t="s">
        <v>366</v>
      </c>
      <c r="P19" s="119" t="s">
        <v>366</v>
      </c>
    </row>
    <row r="20">
      <c r="L20" s="119" t="s">
        <v>378</v>
      </c>
      <c r="P20" s="119" t="s">
        <v>378</v>
      </c>
    </row>
    <row r="21" ht="15.75" customHeight="1">
      <c r="L21" s="130" t="s">
        <v>384</v>
      </c>
      <c r="P21" s="119" t="s">
        <v>381</v>
      </c>
    </row>
    <row r="22" ht="15.75" customHeight="1">
      <c r="A22" s="119"/>
      <c r="B22" s="119"/>
      <c r="P22" s="130" t="s">
        <v>384</v>
      </c>
    </row>
    <row r="23" ht="15.75" customHeight="1">
      <c r="A23" s="119"/>
      <c r="B23" s="119"/>
      <c r="P23" s="130" t="s">
        <v>393</v>
      </c>
    </row>
    <row r="24" ht="15.75" customHeight="1">
      <c r="A24" s="119"/>
      <c r="B24" s="119"/>
      <c r="P24" s="226" t="s">
        <v>372</v>
      </c>
    </row>
    <row r="25" ht="15.75" customHeight="1">
      <c r="A25" s="119"/>
      <c r="B25" s="119"/>
    </row>
    <row r="26" ht="15.75" customHeight="1">
      <c r="A26" s="119"/>
      <c r="B26" s="119"/>
    </row>
    <row r="27" ht="15.75" customHeight="1">
      <c r="A27" s="119"/>
      <c r="B27" s="119"/>
    </row>
    <row r="28" ht="15.75" customHeight="1">
      <c r="A28" s="119"/>
      <c r="B28" s="119"/>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8"/>
    <mergeCell ref="B1:B7"/>
    <mergeCell ref="B10:B16"/>
  </mergeCells>
  <dataValidations>
    <dataValidation type="list" allowBlank="1" sqref="C2:P3 C4:I4 D5:G5 I5 D6:F7 D8 F8:F9 L4:N11 L12:M16 L17:L21 P4:P24">
      <formula1>VRMUpdate!$C:$C</formula1>
    </dataValidation>
  </dataValidations>
  <hyperlinks>
    <hyperlink r:id="rId2" ref="A9"/>
  </hyperlinks>
  <drawing r:id="rId3"/>
  <legacyDrawing r:id="rId4"/>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75"/>
    <col customWidth="1" min="2" max="2" width="21.38"/>
    <col customWidth="1" min="3" max="3" width="16.88"/>
    <col customWidth="1" min="4" max="4" width="19.75"/>
    <col customWidth="1" min="5" max="6" width="16.88"/>
    <col customWidth="1" min="7" max="7" width="21.38"/>
    <col customWidth="1" min="8" max="8" width="16.88"/>
    <col customWidth="1" min="9" max="9" width="12.88"/>
    <col customWidth="1" min="10" max="10" width="21.38"/>
    <col customWidth="1" min="11" max="12" width="19.75"/>
    <col customWidth="1" min="13" max="13" width="16.88"/>
    <col customWidth="1" min="14" max="14" width="21.38"/>
    <col customWidth="1" min="15" max="15" width="19.75"/>
  </cols>
  <sheetData>
    <row r="1">
      <c r="A1" s="69" t="s">
        <v>49</v>
      </c>
      <c r="B1" s="227" t="s">
        <v>50</v>
      </c>
      <c r="C1" s="227" t="s">
        <v>51</v>
      </c>
      <c r="D1" s="227" t="s">
        <v>52</v>
      </c>
      <c r="E1" s="228" t="s">
        <v>53</v>
      </c>
      <c r="F1" s="229" t="s">
        <v>55</v>
      </c>
      <c r="G1" s="229" t="s">
        <v>58</v>
      </c>
      <c r="H1" s="228" t="s">
        <v>59</v>
      </c>
      <c r="I1" s="229" t="s">
        <v>60</v>
      </c>
      <c r="J1" s="229" t="s">
        <v>61</v>
      </c>
      <c r="K1" s="229" t="s">
        <v>62</v>
      </c>
      <c r="L1" s="229" t="s">
        <v>63</v>
      </c>
      <c r="M1" s="229" t="s">
        <v>64</v>
      </c>
      <c r="N1" s="229" t="s">
        <v>65</v>
      </c>
      <c r="O1" s="229" t="s">
        <v>66</v>
      </c>
    </row>
    <row r="2">
      <c r="A2" s="230" t="s">
        <v>72</v>
      </c>
      <c r="B2" s="231" t="s">
        <v>72</v>
      </c>
      <c r="C2" s="231" t="s">
        <v>72</v>
      </c>
      <c r="D2" s="231" t="s">
        <v>72</v>
      </c>
      <c r="E2" s="231" t="s">
        <v>72</v>
      </c>
      <c r="F2" s="231" t="s">
        <v>72</v>
      </c>
      <c r="G2" s="231" t="s">
        <v>72</v>
      </c>
      <c r="H2" s="231" t="s">
        <v>72</v>
      </c>
      <c r="I2" s="231" t="s">
        <v>123</v>
      </c>
      <c r="J2" s="231" t="s">
        <v>72</v>
      </c>
      <c r="K2" s="231" t="s">
        <v>72</v>
      </c>
      <c r="L2" s="231" t="s">
        <v>72</v>
      </c>
      <c r="M2" s="231" t="s">
        <v>72</v>
      </c>
      <c r="N2" s="231" t="s">
        <v>72</v>
      </c>
      <c r="O2" s="231" t="s">
        <v>72</v>
      </c>
    </row>
    <row r="3">
      <c r="A3" s="230" t="s">
        <v>88</v>
      </c>
      <c r="B3" s="231" t="s">
        <v>76</v>
      </c>
      <c r="C3" s="231" t="s">
        <v>76</v>
      </c>
      <c r="D3" s="231" t="s">
        <v>76</v>
      </c>
      <c r="E3" s="231" t="s">
        <v>76</v>
      </c>
      <c r="F3" s="231" t="s">
        <v>135</v>
      </c>
      <c r="G3" s="231" t="s">
        <v>76</v>
      </c>
      <c r="H3" s="231" t="s">
        <v>111</v>
      </c>
      <c r="I3" s="231" t="s">
        <v>150</v>
      </c>
      <c r="J3" s="231" t="s">
        <v>76</v>
      </c>
      <c r="K3" s="231" t="s">
        <v>76</v>
      </c>
      <c r="L3" s="231" t="s">
        <v>88</v>
      </c>
      <c r="M3" s="231" t="s">
        <v>111</v>
      </c>
      <c r="N3" s="231" t="s">
        <v>76</v>
      </c>
      <c r="O3" s="231" t="s">
        <v>76</v>
      </c>
    </row>
    <row r="4">
      <c r="A4" s="230" t="s">
        <v>92</v>
      </c>
      <c r="B4" s="231" t="s">
        <v>80</v>
      </c>
      <c r="C4" s="231" t="s">
        <v>88</v>
      </c>
      <c r="D4" s="231" t="s">
        <v>80</v>
      </c>
      <c r="E4" s="231" t="s">
        <v>80</v>
      </c>
      <c r="F4" s="231" t="s">
        <v>150</v>
      </c>
      <c r="G4" s="231" t="s">
        <v>80</v>
      </c>
      <c r="H4" s="231" t="s">
        <v>135</v>
      </c>
      <c r="I4" s="231" t="s">
        <v>207</v>
      </c>
      <c r="J4" s="231" t="s">
        <v>80</v>
      </c>
      <c r="K4" s="231" t="s">
        <v>80</v>
      </c>
      <c r="L4" s="231" t="s">
        <v>92</v>
      </c>
      <c r="M4" s="231" t="s">
        <v>132</v>
      </c>
      <c r="N4" s="231" t="s">
        <v>80</v>
      </c>
      <c r="O4" s="231" t="s">
        <v>80</v>
      </c>
    </row>
    <row r="5">
      <c r="A5" s="230" t="s">
        <v>111</v>
      </c>
      <c r="B5" s="231" t="s">
        <v>84</v>
      </c>
      <c r="C5" s="231" t="s">
        <v>95</v>
      </c>
      <c r="D5" s="231" t="s">
        <v>84</v>
      </c>
      <c r="E5" s="231" t="s">
        <v>84</v>
      </c>
      <c r="F5" s="231" t="s">
        <v>153</v>
      </c>
      <c r="G5" s="231" t="s">
        <v>84</v>
      </c>
      <c r="H5" s="231" t="s">
        <v>150</v>
      </c>
      <c r="I5" s="231" t="s">
        <v>243</v>
      </c>
      <c r="J5" s="231" t="s">
        <v>84</v>
      </c>
      <c r="K5" s="231" t="s">
        <v>84</v>
      </c>
      <c r="L5" s="231" t="s">
        <v>111</v>
      </c>
      <c r="M5" s="231" t="s">
        <v>135</v>
      </c>
      <c r="N5" s="231" t="s">
        <v>84</v>
      </c>
      <c r="O5" s="231" t="s">
        <v>84</v>
      </c>
    </row>
    <row r="6">
      <c r="A6" s="230" t="s">
        <v>123</v>
      </c>
      <c r="B6" s="231" t="s">
        <v>88</v>
      </c>
      <c r="C6" s="231" t="s">
        <v>107</v>
      </c>
      <c r="D6" s="231" t="s">
        <v>88</v>
      </c>
      <c r="E6" s="231" t="s">
        <v>88</v>
      </c>
      <c r="F6" s="231" t="s">
        <v>156</v>
      </c>
      <c r="G6" s="231" t="s">
        <v>88</v>
      </c>
      <c r="H6" s="231" t="s">
        <v>153</v>
      </c>
      <c r="I6" s="231" t="s">
        <v>306</v>
      </c>
      <c r="J6" s="231" t="s">
        <v>88</v>
      </c>
      <c r="K6" s="231" t="s">
        <v>88</v>
      </c>
      <c r="L6" s="231" t="s">
        <v>123</v>
      </c>
      <c r="M6" s="231" t="s">
        <v>150</v>
      </c>
      <c r="N6" s="231" t="s">
        <v>88</v>
      </c>
      <c r="O6" s="231" t="s">
        <v>88</v>
      </c>
    </row>
    <row r="7">
      <c r="A7" s="230" t="s">
        <v>150</v>
      </c>
      <c r="B7" s="231" t="s">
        <v>92</v>
      </c>
      <c r="C7" s="231" t="s">
        <v>111</v>
      </c>
      <c r="D7" s="231" t="s">
        <v>95</v>
      </c>
      <c r="E7" s="231" t="s">
        <v>95</v>
      </c>
      <c r="F7" s="231" t="s">
        <v>189</v>
      </c>
      <c r="G7" s="231" t="s">
        <v>92</v>
      </c>
      <c r="H7" s="231" t="s">
        <v>156</v>
      </c>
      <c r="I7" s="231" t="s">
        <v>375</v>
      </c>
      <c r="J7" s="231" t="s">
        <v>92</v>
      </c>
      <c r="K7" s="231" t="s">
        <v>92</v>
      </c>
      <c r="L7" s="231" t="s">
        <v>150</v>
      </c>
      <c r="M7" s="231" t="s">
        <v>153</v>
      </c>
      <c r="N7" s="231" t="s">
        <v>92</v>
      </c>
      <c r="O7" s="231" t="s">
        <v>92</v>
      </c>
    </row>
    <row r="8">
      <c r="A8" s="230" t="s">
        <v>153</v>
      </c>
      <c r="B8" s="231" t="s">
        <v>95</v>
      </c>
      <c r="C8" s="231" t="s">
        <v>135</v>
      </c>
      <c r="D8" s="231" t="s">
        <v>107</v>
      </c>
      <c r="E8" s="231" t="s">
        <v>107</v>
      </c>
      <c r="F8" s="231" t="s">
        <v>192</v>
      </c>
      <c r="G8" s="231" t="s">
        <v>95</v>
      </c>
      <c r="H8" s="231" t="s">
        <v>189</v>
      </c>
      <c r="I8" s="231" t="s">
        <v>378</v>
      </c>
      <c r="J8" s="231" t="s">
        <v>95</v>
      </c>
      <c r="K8" s="231" t="s">
        <v>95</v>
      </c>
      <c r="L8" s="231" t="s">
        <v>153</v>
      </c>
      <c r="M8" s="231" t="s">
        <v>156</v>
      </c>
      <c r="N8" s="231" t="s">
        <v>95</v>
      </c>
      <c r="O8" s="231" t="s">
        <v>95</v>
      </c>
    </row>
    <row r="9">
      <c r="A9" s="230" t="s">
        <v>156</v>
      </c>
      <c r="B9" s="231" t="s">
        <v>107</v>
      </c>
      <c r="C9" s="231" t="s">
        <v>138</v>
      </c>
      <c r="D9" s="231" t="s">
        <v>114</v>
      </c>
      <c r="E9" s="231" t="s">
        <v>114</v>
      </c>
      <c r="F9" s="231" t="s">
        <v>195</v>
      </c>
      <c r="G9" s="231" t="s">
        <v>107</v>
      </c>
      <c r="H9" s="231" t="s">
        <v>192</v>
      </c>
      <c r="I9" s="231" t="s">
        <v>210</v>
      </c>
      <c r="J9" s="231" t="s">
        <v>107</v>
      </c>
      <c r="K9" s="231" t="s">
        <v>107</v>
      </c>
      <c r="L9" s="231" t="s">
        <v>156</v>
      </c>
      <c r="M9" s="231" t="s">
        <v>189</v>
      </c>
      <c r="N9" s="231" t="s">
        <v>107</v>
      </c>
      <c r="O9" s="231" t="s">
        <v>107</v>
      </c>
    </row>
    <row r="10">
      <c r="A10" s="230" t="s">
        <v>180</v>
      </c>
      <c r="B10" s="231" t="s">
        <v>111</v>
      </c>
      <c r="C10" s="231" t="s">
        <v>150</v>
      </c>
      <c r="D10" s="231" t="s">
        <v>117</v>
      </c>
      <c r="E10" s="231" t="s">
        <v>117</v>
      </c>
      <c r="F10" s="231" t="s">
        <v>207</v>
      </c>
      <c r="G10" s="231" t="s">
        <v>111</v>
      </c>
      <c r="H10" s="231" t="s">
        <v>195</v>
      </c>
      <c r="I10" s="231" t="s">
        <v>381</v>
      </c>
      <c r="J10" s="231" t="s">
        <v>111</v>
      </c>
      <c r="K10" s="231" t="s">
        <v>111</v>
      </c>
      <c r="L10" s="231" t="s">
        <v>180</v>
      </c>
      <c r="M10" s="231" t="s">
        <v>192</v>
      </c>
      <c r="N10" s="231" t="s">
        <v>111</v>
      </c>
      <c r="O10" s="231" t="s">
        <v>111</v>
      </c>
    </row>
    <row r="11">
      <c r="A11" s="230" t="s">
        <v>183</v>
      </c>
      <c r="B11" s="231" t="s">
        <v>114</v>
      </c>
      <c r="C11" s="231" t="s">
        <v>153</v>
      </c>
      <c r="D11" s="231" t="s">
        <v>120</v>
      </c>
      <c r="E11" s="231" t="s">
        <v>120</v>
      </c>
      <c r="F11" s="231" t="s">
        <v>213</v>
      </c>
      <c r="G11" s="231" t="s">
        <v>114</v>
      </c>
      <c r="H11" s="231" t="s">
        <v>207</v>
      </c>
      <c r="I11" s="231"/>
      <c r="J11" s="231" t="s">
        <v>114</v>
      </c>
      <c r="K11" s="231" t="s">
        <v>114</v>
      </c>
      <c r="L11" s="231" t="s">
        <v>183</v>
      </c>
      <c r="M11" s="231" t="s">
        <v>195</v>
      </c>
      <c r="N11" s="231" t="s">
        <v>114</v>
      </c>
      <c r="O11" s="231" t="s">
        <v>114</v>
      </c>
    </row>
    <row r="12">
      <c r="A12" s="230" t="s">
        <v>189</v>
      </c>
      <c r="B12" s="231" t="s">
        <v>117</v>
      </c>
      <c r="C12" s="231" t="s">
        <v>156</v>
      </c>
      <c r="D12" s="231" t="s">
        <v>126</v>
      </c>
      <c r="E12" s="231" t="s">
        <v>126</v>
      </c>
      <c r="F12" s="231" t="s">
        <v>216</v>
      </c>
      <c r="G12" s="231" t="s">
        <v>117</v>
      </c>
      <c r="H12" s="231" t="s">
        <v>213</v>
      </c>
      <c r="I12" s="231"/>
      <c r="J12" s="231" t="s">
        <v>117</v>
      </c>
      <c r="K12" s="231" t="s">
        <v>117</v>
      </c>
      <c r="L12" s="231" t="s">
        <v>189</v>
      </c>
      <c r="M12" s="231" t="s">
        <v>207</v>
      </c>
      <c r="N12" s="231" t="s">
        <v>117</v>
      </c>
      <c r="O12" s="231" t="s">
        <v>117</v>
      </c>
    </row>
    <row r="13">
      <c r="A13" s="230" t="s">
        <v>195</v>
      </c>
      <c r="B13" s="231" t="s">
        <v>120</v>
      </c>
      <c r="C13" s="231" t="s">
        <v>189</v>
      </c>
      <c r="D13" s="231" t="s">
        <v>132</v>
      </c>
      <c r="E13" s="231" t="s">
        <v>135</v>
      </c>
      <c r="F13" s="231" t="s">
        <v>219</v>
      </c>
      <c r="G13" s="231" t="s">
        <v>120</v>
      </c>
      <c r="H13" s="231" t="s">
        <v>216</v>
      </c>
      <c r="I13" s="231"/>
      <c r="J13" s="231" t="s">
        <v>120</v>
      </c>
      <c r="K13" s="231" t="s">
        <v>120</v>
      </c>
      <c r="L13" s="231" t="s">
        <v>195</v>
      </c>
      <c r="M13" s="231" t="s">
        <v>213</v>
      </c>
      <c r="N13" s="231" t="s">
        <v>120</v>
      </c>
      <c r="O13" s="231" t="s">
        <v>120</v>
      </c>
    </row>
    <row r="14">
      <c r="A14" s="230" t="s">
        <v>207</v>
      </c>
      <c r="B14" s="231" t="s">
        <v>123</v>
      </c>
      <c r="C14" s="231" t="s">
        <v>192</v>
      </c>
      <c r="D14" s="231" t="s">
        <v>135</v>
      </c>
      <c r="E14" s="231" t="s">
        <v>138</v>
      </c>
      <c r="F14" s="231" t="s">
        <v>225</v>
      </c>
      <c r="G14" s="231" t="s">
        <v>123</v>
      </c>
      <c r="H14" s="231" t="s">
        <v>219</v>
      </c>
      <c r="I14" s="231"/>
      <c r="J14" s="231" t="s">
        <v>123</v>
      </c>
      <c r="K14" s="231" t="s">
        <v>126</v>
      </c>
      <c r="L14" s="231" t="s">
        <v>207</v>
      </c>
      <c r="M14" s="231" t="s">
        <v>216</v>
      </c>
      <c r="N14" s="231" t="s">
        <v>123</v>
      </c>
      <c r="O14" s="231" t="s">
        <v>126</v>
      </c>
    </row>
    <row r="15">
      <c r="A15" s="230" t="s">
        <v>213</v>
      </c>
      <c r="B15" s="231" t="s">
        <v>126</v>
      </c>
      <c r="C15" s="231" t="s">
        <v>195</v>
      </c>
      <c r="D15" s="231" t="s">
        <v>138</v>
      </c>
      <c r="E15" s="231" t="s">
        <v>150</v>
      </c>
      <c r="F15" s="231" t="s">
        <v>231</v>
      </c>
      <c r="G15" s="231" t="s">
        <v>126</v>
      </c>
      <c r="H15" s="231" t="s">
        <v>225</v>
      </c>
      <c r="I15" s="231"/>
      <c r="J15" s="231" t="s">
        <v>126</v>
      </c>
      <c r="K15" s="231" t="s">
        <v>132</v>
      </c>
      <c r="L15" s="231" t="s">
        <v>210</v>
      </c>
      <c r="M15" s="231" t="s">
        <v>219</v>
      </c>
      <c r="N15" s="231" t="s">
        <v>126</v>
      </c>
      <c r="O15" s="231" t="s">
        <v>132</v>
      </c>
    </row>
    <row r="16">
      <c r="A16" s="230" t="s">
        <v>216</v>
      </c>
      <c r="B16" s="231" t="s">
        <v>132</v>
      </c>
      <c r="C16" s="231" t="s">
        <v>207</v>
      </c>
      <c r="D16" s="231" t="s">
        <v>150</v>
      </c>
      <c r="E16" s="231" t="s">
        <v>153</v>
      </c>
      <c r="F16" s="231" t="s">
        <v>234</v>
      </c>
      <c r="G16" s="231" t="s">
        <v>132</v>
      </c>
      <c r="H16" s="231" t="s">
        <v>231</v>
      </c>
      <c r="I16" s="231"/>
      <c r="J16" s="231" t="s">
        <v>132</v>
      </c>
      <c r="K16" s="231" t="s">
        <v>135</v>
      </c>
      <c r="L16" s="231" t="s">
        <v>213</v>
      </c>
      <c r="M16" s="231" t="s">
        <v>225</v>
      </c>
      <c r="N16" s="231" t="s">
        <v>132</v>
      </c>
      <c r="O16" s="231" t="s">
        <v>135</v>
      </c>
    </row>
    <row r="17">
      <c r="A17" s="230" t="s">
        <v>219</v>
      </c>
      <c r="B17" s="231" t="s">
        <v>135</v>
      </c>
      <c r="C17" s="231" t="s">
        <v>213</v>
      </c>
      <c r="D17" s="231" t="s">
        <v>153</v>
      </c>
      <c r="E17" s="231" t="s">
        <v>156</v>
      </c>
      <c r="F17" s="231" t="s">
        <v>240</v>
      </c>
      <c r="G17" s="231" t="s">
        <v>135</v>
      </c>
      <c r="H17" s="231" t="s">
        <v>234</v>
      </c>
      <c r="I17" s="231"/>
      <c r="J17" s="231" t="s">
        <v>135</v>
      </c>
      <c r="K17" s="231" t="s">
        <v>138</v>
      </c>
      <c r="L17" s="231" t="s">
        <v>216</v>
      </c>
      <c r="M17" s="231" t="s">
        <v>231</v>
      </c>
      <c r="N17" s="231" t="s">
        <v>135</v>
      </c>
      <c r="O17" s="231" t="s">
        <v>138</v>
      </c>
    </row>
    <row r="18">
      <c r="A18" s="230" t="s">
        <v>222</v>
      </c>
      <c r="B18" s="231" t="s">
        <v>138</v>
      </c>
      <c r="C18" s="231" t="s">
        <v>216</v>
      </c>
      <c r="D18" s="231" t="s">
        <v>156</v>
      </c>
      <c r="E18" s="231" t="s">
        <v>189</v>
      </c>
      <c r="F18" s="231" t="s">
        <v>243</v>
      </c>
      <c r="G18" s="231" t="s">
        <v>138</v>
      </c>
      <c r="H18" s="231" t="s">
        <v>240</v>
      </c>
      <c r="I18" s="231"/>
      <c r="J18" s="231" t="s">
        <v>138</v>
      </c>
      <c r="K18" s="231" t="s">
        <v>150</v>
      </c>
      <c r="L18" s="231" t="s">
        <v>219</v>
      </c>
      <c r="M18" s="231" t="s">
        <v>234</v>
      </c>
      <c r="N18" s="231" t="s">
        <v>138</v>
      </c>
      <c r="O18" s="231" t="s">
        <v>150</v>
      </c>
    </row>
    <row r="19">
      <c r="A19" s="230" t="s">
        <v>225</v>
      </c>
      <c r="B19" s="231" t="s">
        <v>150</v>
      </c>
      <c r="C19" s="231" t="s">
        <v>219</v>
      </c>
      <c r="D19" s="231" t="s">
        <v>180</v>
      </c>
      <c r="E19" s="231" t="s">
        <v>192</v>
      </c>
      <c r="F19" s="231" t="s">
        <v>249</v>
      </c>
      <c r="G19" s="231" t="s">
        <v>150</v>
      </c>
      <c r="H19" s="231" t="s">
        <v>243</v>
      </c>
      <c r="I19" s="231"/>
      <c r="J19" s="231" t="s">
        <v>150</v>
      </c>
      <c r="K19" s="231" t="s">
        <v>153</v>
      </c>
      <c r="L19" s="231" t="s">
        <v>222</v>
      </c>
      <c r="M19" s="231" t="s">
        <v>240</v>
      </c>
      <c r="N19" s="231" t="s">
        <v>150</v>
      </c>
      <c r="O19" s="231" t="s">
        <v>153</v>
      </c>
    </row>
    <row r="20">
      <c r="A20" s="230" t="s">
        <v>237</v>
      </c>
      <c r="B20" s="231" t="s">
        <v>153</v>
      </c>
      <c r="C20" s="231" t="s">
        <v>222</v>
      </c>
      <c r="D20" s="231" t="s">
        <v>183</v>
      </c>
      <c r="E20" s="231" t="s">
        <v>195</v>
      </c>
      <c r="F20" s="231" t="s">
        <v>265</v>
      </c>
      <c r="G20" s="231" t="s">
        <v>153</v>
      </c>
      <c r="H20" s="231" t="s">
        <v>249</v>
      </c>
      <c r="I20" s="231"/>
      <c r="J20" s="231" t="s">
        <v>153</v>
      </c>
      <c r="K20" s="231" t="s">
        <v>156</v>
      </c>
      <c r="L20" s="231" t="s">
        <v>225</v>
      </c>
      <c r="M20" s="231" t="s">
        <v>243</v>
      </c>
      <c r="N20" s="231" t="s">
        <v>153</v>
      </c>
      <c r="O20" s="231" t="s">
        <v>156</v>
      </c>
    </row>
    <row r="21" ht="15.75" customHeight="1">
      <c r="A21" s="230" t="s">
        <v>243</v>
      </c>
      <c r="B21" s="231" t="s">
        <v>156</v>
      </c>
      <c r="C21" s="231" t="s">
        <v>225</v>
      </c>
      <c r="D21" s="231" t="s">
        <v>186</v>
      </c>
      <c r="E21" s="231" t="s">
        <v>198</v>
      </c>
      <c r="F21" s="231" t="s">
        <v>268</v>
      </c>
      <c r="G21" s="231" t="s">
        <v>156</v>
      </c>
      <c r="H21" s="231" t="s">
        <v>265</v>
      </c>
      <c r="I21" s="231"/>
      <c r="J21" s="231" t="s">
        <v>156</v>
      </c>
      <c r="K21" s="231" t="s">
        <v>162</v>
      </c>
      <c r="L21" s="231" t="s">
        <v>237</v>
      </c>
      <c r="M21" s="231" t="s">
        <v>249</v>
      </c>
      <c r="N21" s="231" t="s">
        <v>156</v>
      </c>
      <c r="O21" s="231" t="s">
        <v>162</v>
      </c>
    </row>
    <row r="22" ht="15.75" customHeight="1">
      <c r="A22" s="230" t="s">
        <v>249</v>
      </c>
      <c r="B22" s="231" t="s">
        <v>162</v>
      </c>
      <c r="C22" s="231" t="s">
        <v>231</v>
      </c>
      <c r="D22" s="231" t="s">
        <v>189</v>
      </c>
      <c r="E22" s="231" t="s">
        <v>207</v>
      </c>
      <c r="F22" s="231" t="s">
        <v>271</v>
      </c>
      <c r="G22" s="231" t="s">
        <v>162</v>
      </c>
      <c r="H22" s="231" t="s">
        <v>268</v>
      </c>
      <c r="I22" s="231"/>
      <c r="J22" s="231" t="s">
        <v>162</v>
      </c>
      <c r="K22" s="231" t="s">
        <v>165</v>
      </c>
      <c r="L22" s="231" t="s">
        <v>243</v>
      </c>
      <c r="M22" s="231" t="s">
        <v>265</v>
      </c>
      <c r="N22" s="231" t="s">
        <v>162</v>
      </c>
      <c r="O22" s="231" t="s">
        <v>165</v>
      </c>
    </row>
    <row r="23" ht="15.75" customHeight="1">
      <c r="A23" s="230" t="s">
        <v>1439</v>
      </c>
      <c r="B23" s="231" t="s">
        <v>165</v>
      </c>
      <c r="C23" s="231" t="s">
        <v>234</v>
      </c>
      <c r="D23" s="231" t="s">
        <v>192</v>
      </c>
      <c r="E23" s="231" t="s">
        <v>213</v>
      </c>
      <c r="F23" s="231" t="s">
        <v>274</v>
      </c>
      <c r="G23" s="231" t="s">
        <v>165</v>
      </c>
      <c r="H23" s="231" t="s">
        <v>271</v>
      </c>
      <c r="I23" s="231"/>
      <c r="J23" s="231" t="s">
        <v>165</v>
      </c>
      <c r="K23" s="231" t="s">
        <v>168</v>
      </c>
      <c r="L23" s="231" t="s">
        <v>249</v>
      </c>
      <c r="M23" s="231" t="s">
        <v>268</v>
      </c>
      <c r="N23" s="231" t="s">
        <v>165</v>
      </c>
      <c r="O23" s="231" t="s">
        <v>168</v>
      </c>
    </row>
    <row r="24" ht="15.75" customHeight="1">
      <c r="A24" s="230" t="s">
        <v>286</v>
      </c>
      <c r="B24" s="231" t="s">
        <v>168</v>
      </c>
      <c r="C24" s="231" t="s">
        <v>240</v>
      </c>
      <c r="D24" s="231" t="s">
        <v>195</v>
      </c>
      <c r="E24" s="231" t="s">
        <v>216</v>
      </c>
      <c r="F24" s="231" t="s">
        <v>277</v>
      </c>
      <c r="G24" s="231" t="s">
        <v>168</v>
      </c>
      <c r="H24" s="231" t="s">
        <v>274</v>
      </c>
      <c r="I24" s="231"/>
      <c r="J24" s="231" t="s">
        <v>168</v>
      </c>
      <c r="K24" s="231" t="s">
        <v>171</v>
      </c>
      <c r="L24" s="231" t="s">
        <v>252</v>
      </c>
      <c r="M24" s="231" t="s">
        <v>271</v>
      </c>
      <c r="N24" s="231" t="s">
        <v>168</v>
      </c>
      <c r="O24" s="231" t="s">
        <v>171</v>
      </c>
    </row>
    <row r="25" ht="15.75" customHeight="1">
      <c r="A25" s="230" t="s">
        <v>1440</v>
      </c>
      <c r="B25" s="231" t="s">
        <v>171</v>
      </c>
      <c r="C25" s="231" t="s">
        <v>243</v>
      </c>
      <c r="D25" s="231" t="s">
        <v>198</v>
      </c>
      <c r="E25" s="231" t="s">
        <v>219</v>
      </c>
      <c r="F25" s="231" t="s">
        <v>280</v>
      </c>
      <c r="G25" s="231" t="s">
        <v>171</v>
      </c>
      <c r="H25" s="231" t="s">
        <v>277</v>
      </c>
      <c r="I25" s="231"/>
      <c r="J25" s="231" t="s">
        <v>171</v>
      </c>
      <c r="K25" s="231" t="s">
        <v>1164</v>
      </c>
      <c r="L25" s="231" t="s">
        <v>1439</v>
      </c>
      <c r="M25" s="231" t="s">
        <v>274</v>
      </c>
      <c r="N25" s="231" t="s">
        <v>171</v>
      </c>
      <c r="O25" s="231" t="s">
        <v>1164</v>
      </c>
    </row>
    <row r="26" ht="15.75" customHeight="1">
      <c r="A26" s="230" t="s">
        <v>1441</v>
      </c>
      <c r="B26" s="231" t="s">
        <v>1164</v>
      </c>
      <c r="C26" s="231" t="s">
        <v>246</v>
      </c>
      <c r="D26" s="231" t="s">
        <v>207</v>
      </c>
      <c r="E26" s="231" t="s">
        <v>225</v>
      </c>
      <c r="F26" s="231" t="s">
        <v>286</v>
      </c>
      <c r="G26" s="231" t="s">
        <v>1164</v>
      </c>
      <c r="H26" s="231" t="s">
        <v>280</v>
      </c>
      <c r="I26" s="231"/>
      <c r="J26" s="231" t="s">
        <v>1164</v>
      </c>
      <c r="K26" s="231" t="s">
        <v>180</v>
      </c>
      <c r="L26" s="231" t="s">
        <v>286</v>
      </c>
      <c r="M26" s="231" t="s">
        <v>277</v>
      </c>
      <c r="N26" s="231" t="s">
        <v>1164</v>
      </c>
      <c r="O26" s="231" t="s">
        <v>180</v>
      </c>
    </row>
    <row r="27" ht="15.75" customHeight="1">
      <c r="A27" s="230" t="s">
        <v>306</v>
      </c>
      <c r="B27" s="231" t="s">
        <v>180</v>
      </c>
      <c r="C27" s="231" t="s">
        <v>249</v>
      </c>
      <c r="D27" s="231" t="s">
        <v>213</v>
      </c>
      <c r="E27" s="231" t="s">
        <v>231</v>
      </c>
      <c r="F27" s="231" t="s">
        <v>1440</v>
      </c>
      <c r="G27" s="231" t="s">
        <v>180</v>
      </c>
      <c r="H27" s="231" t="s">
        <v>286</v>
      </c>
      <c r="I27" s="231"/>
      <c r="J27" s="231" t="s">
        <v>180</v>
      </c>
      <c r="K27" s="231" t="s">
        <v>183</v>
      </c>
      <c r="L27" s="231" t="s">
        <v>1440</v>
      </c>
      <c r="M27" s="231" t="s">
        <v>280</v>
      </c>
      <c r="N27" s="231" t="s">
        <v>180</v>
      </c>
      <c r="O27" s="231" t="s">
        <v>183</v>
      </c>
    </row>
    <row r="28" ht="15.75" customHeight="1">
      <c r="A28" s="230" t="s">
        <v>318</v>
      </c>
      <c r="B28" s="231" t="s">
        <v>183</v>
      </c>
      <c r="C28" s="231" t="s">
        <v>265</v>
      </c>
      <c r="D28" s="231" t="s">
        <v>216</v>
      </c>
      <c r="E28" s="231" t="s">
        <v>234</v>
      </c>
      <c r="F28" s="231" t="s">
        <v>306</v>
      </c>
      <c r="G28" s="231" t="s">
        <v>183</v>
      </c>
      <c r="H28" s="231" t="s">
        <v>1440</v>
      </c>
      <c r="I28" s="231"/>
      <c r="J28" s="231" t="s">
        <v>183</v>
      </c>
      <c r="K28" s="231" t="s">
        <v>189</v>
      </c>
      <c r="L28" s="231" t="s">
        <v>1441</v>
      </c>
      <c r="M28" s="231" t="s">
        <v>1440</v>
      </c>
      <c r="N28" s="231" t="s">
        <v>183</v>
      </c>
      <c r="O28" s="231" t="s">
        <v>189</v>
      </c>
    </row>
    <row r="29" ht="15.75" customHeight="1">
      <c r="A29" s="230" t="s">
        <v>315</v>
      </c>
      <c r="B29" s="231" t="s">
        <v>186</v>
      </c>
      <c r="C29" s="231" t="s">
        <v>268</v>
      </c>
      <c r="D29" s="231" t="s">
        <v>219</v>
      </c>
      <c r="E29" s="231" t="s">
        <v>240</v>
      </c>
      <c r="F29" s="231" t="s">
        <v>309</v>
      </c>
      <c r="G29" s="231" t="s">
        <v>186</v>
      </c>
      <c r="H29" s="231" t="s">
        <v>306</v>
      </c>
      <c r="I29" s="231"/>
      <c r="J29" s="231" t="s">
        <v>186</v>
      </c>
      <c r="K29" s="231" t="s">
        <v>192</v>
      </c>
      <c r="L29" s="231" t="s">
        <v>306</v>
      </c>
      <c r="M29" s="231" t="s">
        <v>1441</v>
      </c>
      <c r="N29" s="231" t="s">
        <v>186</v>
      </c>
      <c r="O29" s="231" t="s">
        <v>192</v>
      </c>
    </row>
    <row r="30" ht="15.75" customHeight="1">
      <c r="A30" s="230" t="s">
        <v>339</v>
      </c>
      <c r="B30" s="231" t="s">
        <v>189</v>
      </c>
      <c r="C30" s="231" t="s">
        <v>271</v>
      </c>
      <c r="D30" s="231" t="s">
        <v>222</v>
      </c>
      <c r="E30" s="231" t="s">
        <v>243</v>
      </c>
      <c r="F30" s="231" t="s">
        <v>318</v>
      </c>
      <c r="G30" s="231" t="s">
        <v>189</v>
      </c>
      <c r="H30" s="231" t="s">
        <v>309</v>
      </c>
      <c r="I30" s="231"/>
      <c r="J30" s="231" t="s">
        <v>189</v>
      </c>
      <c r="K30" s="231" t="s">
        <v>195</v>
      </c>
      <c r="L30" s="231" t="s">
        <v>315</v>
      </c>
      <c r="M30" s="231" t="s">
        <v>303</v>
      </c>
      <c r="N30" s="231" t="s">
        <v>189</v>
      </c>
      <c r="O30" s="231" t="s">
        <v>195</v>
      </c>
    </row>
    <row r="31" ht="15.75" customHeight="1">
      <c r="A31" s="230" t="s">
        <v>348</v>
      </c>
      <c r="B31" s="231" t="s">
        <v>192</v>
      </c>
      <c r="C31" s="231" t="s">
        <v>274</v>
      </c>
      <c r="D31" s="231" t="s">
        <v>225</v>
      </c>
      <c r="E31" s="231" t="s">
        <v>246</v>
      </c>
      <c r="F31" s="231" t="s">
        <v>315</v>
      </c>
      <c r="G31" s="231" t="s">
        <v>192</v>
      </c>
      <c r="H31" s="231" t="s">
        <v>318</v>
      </c>
      <c r="I31" s="231"/>
      <c r="J31" s="231" t="s">
        <v>192</v>
      </c>
      <c r="K31" s="231" t="s">
        <v>198</v>
      </c>
      <c r="L31" s="231" t="s">
        <v>318</v>
      </c>
      <c r="M31" s="231" t="s">
        <v>306</v>
      </c>
      <c r="N31" s="231" t="s">
        <v>192</v>
      </c>
      <c r="O31" s="231" t="s">
        <v>198</v>
      </c>
    </row>
    <row r="32" ht="15.75" customHeight="1">
      <c r="A32" s="230" t="s">
        <v>351</v>
      </c>
      <c r="B32" s="231" t="s">
        <v>195</v>
      </c>
      <c r="C32" s="231" t="s">
        <v>277</v>
      </c>
      <c r="D32" s="231" t="s">
        <v>228</v>
      </c>
      <c r="E32" s="231" t="s">
        <v>249</v>
      </c>
      <c r="F32" s="231" t="s">
        <v>333</v>
      </c>
      <c r="G32" s="231" t="s">
        <v>195</v>
      </c>
      <c r="H32" s="231" t="s">
        <v>315</v>
      </c>
      <c r="I32" s="231"/>
      <c r="J32" s="231" t="s">
        <v>195</v>
      </c>
      <c r="K32" s="231" t="s">
        <v>201</v>
      </c>
      <c r="L32" s="231" t="s">
        <v>339</v>
      </c>
      <c r="M32" s="231" t="s">
        <v>309</v>
      </c>
      <c r="N32" s="231" t="s">
        <v>195</v>
      </c>
      <c r="O32" s="231" t="s">
        <v>201</v>
      </c>
    </row>
    <row r="33" ht="15.75" customHeight="1">
      <c r="A33" s="230" t="s">
        <v>363</v>
      </c>
      <c r="B33" s="231" t="s">
        <v>198</v>
      </c>
      <c r="C33" s="231" t="s">
        <v>280</v>
      </c>
      <c r="D33" s="231" t="s">
        <v>231</v>
      </c>
      <c r="E33" s="231" t="s">
        <v>265</v>
      </c>
      <c r="F33" s="231" t="s">
        <v>351</v>
      </c>
      <c r="G33" s="231" t="s">
        <v>198</v>
      </c>
      <c r="H33" s="231" t="s">
        <v>333</v>
      </c>
      <c r="I33" s="231"/>
      <c r="J33" s="231" t="s">
        <v>198</v>
      </c>
      <c r="K33" s="231" t="s">
        <v>207</v>
      </c>
      <c r="L33" s="231" t="s">
        <v>348</v>
      </c>
      <c r="M33" s="231" t="s">
        <v>318</v>
      </c>
      <c r="N33" s="231" t="s">
        <v>198</v>
      </c>
      <c r="O33" s="231" t="s">
        <v>207</v>
      </c>
    </row>
    <row r="34" ht="15.75" customHeight="1">
      <c r="A34" s="230" t="s">
        <v>372</v>
      </c>
      <c r="B34" s="231" t="s">
        <v>201</v>
      </c>
      <c r="C34" s="231" t="s">
        <v>1439</v>
      </c>
      <c r="D34" s="231" t="s">
        <v>234</v>
      </c>
      <c r="E34" s="231" t="s">
        <v>268</v>
      </c>
      <c r="F34" s="231" t="s">
        <v>354</v>
      </c>
      <c r="G34" s="231" t="s">
        <v>201</v>
      </c>
      <c r="H34" s="231" t="s">
        <v>357</v>
      </c>
      <c r="I34" s="231"/>
      <c r="J34" s="231" t="s">
        <v>201</v>
      </c>
      <c r="K34" s="231" t="s">
        <v>213</v>
      </c>
      <c r="L34" s="231" t="s">
        <v>351</v>
      </c>
      <c r="M34" s="231" t="s">
        <v>315</v>
      </c>
      <c r="N34" s="231" t="s">
        <v>201</v>
      </c>
      <c r="O34" s="231" t="s">
        <v>213</v>
      </c>
    </row>
    <row r="35" ht="15.75" customHeight="1">
      <c r="A35" s="230" t="s">
        <v>375</v>
      </c>
      <c r="B35" s="231" t="s">
        <v>207</v>
      </c>
      <c r="C35" s="231" t="s">
        <v>286</v>
      </c>
      <c r="D35" s="231" t="s">
        <v>240</v>
      </c>
      <c r="E35" s="231" t="s">
        <v>271</v>
      </c>
      <c r="F35" s="231" t="s">
        <v>357</v>
      </c>
      <c r="G35" s="231" t="s">
        <v>207</v>
      </c>
      <c r="H35" s="231" t="s">
        <v>360</v>
      </c>
      <c r="I35" s="231"/>
      <c r="J35" s="231" t="s">
        <v>207</v>
      </c>
      <c r="K35" s="231" t="s">
        <v>216</v>
      </c>
      <c r="L35" s="231" t="s">
        <v>363</v>
      </c>
      <c r="M35" s="231" t="s">
        <v>333</v>
      </c>
      <c r="N35" s="231" t="s">
        <v>207</v>
      </c>
      <c r="O35" s="231" t="s">
        <v>216</v>
      </c>
    </row>
    <row r="36" ht="15.75" customHeight="1">
      <c r="A36" s="230" t="s">
        <v>390</v>
      </c>
      <c r="B36" s="231" t="s">
        <v>213</v>
      </c>
      <c r="C36" s="231" t="s">
        <v>1440</v>
      </c>
      <c r="D36" s="231" t="s">
        <v>243</v>
      </c>
      <c r="E36" s="231" t="s">
        <v>274</v>
      </c>
      <c r="F36" s="231" t="s">
        <v>360</v>
      </c>
      <c r="G36" s="231" t="s">
        <v>213</v>
      </c>
      <c r="H36" s="231" t="s">
        <v>372</v>
      </c>
      <c r="I36" s="231"/>
      <c r="J36" s="231" t="s">
        <v>213</v>
      </c>
      <c r="K36" s="231" t="s">
        <v>219</v>
      </c>
      <c r="L36" s="231" t="s">
        <v>372</v>
      </c>
      <c r="M36" s="231" t="s">
        <v>351</v>
      </c>
      <c r="N36" s="231" t="s">
        <v>213</v>
      </c>
      <c r="O36" s="231" t="s">
        <v>219</v>
      </c>
    </row>
    <row r="37" ht="15.75" customHeight="1">
      <c r="A37" s="230" t="s">
        <v>210</v>
      </c>
      <c r="B37" s="231" t="s">
        <v>216</v>
      </c>
      <c r="C37" s="231" t="s">
        <v>300</v>
      </c>
      <c r="D37" s="231" t="s">
        <v>246</v>
      </c>
      <c r="E37" s="231" t="s">
        <v>277</v>
      </c>
      <c r="F37" s="231" t="s">
        <v>372</v>
      </c>
      <c r="G37" s="231" t="s">
        <v>216</v>
      </c>
      <c r="H37" s="231" t="s">
        <v>375</v>
      </c>
      <c r="I37" s="231"/>
      <c r="J37" s="231" t="s">
        <v>216</v>
      </c>
      <c r="K37" s="231" t="s">
        <v>222</v>
      </c>
      <c r="L37" s="231" t="s">
        <v>375</v>
      </c>
      <c r="M37" s="231" t="s">
        <v>354</v>
      </c>
      <c r="N37" s="231" t="s">
        <v>216</v>
      </c>
      <c r="O37" s="231" t="s">
        <v>222</v>
      </c>
    </row>
    <row r="38" ht="15.75" customHeight="1">
      <c r="A38" s="230" t="s">
        <v>252</v>
      </c>
      <c r="B38" s="231" t="s">
        <v>219</v>
      </c>
      <c r="C38" s="231" t="s">
        <v>306</v>
      </c>
      <c r="D38" s="231" t="s">
        <v>249</v>
      </c>
      <c r="E38" s="231" t="s">
        <v>280</v>
      </c>
      <c r="F38" s="231" t="s">
        <v>375</v>
      </c>
      <c r="G38" s="231" t="s">
        <v>219</v>
      </c>
      <c r="H38" s="231" t="s">
        <v>378</v>
      </c>
      <c r="I38" s="231"/>
      <c r="J38" s="231" t="s">
        <v>219</v>
      </c>
      <c r="K38" s="231" t="s">
        <v>225</v>
      </c>
      <c r="L38" s="231" t="s">
        <v>381</v>
      </c>
      <c r="M38" s="231" t="s">
        <v>357</v>
      </c>
      <c r="N38" s="231" t="s">
        <v>219</v>
      </c>
      <c r="O38" s="231" t="s">
        <v>225</v>
      </c>
    </row>
    <row r="39" ht="15.75" customHeight="1">
      <c r="A39" s="230" t="s">
        <v>381</v>
      </c>
      <c r="B39" s="231" t="s">
        <v>222</v>
      </c>
      <c r="C39" s="231" t="s">
        <v>309</v>
      </c>
      <c r="D39" s="231" t="s">
        <v>265</v>
      </c>
      <c r="E39" s="231" t="s">
        <v>286</v>
      </c>
      <c r="F39" s="231" t="s">
        <v>378</v>
      </c>
      <c r="G39" s="231" t="s">
        <v>222</v>
      </c>
      <c r="H39" s="231" t="s">
        <v>384</v>
      </c>
      <c r="I39" s="231"/>
      <c r="J39" s="231" t="s">
        <v>222</v>
      </c>
      <c r="K39" s="231" t="s">
        <v>228</v>
      </c>
      <c r="L39" s="231" t="s">
        <v>390</v>
      </c>
      <c r="M39" s="231" t="s">
        <v>360</v>
      </c>
      <c r="N39" s="231" t="s">
        <v>222</v>
      </c>
      <c r="O39" s="231" t="s">
        <v>228</v>
      </c>
    </row>
    <row r="40" ht="15.75" customHeight="1">
      <c r="A40" s="69"/>
      <c r="B40" s="231" t="s">
        <v>225</v>
      </c>
      <c r="C40" s="231" t="s">
        <v>318</v>
      </c>
      <c r="D40" s="231" t="s">
        <v>268</v>
      </c>
      <c r="E40" s="231" t="s">
        <v>1440</v>
      </c>
      <c r="F40" s="231" t="s">
        <v>390</v>
      </c>
      <c r="G40" s="231" t="s">
        <v>225</v>
      </c>
      <c r="H40" s="231" t="s">
        <v>393</v>
      </c>
      <c r="I40" s="231"/>
      <c r="J40" s="231" t="s">
        <v>225</v>
      </c>
      <c r="K40" s="231" t="s">
        <v>231</v>
      </c>
      <c r="L40" s="231"/>
      <c r="M40" s="231" t="s">
        <v>372</v>
      </c>
      <c r="N40" s="231" t="s">
        <v>225</v>
      </c>
      <c r="O40" s="231" t="s">
        <v>231</v>
      </c>
    </row>
    <row r="41" ht="15.75" customHeight="1">
      <c r="A41" s="69"/>
      <c r="B41" s="231" t="s">
        <v>228</v>
      </c>
      <c r="C41" s="231" t="s">
        <v>315</v>
      </c>
      <c r="D41" s="231" t="s">
        <v>271</v>
      </c>
      <c r="E41" s="231" t="s">
        <v>300</v>
      </c>
      <c r="F41" s="231" t="s">
        <v>393</v>
      </c>
      <c r="G41" s="231" t="s">
        <v>228</v>
      </c>
      <c r="H41" s="231" t="s">
        <v>210</v>
      </c>
      <c r="I41" s="231"/>
      <c r="J41" s="231" t="s">
        <v>228</v>
      </c>
      <c r="K41" s="231" t="s">
        <v>234</v>
      </c>
      <c r="L41" s="231"/>
      <c r="M41" s="231" t="s">
        <v>375</v>
      </c>
      <c r="N41" s="231" t="s">
        <v>228</v>
      </c>
      <c r="O41" s="231" t="s">
        <v>234</v>
      </c>
    </row>
    <row r="42" ht="15.75" customHeight="1">
      <c r="A42" s="69"/>
      <c r="B42" s="231" t="s">
        <v>231</v>
      </c>
      <c r="C42" s="231" t="s">
        <v>321</v>
      </c>
      <c r="D42" s="231" t="s">
        <v>274</v>
      </c>
      <c r="E42" s="231" t="s">
        <v>306</v>
      </c>
      <c r="F42" s="231" t="s">
        <v>210</v>
      </c>
      <c r="G42" s="231" t="s">
        <v>231</v>
      </c>
      <c r="H42" s="231" t="s">
        <v>252</v>
      </c>
      <c r="I42" s="231"/>
      <c r="J42" s="231" t="s">
        <v>231</v>
      </c>
      <c r="K42" s="231" t="s">
        <v>237</v>
      </c>
      <c r="L42" s="231"/>
      <c r="M42" s="231" t="s">
        <v>378</v>
      </c>
      <c r="N42" s="231" t="s">
        <v>231</v>
      </c>
      <c r="O42" s="231" t="s">
        <v>237</v>
      </c>
    </row>
    <row r="43" ht="15.75" customHeight="1">
      <c r="A43" s="69"/>
      <c r="B43" s="231" t="s">
        <v>234</v>
      </c>
      <c r="C43" s="231" t="s">
        <v>324</v>
      </c>
      <c r="D43" s="231" t="s">
        <v>277</v>
      </c>
      <c r="E43" s="231" t="s">
        <v>309</v>
      </c>
      <c r="F43" s="231" t="s">
        <v>252</v>
      </c>
      <c r="G43" s="231" t="s">
        <v>234</v>
      </c>
      <c r="H43" s="231" t="s">
        <v>381</v>
      </c>
      <c r="I43" s="231"/>
      <c r="J43" s="231" t="s">
        <v>234</v>
      </c>
      <c r="K43" s="231" t="s">
        <v>240</v>
      </c>
      <c r="L43" s="231"/>
      <c r="M43" s="231" t="s">
        <v>384</v>
      </c>
      <c r="N43" s="231" t="s">
        <v>234</v>
      </c>
      <c r="O43" s="231" t="s">
        <v>240</v>
      </c>
    </row>
    <row r="44" ht="15.75" customHeight="1">
      <c r="A44" s="69"/>
      <c r="B44" s="231" t="s">
        <v>237</v>
      </c>
      <c r="C44" s="231" t="s">
        <v>327</v>
      </c>
      <c r="D44" s="231" t="s">
        <v>280</v>
      </c>
      <c r="E44" s="231" t="s">
        <v>318</v>
      </c>
      <c r="F44" s="231" t="s">
        <v>381</v>
      </c>
      <c r="G44" s="231" t="s">
        <v>237</v>
      </c>
      <c r="H44" s="231"/>
      <c r="I44" s="231"/>
      <c r="J44" s="231" t="s">
        <v>237</v>
      </c>
      <c r="K44" s="231" t="s">
        <v>243</v>
      </c>
      <c r="L44" s="231"/>
      <c r="M44" s="231" t="s">
        <v>390</v>
      </c>
      <c r="N44" s="231" t="s">
        <v>237</v>
      </c>
      <c r="O44" s="231" t="s">
        <v>243</v>
      </c>
    </row>
    <row r="45" ht="15.75" customHeight="1">
      <c r="A45" s="69"/>
      <c r="B45" s="231" t="s">
        <v>240</v>
      </c>
      <c r="C45" s="231" t="s">
        <v>330</v>
      </c>
      <c r="D45" s="231" t="s">
        <v>1439</v>
      </c>
      <c r="E45" s="231" t="s">
        <v>315</v>
      </c>
      <c r="F45" s="231"/>
      <c r="G45" s="231" t="s">
        <v>240</v>
      </c>
      <c r="H45" s="231"/>
      <c r="I45" s="231"/>
      <c r="J45" s="231" t="s">
        <v>240</v>
      </c>
      <c r="K45" s="231" t="s">
        <v>246</v>
      </c>
      <c r="L45" s="231"/>
      <c r="M45" s="231" t="s">
        <v>393</v>
      </c>
      <c r="N45" s="231" t="s">
        <v>240</v>
      </c>
      <c r="O45" s="231" t="s">
        <v>246</v>
      </c>
    </row>
    <row r="46" ht="15.75" customHeight="1">
      <c r="A46" s="69"/>
      <c r="B46" s="231" t="s">
        <v>243</v>
      </c>
      <c r="C46" s="231" t="s">
        <v>333</v>
      </c>
      <c r="D46" s="231" t="s">
        <v>286</v>
      </c>
      <c r="E46" s="231" t="s">
        <v>321</v>
      </c>
      <c r="F46" s="231"/>
      <c r="G46" s="231" t="s">
        <v>243</v>
      </c>
      <c r="H46" s="231"/>
      <c r="I46" s="231"/>
      <c r="J46" s="231" t="s">
        <v>243</v>
      </c>
      <c r="K46" s="231" t="s">
        <v>249</v>
      </c>
      <c r="L46" s="231"/>
      <c r="M46" s="231" t="s">
        <v>210</v>
      </c>
      <c r="N46" s="231" t="s">
        <v>243</v>
      </c>
      <c r="O46" s="231" t="s">
        <v>249</v>
      </c>
    </row>
    <row r="47" ht="15.75" customHeight="1">
      <c r="A47" s="69"/>
      <c r="B47" s="231" t="s">
        <v>246</v>
      </c>
      <c r="C47" s="231" t="s">
        <v>339</v>
      </c>
      <c r="D47" s="231" t="s">
        <v>1440</v>
      </c>
      <c r="E47" s="231" t="s">
        <v>324</v>
      </c>
      <c r="F47" s="231"/>
      <c r="G47" s="231" t="s">
        <v>246</v>
      </c>
      <c r="H47" s="231"/>
      <c r="I47" s="231"/>
      <c r="J47" s="231" t="s">
        <v>246</v>
      </c>
      <c r="K47" s="231" t="s">
        <v>260</v>
      </c>
      <c r="L47" s="231"/>
      <c r="M47" s="231" t="s">
        <v>252</v>
      </c>
      <c r="N47" s="231" t="s">
        <v>246</v>
      </c>
      <c r="O47" s="231" t="s">
        <v>265</v>
      </c>
    </row>
    <row r="48" ht="15.75" customHeight="1">
      <c r="A48" s="69"/>
      <c r="B48" s="231" t="s">
        <v>249</v>
      </c>
      <c r="C48" s="231" t="s">
        <v>357</v>
      </c>
      <c r="D48" s="231" t="s">
        <v>300</v>
      </c>
      <c r="E48" s="231" t="s">
        <v>327</v>
      </c>
      <c r="F48" s="231"/>
      <c r="G48" s="231" t="s">
        <v>249</v>
      </c>
      <c r="H48" s="231"/>
      <c r="I48" s="231"/>
      <c r="J48" s="231" t="s">
        <v>249</v>
      </c>
      <c r="K48" s="231" t="s">
        <v>265</v>
      </c>
      <c r="L48" s="231"/>
      <c r="M48" s="231" t="s">
        <v>381</v>
      </c>
      <c r="N48" s="231" t="s">
        <v>249</v>
      </c>
      <c r="O48" s="231" t="s">
        <v>268</v>
      </c>
    </row>
    <row r="49" ht="15.75" customHeight="1">
      <c r="A49" s="69"/>
      <c r="B49" s="231" t="s">
        <v>260</v>
      </c>
      <c r="C49" s="231" t="s">
        <v>360</v>
      </c>
      <c r="D49" s="231" t="s">
        <v>303</v>
      </c>
      <c r="E49" s="231" t="s">
        <v>330</v>
      </c>
      <c r="F49" s="231"/>
      <c r="G49" s="231" t="s">
        <v>265</v>
      </c>
      <c r="H49" s="231"/>
      <c r="I49" s="231"/>
      <c r="J49" s="231" t="s">
        <v>260</v>
      </c>
      <c r="K49" s="231" t="s">
        <v>268</v>
      </c>
      <c r="L49" s="231"/>
      <c r="M49" s="231" t="s">
        <v>286</v>
      </c>
      <c r="N49" s="231" t="s">
        <v>260</v>
      </c>
      <c r="O49" s="231" t="s">
        <v>271</v>
      </c>
    </row>
    <row r="50" ht="15.75" customHeight="1">
      <c r="A50" s="69"/>
      <c r="B50" s="231" t="s">
        <v>265</v>
      </c>
      <c r="C50" s="231" t="s">
        <v>366</v>
      </c>
      <c r="D50" s="231" t="s">
        <v>306</v>
      </c>
      <c r="E50" s="231" t="s">
        <v>333</v>
      </c>
      <c r="F50" s="231"/>
      <c r="G50" s="231" t="s">
        <v>268</v>
      </c>
      <c r="H50" s="231"/>
      <c r="I50" s="231"/>
      <c r="J50" s="231" t="s">
        <v>265</v>
      </c>
      <c r="K50" s="231" t="s">
        <v>271</v>
      </c>
      <c r="L50" s="231"/>
      <c r="M50" s="231"/>
      <c r="N50" s="231" t="s">
        <v>265</v>
      </c>
      <c r="O50" s="231" t="s">
        <v>274</v>
      </c>
    </row>
    <row r="51" ht="15.75" customHeight="1">
      <c r="A51" s="69"/>
      <c r="B51" s="231" t="s">
        <v>268</v>
      </c>
      <c r="C51" s="231" t="s">
        <v>372</v>
      </c>
      <c r="D51" s="231" t="s">
        <v>309</v>
      </c>
      <c r="E51" s="231" t="s">
        <v>339</v>
      </c>
      <c r="F51" s="231"/>
      <c r="G51" s="231" t="s">
        <v>271</v>
      </c>
      <c r="H51" s="231"/>
      <c r="I51" s="231"/>
      <c r="J51" s="231" t="s">
        <v>268</v>
      </c>
      <c r="K51" s="231" t="s">
        <v>274</v>
      </c>
      <c r="L51" s="231"/>
      <c r="M51" s="231"/>
      <c r="N51" s="231" t="s">
        <v>268</v>
      </c>
      <c r="O51" s="231" t="s">
        <v>277</v>
      </c>
    </row>
    <row r="52" ht="15.75" customHeight="1">
      <c r="A52" s="69"/>
      <c r="B52" s="231" t="s">
        <v>271</v>
      </c>
      <c r="C52" s="231" t="s">
        <v>375</v>
      </c>
      <c r="D52" s="231" t="s">
        <v>318</v>
      </c>
      <c r="E52" s="231" t="s">
        <v>351</v>
      </c>
      <c r="F52" s="231"/>
      <c r="G52" s="231" t="s">
        <v>274</v>
      </c>
      <c r="H52" s="231"/>
      <c r="I52" s="231"/>
      <c r="J52" s="231" t="s">
        <v>271</v>
      </c>
      <c r="K52" s="231" t="s">
        <v>277</v>
      </c>
      <c r="L52" s="231"/>
      <c r="M52" s="231"/>
      <c r="N52" s="231" t="s">
        <v>271</v>
      </c>
      <c r="O52" s="231" t="s">
        <v>280</v>
      </c>
    </row>
    <row r="53" ht="15.75" customHeight="1">
      <c r="A53" s="69"/>
      <c r="B53" s="231" t="s">
        <v>274</v>
      </c>
      <c r="C53" s="231" t="s">
        <v>378</v>
      </c>
      <c r="D53" s="231" t="s">
        <v>315</v>
      </c>
      <c r="E53" s="231" t="s">
        <v>354</v>
      </c>
      <c r="F53" s="231"/>
      <c r="G53" s="231" t="s">
        <v>277</v>
      </c>
      <c r="H53" s="231"/>
      <c r="I53" s="231"/>
      <c r="J53" s="231" t="s">
        <v>274</v>
      </c>
      <c r="K53" s="231" t="s">
        <v>280</v>
      </c>
      <c r="L53" s="231"/>
      <c r="M53" s="231"/>
      <c r="N53" s="231" t="s">
        <v>274</v>
      </c>
      <c r="O53" s="231" t="s">
        <v>1439</v>
      </c>
    </row>
    <row r="54" ht="15.75" customHeight="1">
      <c r="A54" s="69"/>
      <c r="B54" s="231" t="s">
        <v>277</v>
      </c>
      <c r="C54" s="231" t="s">
        <v>384</v>
      </c>
      <c r="D54" s="231" t="s">
        <v>321</v>
      </c>
      <c r="E54" s="231" t="s">
        <v>357</v>
      </c>
      <c r="F54" s="231"/>
      <c r="G54" s="231" t="s">
        <v>280</v>
      </c>
      <c r="H54" s="231"/>
      <c r="I54" s="231"/>
      <c r="J54" s="231" t="s">
        <v>277</v>
      </c>
      <c r="K54" s="231" t="s">
        <v>1439</v>
      </c>
      <c r="L54" s="231"/>
      <c r="M54" s="231"/>
      <c r="N54" s="231" t="s">
        <v>277</v>
      </c>
      <c r="O54" s="231" t="s">
        <v>1440</v>
      </c>
    </row>
    <row r="55" ht="15.75" customHeight="1">
      <c r="A55" s="69"/>
      <c r="B55" s="231" t="s">
        <v>280</v>
      </c>
      <c r="C55" s="231" t="s">
        <v>393</v>
      </c>
      <c r="D55" s="231" t="s">
        <v>324</v>
      </c>
      <c r="E55" s="231" t="s">
        <v>360</v>
      </c>
      <c r="F55" s="231"/>
      <c r="G55" s="231" t="s">
        <v>1439</v>
      </c>
      <c r="H55" s="231"/>
      <c r="I55" s="231"/>
      <c r="J55" s="231" t="s">
        <v>280</v>
      </c>
      <c r="K55" s="231" t="s">
        <v>1440</v>
      </c>
      <c r="L55" s="231"/>
      <c r="M55" s="231"/>
      <c r="N55" s="231" t="s">
        <v>280</v>
      </c>
      <c r="O55" s="231" t="s">
        <v>1441</v>
      </c>
    </row>
    <row r="56" ht="15.75" customHeight="1">
      <c r="A56" s="69"/>
      <c r="B56" s="231" t="s">
        <v>1439</v>
      </c>
      <c r="C56" s="231" t="s">
        <v>210</v>
      </c>
      <c r="D56" s="231" t="s">
        <v>327</v>
      </c>
      <c r="E56" s="231" t="s">
        <v>369</v>
      </c>
      <c r="F56" s="231"/>
      <c r="G56" s="231" t="s">
        <v>286</v>
      </c>
      <c r="H56" s="231"/>
      <c r="I56" s="231"/>
      <c r="J56" s="231" t="s">
        <v>1439</v>
      </c>
      <c r="K56" s="231" t="s">
        <v>1441</v>
      </c>
      <c r="L56" s="231"/>
      <c r="M56" s="231"/>
      <c r="N56" s="231" t="s">
        <v>1439</v>
      </c>
      <c r="O56" s="231" t="s">
        <v>300</v>
      </c>
    </row>
    <row r="57" ht="15.75" customHeight="1">
      <c r="A57" s="69"/>
      <c r="B57" s="231" t="s">
        <v>286</v>
      </c>
      <c r="C57" s="231" t="s">
        <v>252</v>
      </c>
      <c r="D57" s="231" t="s">
        <v>330</v>
      </c>
      <c r="E57" s="231" t="s">
        <v>372</v>
      </c>
      <c r="F57" s="231"/>
      <c r="G57" s="231" t="s">
        <v>1440</v>
      </c>
      <c r="H57" s="231"/>
      <c r="I57" s="231"/>
      <c r="J57" s="231" t="s">
        <v>286</v>
      </c>
      <c r="K57" s="231" t="s">
        <v>300</v>
      </c>
      <c r="L57" s="231"/>
      <c r="M57" s="231"/>
      <c r="N57" s="231" t="s">
        <v>286</v>
      </c>
      <c r="O57" s="231" t="s">
        <v>303</v>
      </c>
    </row>
    <row r="58" ht="15.75" customHeight="1">
      <c r="A58" s="69"/>
      <c r="B58" s="231" t="s">
        <v>1440</v>
      </c>
      <c r="C58" s="231" t="s">
        <v>342</v>
      </c>
      <c r="D58" s="231" t="s">
        <v>333</v>
      </c>
      <c r="E58" s="231" t="s">
        <v>375</v>
      </c>
      <c r="F58" s="231"/>
      <c r="G58" s="231" t="s">
        <v>1441</v>
      </c>
      <c r="H58" s="231"/>
      <c r="I58" s="231"/>
      <c r="J58" s="231" t="s">
        <v>1440</v>
      </c>
      <c r="K58" s="231" t="s">
        <v>303</v>
      </c>
      <c r="L58" s="231"/>
      <c r="M58" s="231"/>
      <c r="N58" s="231" t="s">
        <v>1440</v>
      </c>
      <c r="O58" s="231" t="s">
        <v>306</v>
      </c>
    </row>
    <row r="59" ht="15.75" customHeight="1">
      <c r="A59" s="69"/>
      <c r="B59" s="231" t="s">
        <v>1441</v>
      </c>
      <c r="C59" s="231" t="s">
        <v>381</v>
      </c>
      <c r="D59" s="231" t="s">
        <v>339</v>
      </c>
      <c r="E59" s="231" t="s">
        <v>378</v>
      </c>
      <c r="F59" s="231"/>
      <c r="G59" s="231" t="s">
        <v>300</v>
      </c>
      <c r="H59" s="231"/>
      <c r="I59" s="231"/>
      <c r="J59" s="231" t="s">
        <v>1441</v>
      </c>
      <c r="K59" s="231" t="s">
        <v>306</v>
      </c>
      <c r="L59" s="231"/>
      <c r="M59" s="231"/>
      <c r="N59" s="231" t="s">
        <v>1441</v>
      </c>
      <c r="O59" s="231" t="s">
        <v>309</v>
      </c>
    </row>
    <row r="60" ht="15.75" customHeight="1">
      <c r="A60" s="69"/>
      <c r="B60" s="231" t="s">
        <v>300</v>
      </c>
      <c r="C60" s="232"/>
      <c r="D60" s="231" t="s">
        <v>348</v>
      </c>
      <c r="E60" s="231" t="s">
        <v>390</v>
      </c>
      <c r="F60" s="231"/>
      <c r="G60" s="231" t="s">
        <v>303</v>
      </c>
      <c r="H60" s="231"/>
      <c r="I60" s="231"/>
      <c r="J60" s="231" t="s">
        <v>300</v>
      </c>
      <c r="K60" s="231" t="s">
        <v>309</v>
      </c>
      <c r="L60" s="231"/>
      <c r="M60" s="231"/>
      <c r="N60" s="231" t="s">
        <v>300</v>
      </c>
      <c r="O60" s="231" t="s">
        <v>318</v>
      </c>
    </row>
    <row r="61" ht="15.75" customHeight="1">
      <c r="A61" s="69"/>
      <c r="B61" s="231" t="s">
        <v>303</v>
      </c>
      <c r="C61" s="232"/>
      <c r="D61" s="231" t="s">
        <v>351</v>
      </c>
      <c r="E61" s="231" t="s">
        <v>393</v>
      </c>
      <c r="F61" s="231"/>
      <c r="G61" s="231" t="s">
        <v>306</v>
      </c>
      <c r="H61" s="231"/>
      <c r="I61" s="231"/>
      <c r="J61" s="231" t="s">
        <v>303</v>
      </c>
      <c r="K61" s="231" t="s">
        <v>318</v>
      </c>
      <c r="L61" s="231"/>
      <c r="M61" s="231"/>
      <c r="N61" s="231" t="s">
        <v>303</v>
      </c>
      <c r="O61" s="231" t="s">
        <v>315</v>
      </c>
    </row>
    <row r="62" ht="15.75" customHeight="1">
      <c r="A62" s="69"/>
      <c r="B62" s="231" t="s">
        <v>306</v>
      </c>
      <c r="C62" s="232"/>
      <c r="D62" s="231" t="s">
        <v>354</v>
      </c>
      <c r="E62" s="231" t="s">
        <v>210</v>
      </c>
      <c r="F62" s="231"/>
      <c r="G62" s="231" t="s">
        <v>309</v>
      </c>
      <c r="H62" s="231"/>
      <c r="I62" s="231"/>
      <c r="J62" s="231" t="s">
        <v>306</v>
      </c>
      <c r="K62" s="231" t="s">
        <v>315</v>
      </c>
      <c r="L62" s="231"/>
      <c r="M62" s="231"/>
      <c r="N62" s="231" t="s">
        <v>306</v>
      </c>
      <c r="O62" s="231" t="s">
        <v>321</v>
      </c>
    </row>
    <row r="63" ht="15.75" customHeight="1">
      <c r="A63" s="69"/>
      <c r="B63" s="231" t="s">
        <v>309</v>
      </c>
      <c r="C63" s="232"/>
      <c r="D63" s="231" t="s">
        <v>357</v>
      </c>
      <c r="E63" s="231" t="s">
        <v>252</v>
      </c>
      <c r="F63" s="231"/>
      <c r="G63" s="233" t="s">
        <v>312</v>
      </c>
      <c r="H63" s="231"/>
      <c r="I63" s="231"/>
      <c r="J63" s="231" t="s">
        <v>309</v>
      </c>
      <c r="K63" s="231" t="s">
        <v>321</v>
      </c>
      <c r="L63" s="231"/>
      <c r="M63" s="231"/>
      <c r="N63" s="231" t="s">
        <v>309</v>
      </c>
      <c r="O63" s="231" t="s">
        <v>324</v>
      </c>
    </row>
    <row r="64" ht="15.75" customHeight="1">
      <c r="A64" s="69"/>
      <c r="B64" s="233" t="s">
        <v>312</v>
      </c>
      <c r="C64" s="232"/>
      <c r="D64" s="231" t="s">
        <v>360</v>
      </c>
      <c r="E64" s="231" t="s">
        <v>342</v>
      </c>
      <c r="F64" s="231"/>
      <c r="G64" s="231" t="s">
        <v>318</v>
      </c>
      <c r="H64" s="231"/>
      <c r="I64" s="231"/>
      <c r="J64" s="233" t="s">
        <v>312</v>
      </c>
      <c r="K64" s="231" t="s">
        <v>324</v>
      </c>
      <c r="L64" s="231"/>
      <c r="M64" s="231"/>
      <c r="N64" s="233" t="s">
        <v>312</v>
      </c>
      <c r="O64" s="231" t="s">
        <v>327</v>
      </c>
    </row>
    <row r="65" ht="15.75" customHeight="1">
      <c r="A65" s="69"/>
      <c r="B65" s="231" t="s">
        <v>318</v>
      </c>
      <c r="C65" s="232"/>
      <c r="D65" s="231" t="s">
        <v>366</v>
      </c>
      <c r="E65" s="231" t="s">
        <v>381</v>
      </c>
      <c r="F65" s="231"/>
      <c r="G65" s="231" t="s">
        <v>315</v>
      </c>
      <c r="H65" s="231"/>
      <c r="I65" s="231"/>
      <c r="J65" s="231" t="s">
        <v>318</v>
      </c>
      <c r="K65" s="231" t="s">
        <v>327</v>
      </c>
      <c r="L65" s="231"/>
      <c r="M65" s="231"/>
      <c r="N65" s="231" t="s">
        <v>318</v>
      </c>
      <c r="O65" s="231" t="s">
        <v>330</v>
      </c>
    </row>
    <row r="66" ht="15.75" customHeight="1">
      <c r="A66" s="69"/>
      <c r="B66" s="231" t="s">
        <v>315</v>
      </c>
      <c r="C66" s="232"/>
      <c r="D66" s="231" t="s">
        <v>369</v>
      </c>
      <c r="E66" s="231" t="s">
        <v>336</v>
      </c>
      <c r="F66" s="231"/>
      <c r="G66" s="231" t="s">
        <v>321</v>
      </c>
      <c r="H66" s="231"/>
      <c r="I66" s="231"/>
      <c r="J66" s="231" t="s">
        <v>315</v>
      </c>
      <c r="K66" s="231" t="s">
        <v>330</v>
      </c>
      <c r="L66" s="231"/>
      <c r="M66" s="231"/>
      <c r="N66" s="231" t="s">
        <v>315</v>
      </c>
      <c r="O66" s="231" t="s">
        <v>333</v>
      </c>
    </row>
    <row r="67" ht="15.75" customHeight="1">
      <c r="A67" s="69"/>
      <c r="B67" s="231" t="s">
        <v>321</v>
      </c>
      <c r="C67" s="232"/>
      <c r="D67" s="231" t="s">
        <v>372</v>
      </c>
      <c r="E67" s="231"/>
      <c r="F67" s="231"/>
      <c r="G67" s="231" t="s">
        <v>324</v>
      </c>
      <c r="H67" s="231"/>
      <c r="I67" s="231"/>
      <c r="J67" s="231" t="s">
        <v>321</v>
      </c>
      <c r="K67" s="231" t="s">
        <v>333</v>
      </c>
      <c r="L67" s="231"/>
      <c r="M67" s="231"/>
      <c r="N67" s="231" t="s">
        <v>321</v>
      </c>
      <c r="O67" s="231" t="s">
        <v>339</v>
      </c>
    </row>
    <row r="68" ht="15.75" customHeight="1">
      <c r="A68" s="69"/>
      <c r="B68" s="231" t="s">
        <v>324</v>
      </c>
      <c r="C68" s="232"/>
      <c r="D68" s="231" t="s">
        <v>375</v>
      </c>
      <c r="E68" s="231"/>
      <c r="F68" s="231"/>
      <c r="G68" s="231" t="s">
        <v>327</v>
      </c>
      <c r="H68" s="231"/>
      <c r="I68" s="231"/>
      <c r="J68" s="231" t="s">
        <v>324</v>
      </c>
      <c r="K68" s="231" t="s">
        <v>339</v>
      </c>
      <c r="L68" s="231"/>
      <c r="M68" s="231"/>
      <c r="N68" s="231" t="s">
        <v>324</v>
      </c>
      <c r="O68" s="231" t="s">
        <v>348</v>
      </c>
    </row>
    <row r="69" ht="15.75" customHeight="1">
      <c r="A69" s="69"/>
      <c r="B69" s="231" t="s">
        <v>327</v>
      </c>
      <c r="C69" s="232"/>
      <c r="D69" s="231" t="s">
        <v>378</v>
      </c>
      <c r="E69" s="231"/>
      <c r="F69" s="231"/>
      <c r="G69" s="231" t="s">
        <v>330</v>
      </c>
      <c r="H69" s="231"/>
      <c r="I69" s="231"/>
      <c r="J69" s="231" t="s">
        <v>327</v>
      </c>
      <c r="K69" s="231" t="s">
        <v>348</v>
      </c>
      <c r="L69" s="231"/>
      <c r="M69" s="231"/>
      <c r="N69" s="231" t="s">
        <v>327</v>
      </c>
      <c r="O69" s="231" t="s">
        <v>351</v>
      </c>
    </row>
    <row r="70" ht="15.75" customHeight="1">
      <c r="A70" s="69"/>
      <c r="B70" s="231" t="s">
        <v>330</v>
      </c>
      <c r="C70" s="232"/>
      <c r="D70" s="231" t="s">
        <v>384</v>
      </c>
      <c r="E70" s="231"/>
      <c r="F70" s="231"/>
      <c r="G70" s="231" t="s">
        <v>333</v>
      </c>
      <c r="H70" s="231"/>
      <c r="I70" s="231"/>
      <c r="J70" s="231" t="s">
        <v>330</v>
      </c>
      <c r="K70" s="231" t="s">
        <v>351</v>
      </c>
      <c r="L70" s="231"/>
      <c r="M70" s="231"/>
      <c r="N70" s="231" t="s">
        <v>330</v>
      </c>
      <c r="O70" s="231" t="s">
        <v>354</v>
      </c>
    </row>
    <row r="71" ht="15.75" customHeight="1">
      <c r="A71" s="69"/>
      <c r="B71" s="231" t="s">
        <v>333</v>
      </c>
      <c r="C71" s="232"/>
      <c r="D71" s="231" t="s">
        <v>390</v>
      </c>
      <c r="E71" s="231"/>
      <c r="F71" s="231"/>
      <c r="G71" s="231" t="s">
        <v>339</v>
      </c>
      <c r="H71" s="231"/>
      <c r="I71" s="231"/>
      <c r="J71" s="231" t="s">
        <v>333</v>
      </c>
      <c r="K71" s="231" t="s">
        <v>354</v>
      </c>
      <c r="L71" s="231"/>
      <c r="M71" s="231"/>
      <c r="N71" s="231" t="s">
        <v>333</v>
      </c>
      <c r="O71" s="231" t="s">
        <v>357</v>
      </c>
    </row>
    <row r="72" ht="15.75" customHeight="1">
      <c r="A72" s="69"/>
      <c r="B72" s="231" t="s">
        <v>339</v>
      </c>
      <c r="C72" s="232"/>
      <c r="D72" s="231" t="s">
        <v>393</v>
      </c>
      <c r="E72" s="231"/>
      <c r="F72" s="231"/>
      <c r="G72" s="231" t="s">
        <v>345</v>
      </c>
      <c r="H72" s="231"/>
      <c r="I72" s="231"/>
      <c r="J72" s="231" t="s">
        <v>339</v>
      </c>
      <c r="K72" s="231" t="s">
        <v>357</v>
      </c>
      <c r="L72" s="231"/>
      <c r="M72" s="231"/>
      <c r="N72" s="231" t="s">
        <v>339</v>
      </c>
      <c r="O72" s="231" t="s">
        <v>360</v>
      </c>
    </row>
    <row r="73" ht="15.75" customHeight="1">
      <c r="A73" s="69"/>
      <c r="B73" s="231" t="s">
        <v>345</v>
      </c>
      <c r="C73" s="232"/>
      <c r="D73" s="231" t="s">
        <v>210</v>
      </c>
      <c r="E73" s="231"/>
      <c r="F73" s="231"/>
      <c r="G73" s="231" t="s">
        <v>348</v>
      </c>
      <c r="H73" s="231"/>
      <c r="I73" s="231"/>
      <c r="J73" s="231" t="s">
        <v>345</v>
      </c>
      <c r="K73" s="231" t="s">
        <v>360</v>
      </c>
      <c r="L73" s="231"/>
      <c r="M73" s="231"/>
      <c r="N73" s="231" t="s">
        <v>345</v>
      </c>
      <c r="O73" s="231" t="s">
        <v>366</v>
      </c>
    </row>
    <row r="74" ht="15.75" customHeight="1">
      <c r="A74" s="69"/>
      <c r="B74" s="231" t="s">
        <v>348</v>
      </c>
      <c r="C74" s="232"/>
      <c r="D74" s="231" t="s">
        <v>252</v>
      </c>
      <c r="E74" s="231"/>
      <c r="F74" s="231"/>
      <c r="G74" s="231" t="s">
        <v>351</v>
      </c>
      <c r="H74" s="231"/>
      <c r="I74" s="231"/>
      <c r="J74" s="231" t="s">
        <v>348</v>
      </c>
      <c r="K74" s="231" t="s">
        <v>366</v>
      </c>
      <c r="L74" s="231"/>
      <c r="M74" s="231"/>
      <c r="N74" s="231" t="s">
        <v>348</v>
      </c>
      <c r="O74" s="231" t="s">
        <v>369</v>
      </c>
    </row>
    <row r="75" ht="15.75" customHeight="1">
      <c r="A75" s="69"/>
      <c r="B75" s="231" t="s">
        <v>351</v>
      </c>
      <c r="C75" s="232"/>
      <c r="D75" s="231" t="s">
        <v>342</v>
      </c>
      <c r="E75" s="231"/>
      <c r="F75" s="231"/>
      <c r="G75" s="231" t="s">
        <v>354</v>
      </c>
      <c r="H75" s="231"/>
      <c r="I75" s="231"/>
      <c r="J75" s="231" t="s">
        <v>351</v>
      </c>
      <c r="K75" s="231" t="s">
        <v>369</v>
      </c>
      <c r="L75" s="231"/>
      <c r="M75" s="231"/>
      <c r="N75" s="231" t="s">
        <v>351</v>
      </c>
      <c r="O75" s="231" t="s">
        <v>372</v>
      </c>
    </row>
    <row r="76" ht="15.75" customHeight="1">
      <c r="A76" s="69"/>
      <c r="B76" s="231" t="s">
        <v>354</v>
      </c>
      <c r="C76" s="232"/>
      <c r="D76" s="231" t="s">
        <v>381</v>
      </c>
      <c r="E76" s="231"/>
      <c r="F76" s="231"/>
      <c r="G76" s="231" t="s">
        <v>357</v>
      </c>
      <c r="H76" s="231"/>
      <c r="I76" s="231"/>
      <c r="J76" s="231" t="s">
        <v>354</v>
      </c>
      <c r="K76" s="231" t="s">
        <v>372</v>
      </c>
      <c r="L76" s="231"/>
      <c r="M76" s="231"/>
      <c r="N76" s="231" t="s">
        <v>354</v>
      </c>
      <c r="O76" s="231" t="s">
        <v>375</v>
      </c>
    </row>
    <row r="77" ht="15.75" customHeight="1">
      <c r="A77" s="69"/>
      <c r="B77" s="231" t="s">
        <v>357</v>
      </c>
      <c r="C77" s="232"/>
      <c r="D77" s="231" t="s">
        <v>336</v>
      </c>
      <c r="E77" s="231"/>
      <c r="F77" s="231"/>
      <c r="G77" s="231" t="s">
        <v>360</v>
      </c>
      <c r="H77" s="231"/>
      <c r="I77" s="231"/>
      <c r="J77" s="231" t="s">
        <v>357</v>
      </c>
      <c r="K77" s="231" t="s">
        <v>375</v>
      </c>
      <c r="L77" s="231"/>
      <c r="M77" s="231"/>
      <c r="N77" s="231" t="s">
        <v>357</v>
      </c>
      <c r="O77" s="231" t="s">
        <v>378</v>
      </c>
    </row>
    <row r="78" ht="15.75" customHeight="1">
      <c r="A78" s="69"/>
      <c r="B78" s="231" t="s">
        <v>360</v>
      </c>
      <c r="C78" s="232"/>
      <c r="D78" s="232"/>
      <c r="E78" s="231"/>
      <c r="F78" s="231"/>
      <c r="G78" s="231" t="s">
        <v>363</v>
      </c>
      <c r="H78" s="231"/>
      <c r="I78" s="231"/>
      <c r="J78" s="231" t="s">
        <v>360</v>
      </c>
      <c r="K78" s="231" t="s">
        <v>378</v>
      </c>
      <c r="L78" s="231"/>
      <c r="M78" s="231"/>
      <c r="N78" s="231" t="s">
        <v>360</v>
      </c>
      <c r="O78" s="231" t="s">
        <v>384</v>
      </c>
    </row>
    <row r="79" ht="15.75" customHeight="1">
      <c r="A79" s="69"/>
      <c r="B79" s="231" t="s">
        <v>363</v>
      </c>
      <c r="C79" s="232"/>
      <c r="D79" s="232"/>
      <c r="E79" s="231"/>
      <c r="F79" s="231"/>
      <c r="G79" s="231" t="s">
        <v>366</v>
      </c>
      <c r="H79" s="231"/>
      <c r="I79" s="231"/>
      <c r="J79" s="231" t="s">
        <v>363</v>
      </c>
      <c r="K79" s="231" t="s">
        <v>384</v>
      </c>
      <c r="L79" s="231"/>
      <c r="M79" s="231"/>
      <c r="N79" s="231" t="s">
        <v>363</v>
      </c>
      <c r="O79" s="231" t="s">
        <v>390</v>
      </c>
    </row>
    <row r="80" ht="15.75" customHeight="1">
      <c r="A80" s="69"/>
      <c r="B80" s="231" t="s">
        <v>366</v>
      </c>
      <c r="C80" s="232"/>
      <c r="D80" s="232"/>
      <c r="E80" s="231"/>
      <c r="F80" s="231"/>
      <c r="G80" s="231" t="s">
        <v>369</v>
      </c>
      <c r="H80" s="231"/>
      <c r="I80" s="231"/>
      <c r="J80" s="231" t="s">
        <v>366</v>
      </c>
      <c r="K80" s="231" t="s">
        <v>390</v>
      </c>
      <c r="L80" s="231"/>
      <c r="M80" s="231"/>
      <c r="N80" s="231" t="s">
        <v>366</v>
      </c>
      <c r="O80" s="231" t="s">
        <v>393</v>
      </c>
    </row>
    <row r="81" ht="15.75" customHeight="1">
      <c r="A81" s="69"/>
      <c r="B81" s="231" t="s">
        <v>369</v>
      </c>
      <c r="C81" s="232"/>
      <c r="D81" s="232"/>
      <c r="E81" s="231"/>
      <c r="F81" s="231"/>
      <c r="G81" s="231" t="s">
        <v>372</v>
      </c>
      <c r="H81" s="231"/>
      <c r="I81" s="231"/>
      <c r="J81" s="231" t="s">
        <v>369</v>
      </c>
      <c r="K81" s="231" t="s">
        <v>393</v>
      </c>
      <c r="L81" s="231"/>
      <c r="M81" s="231"/>
      <c r="N81" s="231" t="s">
        <v>369</v>
      </c>
      <c r="O81" s="231" t="s">
        <v>210</v>
      </c>
    </row>
    <row r="82" ht="15.75" customHeight="1">
      <c r="A82" s="69"/>
      <c r="B82" s="231" t="s">
        <v>372</v>
      </c>
      <c r="C82" s="232"/>
      <c r="D82" s="232"/>
      <c r="E82" s="231"/>
      <c r="F82" s="231"/>
      <c r="G82" s="231" t="s">
        <v>375</v>
      </c>
      <c r="H82" s="231"/>
      <c r="I82" s="231"/>
      <c r="J82" s="231" t="s">
        <v>372</v>
      </c>
      <c r="K82" s="231" t="s">
        <v>210</v>
      </c>
      <c r="L82" s="231"/>
      <c r="M82" s="231"/>
      <c r="N82" s="231" t="s">
        <v>372</v>
      </c>
      <c r="O82" s="231" t="s">
        <v>252</v>
      </c>
    </row>
    <row r="83" ht="15.75" customHeight="1">
      <c r="A83" s="69"/>
      <c r="B83" s="231" t="s">
        <v>375</v>
      </c>
      <c r="C83" s="232"/>
      <c r="D83" s="232"/>
      <c r="E83" s="231"/>
      <c r="F83" s="231"/>
      <c r="G83" s="231" t="s">
        <v>378</v>
      </c>
      <c r="H83" s="231"/>
      <c r="I83" s="231"/>
      <c r="J83" s="231" t="s">
        <v>375</v>
      </c>
      <c r="K83" s="231" t="s">
        <v>252</v>
      </c>
      <c r="L83" s="231"/>
      <c r="M83" s="231"/>
      <c r="N83" s="231" t="s">
        <v>375</v>
      </c>
      <c r="O83" s="231" t="s">
        <v>342</v>
      </c>
    </row>
    <row r="84" ht="15.75" customHeight="1">
      <c r="A84" s="69"/>
      <c r="B84" s="231" t="s">
        <v>378</v>
      </c>
      <c r="C84" s="232"/>
      <c r="D84" s="232"/>
      <c r="E84" s="231"/>
      <c r="F84" s="231"/>
      <c r="G84" s="231" t="s">
        <v>384</v>
      </c>
      <c r="H84" s="231"/>
      <c r="I84" s="231"/>
      <c r="J84" s="231" t="s">
        <v>378</v>
      </c>
      <c r="K84" s="231" t="s">
        <v>342</v>
      </c>
      <c r="L84" s="231"/>
      <c r="M84" s="231"/>
      <c r="N84" s="231" t="s">
        <v>378</v>
      </c>
      <c r="O84" s="231" t="s">
        <v>381</v>
      </c>
    </row>
    <row r="85" ht="15.75" customHeight="1">
      <c r="A85" s="69"/>
      <c r="B85" s="231" t="s">
        <v>384</v>
      </c>
      <c r="C85" s="232"/>
      <c r="D85" s="232"/>
      <c r="E85" s="231"/>
      <c r="F85" s="231"/>
      <c r="G85" s="231" t="s">
        <v>390</v>
      </c>
      <c r="H85" s="231"/>
      <c r="I85" s="231"/>
      <c r="J85" s="231" t="s">
        <v>384</v>
      </c>
      <c r="K85" s="231" t="s">
        <v>381</v>
      </c>
      <c r="L85" s="231"/>
      <c r="M85" s="231"/>
      <c r="N85" s="231" t="s">
        <v>384</v>
      </c>
      <c r="O85" s="231" t="s">
        <v>336</v>
      </c>
    </row>
    <row r="86" ht="15.75" customHeight="1">
      <c r="A86" s="69"/>
      <c r="B86" s="231" t="s">
        <v>390</v>
      </c>
      <c r="C86" s="232"/>
      <c r="D86" s="232"/>
      <c r="E86" s="231"/>
      <c r="F86" s="231"/>
      <c r="G86" s="231" t="s">
        <v>393</v>
      </c>
      <c r="H86" s="231"/>
      <c r="I86" s="231"/>
      <c r="J86" s="231" t="s">
        <v>390</v>
      </c>
      <c r="K86" s="231" t="s">
        <v>336</v>
      </c>
      <c r="L86" s="231"/>
      <c r="M86" s="231"/>
      <c r="N86" s="231" t="s">
        <v>390</v>
      </c>
      <c r="O86" s="231"/>
    </row>
    <row r="87" ht="15.75" customHeight="1">
      <c r="A87" s="69"/>
      <c r="B87" s="231" t="s">
        <v>393</v>
      </c>
      <c r="C87" s="232"/>
      <c r="D87" s="232"/>
      <c r="E87" s="231"/>
      <c r="F87" s="231"/>
      <c r="G87" s="231" t="s">
        <v>210</v>
      </c>
      <c r="H87" s="231"/>
      <c r="I87" s="231"/>
      <c r="J87" s="231" t="s">
        <v>393</v>
      </c>
      <c r="K87" s="231"/>
      <c r="L87" s="231"/>
      <c r="M87" s="231"/>
      <c r="N87" s="231" t="s">
        <v>393</v>
      </c>
      <c r="O87" s="231"/>
    </row>
    <row r="88" ht="15.75" customHeight="1">
      <c r="A88" s="69"/>
      <c r="B88" s="231" t="s">
        <v>210</v>
      </c>
      <c r="C88" s="232"/>
      <c r="D88" s="232"/>
      <c r="E88" s="231"/>
      <c r="F88" s="231"/>
      <c r="G88" s="231" t="s">
        <v>252</v>
      </c>
      <c r="H88" s="231"/>
      <c r="I88" s="231"/>
      <c r="J88" s="231" t="s">
        <v>210</v>
      </c>
      <c r="K88" s="231"/>
      <c r="L88" s="231"/>
      <c r="M88" s="231"/>
      <c r="N88" s="231" t="s">
        <v>210</v>
      </c>
      <c r="O88" s="231"/>
    </row>
    <row r="89" ht="15.75" customHeight="1">
      <c r="A89" s="69"/>
      <c r="B89" s="231" t="s">
        <v>252</v>
      </c>
      <c r="C89" s="232"/>
      <c r="D89" s="232"/>
      <c r="E89" s="231"/>
      <c r="F89" s="231"/>
      <c r="G89" s="231" t="s">
        <v>342</v>
      </c>
      <c r="H89" s="231"/>
      <c r="I89" s="231"/>
      <c r="J89" s="231" t="s">
        <v>252</v>
      </c>
      <c r="K89" s="231"/>
      <c r="L89" s="231"/>
      <c r="M89" s="231"/>
      <c r="N89" s="231" t="s">
        <v>252</v>
      </c>
      <c r="O89" s="231"/>
    </row>
    <row r="90" ht="15.75" customHeight="1">
      <c r="A90" s="69"/>
      <c r="B90" s="231" t="s">
        <v>342</v>
      </c>
      <c r="C90" s="232"/>
      <c r="D90" s="232"/>
      <c r="E90" s="231"/>
      <c r="F90" s="231"/>
      <c r="G90" s="231" t="s">
        <v>381</v>
      </c>
      <c r="H90" s="231"/>
      <c r="I90" s="231"/>
      <c r="J90" s="231" t="s">
        <v>342</v>
      </c>
      <c r="K90" s="231"/>
      <c r="L90" s="231"/>
      <c r="M90" s="231"/>
      <c r="N90" s="231" t="s">
        <v>342</v>
      </c>
      <c r="O90" s="231"/>
    </row>
    <row r="91" ht="15.75" customHeight="1">
      <c r="A91" s="69"/>
      <c r="B91" s="231" t="s">
        <v>381</v>
      </c>
      <c r="C91" s="232"/>
      <c r="D91" s="232"/>
      <c r="E91" s="231"/>
      <c r="F91" s="231"/>
      <c r="G91" s="231" t="s">
        <v>336</v>
      </c>
      <c r="H91" s="231"/>
      <c r="I91" s="231"/>
      <c r="J91" s="231" t="s">
        <v>381</v>
      </c>
      <c r="K91" s="231"/>
      <c r="L91" s="231"/>
      <c r="M91" s="231"/>
      <c r="N91" s="231" t="s">
        <v>381</v>
      </c>
      <c r="O91" s="231"/>
    </row>
    <row r="92" ht="15.75" customHeight="1">
      <c r="A92" s="69"/>
      <c r="B92" s="231" t="s">
        <v>336</v>
      </c>
      <c r="C92" s="232"/>
      <c r="D92" s="232"/>
      <c r="E92" s="231"/>
      <c r="F92" s="231"/>
      <c r="G92" s="231"/>
      <c r="H92" s="231"/>
      <c r="I92" s="231"/>
      <c r="J92" s="231" t="s">
        <v>336</v>
      </c>
      <c r="K92" s="231"/>
      <c r="L92" s="231"/>
      <c r="M92" s="231"/>
      <c r="N92" s="231" t="s">
        <v>336</v>
      </c>
      <c r="O92" s="231"/>
    </row>
    <row r="93" ht="15.75" customHeight="1">
      <c r="A93" s="69"/>
      <c r="B93" s="231"/>
      <c r="C93" s="232"/>
      <c r="D93" s="232"/>
      <c r="E93" s="231"/>
      <c r="F93" s="231"/>
      <c r="G93" s="231"/>
      <c r="H93" s="231"/>
      <c r="I93" s="231"/>
      <c r="J93" s="231"/>
      <c r="K93" s="231"/>
      <c r="L93" s="231"/>
      <c r="M93" s="231"/>
      <c r="N93" s="231"/>
      <c r="O93" s="231"/>
    </row>
    <row r="94" ht="15.75" customHeight="1">
      <c r="A94" s="69"/>
      <c r="B94" s="231"/>
      <c r="C94" s="232"/>
      <c r="D94" s="232"/>
      <c r="E94" s="231"/>
      <c r="F94" s="231"/>
      <c r="G94" s="231"/>
      <c r="H94" s="231"/>
      <c r="I94" s="231"/>
      <c r="J94" s="231"/>
      <c r="K94" s="231"/>
      <c r="L94" s="231"/>
      <c r="M94" s="231"/>
      <c r="N94" s="231"/>
      <c r="O94" s="231"/>
    </row>
    <row r="95" ht="15.75" customHeight="1">
      <c r="A95" s="69"/>
      <c r="B95" s="231"/>
      <c r="C95" s="232"/>
      <c r="D95" s="232"/>
      <c r="E95" s="231"/>
      <c r="F95" s="231"/>
      <c r="G95" s="231"/>
      <c r="H95" s="231"/>
      <c r="I95" s="231"/>
      <c r="J95" s="231"/>
      <c r="K95" s="231"/>
      <c r="L95" s="231"/>
      <c r="M95" s="231"/>
      <c r="N95" s="231"/>
      <c r="O95" s="231"/>
    </row>
    <row r="96" ht="15.75" customHeight="1">
      <c r="A96" s="73"/>
    </row>
    <row r="97" ht="15.75" customHeight="1">
      <c r="A97" s="73"/>
    </row>
    <row r="98" ht="15.75" customHeight="1">
      <c r="A98" s="73"/>
    </row>
    <row r="99" ht="15.75" customHeight="1">
      <c r="A99" s="73"/>
    </row>
    <row r="100" ht="15.75" customHeight="1">
      <c r="A100" s="73"/>
    </row>
    <row r="101" ht="15.75" customHeight="1">
      <c r="A101" s="73"/>
    </row>
    <row r="102" ht="15.75" customHeight="1">
      <c r="A102" s="73"/>
    </row>
    <row r="103" ht="15.75" customHeight="1">
      <c r="A103" s="73"/>
    </row>
    <row r="104" ht="15.75" customHeight="1">
      <c r="A104" s="73"/>
    </row>
    <row r="105" ht="15.75" customHeight="1">
      <c r="A105" s="73"/>
    </row>
    <row r="106" ht="15.75" customHeight="1">
      <c r="A106" s="73"/>
    </row>
    <row r="107" ht="15.75" customHeight="1">
      <c r="A107" s="73"/>
    </row>
    <row r="108" ht="15.75" customHeight="1">
      <c r="A108" s="73"/>
    </row>
    <row r="109" ht="15.75" customHeight="1">
      <c r="A109" s="73"/>
    </row>
    <row r="110" ht="15.75" customHeight="1">
      <c r="A110" s="73"/>
    </row>
    <row r="111" ht="15.75" customHeight="1">
      <c r="A111" s="73"/>
    </row>
    <row r="112" ht="15.75" customHeight="1">
      <c r="A112" s="73"/>
    </row>
    <row r="113" ht="15.75" customHeight="1">
      <c r="A113" s="73"/>
    </row>
    <row r="114" ht="15.75" customHeight="1">
      <c r="A114" s="73"/>
    </row>
    <row r="115" ht="15.75" customHeight="1">
      <c r="A115" s="73"/>
    </row>
    <row r="116" ht="15.75" customHeight="1">
      <c r="A116" s="73"/>
    </row>
    <row r="117" ht="15.75" customHeight="1">
      <c r="A117" s="73"/>
    </row>
    <row r="118" ht="15.75" customHeight="1">
      <c r="A118" s="73"/>
    </row>
    <row r="119" ht="15.75" customHeight="1">
      <c r="A119" s="73"/>
    </row>
    <row r="120" ht="15.75" customHeight="1">
      <c r="A120" s="73"/>
    </row>
    <row r="121" ht="15.75" customHeight="1">
      <c r="A121" s="73"/>
    </row>
    <row r="122" ht="15.75" customHeight="1">
      <c r="A122" s="73"/>
    </row>
    <row r="123" ht="15.75" customHeight="1">
      <c r="A123" s="73"/>
    </row>
    <row r="124" ht="15.75" customHeight="1">
      <c r="A124" s="73"/>
    </row>
    <row r="125" ht="15.75" customHeight="1">
      <c r="A125" s="73"/>
    </row>
    <row r="126" ht="15.75" customHeight="1">
      <c r="A126" s="73"/>
    </row>
    <row r="127" ht="15.75" customHeight="1">
      <c r="A127" s="73"/>
    </row>
    <row r="128" ht="15.75" customHeight="1">
      <c r="A128" s="73"/>
    </row>
    <row r="129" ht="15.75" customHeight="1">
      <c r="A129" s="73"/>
    </row>
    <row r="130" ht="15.75" customHeight="1">
      <c r="A130" s="73"/>
    </row>
    <row r="131" ht="15.75" customHeight="1">
      <c r="A131" s="73"/>
    </row>
    <row r="132" ht="15.75" customHeight="1">
      <c r="A132" s="73"/>
    </row>
    <row r="133" ht="15.75" customHeight="1">
      <c r="A133" s="73"/>
    </row>
    <row r="134" ht="15.75" customHeight="1">
      <c r="A134" s="73"/>
    </row>
    <row r="135" ht="15.75" customHeight="1">
      <c r="A135" s="73"/>
    </row>
    <row r="136" ht="15.75" customHeight="1">
      <c r="A136" s="73"/>
    </row>
    <row r="137" ht="15.75" customHeight="1">
      <c r="A137" s="73"/>
    </row>
    <row r="138" ht="15.75" customHeight="1">
      <c r="A138" s="73"/>
    </row>
    <row r="139" ht="15.75" customHeight="1">
      <c r="A139" s="73"/>
    </row>
    <row r="140" ht="15.75" customHeight="1">
      <c r="A140" s="73"/>
    </row>
    <row r="141" ht="15.75" customHeight="1">
      <c r="A141" s="73"/>
    </row>
    <row r="142" ht="15.75" customHeight="1">
      <c r="A142" s="73"/>
    </row>
    <row r="143" ht="15.75" customHeight="1">
      <c r="A143" s="73"/>
    </row>
    <row r="144" ht="15.75" customHeight="1">
      <c r="A144" s="73"/>
    </row>
    <row r="145" ht="15.75" customHeight="1">
      <c r="A145" s="73"/>
    </row>
    <row r="146" ht="15.75" customHeight="1">
      <c r="A146" s="73"/>
    </row>
    <row r="147" ht="15.75" customHeight="1">
      <c r="A147" s="73"/>
    </row>
    <row r="148" ht="15.75" customHeight="1">
      <c r="A148" s="73"/>
    </row>
    <row r="149" ht="15.75" customHeight="1">
      <c r="A149" s="73"/>
    </row>
    <row r="150" ht="15.75" customHeight="1">
      <c r="A150" s="73"/>
    </row>
    <row r="151" ht="15.75" customHeight="1">
      <c r="A151" s="73"/>
    </row>
    <row r="152" ht="15.75" customHeight="1">
      <c r="A152" s="73"/>
    </row>
    <row r="153" ht="15.75" customHeight="1">
      <c r="A153" s="73"/>
    </row>
    <row r="154" ht="15.75" customHeight="1">
      <c r="A154" s="73"/>
    </row>
    <row r="155" ht="15.75" customHeight="1">
      <c r="A155" s="73"/>
    </row>
    <row r="156" ht="15.75" customHeight="1">
      <c r="A156" s="73"/>
    </row>
    <row r="157" ht="15.75" customHeight="1">
      <c r="A157" s="73"/>
    </row>
    <row r="158" ht="15.75" customHeight="1">
      <c r="A158" s="73"/>
    </row>
    <row r="159" ht="15.75" customHeight="1">
      <c r="A159" s="73"/>
    </row>
    <row r="160" ht="15.75" customHeight="1">
      <c r="A160" s="73"/>
    </row>
    <row r="161" ht="15.75" customHeight="1">
      <c r="A161" s="73"/>
    </row>
    <row r="162" ht="15.75" customHeight="1">
      <c r="A162" s="73"/>
    </row>
    <row r="163" ht="15.75" customHeight="1">
      <c r="A163" s="73"/>
    </row>
    <row r="164" ht="15.75" customHeight="1">
      <c r="A164" s="73"/>
    </row>
    <row r="165" ht="15.75" customHeight="1">
      <c r="A165" s="73"/>
    </row>
    <row r="166" ht="15.75" customHeight="1">
      <c r="A166" s="73"/>
    </row>
    <row r="167" ht="15.75" customHeight="1">
      <c r="A167" s="73"/>
    </row>
    <row r="168" ht="15.75" customHeight="1">
      <c r="A168" s="73"/>
    </row>
    <row r="169" ht="15.75" customHeight="1">
      <c r="A169" s="73"/>
    </row>
    <row r="170" ht="15.75" customHeight="1">
      <c r="A170" s="73"/>
    </row>
    <row r="171" ht="15.75" customHeight="1">
      <c r="A171" s="73"/>
    </row>
    <row r="172" ht="15.75" customHeight="1">
      <c r="A172" s="73"/>
    </row>
    <row r="173" ht="15.75" customHeight="1">
      <c r="A173" s="73"/>
    </row>
    <row r="174" ht="15.75" customHeight="1">
      <c r="A174" s="73"/>
    </row>
    <row r="175" ht="15.75" customHeight="1">
      <c r="A175" s="73"/>
    </row>
    <row r="176" ht="15.75" customHeight="1">
      <c r="A176" s="73"/>
    </row>
    <row r="177" ht="15.75" customHeight="1">
      <c r="A177" s="73"/>
    </row>
    <row r="178" ht="15.75" customHeight="1">
      <c r="A178" s="73"/>
    </row>
    <row r="179" ht="15.75" customHeight="1">
      <c r="A179" s="73"/>
    </row>
    <row r="180" ht="15.75" customHeight="1">
      <c r="A180" s="73"/>
    </row>
    <row r="181" ht="15.75" customHeight="1">
      <c r="A181" s="73"/>
    </row>
    <row r="182" ht="15.75" customHeight="1">
      <c r="A182" s="73"/>
    </row>
    <row r="183" ht="15.75" customHeight="1">
      <c r="A183" s="73"/>
    </row>
    <row r="184" ht="15.75" customHeight="1">
      <c r="A184" s="73"/>
    </row>
    <row r="185" ht="15.75" customHeight="1">
      <c r="A185" s="73"/>
    </row>
    <row r="186" ht="15.75" customHeight="1">
      <c r="A186" s="73"/>
    </row>
    <row r="187" ht="15.75" customHeight="1">
      <c r="A187" s="73"/>
    </row>
    <row r="188" ht="15.75" customHeight="1">
      <c r="A188" s="73"/>
    </row>
    <row r="189" ht="15.75" customHeight="1">
      <c r="A189" s="73"/>
    </row>
    <row r="190" ht="15.75" customHeight="1">
      <c r="A190" s="73"/>
    </row>
    <row r="191" ht="15.75" customHeight="1">
      <c r="A191" s="73"/>
    </row>
    <row r="192" ht="15.75" customHeight="1">
      <c r="A192" s="73"/>
    </row>
    <row r="193" ht="15.75" customHeight="1">
      <c r="A193" s="73"/>
    </row>
    <row r="194" ht="15.75" customHeight="1">
      <c r="A194" s="73"/>
    </row>
    <row r="195" ht="15.75" customHeight="1">
      <c r="A195" s="73"/>
    </row>
    <row r="196" ht="15.75" customHeight="1">
      <c r="A196" s="73"/>
    </row>
    <row r="197" ht="15.75" customHeight="1">
      <c r="A197" s="73"/>
    </row>
    <row r="198" ht="15.75" customHeight="1">
      <c r="A198" s="73"/>
    </row>
    <row r="199" ht="15.75" customHeight="1">
      <c r="A199" s="73"/>
    </row>
    <row r="200" ht="15.75" customHeight="1">
      <c r="A200" s="73"/>
    </row>
    <row r="201" ht="15.75" customHeight="1">
      <c r="A201" s="73"/>
    </row>
    <row r="202" ht="15.75" customHeight="1">
      <c r="A202" s="73"/>
    </row>
    <row r="203" ht="15.75" customHeight="1">
      <c r="A203" s="73"/>
    </row>
    <row r="204" ht="15.75" customHeight="1">
      <c r="A204" s="73"/>
    </row>
    <row r="205" ht="15.75" customHeight="1">
      <c r="A205" s="73"/>
    </row>
    <row r="206" ht="15.75" customHeight="1">
      <c r="A206" s="73"/>
    </row>
    <row r="207" ht="15.75" customHeight="1">
      <c r="A207" s="73"/>
    </row>
    <row r="208" ht="15.75" customHeight="1">
      <c r="A208" s="73"/>
    </row>
    <row r="209" ht="15.75" customHeight="1">
      <c r="A209" s="73"/>
    </row>
    <row r="210" ht="15.75" customHeight="1">
      <c r="A210" s="73"/>
    </row>
    <row r="211" ht="15.75" customHeight="1">
      <c r="A211" s="73"/>
    </row>
    <row r="212" ht="15.75" customHeight="1">
      <c r="A212" s="73"/>
    </row>
    <row r="213" ht="15.75" customHeight="1">
      <c r="A213" s="73"/>
    </row>
    <row r="214" ht="15.75" customHeight="1">
      <c r="A214" s="73"/>
    </row>
    <row r="215" ht="15.75" customHeight="1">
      <c r="A215" s="73"/>
    </row>
    <row r="216" ht="15.75" customHeight="1">
      <c r="A216" s="73"/>
    </row>
    <row r="217" ht="15.75" customHeight="1">
      <c r="A217" s="73"/>
    </row>
    <row r="218" ht="15.75" customHeight="1">
      <c r="A218" s="73"/>
    </row>
    <row r="219" ht="15.75" customHeight="1">
      <c r="A219" s="73"/>
    </row>
    <row r="220" ht="15.75" customHeight="1">
      <c r="A220" s="73"/>
    </row>
    <row r="221" ht="15.75" customHeight="1">
      <c r="A221" s="73"/>
    </row>
    <row r="222" ht="15.75" customHeight="1">
      <c r="A222" s="73"/>
    </row>
    <row r="223" ht="15.75" customHeight="1">
      <c r="A223" s="73"/>
    </row>
    <row r="224" ht="15.75" customHeight="1">
      <c r="A224" s="73"/>
    </row>
    <row r="225" ht="15.75" customHeight="1">
      <c r="A225" s="73"/>
    </row>
    <row r="226" ht="15.75" customHeight="1">
      <c r="A226" s="73"/>
    </row>
    <row r="227" ht="15.75" customHeight="1">
      <c r="A227" s="73"/>
    </row>
    <row r="228" ht="15.75" customHeight="1">
      <c r="A228" s="73"/>
    </row>
    <row r="229" ht="15.75" customHeight="1">
      <c r="A229" s="73"/>
    </row>
    <row r="230" ht="15.75" customHeight="1">
      <c r="A230" s="73"/>
    </row>
    <row r="231" ht="15.75" customHeight="1">
      <c r="A231" s="73"/>
    </row>
    <row r="232" ht="15.75" customHeight="1">
      <c r="A232" s="73"/>
    </row>
    <row r="233" ht="15.75" customHeight="1">
      <c r="A233" s="73"/>
    </row>
    <row r="234" ht="15.75" customHeight="1">
      <c r="A234" s="73"/>
    </row>
    <row r="235" ht="15.75" customHeight="1">
      <c r="A235" s="73"/>
    </row>
    <row r="236" ht="15.75" customHeight="1">
      <c r="A236" s="73"/>
    </row>
    <row r="237" ht="15.75" customHeight="1">
      <c r="A237" s="73"/>
    </row>
    <row r="238" ht="15.75" customHeight="1">
      <c r="A238" s="73"/>
    </row>
    <row r="239" ht="15.75" customHeight="1">
      <c r="A239" s="73"/>
    </row>
    <row r="240" ht="15.75" customHeight="1">
      <c r="A240" s="73"/>
    </row>
    <row r="241" ht="15.75" customHeight="1">
      <c r="A241" s="73"/>
    </row>
    <row r="242" ht="15.75" customHeight="1">
      <c r="A242" s="73"/>
    </row>
    <row r="243" ht="15.75" customHeight="1">
      <c r="A243" s="73"/>
    </row>
    <row r="244" ht="15.75" customHeight="1">
      <c r="A244" s="73"/>
    </row>
    <row r="245" ht="15.75" customHeight="1">
      <c r="A245" s="73"/>
    </row>
    <row r="246" ht="15.75" customHeight="1">
      <c r="A246" s="73"/>
    </row>
    <row r="247" ht="15.75" customHeight="1">
      <c r="A247" s="73"/>
    </row>
    <row r="248" ht="15.75" customHeight="1">
      <c r="A248" s="73"/>
    </row>
    <row r="249" ht="15.75" customHeight="1">
      <c r="A249" s="73"/>
    </row>
    <row r="250" ht="15.75" customHeight="1">
      <c r="A250" s="73"/>
    </row>
    <row r="251" ht="15.75" customHeight="1">
      <c r="A251" s="73"/>
    </row>
    <row r="252" ht="15.75" customHeight="1">
      <c r="A252" s="73"/>
    </row>
    <row r="253" ht="15.75" customHeight="1">
      <c r="A253" s="73"/>
    </row>
    <row r="254" ht="15.75" customHeight="1">
      <c r="A254" s="73"/>
    </row>
    <row r="255" ht="15.75" customHeight="1">
      <c r="A255" s="73"/>
    </row>
    <row r="256" ht="15.75" customHeight="1">
      <c r="A256" s="73"/>
    </row>
    <row r="257" ht="15.75" customHeight="1">
      <c r="A257" s="73"/>
    </row>
    <row r="258" ht="15.75" customHeight="1">
      <c r="A258" s="73"/>
    </row>
    <row r="259" ht="15.75" customHeight="1">
      <c r="A259" s="73"/>
    </row>
    <row r="260" ht="15.75" customHeight="1">
      <c r="A260" s="73"/>
    </row>
    <row r="261" ht="15.75" customHeight="1">
      <c r="A261" s="73"/>
    </row>
    <row r="262" ht="15.75" customHeight="1">
      <c r="A262" s="73"/>
    </row>
    <row r="263" ht="15.75" customHeight="1">
      <c r="A263" s="73"/>
    </row>
    <row r="264" ht="15.75" customHeight="1">
      <c r="A264" s="73"/>
    </row>
    <row r="265" ht="15.75" customHeight="1">
      <c r="A265" s="73"/>
    </row>
    <row r="266" ht="15.75" customHeight="1">
      <c r="A266" s="73"/>
    </row>
    <row r="267" ht="15.75" customHeight="1">
      <c r="A267" s="73"/>
    </row>
    <row r="268" ht="15.75" customHeight="1">
      <c r="A268" s="73"/>
    </row>
    <row r="269" ht="15.75" customHeight="1">
      <c r="A269" s="73"/>
    </row>
    <row r="270" ht="15.75" customHeight="1">
      <c r="A270" s="73"/>
    </row>
    <row r="271" ht="15.75" customHeight="1">
      <c r="A271" s="73"/>
    </row>
    <row r="272" ht="15.75" customHeight="1">
      <c r="A272" s="73"/>
    </row>
    <row r="273" ht="15.75" customHeight="1">
      <c r="A273" s="73"/>
    </row>
    <row r="274" ht="15.75" customHeight="1">
      <c r="A274" s="73"/>
    </row>
    <row r="275" ht="15.75" customHeight="1">
      <c r="A275" s="73"/>
    </row>
    <row r="276" ht="15.75" customHeight="1">
      <c r="A276" s="73"/>
    </row>
    <row r="277" ht="15.75" customHeight="1">
      <c r="A277" s="73"/>
    </row>
    <row r="278" ht="15.75" customHeight="1">
      <c r="A278" s="73"/>
    </row>
    <row r="279" ht="15.75" customHeight="1">
      <c r="A279" s="73"/>
    </row>
    <row r="280" ht="15.75" customHeight="1">
      <c r="A280" s="73"/>
    </row>
    <row r="281" ht="15.75" customHeight="1">
      <c r="A281" s="73"/>
    </row>
    <row r="282" ht="15.75" customHeight="1">
      <c r="A282" s="73"/>
    </row>
    <row r="283" ht="15.75" customHeight="1">
      <c r="A283" s="73"/>
    </row>
    <row r="284" ht="15.75" customHeight="1">
      <c r="A284" s="73"/>
    </row>
    <row r="285" ht="15.75" customHeight="1">
      <c r="A285" s="73"/>
    </row>
    <row r="286" ht="15.75" customHeight="1">
      <c r="A286" s="73"/>
    </row>
    <row r="287" ht="15.75" customHeight="1">
      <c r="A287" s="73"/>
    </row>
    <row r="288" ht="15.75" customHeight="1">
      <c r="A288" s="73"/>
    </row>
    <row r="289" ht="15.75" customHeight="1">
      <c r="A289" s="73"/>
    </row>
    <row r="290" ht="15.75" customHeight="1">
      <c r="A290" s="73"/>
    </row>
    <row r="291" ht="15.75" customHeight="1">
      <c r="A291" s="73"/>
    </row>
    <row r="292" ht="15.75" customHeight="1">
      <c r="A292" s="73"/>
    </row>
    <row r="293" ht="15.75" customHeight="1">
      <c r="A293" s="73"/>
    </row>
    <row r="294" ht="15.75" customHeight="1">
      <c r="A294" s="73"/>
    </row>
    <row r="295" ht="15.75" customHeight="1">
      <c r="A295" s="73"/>
    </row>
    <row r="296" ht="15.75" customHeight="1">
      <c r="A296" s="73"/>
    </row>
    <row r="297" ht="15.75" customHeight="1">
      <c r="A297" s="73"/>
    </row>
    <row r="298" ht="15.75" customHeight="1">
      <c r="A298" s="73"/>
    </row>
    <row r="299" ht="15.75" customHeight="1">
      <c r="A299" s="73"/>
    </row>
    <row r="300" ht="15.75" customHeight="1">
      <c r="A300" s="73"/>
    </row>
    <row r="301" ht="15.75" customHeight="1">
      <c r="A301" s="73"/>
    </row>
    <row r="302" ht="15.75" customHeight="1">
      <c r="A302" s="73"/>
    </row>
    <row r="303" ht="15.75" customHeight="1">
      <c r="A303" s="73"/>
    </row>
    <row r="304" ht="15.75" customHeight="1">
      <c r="A304" s="73"/>
    </row>
    <row r="305" ht="15.75" customHeight="1">
      <c r="A305" s="73"/>
    </row>
    <row r="306" ht="15.75" customHeight="1">
      <c r="A306" s="73"/>
    </row>
    <row r="307" ht="15.75" customHeight="1">
      <c r="A307" s="73"/>
    </row>
    <row r="308" ht="15.75" customHeight="1">
      <c r="A308" s="73"/>
    </row>
    <row r="309" ht="15.75" customHeight="1">
      <c r="A309" s="73"/>
    </row>
    <row r="310" ht="15.75" customHeight="1">
      <c r="A310" s="73"/>
    </row>
    <row r="311" ht="15.75" customHeight="1">
      <c r="A311" s="73"/>
    </row>
    <row r="312" ht="15.75" customHeight="1">
      <c r="A312" s="73"/>
    </row>
    <row r="313" ht="15.75" customHeight="1">
      <c r="A313" s="73"/>
    </row>
    <row r="314" ht="15.75" customHeight="1">
      <c r="A314" s="73"/>
    </row>
    <row r="315" ht="15.75" customHeight="1">
      <c r="A315" s="73"/>
    </row>
    <row r="316" ht="15.75" customHeight="1">
      <c r="A316" s="73"/>
    </row>
    <row r="317" ht="15.75" customHeight="1">
      <c r="A317" s="73"/>
    </row>
    <row r="318" ht="15.75" customHeight="1">
      <c r="A318" s="73"/>
    </row>
    <row r="319" ht="15.75" customHeight="1">
      <c r="A319" s="73"/>
    </row>
    <row r="320" ht="15.75" customHeight="1">
      <c r="A320" s="73"/>
    </row>
    <row r="321" ht="15.75" customHeight="1">
      <c r="A321" s="73"/>
    </row>
    <row r="322" ht="15.75" customHeight="1">
      <c r="A322" s="73"/>
    </row>
    <row r="323" ht="15.75" customHeight="1">
      <c r="A323" s="73"/>
    </row>
    <row r="324" ht="15.75" customHeight="1">
      <c r="A324" s="73"/>
    </row>
    <row r="325" ht="15.75" customHeight="1">
      <c r="A325" s="73"/>
    </row>
    <row r="326" ht="15.75" customHeight="1">
      <c r="A326" s="73"/>
    </row>
    <row r="327" ht="15.75" customHeight="1">
      <c r="A327" s="73"/>
    </row>
    <row r="328" ht="15.75" customHeight="1">
      <c r="A328" s="73"/>
    </row>
    <row r="329" ht="15.75" customHeight="1">
      <c r="A329" s="73"/>
    </row>
    <row r="330" ht="15.75" customHeight="1">
      <c r="A330" s="73"/>
    </row>
    <row r="331" ht="15.75" customHeight="1">
      <c r="A331" s="73"/>
    </row>
    <row r="332" ht="15.75" customHeight="1">
      <c r="A332" s="73"/>
    </row>
    <row r="333" ht="15.75" customHeight="1">
      <c r="A333" s="73"/>
    </row>
    <row r="334" ht="15.75" customHeight="1">
      <c r="A334" s="73"/>
    </row>
    <row r="335" ht="15.75" customHeight="1">
      <c r="A335" s="73"/>
    </row>
    <row r="336" ht="15.75" customHeight="1">
      <c r="A336" s="73"/>
    </row>
    <row r="337" ht="15.75" customHeight="1">
      <c r="A337" s="73"/>
    </row>
    <row r="338" ht="15.75" customHeight="1">
      <c r="A338" s="73"/>
    </row>
    <row r="339" ht="15.75" customHeight="1">
      <c r="A339" s="73"/>
    </row>
    <row r="340" ht="15.75" customHeight="1">
      <c r="A340" s="73"/>
    </row>
    <row r="341" ht="15.75" customHeight="1">
      <c r="A341" s="73"/>
    </row>
    <row r="342" ht="15.75" customHeight="1">
      <c r="A342" s="73"/>
    </row>
    <row r="343" ht="15.75" customHeight="1">
      <c r="A343" s="73"/>
    </row>
    <row r="344" ht="15.75" customHeight="1">
      <c r="A344" s="73"/>
    </row>
    <row r="345" ht="15.75" customHeight="1">
      <c r="A345" s="73"/>
    </row>
    <row r="346" ht="15.75" customHeight="1">
      <c r="A346" s="73"/>
    </row>
    <row r="347" ht="15.75" customHeight="1">
      <c r="A347" s="73"/>
    </row>
    <row r="348" ht="15.75" customHeight="1">
      <c r="A348" s="73"/>
    </row>
    <row r="349" ht="15.75" customHeight="1">
      <c r="A349" s="73"/>
    </row>
    <row r="350" ht="15.75" customHeight="1">
      <c r="A350" s="73"/>
    </row>
    <row r="351" ht="15.75" customHeight="1">
      <c r="A351" s="73"/>
    </row>
    <row r="352" ht="15.75" customHeight="1">
      <c r="A352" s="73"/>
    </row>
    <row r="353" ht="15.75" customHeight="1">
      <c r="A353" s="73"/>
    </row>
    <row r="354" ht="15.75" customHeight="1">
      <c r="A354" s="73"/>
    </row>
    <row r="355" ht="15.75" customHeight="1">
      <c r="A355" s="73"/>
    </row>
    <row r="356" ht="15.75" customHeight="1">
      <c r="A356" s="73"/>
    </row>
    <row r="357" ht="15.75" customHeight="1">
      <c r="A357" s="73"/>
    </row>
    <row r="358" ht="15.75" customHeight="1">
      <c r="A358" s="73"/>
    </row>
    <row r="359" ht="15.75" customHeight="1">
      <c r="A359" s="73"/>
    </row>
    <row r="360" ht="15.75" customHeight="1">
      <c r="A360" s="73"/>
    </row>
    <row r="361" ht="15.75" customHeight="1">
      <c r="A361" s="73"/>
    </row>
    <row r="362" ht="15.75" customHeight="1">
      <c r="A362" s="73"/>
    </row>
    <row r="363" ht="15.75" customHeight="1">
      <c r="A363" s="73"/>
    </row>
    <row r="364" ht="15.75" customHeight="1">
      <c r="A364" s="73"/>
    </row>
    <row r="365" ht="15.75" customHeight="1">
      <c r="A365" s="73"/>
    </row>
    <row r="366" ht="15.75" customHeight="1">
      <c r="A366" s="73"/>
    </row>
    <row r="367" ht="15.75" customHeight="1">
      <c r="A367" s="73"/>
    </row>
    <row r="368" ht="15.75" customHeight="1">
      <c r="A368" s="73"/>
    </row>
    <row r="369" ht="15.75" customHeight="1">
      <c r="A369" s="73"/>
    </row>
    <row r="370" ht="15.75" customHeight="1">
      <c r="A370" s="73"/>
    </row>
    <row r="371" ht="15.75" customHeight="1">
      <c r="A371" s="73"/>
    </row>
    <row r="372" ht="15.75" customHeight="1">
      <c r="A372" s="73"/>
    </row>
    <row r="373" ht="15.75" customHeight="1">
      <c r="A373" s="73"/>
    </row>
    <row r="374" ht="15.75" customHeight="1">
      <c r="A374" s="73"/>
    </row>
    <row r="375" ht="15.75" customHeight="1">
      <c r="A375" s="73"/>
    </row>
    <row r="376" ht="15.75" customHeight="1">
      <c r="A376" s="73"/>
    </row>
    <row r="377" ht="15.75" customHeight="1">
      <c r="A377" s="73"/>
    </row>
    <row r="378" ht="15.75" customHeight="1">
      <c r="A378" s="73"/>
    </row>
    <row r="379" ht="15.75" customHeight="1">
      <c r="A379" s="73"/>
    </row>
    <row r="380" ht="15.75" customHeight="1">
      <c r="A380" s="73"/>
    </row>
    <row r="381" ht="15.75" customHeight="1">
      <c r="A381" s="73"/>
    </row>
    <row r="382" ht="15.75" customHeight="1">
      <c r="A382" s="73"/>
    </row>
    <row r="383" ht="15.75" customHeight="1">
      <c r="A383" s="73"/>
    </row>
    <row r="384" ht="15.75" customHeight="1">
      <c r="A384" s="73"/>
    </row>
    <row r="385" ht="15.75" customHeight="1">
      <c r="A385" s="73"/>
    </row>
    <row r="386" ht="15.75" customHeight="1">
      <c r="A386" s="73"/>
    </row>
    <row r="387" ht="15.75" customHeight="1">
      <c r="A387" s="73"/>
    </row>
    <row r="388" ht="15.75" customHeight="1">
      <c r="A388" s="73"/>
    </row>
    <row r="389" ht="15.75" customHeight="1">
      <c r="A389" s="73"/>
    </row>
    <row r="390" ht="15.75" customHeight="1">
      <c r="A390" s="73"/>
    </row>
    <row r="391" ht="15.75" customHeight="1">
      <c r="A391" s="73"/>
    </row>
    <row r="392" ht="15.75" customHeight="1">
      <c r="A392" s="73"/>
    </row>
    <row r="393" ht="15.75" customHeight="1">
      <c r="A393" s="73"/>
    </row>
    <row r="394" ht="15.75" customHeight="1">
      <c r="A394" s="73"/>
    </row>
    <row r="395" ht="15.75" customHeight="1">
      <c r="A395" s="73"/>
    </row>
    <row r="396" ht="15.75" customHeight="1">
      <c r="A396" s="73"/>
    </row>
    <row r="397" ht="15.75" customHeight="1">
      <c r="A397" s="73"/>
    </row>
    <row r="398" ht="15.75" customHeight="1">
      <c r="A398" s="73"/>
    </row>
    <row r="399" ht="15.75" customHeight="1">
      <c r="A399" s="73"/>
    </row>
    <row r="400" ht="15.75" customHeight="1">
      <c r="A400" s="73"/>
    </row>
    <row r="401" ht="15.75" customHeight="1">
      <c r="A401" s="73"/>
    </row>
    <row r="402" ht="15.75" customHeight="1">
      <c r="A402" s="73"/>
    </row>
    <row r="403" ht="15.75" customHeight="1">
      <c r="A403" s="73"/>
    </row>
    <row r="404" ht="15.75" customHeight="1">
      <c r="A404" s="73"/>
    </row>
    <row r="405" ht="15.75" customHeight="1">
      <c r="A405" s="73"/>
    </row>
    <row r="406" ht="15.75" customHeight="1">
      <c r="A406" s="73"/>
    </row>
    <row r="407" ht="15.75" customHeight="1">
      <c r="A407" s="73"/>
    </row>
    <row r="408" ht="15.75" customHeight="1">
      <c r="A408" s="73"/>
    </row>
    <row r="409" ht="15.75" customHeight="1">
      <c r="A409" s="73"/>
    </row>
    <row r="410" ht="15.75" customHeight="1">
      <c r="A410" s="73"/>
    </row>
    <row r="411" ht="15.75" customHeight="1">
      <c r="A411" s="73"/>
    </row>
    <row r="412" ht="15.75" customHeight="1">
      <c r="A412" s="73"/>
    </row>
    <row r="413" ht="15.75" customHeight="1">
      <c r="A413" s="73"/>
    </row>
    <row r="414" ht="15.75" customHeight="1">
      <c r="A414" s="73"/>
    </row>
    <row r="415" ht="15.75" customHeight="1">
      <c r="A415" s="73"/>
    </row>
    <row r="416" ht="15.75" customHeight="1">
      <c r="A416" s="73"/>
    </row>
    <row r="417" ht="15.75" customHeight="1">
      <c r="A417" s="73"/>
    </row>
    <row r="418" ht="15.75" customHeight="1">
      <c r="A418" s="73"/>
    </row>
    <row r="419" ht="15.75" customHeight="1">
      <c r="A419" s="73"/>
    </row>
    <row r="420" ht="15.75" customHeight="1">
      <c r="A420" s="73"/>
    </row>
    <row r="421" ht="15.75" customHeight="1">
      <c r="A421" s="73"/>
    </row>
    <row r="422" ht="15.75" customHeight="1">
      <c r="A422" s="73"/>
    </row>
    <row r="423" ht="15.75" customHeight="1">
      <c r="A423" s="73"/>
    </row>
    <row r="424" ht="15.75" customHeight="1">
      <c r="A424" s="73"/>
    </row>
    <row r="425" ht="15.75" customHeight="1">
      <c r="A425" s="73"/>
    </row>
    <row r="426" ht="15.75" customHeight="1">
      <c r="A426" s="73"/>
    </row>
    <row r="427" ht="15.75" customHeight="1">
      <c r="A427" s="73"/>
    </row>
    <row r="428" ht="15.75" customHeight="1">
      <c r="A428" s="73"/>
    </row>
    <row r="429" ht="15.75" customHeight="1">
      <c r="A429" s="73"/>
    </row>
    <row r="430" ht="15.75" customHeight="1">
      <c r="A430" s="73"/>
    </row>
    <row r="431" ht="15.75" customHeight="1">
      <c r="A431" s="73"/>
    </row>
    <row r="432" ht="15.75" customHeight="1">
      <c r="A432" s="73"/>
    </row>
    <row r="433" ht="15.75" customHeight="1">
      <c r="A433" s="73"/>
    </row>
    <row r="434" ht="15.75" customHeight="1">
      <c r="A434" s="73"/>
    </row>
    <row r="435" ht="15.75" customHeight="1">
      <c r="A435" s="73"/>
    </row>
    <row r="436" ht="15.75" customHeight="1">
      <c r="A436" s="73"/>
    </row>
    <row r="437" ht="15.75" customHeight="1">
      <c r="A437" s="73"/>
    </row>
    <row r="438" ht="15.75" customHeight="1">
      <c r="A438" s="73"/>
    </row>
    <row r="439" ht="15.75" customHeight="1">
      <c r="A439" s="73"/>
    </row>
    <row r="440" ht="15.75" customHeight="1">
      <c r="A440" s="73"/>
    </row>
    <row r="441" ht="15.75" customHeight="1">
      <c r="A441" s="73"/>
    </row>
    <row r="442" ht="15.75" customHeight="1">
      <c r="A442" s="73"/>
    </row>
    <row r="443" ht="15.75" customHeight="1">
      <c r="A443" s="73"/>
    </row>
    <row r="444" ht="15.75" customHeight="1">
      <c r="A444" s="73"/>
    </row>
    <row r="445" ht="15.75" customHeight="1">
      <c r="A445" s="73"/>
    </row>
    <row r="446" ht="15.75" customHeight="1">
      <c r="A446" s="73"/>
    </row>
    <row r="447" ht="15.75" customHeight="1">
      <c r="A447" s="73"/>
    </row>
    <row r="448" ht="15.75" customHeight="1">
      <c r="A448" s="73"/>
    </row>
    <row r="449" ht="15.75" customHeight="1">
      <c r="A449" s="73"/>
    </row>
    <row r="450" ht="15.75" customHeight="1">
      <c r="A450" s="73"/>
    </row>
    <row r="451" ht="15.75" customHeight="1">
      <c r="A451" s="73"/>
    </row>
    <row r="452" ht="15.75" customHeight="1">
      <c r="A452" s="73"/>
    </row>
    <row r="453" ht="15.75" customHeight="1">
      <c r="A453" s="73"/>
    </row>
    <row r="454" ht="15.75" customHeight="1">
      <c r="A454" s="73"/>
    </row>
    <row r="455" ht="15.75" customHeight="1">
      <c r="A455" s="73"/>
    </row>
    <row r="456" ht="15.75" customHeight="1">
      <c r="A456" s="73"/>
    </row>
    <row r="457" ht="15.75" customHeight="1">
      <c r="A457" s="73"/>
    </row>
    <row r="458" ht="15.75" customHeight="1">
      <c r="A458" s="73"/>
    </row>
    <row r="459" ht="15.75" customHeight="1">
      <c r="A459" s="73"/>
    </row>
    <row r="460" ht="15.75" customHeight="1">
      <c r="A460" s="73"/>
    </row>
    <row r="461" ht="15.75" customHeight="1">
      <c r="A461" s="73"/>
    </row>
    <row r="462" ht="15.75" customHeight="1">
      <c r="A462" s="73"/>
    </row>
    <row r="463" ht="15.75" customHeight="1">
      <c r="A463" s="73"/>
    </row>
    <row r="464" ht="15.75" customHeight="1">
      <c r="A464" s="73"/>
    </row>
    <row r="465" ht="15.75" customHeight="1">
      <c r="A465" s="73"/>
    </row>
    <row r="466" ht="15.75" customHeight="1">
      <c r="A466" s="73"/>
    </row>
    <row r="467" ht="15.75" customHeight="1">
      <c r="A467" s="73"/>
    </row>
    <row r="468" ht="15.75" customHeight="1">
      <c r="A468" s="73"/>
    </row>
    <row r="469" ht="15.75" customHeight="1">
      <c r="A469" s="73"/>
    </row>
    <row r="470" ht="15.75" customHeight="1">
      <c r="A470" s="73"/>
    </row>
    <row r="471" ht="15.75" customHeight="1">
      <c r="A471" s="73"/>
    </row>
    <row r="472" ht="15.75" customHeight="1">
      <c r="A472" s="73"/>
    </row>
    <row r="473" ht="15.75" customHeight="1">
      <c r="A473" s="73"/>
    </row>
    <row r="474" ht="15.75" customHeight="1">
      <c r="A474" s="73"/>
    </row>
    <row r="475" ht="15.75" customHeight="1">
      <c r="A475" s="73"/>
    </row>
    <row r="476" ht="15.75" customHeight="1">
      <c r="A476" s="73"/>
    </row>
    <row r="477" ht="15.75" customHeight="1">
      <c r="A477" s="73"/>
    </row>
    <row r="478" ht="15.75" customHeight="1">
      <c r="A478" s="73"/>
    </row>
    <row r="479" ht="15.75" customHeight="1">
      <c r="A479" s="73"/>
    </row>
    <row r="480" ht="15.75" customHeight="1">
      <c r="A480" s="73"/>
    </row>
    <row r="481" ht="15.75" customHeight="1">
      <c r="A481" s="73"/>
    </row>
    <row r="482" ht="15.75" customHeight="1">
      <c r="A482" s="73"/>
    </row>
    <row r="483" ht="15.75" customHeight="1">
      <c r="A483" s="73"/>
    </row>
    <row r="484" ht="15.75" customHeight="1">
      <c r="A484" s="73"/>
    </row>
    <row r="485" ht="15.75" customHeight="1">
      <c r="A485" s="73"/>
    </row>
    <row r="486" ht="15.75" customHeight="1">
      <c r="A486" s="73"/>
    </row>
    <row r="487" ht="15.75" customHeight="1">
      <c r="A487" s="73"/>
    </row>
    <row r="488" ht="15.75" customHeight="1">
      <c r="A488" s="73"/>
    </row>
    <row r="489" ht="15.75" customHeight="1">
      <c r="A489" s="73"/>
    </row>
    <row r="490" ht="15.75" customHeight="1">
      <c r="A490" s="73"/>
    </row>
    <row r="491" ht="15.75" customHeight="1">
      <c r="A491" s="73"/>
    </row>
    <row r="492" ht="15.75" customHeight="1">
      <c r="A492" s="73"/>
    </row>
    <row r="493" ht="15.75" customHeight="1">
      <c r="A493" s="73"/>
    </row>
    <row r="494" ht="15.75" customHeight="1">
      <c r="A494" s="73"/>
    </row>
    <row r="495" ht="15.75" customHeight="1">
      <c r="A495" s="73"/>
    </row>
    <row r="496" ht="15.75" customHeight="1">
      <c r="A496" s="73"/>
    </row>
    <row r="497" ht="15.75" customHeight="1">
      <c r="A497" s="73"/>
    </row>
    <row r="498" ht="15.75" customHeight="1">
      <c r="A498" s="73"/>
    </row>
    <row r="499" ht="15.75" customHeight="1">
      <c r="A499" s="73"/>
    </row>
    <row r="500" ht="15.75" customHeight="1">
      <c r="A500" s="73"/>
    </row>
    <row r="501" ht="15.75" customHeight="1">
      <c r="A501" s="73"/>
    </row>
    <row r="502" ht="15.75" customHeight="1">
      <c r="A502" s="73"/>
    </row>
    <row r="503" ht="15.75" customHeight="1">
      <c r="A503" s="73"/>
    </row>
    <row r="504" ht="15.75" customHeight="1">
      <c r="A504" s="73"/>
    </row>
    <row r="505" ht="15.75" customHeight="1">
      <c r="A505" s="73"/>
    </row>
    <row r="506" ht="15.75" customHeight="1">
      <c r="A506" s="73"/>
    </row>
    <row r="507" ht="15.75" customHeight="1">
      <c r="A507" s="73"/>
    </row>
    <row r="508" ht="15.75" customHeight="1">
      <c r="A508" s="73"/>
    </row>
    <row r="509" ht="15.75" customHeight="1">
      <c r="A509" s="73"/>
    </row>
    <row r="510" ht="15.75" customHeight="1">
      <c r="A510" s="73"/>
    </row>
    <row r="511" ht="15.75" customHeight="1">
      <c r="A511" s="73"/>
    </row>
    <row r="512" ht="15.75" customHeight="1">
      <c r="A512" s="73"/>
    </row>
    <row r="513" ht="15.75" customHeight="1">
      <c r="A513" s="73"/>
    </row>
    <row r="514" ht="15.75" customHeight="1">
      <c r="A514" s="73"/>
    </row>
    <row r="515" ht="15.75" customHeight="1">
      <c r="A515" s="73"/>
    </row>
    <row r="516" ht="15.75" customHeight="1">
      <c r="A516" s="73"/>
    </row>
    <row r="517" ht="15.75" customHeight="1">
      <c r="A517" s="73"/>
    </row>
    <row r="518" ht="15.75" customHeight="1">
      <c r="A518" s="73"/>
    </row>
    <row r="519" ht="15.75" customHeight="1">
      <c r="A519" s="73"/>
    </row>
    <row r="520" ht="15.75" customHeight="1">
      <c r="A520" s="73"/>
    </row>
    <row r="521" ht="15.75" customHeight="1">
      <c r="A521" s="73"/>
    </row>
    <row r="522" ht="15.75" customHeight="1">
      <c r="A522" s="73"/>
    </row>
    <row r="523" ht="15.75" customHeight="1">
      <c r="A523" s="73"/>
    </row>
    <row r="524" ht="15.75" customHeight="1">
      <c r="A524" s="73"/>
    </row>
    <row r="525" ht="15.75" customHeight="1">
      <c r="A525" s="73"/>
    </row>
    <row r="526" ht="15.75" customHeight="1">
      <c r="A526" s="73"/>
    </row>
    <row r="527" ht="15.75" customHeight="1">
      <c r="A527" s="73"/>
    </row>
    <row r="528" ht="15.75" customHeight="1">
      <c r="A528" s="73"/>
    </row>
    <row r="529" ht="15.75" customHeight="1">
      <c r="A529" s="73"/>
    </row>
    <row r="530" ht="15.75" customHeight="1">
      <c r="A530" s="73"/>
    </row>
    <row r="531" ht="15.75" customHeight="1">
      <c r="A531" s="73"/>
    </row>
    <row r="532" ht="15.75" customHeight="1">
      <c r="A532" s="73"/>
    </row>
    <row r="533" ht="15.75" customHeight="1">
      <c r="A533" s="73"/>
    </row>
    <row r="534" ht="15.75" customHeight="1">
      <c r="A534" s="73"/>
    </row>
    <row r="535" ht="15.75" customHeight="1">
      <c r="A535" s="73"/>
    </row>
    <row r="536" ht="15.75" customHeight="1">
      <c r="A536" s="73"/>
    </row>
    <row r="537" ht="15.75" customHeight="1">
      <c r="A537" s="73"/>
    </row>
    <row r="538" ht="15.75" customHeight="1">
      <c r="A538" s="73"/>
    </row>
    <row r="539" ht="15.75" customHeight="1">
      <c r="A539" s="73"/>
    </row>
    <row r="540" ht="15.75" customHeight="1">
      <c r="A540" s="73"/>
    </row>
    <row r="541" ht="15.75" customHeight="1">
      <c r="A541" s="73"/>
    </row>
    <row r="542" ht="15.75" customHeight="1">
      <c r="A542" s="73"/>
    </row>
    <row r="543" ht="15.75" customHeight="1">
      <c r="A543" s="73"/>
    </row>
    <row r="544" ht="15.75" customHeight="1">
      <c r="A544" s="73"/>
    </row>
    <row r="545" ht="15.75" customHeight="1">
      <c r="A545" s="73"/>
    </row>
    <row r="546" ht="15.75" customHeight="1">
      <c r="A546" s="73"/>
    </row>
    <row r="547" ht="15.75" customHeight="1">
      <c r="A547" s="73"/>
    </row>
    <row r="548" ht="15.75" customHeight="1">
      <c r="A548" s="73"/>
    </row>
    <row r="549" ht="15.75" customHeight="1">
      <c r="A549" s="73"/>
    </row>
    <row r="550" ht="15.75" customHeight="1">
      <c r="A550" s="73"/>
    </row>
    <row r="551" ht="15.75" customHeight="1">
      <c r="A551" s="73"/>
    </row>
    <row r="552" ht="15.75" customHeight="1">
      <c r="A552" s="73"/>
    </row>
    <row r="553" ht="15.75" customHeight="1">
      <c r="A553" s="73"/>
    </row>
    <row r="554" ht="15.75" customHeight="1">
      <c r="A554" s="73"/>
    </row>
    <row r="555" ht="15.75" customHeight="1">
      <c r="A555" s="73"/>
    </row>
    <row r="556" ht="15.75" customHeight="1">
      <c r="A556" s="73"/>
    </row>
    <row r="557" ht="15.75" customHeight="1">
      <c r="A557" s="73"/>
    </row>
    <row r="558" ht="15.75" customHeight="1">
      <c r="A558" s="73"/>
    </row>
    <row r="559" ht="15.75" customHeight="1">
      <c r="A559" s="73"/>
    </row>
    <row r="560" ht="15.75" customHeight="1">
      <c r="A560" s="73"/>
    </row>
    <row r="561" ht="15.75" customHeight="1">
      <c r="A561" s="73"/>
    </row>
    <row r="562" ht="15.75" customHeight="1">
      <c r="A562" s="73"/>
    </row>
    <row r="563" ht="15.75" customHeight="1">
      <c r="A563" s="73"/>
    </row>
    <row r="564" ht="15.75" customHeight="1">
      <c r="A564" s="73"/>
    </row>
    <row r="565" ht="15.75" customHeight="1">
      <c r="A565" s="73"/>
    </row>
    <row r="566" ht="15.75" customHeight="1">
      <c r="A566" s="73"/>
    </row>
    <row r="567" ht="15.75" customHeight="1">
      <c r="A567" s="73"/>
    </row>
    <row r="568" ht="15.75" customHeight="1">
      <c r="A568" s="73"/>
    </row>
    <row r="569" ht="15.75" customHeight="1">
      <c r="A569" s="73"/>
    </row>
    <row r="570" ht="15.75" customHeight="1">
      <c r="A570" s="73"/>
    </row>
    <row r="571" ht="15.75" customHeight="1">
      <c r="A571" s="73"/>
    </row>
    <row r="572" ht="15.75" customHeight="1">
      <c r="A572" s="73"/>
    </row>
    <row r="573" ht="15.75" customHeight="1">
      <c r="A573" s="73"/>
    </row>
    <row r="574" ht="15.75" customHeight="1">
      <c r="A574" s="73"/>
    </row>
    <row r="575" ht="15.75" customHeight="1">
      <c r="A575" s="73"/>
    </row>
    <row r="576" ht="15.75" customHeight="1">
      <c r="A576" s="73"/>
    </row>
    <row r="577" ht="15.75" customHeight="1">
      <c r="A577" s="73"/>
    </row>
    <row r="578" ht="15.75" customHeight="1">
      <c r="A578" s="73"/>
    </row>
    <row r="579" ht="15.75" customHeight="1">
      <c r="A579" s="73"/>
    </row>
    <row r="580" ht="15.75" customHeight="1">
      <c r="A580" s="73"/>
    </row>
    <row r="581" ht="15.75" customHeight="1">
      <c r="A581" s="73"/>
    </row>
    <row r="582" ht="15.75" customHeight="1">
      <c r="A582" s="73"/>
    </row>
    <row r="583" ht="15.75" customHeight="1">
      <c r="A583" s="73"/>
    </row>
    <row r="584" ht="15.75" customHeight="1">
      <c r="A584" s="73"/>
    </row>
    <row r="585" ht="15.75" customHeight="1">
      <c r="A585" s="73"/>
    </row>
    <row r="586" ht="15.75" customHeight="1">
      <c r="A586" s="73"/>
    </row>
    <row r="587" ht="15.75" customHeight="1">
      <c r="A587" s="73"/>
    </row>
    <row r="588" ht="15.75" customHeight="1">
      <c r="A588" s="73"/>
    </row>
    <row r="589" ht="15.75" customHeight="1">
      <c r="A589" s="73"/>
    </row>
    <row r="590" ht="15.75" customHeight="1">
      <c r="A590" s="73"/>
    </row>
    <row r="591" ht="15.75" customHeight="1">
      <c r="A591" s="73"/>
    </row>
    <row r="592" ht="15.75" customHeight="1">
      <c r="A592" s="73"/>
    </row>
    <row r="593" ht="15.75" customHeight="1">
      <c r="A593" s="73"/>
    </row>
    <row r="594" ht="15.75" customHeight="1">
      <c r="A594" s="73"/>
    </row>
    <row r="595" ht="15.75" customHeight="1">
      <c r="A595" s="73"/>
    </row>
    <row r="596" ht="15.75" customHeight="1">
      <c r="A596" s="73"/>
    </row>
    <row r="597" ht="15.75" customHeight="1">
      <c r="A597" s="73"/>
    </row>
    <row r="598" ht="15.75" customHeight="1">
      <c r="A598" s="73"/>
    </row>
    <row r="599" ht="15.75" customHeight="1">
      <c r="A599" s="73"/>
    </row>
    <row r="600" ht="15.75" customHeight="1">
      <c r="A600" s="73"/>
    </row>
    <row r="601" ht="15.75" customHeight="1">
      <c r="A601" s="73"/>
    </row>
    <row r="602" ht="15.75" customHeight="1">
      <c r="A602" s="73"/>
    </row>
    <row r="603" ht="15.75" customHeight="1">
      <c r="A603" s="73"/>
    </row>
    <row r="604" ht="15.75" customHeight="1">
      <c r="A604" s="73"/>
    </row>
    <row r="605" ht="15.75" customHeight="1">
      <c r="A605" s="73"/>
    </row>
    <row r="606" ht="15.75" customHeight="1">
      <c r="A606" s="73"/>
    </row>
    <row r="607" ht="15.75" customHeight="1">
      <c r="A607" s="73"/>
    </row>
    <row r="608" ht="15.75" customHeight="1">
      <c r="A608" s="73"/>
    </row>
    <row r="609" ht="15.75" customHeight="1">
      <c r="A609" s="73"/>
    </row>
    <row r="610" ht="15.75" customHeight="1">
      <c r="A610" s="73"/>
    </row>
    <row r="611" ht="15.75" customHeight="1">
      <c r="A611" s="73"/>
    </row>
    <row r="612" ht="15.75" customHeight="1">
      <c r="A612" s="73"/>
    </row>
    <row r="613" ht="15.75" customHeight="1">
      <c r="A613" s="73"/>
    </row>
    <row r="614" ht="15.75" customHeight="1">
      <c r="A614" s="73"/>
    </row>
    <row r="615" ht="15.75" customHeight="1">
      <c r="A615" s="73"/>
    </row>
    <row r="616" ht="15.75" customHeight="1">
      <c r="A616" s="73"/>
    </row>
    <row r="617" ht="15.75" customHeight="1">
      <c r="A617" s="73"/>
    </row>
    <row r="618" ht="15.75" customHeight="1">
      <c r="A618" s="73"/>
    </row>
    <row r="619" ht="15.75" customHeight="1">
      <c r="A619" s="73"/>
    </row>
    <row r="620" ht="15.75" customHeight="1">
      <c r="A620" s="73"/>
    </row>
    <row r="621" ht="15.75" customHeight="1">
      <c r="A621" s="73"/>
    </row>
    <row r="622" ht="15.75" customHeight="1">
      <c r="A622" s="73"/>
    </row>
    <row r="623" ht="15.75" customHeight="1">
      <c r="A623" s="73"/>
    </row>
    <row r="624" ht="15.75" customHeight="1">
      <c r="A624" s="73"/>
    </row>
    <row r="625" ht="15.75" customHeight="1">
      <c r="A625" s="73"/>
    </row>
    <row r="626" ht="15.75" customHeight="1">
      <c r="A626" s="73"/>
    </row>
    <row r="627" ht="15.75" customHeight="1">
      <c r="A627" s="73"/>
    </row>
    <row r="628" ht="15.75" customHeight="1">
      <c r="A628" s="73"/>
    </row>
    <row r="629" ht="15.75" customHeight="1">
      <c r="A629" s="73"/>
    </row>
    <row r="630" ht="15.75" customHeight="1">
      <c r="A630" s="73"/>
    </row>
    <row r="631" ht="15.75" customHeight="1">
      <c r="A631" s="73"/>
    </row>
    <row r="632" ht="15.75" customHeight="1">
      <c r="A632" s="73"/>
    </row>
    <row r="633" ht="15.75" customHeight="1">
      <c r="A633" s="73"/>
    </row>
    <row r="634" ht="15.75" customHeight="1">
      <c r="A634" s="73"/>
    </row>
    <row r="635" ht="15.75" customHeight="1">
      <c r="A635" s="73"/>
    </row>
    <row r="636" ht="15.75" customHeight="1">
      <c r="A636" s="73"/>
    </row>
    <row r="637" ht="15.75" customHeight="1">
      <c r="A637" s="73"/>
    </row>
    <row r="638" ht="15.75" customHeight="1">
      <c r="A638" s="73"/>
    </row>
    <row r="639" ht="15.75" customHeight="1">
      <c r="A639" s="73"/>
    </row>
    <row r="640" ht="15.75" customHeight="1">
      <c r="A640" s="73"/>
    </row>
    <row r="641" ht="15.75" customHeight="1">
      <c r="A641" s="73"/>
    </row>
    <row r="642" ht="15.75" customHeight="1">
      <c r="A642" s="73"/>
    </row>
    <row r="643" ht="15.75" customHeight="1">
      <c r="A643" s="73"/>
    </row>
    <row r="644" ht="15.75" customHeight="1">
      <c r="A644" s="73"/>
    </row>
    <row r="645" ht="15.75" customHeight="1">
      <c r="A645" s="73"/>
    </row>
    <row r="646" ht="15.75" customHeight="1">
      <c r="A646" s="73"/>
    </row>
    <row r="647" ht="15.75" customHeight="1">
      <c r="A647" s="73"/>
    </row>
    <row r="648" ht="15.75" customHeight="1">
      <c r="A648" s="73"/>
    </row>
    <row r="649" ht="15.75" customHeight="1">
      <c r="A649" s="73"/>
    </row>
    <row r="650" ht="15.75" customHeight="1">
      <c r="A650" s="73"/>
    </row>
    <row r="651" ht="15.75" customHeight="1">
      <c r="A651" s="73"/>
    </row>
    <row r="652" ht="15.75" customHeight="1">
      <c r="A652" s="73"/>
    </row>
    <row r="653" ht="15.75" customHeight="1">
      <c r="A653" s="73"/>
    </row>
    <row r="654" ht="15.75" customHeight="1">
      <c r="A654" s="73"/>
    </row>
    <row r="655" ht="15.75" customHeight="1">
      <c r="A655" s="73"/>
    </row>
    <row r="656" ht="15.75" customHeight="1">
      <c r="A656" s="73"/>
    </row>
    <row r="657" ht="15.75" customHeight="1">
      <c r="A657" s="73"/>
    </row>
    <row r="658" ht="15.75" customHeight="1">
      <c r="A658" s="73"/>
    </row>
    <row r="659" ht="15.75" customHeight="1">
      <c r="A659" s="73"/>
    </row>
    <row r="660" ht="15.75" customHeight="1">
      <c r="A660" s="73"/>
    </row>
    <row r="661" ht="15.75" customHeight="1">
      <c r="A661" s="73"/>
    </row>
    <row r="662" ht="15.75" customHeight="1">
      <c r="A662" s="73"/>
    </row>
    <row r="663" ht="15.75" customHeight="1">
      <c r="A663" s="73"/>
    </row>
    <row r="664" ht="15.75" customHeight="1">
      <c r="A664" s="73"/>
    </row>
    <row r="665" ht="15.75" customHeight="1">
      <c r="A665" s="73"/>
    </row>
    <row r="666" ht="15.75" customHeight="1">
      <c r="A666" s="73"/>
    </row>
    <row r="667" ht="15.75" customHeight="1">
      <c r="A667" s="73"/>
    </row>
    <row r="668" ht="15.75" customHeight="1">
      <c r="A668" s="73"/>
    </row>
    <row r="669" ht="15.75" customHeight="1">
      <c r="A669" s="73"/>
    </row>
    <row r="670" ht="15.75" customHeight="1">
      <c r="A670" s="73"/>
    </row>
    <row r="671" ht="15.75" customHeight="1">
      <c r="A671" s="73"/>
    </row>
    <row r="672" ht="15.75" customHeight="1">
      <c r="A672" s="73"/>
    </row>
    <row r="673" ht="15.75" customHeight="1">
      <c r="A673" s="73"/>
    </row>
    <row r="674" ht="15.75" customHeight="1">
      <c r="A674" s="73"/>
    </row>
    <row r="675" ht="15.75" customHeight="1">
      <c r="A675" s="73"/>
    </row>
    <row r="676" ht="15.75" customHeight="1">
      <c r="A676" s="73"/>
    </row>
    <row r="677" ht="15.75" customHeight="1">
      <c r="A677" s="73"/>
    </row>
    <row r="678" ht="15.75" customHeight="1">
      <c r="A678" s="73"/>
    </row>
    <row r="679" ht="15.75" customHeight="1">
      <c r="A679" s="73"/>
    </row>
    <row r="680" ht="15.75" customHeight="1">
      <c r="A680" s="73"/>
    </row>
    <row r="681" ht="15.75" customHeight="1">
      <c r="A681" s="73"/>
    </row>
    <row r="682" ht="15.75" customHeight="1">
      <c r="A682" s="73"/>
    </row>
    <row r="683" ht="15.75" customHeight="1">
      <c r="A683" s="73"/>
    </row>
    <row r="684" ht="15.75" customHeight="1">
      <c r="A684" s="73"/>
    </row>
    <row r="685" ht="15.75" customHeight="1">
      <c r="A685" s="73"/>
    </row>
    <row r="686" ht="15.75" customHeight="1">
      <c r="A686" s="73"/>
    </row>
    <row r="687" ht="15.75" customHeight="1">
      <c r="A687" s="73"/>
    </row>
    <row r="688" ht="15.75" customHeight="1">
      <c r="A688" s="73"/>
    </row>
    <row r="689" ht="15.75" customHeight="1">
      <c r="A689" s="73"/>
    </row>
    <row r="690" ht="15.75" customHeight="1">
      <c r="A690" s="73"/>
    </row>
    <row r="691" ht="15.75" customHeight="1">
      <c r="A691" s="73"/>
    </row>
    <row r="692" ht="15.75" customHeight="1">
      <c r="A692" s="73"/>
    </row>
    <row r="693" ht="15.75" customHeight="1">
      <c r="A693" s="73"/>
    </row>
    <row r="694" ht="15.75" customHeight="1">
      <c r="A694" s="73"/>
    </row>
    <row r="695" ht="15.75" customHeight="1">
      <c r="A695" s="73"/>
    </row>
    <row r="696" ht="15.75" customHeight="1">
      <c r="A696" s="73"/>
    </row>
    <row r="697" ht="15.75" customHeight="1">
      <c r="A697" s="73"/>
    </row>
    <row r="698" ht="15.75" customHeight="1">
      <c r="A698" s="73"/>
    </row>
    <row r="699" ht="15.75" customHeight="1">
      <c r="A699" s="73"/>
    </row>
    <row r="700" ht="15.75" customHeight="1">
      <c r="A700" s="73"/>
    </row>
    <row r="701" ht="15.75" customHeight="1">
      <c r="A701" s="73"/>
    </row>
    <row r="702" ht="15.75" customHeight="1">
      <c r="A702" s="73"/>
    </row>
    <row r="703" ht="15.75" customHeight="1">
      <c r="A703" s="73"/>
    </row>
    <row r="704" ht="15.75" customHeight="1">
      <c r="A704" s="73"/>
    </row>
    <row r="705" ht="15.75" customHeight="1">
      <c r="A705" s="73"/>
    </row>
    <row r="706" ht="15.75" customHeight="1">
      <c r="A706" s="73"/>
    </row>
    <row r="707" ht="15.75" customHeight="1">
      <c r="A707" s="73"/>
    </row>
    <row r="708" ht="15.75" customHeight="1">
      <c r="A708" s="73"/>
    </row>
    <row r="709" ht="15.75" customHeight="1">
      <c r="A709" s="73"/>
    </row>
    <row r="710" ht="15.75" customHeight="1">
      <c r="A710" s="73"/>
    </row>
    <row r="711" ht="15.75" customHeight="1">
      <c r="A711" s="73"/>
    </row>
    <row r="712" ht="15.75" customHeight="1">
      <c r="A712" s="73"/>
    </row>
    <row r="713" ht="15.75" customHeight="1">
      <c r="A713" s="73"/>
    </row>
    <row r="714" ht="15.75" customHeight="1">
      <c r="A714" s="73"/>
    </row>
    <row r="715" ht="15.75" customHeight="1">
      <c r="A715" s="73"/>
    </row>
    <row r="716" ht="15.75" customHeight="1">
      <c r="A716" s="73"/>
    </row>
    <row r="717" ht="15.75" customHeight="1">
      <c r="A717" s="73"/>
    </row>
    <row r="718" ht="15.75" customHeight="1">
      <c r="A718" s="73"/>
    </row>
    <row r="719" ht="15.75" customHeight="1">
      <c r="A719" s="73"/>
    </row>
    <row r="720" ht="15.75" customHeight="1">
      <c r="A720" s="73"/>
    </row>
    <row r="721" ht="15.75" customHeight="1">
      <c r="A721" s="73"/>
    </row>
    <row r="722" ht="15.75" customHeight="1">
      <c r="A722" s="73"/>
    </row>
    <row r="723" ht="15.75" customHeight="1">
      <c r="A723" s="73"/>
    </row>
    <row r="724" ht="15.75" customHeight="1">
      <c r="A724" s="73"/>
    </row>
    <row r="725" ht="15.75" customHeight="1">
      <c r="A725" s="73"/>
    </row>
    <row r="726" ht="15.75" customHeight="1">
      <c r="A726" s="73"/>
    </row>
    <row r="727" ht="15.75" customHeight="1">
      <c r="A727" s="73"/>
    </row>
    <row r="728" ht="15.75" customHeight="1">
      <c r="A728" s="73"/>
    </row>
    <row r="729" ht="15.75" customHeight="1">
      <c r="A729" s="73"/>
    </row>
    <row r="730" ht="15.75" customHeight="1">
      <c r="A730" s="73"/>
    </row>
    <row r="731" ht="15.75" customHeight="1">
      <c r="A731" s="73"/>
    </row>
    <row r="732" ht="15.75" customHeight="1">
      <c r="A732" s="73"/>
    </row>
    <row r="733" ht="15.75" customHeight="1">
      <c r="A733" s="73"/>
    </row>
    <row r="734" ht="15.75" customHeight="1">
      <c r="A734" s="73"/>
    </row>
    <row r="735" ht="15.75" customHeight="1">
      <c r="A735" s="73"/>
    </row>
    <row r="736" ht="15.75" customHeight="1">
      <c r="A736" s="73"/>
    </row>
    <row r="737" ht="15.75" customHeight="1">
      <c r="A737" s="73"/>
    </row>
    <row r="738" ht="15.75" customHeight="1">
      <c r="A738" s="73"/>
    </row>
    <row r="739" ht="15.75" customHeight="1">
      <c r="A739" s="73"/>
    </row>
    <row r="740" ht="15.75" customHeight="1">
      <c r="A740" s="73"/>
    </row>
    <row r="741" ht="15.75" customHeight="1">
      <c r="A741" s="73"/>
    </row>
    <row r="742" ht="15.75" customHeight="1">
      <c r="A742" s="73"/>
    </row>
    <row r="743" ht="15.75" customHeight="1">
      <c r="A743" s="73"/>
    </row>
    <row r="744" ht="15.75" customHeight="1">
      <c r="A744" s="73"/>
    </row>
    <row r="745" ht="15.75" customHeight="1">
      <c r="A745" s="73"/>
    </row>
    <row r="746" ht="15.75" customHeight="1">
      <c r="A746" s="73"/>
    </row>
    <row r="747" ht="15.75" customHeight="1">
      <c r="A747" s="73"/>
    </row>
    <row r="748" ht="15.75" customHeight="1">
      <c r="A748" s="73"/>
    </row>
    <row r="749" ht="15.75" customHeight="1">
      <c r="A749" s="73"/>
    </row>
    <row r="750" ht="15.75" customHeight="1">
      <c r="A750" s="73"/>
    </row>
    <row r="751" ht="15.75" customHeight="1">
      <c r="A751" s="73"/>
    </row>
    <row r="752" ht="15.75" customHeight="1">
      <c r="A752" s="73"/>
    </row>
    <row r="753" ht="15.75" customHeight="1">
      <c r="A753" s="73"/>
    </row>
    <row r="754" ht="15.75" customHeight="1">
      <c r="A754" s="73"/>
    </row>
    <row r="755" ht="15.75" customHeight="1">
      <c r="A755" s="73"/>
    </row>
    <row r="756" ht="15.75" customHeight="1">
      <c r="A756" s="73"/>
    </row>
    <row r="757" ht="15.75" customHeight="1">
      <c r="A757" s="73"/>
    </row>
    <row r="758" ht="15.75" customHeight="1">
      <c r="A758" s="73"/>
    </row>
    <row r="759" ht="15.75" customHeight="1">
      <c r="A759" s="73"/>
    </row>
    <row r="760" ht="15.75" customHeight="1">
      <c r="A760" s="73"/>
    </row>
    <row r="761" ht="15.75" customHeight="1">
      <c r="A761" s="73"/>
    </row>
    <row r="762" ht="15.75" customHeight="1">
      <c r="A762" s="73"/>
    </row>
    <row r="763" ht="15.75" customHeight="1">
      <c r="A763" s="73"/>
    </row>
    <row r="764" ht="15.75" customHeight="1">
      <c r="A764" s="73"/>
    </row>
    <row r="765" ht="15.75" customHeight="1">
      <c r="A765" s="73"/>
    </row>
    <row r="766" ht="15.75" customHeight="1">
      <c r="A766" s="73"/>
    </row>
    <row r="767" ht="15.75" customHeight="1">
      <c r="A767" s="73"/>
    </row>
    <row r="768" ht="15.75" customHeight="1">
      <c r="A768" s="73"/>
    </row>
    <row r="769" ht="15.75" customHeight="1">
      <c r="A769" s="73"/>
    </row>
    <row r="770" ht="15.75" customHeight="1">
      <c r="A770" s="73"/>
    </row>
    <row r="771" ht="15.75" customHeight="1">
      <c r="A771" s="73"/>
    </row>
    <row r="772" ht="15.75" customHeight="1">
      <c r="A772" s="73"/>
    </row>
    <row r="773" ht="15.75" customHeight="1">
      <c r="A773" s="73"/>
    </row>
    <row r="774" ht="15.75" customHeight="1">
      <c r="A774" s="73"/>
    </row>
    <row r="775" ht="15.75" customHeight="1">
      <c r="A775" s="73"/>
    </row>
    <row r="776" ht="15.75" customHeight="1">
      <c r="A776" s="73"/>
    </row>
    <row r="777" ht="15.75" customHeight="1">
      <c r="A777" s="73"/>
    </row>
    <row r="778" ht="15.75" customHeight="1">
      <c r="A778" s="73"/>
    </row>
    <row r="779" ht="15.75" customHeight="1">
      <c r="A779" s="73"/>
    </row>
    <row r="780" ht="15.75" customHeight="1">
      <c r="A780" s="73"/>
    </row>
    <row r="781" ht="15.75" customHeight="1">
      <c r="A781" s="73"/>
    </row>
    <row r="782" ht="15.75" customHeight="1">
      <c r="A782" s="73"/>
    </row>
    <row r="783" ht="15.75" customHeight="1">
      <c r="A783" s="73"/>
    </row>
    <row r="784" ht="15.75" customHeight="1">
      <c r="A784" s="73"/>
    </row>
    <row r="785" ht="15.75" customHeight="1">
      <c r="A785" s="73"/>
    </row>
    <row r="786" ht="15.75" customHeight="1">
      <c r="A786" s="73"/>
    </row>
    <row r="787" ht="15.75" customHeight="1">
      <c r="A787" s="73"/>
    </row>
    <row r="788" ht="15.75" customHeight="1">
      <c r="A788" s="73"/>
    </row>
    <row r="789" ht="15.75" customHeight="1">
      <c r="A789" s="73"/>
    </row>
    <row r="790" ht="15.75" customHeight="1">
      <c r="A790" s="73"/>
    </row>
    <row r="791" ht="15.75" customHeight="1">
      <c r="A791" s="73"/>
    </row>
    <row r="792" ht="15.75" customHeight="1">
      <c r="A792" s="73"/>
    </row>
    <row r="793" ht="15.75" customHeight="1">
      <c r="A793" s="73"/>
    </row>
    <row r="794" ht="15.75" customHeight="1">
      <c r="A794" s="73"/>
    </row>
    <row r="795" ht="15.75" customHeight="1">
      <c r="A795" s="73"/>
    </row>
    <row r="796" ht="15.75" customHeight="1">
      <c r="A796" s="73"/>
    </row>
    <row r="797" ht="15.75" customHeight="1">
      <c r="A797" s="73"/>
    </row>
    <row r="798" ht="15.75" customHeight="1">
      <c r="A798" s="73"/>
    </row>
    <row r="799" ht="15.75" customHeight="1">
      <c r="A799" s="73"/>
    </row>
    <row r="800" ht="15.75" customHeight="1">
      <c r="A800" s="73"/>
    </row>
    <row r="801" ht="15.75" customHeight="1">
      <c r="A801" s="73"/>
    </row>
    <row r="802" ht="15.75" customHeight="1">
      <c r="A802" s="73"/>
    </row>
    <row r="803" ht="15.75" customHeight="1">
      <c r="A803" s="73"/>
    </row>
    <row r="804" ht="15.75" customHeight="1">
      <c r="A804" s="73"/>
    </row>
    <row r="805" ht="15.75" customHeight="1">
      <c r="A805" s="73"/>
    </row>
    <row r="806" ht="15.75" customHeight="1">
      <c r="A806" s="73"/>
    </row>
    <row r="807" ht="15.75" customHeight="1">
      <c r="A807" s="73"/>
    </row>
    <row r="808" ht="15.75" customHeight="1">
      <c r="A808" s="73"/>
    </row>
    <row r="809" ht="15.75" customHeight="1">
      <c r="A809" s="73"/>
    </row>
    <row r="810" ht="15.75" customHeight="1">
      <c r="A810" s="73"/>
    </row>
    <row r="811" ht="15.75" customHeight="1">
      <c r="A811" s="73"/>
    </row>
    <row r="812" ht="15.75" customHeight="1">
      <c r="A812" s="73"/>
    </row>
    <row r="813" ht="15.75" customHeight="1">
      <c r="A813" s="73"/>
    </row>
    <row r="814" ht="15.75" customHeight="1">
      <c r="A814" s="73"/>
    </row>
    <row r="815" ht="15.75" customHeight="1">
      <c r="A815" s="73"/>
    </row>
    <row r="816" ht="15.75" customHeight="1">
      <c r="A816" s="73"/>
    </row>
    <row r="817" ht="15.75" customHeight="1">
      <c r="A817" s="73"/>
    </row>
    <row r="818" ht="15.75" customHeight="1">
      <c r="A818" s="73"/>
    </row>
    <row r="819" ht="15.75" customHeight="1">
      <c r="A819" s="73"/>
    </row>
    <row r="820" ht="15.75" customHeight="1">
      <c r="A820" s="73"/>
    </row>
    <row r="821" ht="15.75" customHeight="1">
      <c r="A821" s="73"/>
    </row>
    <row r="822" ht="15.75" customHeight="1">
      <c r="A822" s="73"/>
    </row>
    <row r="823" ht="15.75" customHeight="1">
      <c r="A823" s="73"/>
    </row>
    <row r="824" ht="15.75" customHeight="1">
      <c r="A824" s="73"/>
    </row>
    <row r="825" ht="15.75" customHeight="1">
      <c r="A825" s="73"/>
    </row>
    <row r="826" ht="15.75" customHeight="1">
      <c r="A826" s="73"/>
    </row>
    <row r="827" ht="15.75" customHeight="1">
      <c r="A827" s="73"/>
    </row>
    <row r="828" ht="15.75" customHeight="1">
      <c r="A828" s="73"/>
    </row>
    <row r="829" ht="15.75" customHeight="1">
      <c r="A829" s="73"/>
    </row>
    <row r="830" ht="15.75" customHeight="1">
      <c r="A830" s="73"/>
    </row>
    <row r="831" ht="15.75" customHeight="1">
      <c r="A831" s="73"/>
    </row>
    <row r="832" ht="15.75" customHeight="1">
      <c r="A832" s="73"/>
    </row>
    <row r="833" ht="15.75" customHeight="1">
      <c r="A833" s="73"/>
    </row>
    <row r="834" ht="15.75" customHeight="1">
      <c r="A834" s="73"/>
    </row>
    <row r="835" ht="15.75" customHeight="1">
      <c r="A835" s="73"/>
    </row>
    <row r="836" ht="15.75" customHeight="1">
      <c r="A836" s="73"/>
    </row>
    <row r="837" ht="15.75" customHeight="1">
      <c r="A837" s="73"/>
    </row>
    <row r="838" ht="15.75" customHeight="1">
      <c r="A838" s="73"/>
    </row>
    <row r="839" ht="15.75" customHeight="1">
      <c r="A839" s="73"/>
    </row>
    <row r="840" ht="15.75" customHeight="1">
      <c r="A840" s="73"/>
    </row>
    <row r="841" ht="15.75" customHeight="1">
      <c r="A841" s="73"/>
    </row>
    <row r="842" ht="15.75" customHeight="1">
      <c r="A842" s="73"/>
    </row>
    <row r="843" ht="15.75" customHeight="1">
      <c r="A843" s="73"/>
    </row>
    <row r="844" ht="15.75" customHeight="1">
      <c r="A844" s="73"/>
    </row>
    <row r="845" ht="15.75" customHeight="1">
      <c r="A845" s="73"/>
    </row>
    <row r="846" ht="15.75" customHeight="1">
      <c r="A846" s="73"/>
    </row>
    <row r="847" ht="15.75" customHeight="1">
      <c r="A847" s="73"/>
    </row>
    <row r="848" ht="15.75" customHeight="1">
      <c r="A848" s="73"/>
    </row>
    <row r="849" ht="15.75" customHeight="1">
      <c r="A849" s="73"/>
    </row>
    <row r="850" ht="15.75" customHeight="1">
      <c r="A850" s="73"/>
    </row>
    <row r="851" ht="15.75" customHeight="1">
      <c r="A851" s="73"/>
    </row>
    <row r="852" ht="15.75" customHeight="1">
      <c r="A852" s="73"/>
    </row>
    <row r="853" ht="15.75" customHeight="1">
      <c r="A853" s="73"/>
    </row>
    <row r="854" ht="15.75" customHeight="1">
      <c r="A854" s="73"/>
    </row>
    <row r="855" ht="15.75" customHeight="1">
      <c r="A855" s="73"/>
    </row>
    <row r="856" ht="15.75" customHeight="1">
      <c r="A856" s="73"/>
    </row>
    <row r="857" ht="15.75" customHeight="1">
      <c r="A857" s="73"/>
    </row>
    <row r="858" ht="15.75" customHeight="1">
      <c r="A858" s="73"/>
    </row>
    <row r="859" ht="15.75" customHeight="1">
      <c r="A859" s="73"/>
    </row>
    <row r="860" ht="15.75" customHeight="1">
      <c r="A860" s="73"/>
    </row>
    <row r="861" ht="15.75" customHeight="1">
      <c r="A861" s="73"/>
    </row>
    <row r="862" ht="15.75" customHeight="1">
      <c r="A862" s="73"/>
    </row>
    <row r="863" ht="15.75" customHeight="1">
      <c r="A863" s="73"/>
    </row>
    <row r="864" ht="15.75" customHeight="1">
      <c r="A864" s="73"/>
    </row>
    <row r="865" ht="15.75" customHeight="1">
      <c r="A865" s="73"/>
    </row>
    <row r="866" ht="15.75" customHeight="1">
      <c r="A866" s="73"/>
    </row>
    <row r="867" ht="15.75" customHeight="1">
      <c r="A867" s="73"/>
    </row>
    <row r="868" ht="15.75" customHeight="1">
      <c r="A868" s="73"/>
    </row>
    <row r="869" ht="15.75" customHeight="1">
      <c r="A869" s="73"/>
    </row>
    <row r="870" ht="15.75" customHeight="1">
      <c r="A870" s="73"/>
    </row>
    <row r="871" ht="15.75" customHeight="1">
      <c r="A871" s="73"/>
    </row>
    <row r="872" ht="15.75" customHeight="1">
      <c r="A872" s="73"/>
    </row>
    <row r="873" ht="15.75" customHeight="1">
      <c r="A873" s="73"/>
    </row>
    <row r="874" ht="15.75" customHeight="1">
      <c r="A874" s="73"/>
    </row>
    <row r="875" ht="15.75" customHeight="1">
      <c r="A875" s="73"/>
    </row>
    <row r="876" ht="15.75" customHeight="1">
      <c r="A876" s="73"/>
    </row>
    <row r="877" ht="15.75" customHeight="1">
      <c r="A877" s="73"/>
    </row>
    <row r="878" ht="15.75" customHeight="1">
      <c r="A878" s="73"/>
    </row>
    <row r="879" ht="15.75" customHeight="1">
      <c r="A879" s="73"/>
    </row>
    <row r="880" ht="15.75" customHeight="1">
      <c r="A880" s="73"/>
    </row>
    <row r="881" ht="15.75" customHeight="1">
      <c r="A881" s="73"/>
    </row>
    <row r="882" ht="15.75" customHeight="1">
      <c r="A882" s="73"/>
    </row>
    <row r="883" ht="15.75" customHeight="1">
      <c r="A883" s="73"/>
    </row>
    <row r="884" ht="15.75" customHeight="1">
      <c r="A884" s="73"/>
    </row>
    <row r="885" ht="15.75" customHeight="1">
      <c r="A885" s="73"/>
    </row>
    <row r="886" ht="15.75" customHeight="1">
      <c r="A886" s="73"/>
    </row>
    <row r="887" ht="15.75" customHeight="1">
      <c r="A887" s="73"/>
    </row>
    <row r="888" ht="15.75" customHeight="1">
      <c r="A888" s="73"/>
    </row>
    <row r="889" ht="15.75" customHeight="1">
      <c r="A889" s="73"/>
    </row>
    <row r="890" ht="15.75" customHeight="1">
      <c r="A890" s="73"/>
    </row>
    <row r="891" ht="15.75" customHeight="1">
      <c r="A891" s="73"/>
    </row>
    <row r="892" ht="15.75" customHeight="1">
      <c r="A892" s="73"/>
    </row>
    <row r="893" ht="15.75" customHeight="1">
      <c r="A893" s="73"/>
    </row>
    <row r="894" ht="15.75" customHeight="1">
      <c r="A894" s="73"/>
    </row>
    <row r="895" ht="15.75" customHeight="1">
      <c r="A895" s="73"/>
    </row>
    <row r="896" ht="15.75" customHeight="1">
      <c r="A896" s="73"/>
    </row>
    <row r="897" ht="15.75" customHeight="1">
      <c r="A897" s="73"/>
    </row>
    <row r="898" ht="15.75" customHeight="1">
      <c r="A898" s="73"/>
    </row>
    <row r="899" ht="15.75" customHeight="1">
      <c r="A899" s="73"/>
    </row>
    <row r="900" ht="15.75" customHeight="1">
      <c r="A900" s="73"/>
    </row>
    <row r="901" ht="15.75" customHeight="1">
      <c r="A901" s="73"/>
    </row>
    <row r="902" ht="15.75" customHeight="1">
      <c r="A902" s="73"/>
    </row>
    <row r="903" ht="15.75" customHeight="1">
      <c r="A903" s="73"/>
    </row>
    <row r="904" ht="15.75" customHeight="1">
      <c r="A904" s="73"/>
    </row>
    <row r="905" ht="15.75" customHeight="1">
      <c r="A905" s="73"/>
    </row>
    <row r="906" ht="15.75" customHeight="1">
      <c r="A906" s="73"/>
    </row>
    <row r="907" ht="15.75" customHeight="1">
      <c r="A907" s="73"/>
    </row>
    <row r="908" ht="15.75" customHeight="1">
      <c r="A908" s="73"/>
    </row>
    <row r="909" ht="15.75" customHeight="1">
      <c r="A909" s="73"/>
    </row>
    <row r="910" ht="15.75" customHeight="1">
      <c r="A910" s="73"/>
    </row>
    <row r="911" ht="15.75" customHeight="1">
      <c r="A911" s="73"/>
    </row>
    <row r="912" ht="15.75" customHeight="1">
      <c r="A912" s="73"/>
    </row>
    <row r="913" ht="15.75" customHeight="1">
      <c r="A913" s="73"/>
    </row>
    <row r="914" ht="15.75" customHeight="1">
      <c r="A914" s="73"/>
    </row>
    <row r="915" ht="15.75" customHeight="1">
      <c r="A915" s="73"/>
    </row>
    <row r="916" ht="15.75" customHeight="1">
      <c r="A916" s="73"/>
    </row>
    <row r="917" ht="15.75" customHeight="1">
      <c r="A917" s="73"/>
    </row>
    <row r="918" ht="15.75" customHeight="1">
      <c r="A918" s="73"/>
    </row>
    <row r="919" ht="15.75" customHeight="1">
      <c r="A919" s="73"/>
    </row>
    <row r="920" ht="15.75" customHeight="1">
      <c r="A920" s="73"/>
    </row>
    <row r="921" ht="15.75" customHeight="1">
      <c r="A921" s="73"/>
    </row>
    <row r="922" ht="15.75" customHeight="1">
      <c r="A922" s="73"/>
    </row>
    <row r="923" ht="15.75" customHeight="1">
      <c r="A923" s="73"/>
    </row>
    <row r="924" ht="15.75" customHeight="1">
      <c r="A924" s="73"/>
    </row>
    <row r="925" ht="15.75" customHeight="1">
      <c r="A925" s="73"/>
    </row>
    <row r="926" ht="15.75" customHeight="1">
      <c r="A926" s="73"/>
    </row>
    <row r="927" ht="15.75" customHeight="1">
      <c r="A927" s="73"/>
    </row>
    <row r="928" ht="15.75" customHeight="1">
      <c r="A928" s="73"/>
    </row>
    <row r="929" ht="15.75" customHeight="1">
      <c r="A929" s="73"/>
    </row>
    <row r="930" ht="15.75" customHeight="1">
      <c r="A930" s="73"/>
    </row>
    <row r="931" ht="15.75" customHeight="1">
      <c r="A931" s="73"/>
    </row>
    <row r="932" ht="15.75" customHeight="1">
      <c r="A932" s="73"/>
    </row>
    <row r="933" ht="15.75" customHeight="1">
      <c r="A933" s="73"/>
    </row>
    <row r="934" ht="15.75" customHeight="1">
      <c r="A934" s="73"/>
    </row>
    <row r="935" ht="15.75" customHeight="1">
      <c r="A935" s="73"/>
    </row>
    <row r="936" ht="15.75" customHeight="1">
      <c r="A936" s="73"/>
    </row>
    <row r="937" ht="15.75" customHeight="1">
      <c r="A937" s="73"/>
    </row>
    <row r="938" ht="15.75" customHeight="1">
      <c r="A938" s="73"/>
    </row>
    <row r="939" ht="15.75" customHeight="1">
      <c r="A939" s="73"/>
    </row>
    <row r="940" ht="15.75" customHeight="1">
      <c r="A940" s="73"/>
    </row>
    <row r="941" ht="15.75" customHeight="1">
      <c r="A941" s="73"/>
    </row>
    <row r="942" ht="15.75" customHeight="1">
      <c r="A942" s="73"/>
    </row>
    <row r="943" ht="15.75" customHeight="1">
      <c r="A943" s="73"/>
    </row>
    <row r="944" ht="15.75" customHeight="1">
      <c r="A944" s="73"/>
    </row>
    <row r="945" ht="15.75" customHeight="1">
      <c r="A945" s="73"/>
    </row>
    <row r="946" ht="15.75" customHeight="1">
      <c r="A946" s="73"/>
    </row>
    <row r="947" ht="15.75" customHeight="1">
      <c r="A947" s="73"/>
    </row>
    <row r="948" ht="15.75" customHeight="1">
      <c r="A948" s="73"/>
    </row>
    <row r="949" ht="15.75" customHeight="1">
      <c r="A949" s="73"/>
    </row>
    <row r="950" ht="15.75" customHeight="1">
      <c r="A950" s="73"/>
    </row>
    <row r="951" ht="15.75" customHeight="1">
      <c r="A951" s="73"/>
    </row>
    <row r="952" ht="15.75" customHeight="1">
      <c r="A952" s="73"/>
    </row>
    <row r="953" ht="15.75" customHeight="1">
      <c r="A953" s="73"/>
    </row>
    <row r="954" ht="15.75" customHeight="1">
      <c r="A954" s="73"/>
    </row>
    <row r="955" ht="15.75" customHeight="1">
      <c r="A955" s="73"/>
    </row>
    <row r="956" ht="15.75" customHeight="1">
      <c r="A956" s="73"/>
    </row>
    <row r="957" ht="15.75" customHeight="1">
      <c r="A957" s="73"/>
    </row>
    <row r="958" ht="15.75" customHeight="1">
      <c r="A958" s="73"/>
    </row>
    <row r="959" ht="15.75" customHeight="1">
      <c r="A959" s="73"/>
    </row>
    <row r="960" ht="15.75" customHeight="1">
      <c r="A960" s="73"/>
    </row>
    <row r="961" ht="15.75" customHeight="1">
      <c r="A961" s="73"/>
    </row>
    <row r="962" ht="15.75" customHeight="1">
      <c r="A962" s="73"/>
    </row>
    <row r="963" ht="15.75" customHeight="1">
      <c r="A963" s="73"/>
    </row>
    <row r="964" ht="15.75" customHeight="1">
      <c r="A964" s="73"/>
    </row>
    <row r="965" ht="15.75" customHeight="1">
      <c r="A965" s="73"/>
    </row>
    <row r="966" ht="15.75" customHeight="1">
      <c r="A966" s="73"/>
    </row>
    <row r="967" ht="15.75" customHeight="1">
      <c r="A967" s="73"/>
    </row>
    <row r="968" ht="15.75" customHeight="1">
      <c r="A968" s="73"/>
    </row>
    <row r="969" ht="15.75" customHeight="1">
      <c r="A969" s="73"/>
    </row>
    <row r="970" ht="15.75" customHeight="1">
      <c r="A970" s="73"/>
    </row>
    <row r="971" ht="15.75" customHeight="1">
      <c r="A971" s="73"/>
    </row>
    <row r="972" ht="15.75" customHeight="1">
      <c r="A972" s="73"/>
    </row>
    <row r="973" ht="15.75" customHeight="1">
      <c r="A973" s="73"/>
    </row>
    <row r="974" ht="15.75" customHeight="1">
      <c r="A974" s="73"/>
    </row>
    <row r="975" ht="15.75" customHeight="1">
      <c r="A975" s="73"/>
    </row>
    <row r="976" ht="15.75" customHeight="1">
      <c r="A976" s="73"/>
    </row>
    <row r="977" ht="15.75" customHeight="1">
      <c r="A977" s="73"/>
    </row>
    <row r="978" ht="15.75" customHeight="1">
      <c r="A978" s="73"/>
    </row>
    <row r="979" ht="15.75" customHeight="1">
      <c r="A979" s="73"/>
    </row>
    <row r="980" ht="15.75" customHeight="1">
      <c r="A980" s="73"/>
    </row>
    <row r="981" ht="15.75" customHeight="1">
      <c r="A981" s="73"/>
    </row>
    <row r="982" ht="15.75" customHeight="1">
      <c r="A982" s="73"/>
    </row>
    <row r="983" ht="15.75" customHeight="1">
      <c r="A983" s="73"/>
    </row>
    <row r="984" ht="15.75" customHeight="1">
      <c r="A984" s="73"/>
    </row>
    <row r="985" ht="15.75" customHeight="1">
      <c r="A985" s="73"/>
    </row>
    <row r="986" ht="15.75" customHeight="1">
      <c r="A986" s="73"/>
    </row>
    <row r="987" ht="15.75" customHeight="1">
      <c r="A987" s="73"/>
    </row>
    <row r="988" ht="15.75" customHeight="1">
      <c r="A988" s="73"/>
    </row>
    <row r="989" ht="15.75" customHeight="1">
      <c r="A989" s="73"/>
    </row>
    <row r="990" ht="15.75" customHeight="1">
      <c r="A990" s="73"/>
    </row>
    <row r="991" ht="15.75" customHeight="1">
      <c r="A991" s="73"/>
    </row>
    <row r="992" ht="15.75" customHeight="1">
      <c r="A992" s="73"/>
    </row>
    <row r="993" ht="15.75" customHeight="1">
      <c r="A993" s="73"/>
    </row>
    <row r="994" ht="15.75" customHeight="1">
      <c r="A994" s="73"/>
    </row>
    <row r="995" ht="15.75" customHeight="1">
      <c r="A995" s="73"/>
    </row>
    <row r="996" ht="15.75" customHeight="1">
      <c r="A996" s="73"/>
    </row>
    <row r="997" ht="15.75" customHeight="1">
      <c r="A997" s="73"/>
    </row>
    <row r="998" ht="15.75" customHeight="1">
      <c r="A998" s="73"/>
    </row>
    <row r="999" ht="15.75" customHeight="1">
      <c r="A999" s="73"/>
    </row>
    <row r="1000" ht="15.75" customHeight="1">
      <c r="A1000" s="7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88"/>
    <col customWidth="1" min="2" max="2" width="5.0"/>
    <col customWidth="1" min="3" max="3" width="6.63"/>
    <col customWidth="1" min="4" max="4" width="5.75"/>
    <col customWidth="1" min="5" max="5" width="6.63"/>
    <col customWidth="1" min="6" max="10" width="8.88"/>
    <col customWidth="1" min="11" max="11" width="6.38"/>
    <col customWidth="1" min="12" max="12" width="13.0"/>
    <col customWidth="1" hidden="1" min="13" max="13" width="7.5"/>
    <col customWidth="1" hidden="1" min="14" max="14" width="8.38"/>
    <col customWidth="1" hidden="1" min="15" max="15" width="2.63"/>
    <col customWidth="1" min="16" max="91" width="2.63"/>
    <col customWidth="1" hidden="1" min="92" max="169" width="3.88"/>
  </cols>
  <sheetData>
    <row r="1">
      <c r="A1" s="188" t="s">
        <v>1442</v>
      </c>
      <c r="B1" s="188" t="s">
        <v>1443</v>
      </c>
      <c r="C1" s="234"/>
      <c r="D1" s="235" t="s">
        <v>737</v>
      </c>
      <c r="E1" s="113" t="s">
        <v>739</v>
      </c>
      <c r="F1" s="113" t="s">
        <v>740</v>
      </c>
      <c r="G1" s="113" t="s">
        <v>741</v>
      </c>
      <c r="H1" s="113" t="s">
        <v>744</v>
      </c>
      <c r="I1" s="113" t="s">
        <v>745</v>
      </c>
      <c r="J1" s="113" t="s">
        <v>746</v>
      </c>
      <c r="K1" s="201" t="s">
        <v>750</v>
      </c>
      <c r="L1" s="188" t="s">
        <v>1444</v>
      </c>
      <c r="M1" s="236" t="s">
        <v>1445</v>
      </c>
      <c r="N1" s="236"/>
      <c r="O1" s="236" t="s">
        <v>1446</v>
      </c>
      <c r="CM1" s="236"/>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198"/>
      <c r="EQ1" s="198"/>
      <c r="ER1" s="198"/>
      <c r="ES1" s="198"/>
      <c r="ET1" s="198"/>
      <c r="EU1" s="198"/>
      <c r="EV1" s="198"/>
      <c r="EW1" s="198"/>
      <c r="EX1" s="198"/>
      <c r="EY1" s="198"/>
      <c r="EZ1" s="198"/>
      <c r="FA1" s="198"/>
      <c r="FB1" s="198"/>
      <c r="FC1" s="198"/>
      <c r="FD1" s="198"/>
      <c r="FE1" s="198"/>
      <c r="FF1" s="198"/>
      <c r="FG1" s="198"/>
      <c r="FH1" s="198"/>
      <c r="FI1" s="198"/>
      <c r="FJ1" s="198"/>
      <c r="FK1" s="198"/>
      <c r="FL1" s="198"/>
      <c r="FM1" s="198"/>
    </row>
    <row r="2">
      <c r="A2" s="236" t="s">
        <v>1447</v>
      </c>
      <c r="B2" s="198" t="str">
        <f t="shared" ref="B2:B17" si="1">concatenate("J",C2," ")</f>
        <v>J0 </v>
      </c>
      <c r="C2" s="234">
        <v>0.0</v>
      </c>
      <c r="D2" s="232" t="s">
        <v>770</v>
      </c>
      <c r="E2" s="232" t="s">
        <v>1448</v>
      </c>
      <c r="F2" s="232" t="s">
        <v>1449</v>
      </c>
      <c r="G2" s="232" t="s">
        <v>1450</v>
      </c>
      <c r="H2" s="232" t="s">
        <v>788</v>
      </c>
      <c r="I2" s="232" t="s">
        <v>980</v>
      </c>
      <c r="J2" s="232" t="s">
        <v>847</v>
      </c>
      <c r="K2" s="232" t="s">
        <v>1090</v>
      </c>
      <c r="L2" s="188" t="s">
        <v>72</v>
      </c>
      <c r="M2" s="236" t="str">
        <f>IFERROR(__xludf.DUMMYFUNCTION("regexreplace(N2,"" "","", "")"),"J0, J1, J2, J5, J6, J7, JC, JF, K0, K5, K7, K8, K9, KA, KB, KC, KD, KF, L1, LA, LC, LF, M1, M3, M4, MB, MF, N2, N7, N8, NA, ")</f>
        <v>J0, J1, J2, J5, J6, J7, JC, JF, K0, K5, K7, K8, K9, KA, KB, KC, KD, KF, L1, LA, LC, LF, M1, M3, M4, MB, MF, N2, N7, N8, NA, </v>
      </c>
      <c r="N2" s="236" t="str">
        <f t="shared" ref="N2:N107" si="2">concatenate(O2:CL2)</f>
        <v>J0 J1 J2 J5 J6 J7 JC JF K0 K5 K7 K8 K9 KA KB KC KD KF L1 LA LC LF M1 M3 M4 MB MF N2 N7 N8 NA </v>
      </c>
      <c r="O2" s="236" t="str">
        <f>IFERROR(__xludf.DUMMYFUNCTION("if(and(not(isblank(CO2)),countif(ecn.list,CO2)),OFFSET(INDIRECT(CONCAT(""A"",to_text(match(CO2,ecn.list,0)))),0,1),"""")"),"J0 ")</f>
        <v>J0 </v>
      </c>
      <c r="P2" s="236" t="str">
        <f>IFERROR(__xludf.DUMMYFUNCTION("if(and(not(isblank(CP2)),countif(ecn.list,CP2)),OFFSET(INDIRECT(CONCAT(""A"",to_text(match(CP2,ecn.list,0)))),0,1),"""")"),"J1 ")</f>
        <v>J1 </v>
      </c>
      <c r="Q2" s="236" t="str">
        <f>IFERROR(__xludf.DUMMYFUNCTION("if(and(not(isblank(CQ2)),countif(ecn.list,CQ2)),OFFSET(INDIRECT(CONCAT(""A"",to_text(match(CQ2,ecn.list,0)))),0,1),"""")"),"J2 ")</f>
        <v>J2 </v>
      </c>
      <c r="R2" s="236" t="str">
        <f>IFERROR(__xludf.DUMMYFUNCTION("if(and(not(isblank(CR2)),countif(ecn.list,CR2)),OFFSET(INDIRECT(CONCAT(""A"",to_text(match(CR2,ecn.list,0)))),0,1),"""")"),"")</f>
        <v/>
      </c>
      <c r="S2" s="236" t="str">
        <f>IFERROR(__xludf.DUMMYFUNCTION("if(and(not(isblank(CS2)),countif(ecn.list,CS2)),OFFSET(INDIRECT(CONCAT(""A"",to_text(match(CS2,ecn.list,0)))),0,1),"""")"),"")</f>
        <v/>
      </c>
      <c r="T2" s="236" t="str">
        <f>IFERROR(__xludf.DUMMYFUNCTION("if(and(not(isblank(CT2)),countif(ecn.list,CT2)),OFFSET(INDIRECT(CONCAT(""A"",to_text(match(CT2,ecn.list,0)))),0,1),"""")"),"J5 ")</f>
        <v>J5 </v>
      </c>
      <c r="U2" s="236" t="str">
        <f>IFERROR(__xludf.DUMMYFUNCTION("if(and(not(isblank(CU2)),countif(ecn.list,CU2)),OFFSET(INDIRECT(CONCAT(""A"",to_text(match(CU2,ecn.list,0)))),0,1),"""")"),"J6 ")</f>
        <v>J6 </v>
      </c>
      <c r="V2" s="236" t="str">
        <f>IFERROR(__xludf.DUMMYFUNCTION("if(and(not(isblank(CV2)),countif(ecn.list,CV2)),OFFSET(INDIRECT(CONCAT(""A"",to_text(match(CV2,ecn.list,0)))),0,1),"""")"),"J7 ")</f>
        <v>J7 </v>
      </c>
      <c r="W2" s="236" t="str">
        <f>IFERROR(__xludf.DUMMYFUNCTION("if(and(not(isblank(CW2)),countif(ecn.list,CW2)),OFFSET(INDIRECT(CONCAT(""A"",to_text(match(CW2,ecn.list,0)))),0,1),"""")"),"")</f>
        <v/>
      </c>
      <c r="X2" s="236" t="str">
        <f>IFERROR(__xludf.DUMMYFUNCTION("if(and(not(isblank(CX2)),countif(ecn.list,CX2)),OFFSET(INDIRECT(CONCAT(""A"",to_text(match(CX2,ecn.list,0)))),0,1),"""")"),"")</f>
        <v/>
      </c>
      <c r="Y2" s="236" t="str">
        <f>IFERROR(__xludf.DUMMYFUNCTION("if(and(not(isblank(CY2)),countif(ecn.list,CY2)),OFFSET(INDIRECT(CONCAT(""A"",to_text(match(CY2,ecn.list,0)))),0,1),"""")"),"")</f>
        <v/>
      </c>
      <c r="Z2" s="236" t="str">
        <f>IFERROR(__xludf.DUMMYFUNCTION("if(and(not(isblank(CZ2)),countif(ecn.list,CZ2)),OFFSET(INDIRECT(CONCAT(""A"",to_text(match(CZ2,ecn.list,0)))),0,1),"""")"),"")</f>
        <v/>
      </c>
      <c r="AA2" s="236" t="str">
        <f>IFERROR(__xludf.DUMMYFUNCTION("if(and(not(isblank(DA2)),countif(ecn.list,DA2)),OFFSET(INDIRECT(CONCAT(""A"",to_text(match(DA2,ecn.list,0)))),0,1),"""")"),"JC ")</f>
        <v>JC </v>
      </c>
      <c r="AB2" s="236" t="str">
        <f>IFERROR(__xludf.DUMMYFUNCTION("if(and(not(isblank(DB2)),countif(ecn.list,DB2)),OFFSET(INDIRECT(CONCAT(""A"",to_text(match(DB2,ecn.list,0)))),0,1),"""")"),"")</f>
        <v/>
      </c>
      <c r="AC2" s="236" t="str">
        <f>IFERROR(__xludf.DUMMYFUNCTION("if(and(ISTEXT(DC2),countif(ecn.list,DC2)),OFFSET(INDIRECT(CONCAT(""A"",to_text(match(DC2,ecn.list,0)))),0,1),"""")"),"")</f>
        <v/>
      </c>
      <c r="AD2" s="236" t="str">
        <f>IFERROR(__xludf.DUMMYFUNCTION("if(countif(ecn.list,DD2),OFFSET(INDIRECT(CONCAT(""A"",to_text(match(DD2,ecn.list,0)))),0,1),"""")"),"JF ")</f>
        <v>JF </v>
      </c>
      <c r="AE2" s="236" t="str">
        <f>IFERROR(__xludf.DUMMYFUNCTION("if(countif(ecn.list,DE2),OFFSET(INDIRECT(CONCAT(""A"",to_text(match(DE2,ecn.list,0)))),0,1),"""")"),"K0 ")</f>
        <v>K0 </v>
      </c>
      <c r="AF2" s="236" t="str">
        <f>IFERROR(__xludf.DUMMYFUNCTION("if(countif(ecn.list,DF2),OFFSET(INDIRECT(CONCAT(""A"",to_text(match(DF2,ecn.list,0)))),0,1),"""")"),"")</f>
        <v/>
      </c>
      <c r="AG2" s="236" t="str">
        <f>IFERROR(__xludf.DUMMYFUNCTION("if(countif(ecn.list,DG2),OFFSET(INDIRECT(CONCAT(""A"",to_text(match(DG2,ecn.list,0)))),0,1),"""")"),"")</f>
        <v/>
      </c>
      <c r="AH2" s="236" t="str">
        <f>IFERROR(__xludf.DUMMYFUNCTION("if(countif(ecn.list,DH2),OFFSET(INDIRECT(CONCAT(""A"",to_text(match(DH2,ecn.list,0)))),0,1),"""")"),"")</f>
        <v/>
      </c>
      <c r="AI2" s="236" t="str">
        <f>IFERROR(__xludf.DUMMYFUNCTION("if(countif(ecn.list,DI2),OFFSET(INDIRECT(CONCAT(""A"",to_text(match(DI2,ecn.list,0)))),0,1),"""")"),"")</f>
        <v/>
      </c>
      <c r="AJ2" s="236" t="str">
        <f>IFERROR(__xludf.DUMMYFUNCTION("if(countif(ecn.list,DJ2),OFFSET(INDIRECT(CONCAT(""A"",to_text(match(DJ2,ecn.list,0)))),0,1),"""")"),"K5 ")</f>
        <v>K5 </v>
      </c>
      <c r="AK2" s="236" t="str">
        <f>IFERROR(__xludf.DUMMYFUNCTION("if(countif(ecn.list,DK2),OFFSET(INDIRECT(CONCAT(""A"",to_text(match(DK2,ecn.list,0)))),0,1),"""")"),"")</f>
        <v/>
      </c>
      <c r="AL2" s="236" t="str">
        <f>IFERROR(__xludf.DUMMYFUNCTION("if(countif(ecn.list,DL2),OFFSET(INDIRECT(CONCAT(""A"",to_text(match(DL2,ecn.list,0)))),0,1),"""")"),"K7 ")</f>
        <v>K7 </v>
      </c>
      <c r="AM2" s="236" t="str">
        <f>IFERROR(__xludf.DUMMYFUNCTION("if(countif(ecn.list,DM2),OFFSET(INDIRECT(CONCAT(""A"",to_text(match(DM2,ecn.list,0)))),0,1),"""")"),"K8 ")</f>
        <v>K8 </v>
      </c>
      <c r="AN2" s="236" t="str">
        <f>IFERROR(__xludf.DUMMYFUNCTION("if(countif(ecn.list,DN2),OFFSET(INDIRECT(CONCAT(""A"",to_text(match(DN2,ecn.list,0)))),0,1),"""")"),"K9 ")</f>
        <v>K9 </v>
      </c>
      <c r="AO2" s="236" t="str">
        <f>IFERROR(__xludf.DUMMYFUNCTION("if(countif(ecn.list,DO2),OFFSET(INDIRECT(CONCAT(""A"",to_text(match(DO2,ecn.list,0)))),0,1),"""")"),"KA ")</f>
        <v>KA </v>
      </c>
      <c r="AP2" s="236" t="str">
        <f>IFERROR(__xludf.DUMMYFUNCTION("if(countif(ecn.list,DP2),OFFSET(INDIRECT(CONCAT(""A"",to_text(match(DP2,ecn.list,0)))),0,1),"""")"),"KB ")</f>
        <v>KB </v>
      </c>
      <c r="AQ2" s="236" t="str">
        <f>IFERROR(__xludf.DUMMYFUNCTION("if(countif(ecn.list,DQ2),OFFSET(INDIRECT(CONCAT(""A"",to_text(match(DQ2,ecn.list,0)))),0,1),"""")"),"KC ")</f>
        <v>KC </v>
      </c>
      <c r="AR2" s="236" t="str">
        <f>IFERROR(__xludf.DUMMYFUNCTION("if(countif(ecn.list,DR2),OFFSET(INDIRECT(CONCAT(""A"",to_text(match(DR2,ecn.list,0)))),0,1),"""")"),"KD ")</f>
        <v>KD </v>
      </c>
      <c r="AS2" s="236" t="str">
        <f>IFERROR(__xludf.DUMMYFUNCTION("if(countif(ecn.list,DS2),OFFSET(INDIRECT(CONCAT(""A"",to_text(match(DS2,ecn.list,0)))),0,1),"""")"),"")</f>
        <v/>
      </c>
      <c r="AT2" s="236" t="str">
        <f>IFERROR(__xludf.DUMMYFUNCTION("if(countif(ecn.list,DT2),OFFSET(INDIRECT(CONCAT(""A"",to_text(match(DT2,ecn.list,0)))),0,1),"""")"),"KF ")</f>
        <v>KF </v>
      </c>
      <c r="AU2" s="236" t="str">
        <f>IFERROR(__xludf.DUMMYFUNCTION("if(countif(ecn.list,DU2),OFFSET(INDIRECT(CONCAT(""A"",to_text(match(DU2,ecn.list,0)))),0,1),"""")"),"")</f>
        <v/>
      </c>
      <c r="AV2" s="236" t="str">
        <f>IFERROR(__xludf.DUMMYFUNCTION("if(countif(ecn.list,DV2),OFFSET(INDIRECT(CONCAT(""A"",to_text(match(DV2,ecn.list,0)))),0,1),"""")"),"L1 ")</f>
        <v>L1 </v>
      </c>
      <c r="AW2" s="236" t="str">
        <f>IFERROR(__xludf.DUMMYFUNCTION("if(countif(ecn.list,DW2),OFFSET(INDIRECT(CONCAT(""A"",to_text(match(DW2,ecn.list,0)))),0,1),"""")"),"")</f>
        <v/>
      </c>
      <c r="AX2" s="236" t="str">
        <f>IFERROR(__xludf.DUMMYFUNCTION("if(countif(ecn.list,DX2),OFFSET(INDIRECT(CONCAT(""A"",to_text(match(DX2,ecn.list,0)))),0,1),"""")"),"")</f>
        <v/>
      </c>
      <c r="AY2" s="236" t="str">
        <f>IFERROR(__xludf.DUMMYFUNCTION("if(countif(ecn.list,DY2),OFFSET(INDIRECT(CONCAT(""A"",to_text(match(DY2,ecn.list,0)))),0,1),"""")"),"")</f>
        <v/>
      </c>
      <c r="AZ2" s="236" t="str">
        <f>IFERROR(__xludf.DUMMYFUNCTION("if(countif(ecn.list,DZ2),OFFSET(INDIRECT(CONCAT(""A"",to_text(match(DZ2,ecn.list,0)))),0,1),"""")"),"")</f>
        <v/>
      </c>
      <c r="BA2" s="236" t="str">
        <f>IFERROR(__xludf.DUMMYFUNCTION("if(countif(ecn.list,EA2),OFFSET(INDIRECT(CONCAT(""A"",to_text(match(EA2,ecn.list,0)))),0,1),"""")"),"")</f>
        <v/>
      </c>
      <c r="BB2" s="236" t="str">
        <f>IFERROR(__xludf.DUMMYFUNCTION("if(countif(ecn.list,EB2),OFFSET(INDIRECT(CONCAT(""A"",to_text(match(EB2,ecn.list,0)))),0,1),"""")"),"")</f>
        <v/>
      </c>
      <c r="BC2" s="236" t="str">
        <f>IFERROR(__xludf.DUMMYFUNCTION("if(countif(ecn.list,EC2),OFFSET(INDIRECT(CONCAT(""A"",to_text(match(EC2,ecn.list,0)))),0,1),"""")"),"")</f>
        <v/>
      </c>
      <c r="BD2" s="236" t="str">
        <f>IFERROR(__xludf.DUMMYFUNCTION("if(countif(ecn.list,ED2),OFFSET(INDIRECT(CONCAT(""A"",to_text(match(ED2,ecn.list,0)))),0,1),"""")"),"")</f>
        <v/>
      </c>
      <c r="BE2" s="236" t="str">
        <f>IFERROR(__xludf.DUMMYFUNCTION("if(countif(ecn.list,EE2),OFFSET(INDIRECT(CONCAT(""A"",to_text(match(EE2,ecn.list,0)))),0,1),"""")"),"LA ")</f>
        <v>LA </v>
      </c>
      <c r="BF2" s="236" t="str">
        <f>IFERROR(__xludf.DUMMYFUNCTION("if(countif(ecn.list,EF2),OFFSET(INDIRECT(CONCAT(""A"",to_text(match(EF2,ecn.list,0)))),0,1),"""")"),"")</f>
        <v/>
      </c>
      <c r="BG2" s="236" t="str">
        <f>IFERROR(__xludf.DUMMYFUNCTION("if(countif(ecn.list,EG2),OFFSET(INDIRECT(CONCAT(""A"",to_text(match(EG2,ecn.list,0)))),0,1),"""")"),"LC ")</f>
        <v>LC </v>
      </c>
      <c r="BH2" s="236" t="str">
        <f>IFERROR(__xludf.DUMMYFUNCTION("if(countif(ecn.list,EH2),OFFSET(INDIRECT(CONCAT(""A"",to_text(match(EH2,ecn.list,0)))),0,1),"""")"),"")</f>
        <v/>
      </c>
      <c r="BI2" s="236" t="str">
        <f>IFERROR(__xludf.DUMMYFUNCTION("if(countif(ecn.list,EI2),OFFSET(INDIRECT(CONCAT(""A"",to_text(match(EI2,ecn.list,0)))),0,1),"""")"),"")</f>
        <v/>
      </c>
      <c r="BJ2" s="236" t="str">
        <f>IFERROR(__xludf.DUMMYFUNCTION("if(countif(ecn.list,EJ2),OFFSET(INDIRECT(CONCAT(""A"",to_text(match(EJ2,ecn.list,0)))),0,1),"""")"),"LF ")</f>
        <v>LF </v>
      </c>
      <c r="BK2" s="236" t="str">
        <f>IFERROR(__xludf.DUMMYFUNCTION("if(countif(ecn.list,EK2),OFFSET(INDIRECT(CONCAT(""A"",to_text(match(EK2,ecn.list,0)))),0,1),"""")"),"")</f>
        <v/>
      </c>
      <c r="BL2" s="236" t="str">
        <f>IFERROR(__xludf.DUMMYFUNCTION("if(countif(ecn.list,EL2),OFFSET(INDIRECT(CONCAT(""A"",to_text(match(EL2,ecn.list,0)))),0,1),"""")"),"M1 ")</f>
        <v>M1 </v>
      </c>
      <c r="BM2" s="236" t="str">
        <f>IFERROR(__xludf.DUMMYFUNCTION("if(countif(ecn.list,EM2),OFFSET(INDIRECT(CONCAT(""A"",to_text(match(EM2,ecn.list,0)))),0,1),"""")"),"")</f>
        <v/>
      </c>
      <c r="BN2" s="236" t="str">
        <f>IFERROR(__xludf.DUMMYFUNCTION("if(countif(ecn.list,EN2),OFFSET(INDIRECT(CONCAT(""A"",to_text(match(EN2,ecn.list,0)))),0,1),"""")"),"M3 ")</f>
        <v>M3 </v>
      </c>
      <c r="BO2" s="236" t="str">
        <f>IFERROR(__xludf.DUMMYFUNCTION("if(countif(ecn.list,EO2),OFFSET(INDIRECT(CONCAT(""A"",to_text(match(EO2,ecn.list,0)))),0,1),"""")"),"M4 ")</f>
        <v>M4 </v>
      </c>
      <c r="BP2" s="236" t="str">
        <f>IFERROR(__xludf.DUMMYFUNCTION("if(countif(ecn.list,EP2),OFFSET(INDIRECT(CONCAT(""A"",to_text(match(EP2,ecn.list,0)))),0,1),"""")"),"")</f>
        <v/>
      </c>
      <c r="BQ2" s="236" t="str">
        <f>IFERROR(__xludf.DUMMYFUNCTION("if(countif(ecn.list,EQ2),OFFSET(INDIRECT(CONCAT(""A"",to_text(match(EQ2,ecn.list,0)))),0,1),"""")"),"")</f>
        <v/>
      </c>
      <c r="BR2" s="236" t="str">
        <f>IFERROR(__xludf.DUMMYFUNCTION("if(countif(ecn.list,ER2),OFFSET(INDIRECT(CONCAT(""A"",to_text(match(ER2,ecn.list,0)))),0,1),"""")"),"")</f>
        <v/>
      </c>
      <c r="BS2" s="236" t="str">
        <f>IFERROR(__xludf.DUMMYFUNCTION("if(countif(ecn.list,ES2),OFFSET(INDIRECT(CONCAT(""A"",to_text(match(ES2,ecn.list,0)))),0,1),"""")"),"")</f>
        <v/>
      </c>
      <c r="BT2" s="236" t="str">
        <f>IFERROR(__xludf.DUMMYFUNCTION("if(countif(ecn.list,ET2),OFFSET(INDIRECT(CONCAT(""A"",to_text(match(ET2,ecn.list,0)))),0,1),"""")"),"")</f>
        <v/>
      </c>
      <c r="BU2" s="236" t="str">
        <f>IFERROR(__xludf.DUMMYFUNCTION("if(countif(ecn.list,EU2),OFFSET(INDIRECT(CONCAT(""A"",to_text(match(EU2,ecn.list,0)))),0,1),"""")"),"")</f>
        <v/>
      </c>
      <c r="BV2" s="236" t="str">
        <f>IFERROR(__xludf.DUMMYFUNCTION("if(countif(ecn.list,EV2),OFFSET(INDIRECT(CONCAT(""A"",to_text(match(EV2,ecn.list,0)))),0,1),"""")"),"MB ")</f>
        <v>MB </v>
      </c>
      <c r="BW2" s="236" t="str">
        <f>IFERROR(__xludf.DUMMYFUNCTION("if(countif(ecn.list,EW2),OFFSET(INDIRECT(CONCAT(""A"",to_text(match(EW2,ecn.list,0)))),0,1),"""")"),"")</f>
        <v/>
      </c>
      <c r="BX2" s="236" t="str">
        <f>IFERROR(__xludf.DUMMYFUNCTION("if(countif(ecn.list,EX2),OFFSET(INDIRECT(CONCAT(""A"",to_text(match(EX2,ecn.list,0)))),0,1),"""")"),"")</f>
        <v/>
      </c>
      <c r="BY2" s="236" t="str">
        <f>IFERROR(__xludf.DUMMYFUNCTION("if(countif(ecn.list,EY2),OFFSET(INDIRECT(CONCAT(""A"",to_text(match(EY2,ecn.list,0)))),0,1),"""")"),"")</f>
        <v/>
      </c>
      <c r="BZ2" s="236" t="str">
        <f>IFERROR(__xludf.DUMMYFUNCTION("if(countif(ecn.list,EZ2),OFFSET(INDIRECT(CONCAT(""A"",to_text(match(EZ2,ecn.list,0)))),0,1),"""")"),"MF ")</f>
        <v>MF </v>
      </c>
      <c r="CA2" s="236" t="str">
        <f>IFERROR(__xludf.DUMMYFUNCTION("if(countif(ecn.list,FA2),OFFSET(INDIRECT(CONCAT(""A"",to_text(match(FA2,ecn.list,0)))),0,1),"""")"),"")</f>
        <v/>
      </c>
      <c r="CB2" s="236" t="str">
        <f>IFERROR(__xludf.DUMMYFUNCTION("if(countif(ecn.list,FB2),OFFSET(INDIRECT(CONCAT(""A"",to_text(match(FB2,ecn.list,0)))),0,1),"""")"),"")</f>
        <v/>
      </c>
      <c r="CC2" s="236" t="str">
        <f>IFERROR(__xludf.DUMMYFUNCTION("if(countif(ecn.list,FC2),OFFSET(INDIRECT(CONCAT(""A"",to_text(match(FC2,ecn.list,0)))),0,1),"""")"),"N2 ")</f>
        <v>N2 </v>
      </c>
      <c r="CD2" s="236" t="str">
        <f>IFERROR(__xludf.DUMMYFUNCTION("if(countif(ecn.list,FD2),OFFSET(INDIRECT(CONCAT(""A"",to_text(match(FD2,ecn.list,0)))),0,1),"""")"),"")</f>
        <v/>
      </c>
      <c r="CE2" s="236" t="str">
        <f>IFERROR(__xludf.DUMMYFUNCTION("if(countif(ecn.list,FE2),OFFSET(INDIRECT(CONCAT(""A"",to_text(match(FE2,ecn.list,0)))),0,1),"""")"),"")</f>
        <v/>
      </c>
      <c r="CF2" s="236" t="str">
        <f>IFERROR(__xludf.DUMMYFUNCTION("if(countif(ecn.list,FF2),OFFSET(INDIRECT(CONCAT(""A"",to_text(match(FF2,ecn.list,0)))),0,1),"""")"),"")</f>
        <v/>
      </c>
      <c r="CG2" s="236" t="str">
        <f>IFERROR(__xludf.DUMMYFUNCTION("if(countif(ecn.list,FG2),OFFSET(INDIRECT(CONCAT(""A"",to_text(match(FG2,ecn.list,0)))),0,1),"""")"),"")</f>
        <v/>
      </c>
      <c r="CH2" s="236" t="str">
        <f>IFERROR(__xludf.DUMMYFUNCTION("if(countif(ecn.list,FH2),OFFSET(INDIRECT(CONCAT(""A"",to_text(match(FH2,ecn.list,0)))),0,1),"""")"),"N7 ")</f>
        <v>N7 </v>
      </c>
      <c r="CI2" s="236" t="str">
        <f>IFERROR(__xludf.DUMMYFUNCTION("if(countif(ecn.list,FI2),OFFSET(INDIRECT(CONCAT(""A"",to_text(match(FI2,ecn.list,0)))),0,1),"""")"),"N8 ")</f>
        <v>N8 </v>
      </c>
      <c r="CJ2" s="236" t="str">
        <f>IFERROR(__xludf.DUMMYFUNCTION("if(countif(ecn.list,FJ2),OFFSET(INDIRECT(CONCAT(""A"",to_text(match(FJ2,ecn.list,0)))),0,1),"""")"),"")</f>
        <v/>
      </c>
      <c r="CK2" s="236" t="str">
        <f>IFERROR(__xludf.DUMMYFUNCTION("if(countif(ecn.list,FK2),OFFSET(INDIRECT(CONCAT(""A"",to_text(match(FK2,ecn.list,0)))),0,1),"""")"),"NA ")</f>
        <v>NA </v>
      </c>
      <c r="CL2" s="236" t="str">
        <f>IFERROR(__xludf.DUMMYFUNCTION("if(countif(ecn.list,FL2),OFFSET(INDIRECT(CONCAT(""A"",to_text(match(FL2,ecn.list,0)))),0,1),"""")"),"")</f>
        <v/>
      </c>
      <c r="CM2" s="236" t="str">
        <f>IFERROR(__xludf.DUMMYFUNCTION("if(countif(ecn.list,FM2),OFFSET(INDIRECT(CONCAT(""A"",to_text(match(FM2,ecn.list,0)))),0,1),"""")"),"")</f>
        <v/>
      </c>
      <c r="CN2" s="198" t="s">
        <v>72</v>
      </c>
      <c r="CO2" s="198" t="s">
        <v>1447</v>
      </c>
      <c r="CP2" s="198" t="s">
        <v>1451</v>
      </c>
      <c r="CQ2" s="198" t="s">
        <v>1452</v>
      </c>
      <c r="CR2" s="198" t="s">
        <v>1453</v>
      </c>
      <c r="CS2" s="198" t="s">
        <v>1453</v>
      </c>
      <c r="CT2" s="198" t="s">
        <v>1454</v>
      </c>
      <c r="CU2" s="198" t="s">
        <v>1455</v>
      </c>
      <c r="CV2" s="198" t="s">
        <v>1456</v>
      </c>
      <c r="CW2" s="198" t="s">
        <v>1453</v>
      </c>
      <c r="CX2" s="198" t="s">
        <v>1453</v>
      </c>
      <c r="CY2" s="198" t="s">
        <v>1453</v>
      </c>
      <c r="CZ2" s="198" t="s">
        <v>1453</v>
      </c>
      <c r="DA2" s="198" t="s">
        <v>1457</v>
      </c>
      <c r="DB2" s="198" t="s">
        <v>1453</v>
      </c>
      <c r="DC2" s="198" t="s">
        <v>1453</v>
      </c>
      <c r="DD2" s="198" t="s">
        <v>1458</v>
      </c>
      <c r="DE2" s="198" t="s">
        <v>1459</v>
      </c>
      <c r="DF2" s="198" t="s">
        <v>1453</v>
      </c>
      <c r="DG2" s="198" t="s">
        <v>1453</v>
      </c>
      <c r="DH2" s="198" t="s">
        <v>1453</v>
      </c>
      <c r="DI2" s="198" t="s">
        <v>1453</v>
      </c>
      <c r="DJ2" s="198" t="s">
        <v>1460</v>
      </c>
      <c r="DK2" s="198" t="s">
        <v>1453</v>
      </c>
      <c r="DL2" s="198" t="s">
        <v>1461</v>
      </c>
      <c r="DM2" s="198" t="s">
        <v>1462</v>
      </c>
      <c r="DN2" s="198" t="s">
        <v>1463</v>
      </c>
      <c r="DO2" s="198" t="s">
        <v>1464</v>
      </c>
      <c r="DP2" s="198" t="s">
        <v>1465</v>
      </c>
      <c r="DQ2" s="198" t="s">
        <v>1466</v>
      </c>
      <c r="DR2" s="198" t="s">
        <v>1467</v>
      </c>
      <c r="DS2" s="198" t="s">
        <v>1453</v>
      </c>
      <c r="DT2" s="198" t="s">
        <v>1468</v>
      </c>
      <c r="DU2" s="198" t="s">
        <v>1453</v>
      </c>
      <c r="DV2" s="198" t="s">
        <v>1469</v>
      </c>
      <c r="DW2" s="198" t="s">
        <v>1453</v>
      </c>
      <c r="DX2" s="198" t="s">
        <v>1453</v>
      </c>
      <c r="DY2" s="198" t="s">
        <v>1453</v>
      </c>
      <c r="DZ2" s="198" t="s">
        <v>1453</v>
      </c>
      <c r="EA2" s="198" t="s">
        <v>1453</v>
      </c>
      <c r="EB2" s="198" t="s">
        <v>1453</v>
      </c>
      <c r="EC2" s="198" t="s">
        <v>1453</v>
      </c>
      <c r="ED2" s="198" t="s">
        <v>1453</v>
      </c>
      <c r="EE2" s="198" t="s">
        <v>1470</v>
      </c>
      <c r="EF2" s="198" t="s">
        <v>1453</v>
      </c>
      <c r="EG2" s="198" t="s">
        <v>1471</v>
      </c>
      <c r="EH2" s="198" t="s">
        <v>1453</v>
      </c>
      <c r="EI2" s="198" t="s">
        <v>1453</v>
      </c>
      <c r="EJ2" s="198" t="s">
        <v>1472</v>
      </c>
      <c r="EK2" s="198" t="s">
        <v>1453</v>
      </c>
      <c r="EL2" s="198" t="s">
        <v>1473</v>
      </c>
      <c r="EM2" s="198" t="s">
        <v>1453</v>
      </c>
      <c r="EN2" s="198" t="s">
        <v>1474</v>
      </c>
      <c r="EO2" s="198" t="s">
        <v>1475</v>
      </c>
      <c r="EP2" s="198" t="s">
        <v>1453</v>
      </c>
      <c r="EQ2" s="198" t="s">
        <v>1453</v>
      </c>
      <c r="ER2" s="198" t="s">
        <v>1453</v>
      </c>
      <c r="ES2" s="198" t="s">
        <v>1453</v>
      </c>
      <c r="ET2" s="198" t="s">
        <v>1453</v>
      </c>
      <c r="EU2" s="198" t="s">
        <v>1453</v>
      </c>
      <c r="EV2" s="198" t="s">
        <v>1476</v>
      </c>
      <c r="EW2" s="198" t="s">
        <v>1453</v>
      </c>
      <c r="EX2" s="198" t="s">
        <v>1453</v>
      </c>
      <c r="EY2" s="198" t="s">
        <v>1453</v>
      </c>
      <c r="EZ2" s="198" t="s">
        <v>1477</v>
      </c>
      <c r="FA2" s="198" t="s">
        <v>1453</v>
      </c>
      <c r="FB2" s="198" t="s">
        <v>1453</v>
      </c>
      <c r="FC2" s="198" t="s">
        <v>1478</v>
      </c>
      <c r="FD2" s="198" t="s">
        <v>1453</v>
      </c>
      <c r="FE2" s="198" t="s">
        <v>1453</v>
      </c>
      <c r="FF2" s="198" t="s">
        <v>1453</v>
      </c>
      <c r="FG2" s="198" t="s">
        <v>1453</v>
      </c>
      <c r="FH2" s="198" t="s">
        <v>1479</v>
      </c>
      <c r="FI2" s="198" t="s">
        <v>1480</v>
      </c>
      <c r="FJ2" s="198" t="s">
        <v>1453</v>
      </c>
      <c r="FK2" s="198" t="s">
        <v>1481</v>
      </c>
      <c r="FL2" s="198" t="s">
        <v>1482</v>
      </c>
      <c r="FM2" s="198" t="s">
        <v>1453</v>
      </c>
    </row>
    <row r="3">
      <c r="A3" s="198" t="s">
        <v>1451</v>
      </c>
      <c r="B3" s="198" t="str">
        <f t="shared" si="1"/>
        <v>J1 </v>
      </c>
      <c r="C3" s="234">
        <v>1.0</v>
      </c>
      <c r="D3" s="232" t="s">
        <v>770</v>
      </c>
      <c r="E3" s="232" t="s">
        <v>1448</v>
      </c>
      <c r="F3" s="232" t="s">
        <v>1449</v>
      </c>
      <c r="G3" s="232" t="s">
        <v>1450</v>
      </c>
      <c r="H3" s="232" t="s">
        <v>804</v>
      </c>
      <c r="I3" s="232" t="s">
        <v>789</v>
      </c>
      <c r="J3" s="232" t="s">
        <v>790</v>
      </c>
      <c r="K3" s="232" t="s">
        <v>801</v>
      </c>
      <c r="L3" s="188" t="s">
        <v>76</v>
      </c>
      <c r="M3" s="236" t="str">
        <f>IFERROR(__xludf.DUMMYFUNCTION("regexreplace(N3,"" "","", "")"),"J0, J1, J2, J5, J6, J7, JC, K0, K5, K7, K9, KA, KB, KC, KD, KF, L1, L8, LA, LC, M3, M4, MB, MF, N2, N7, NA, ")</f>
        <v>J0, J1, J2, J5, J6, J7, JC, K0, K5, K7, K9, KA, KB, KC, KD, KF, L1, L8, LA, LC, M3, M4, MB, MF, N2, N7, NA, </v>
      </c>
      <c r="N3" s="236" t="str">
        <f t="shared" si="2"/>
        <v>J0 J1 J2 J5 J6 J7 JC K0 K5 K7 K9 KA KB KC KD KF L1 L8 LA LC M3 M4 MB MF N2 N7 NA </v>
      </c>
      <c r="O3" s="236" t="str">
        <f>IFERROR(__xludf.DUMMYFUNCTION("if(countif(ecn.list,CO3),OFFSET(INDIRECT(CONCAT(""A"",to_text(match(CO3,ecn.list,0)))),0,1),"""")"),"J0 ")</f>
        <v>J0 </v>
      </c>
      <c r="P3" s="236" t="str">
        <f>IFERROR(__xludf.DUMMYFUNCTION("if(countif(ecn.list,CP3),OFFSET(INDIRECT(CONCAT(""A"",to_text(match(CP3,ecn.list,0)))),0,1),"""")"),"J1 ")</f>
        <v>J1 </v>
      </c>
      <c r="Q3" s="236" t="str">
        <f>IFERROR(__xludf.DUMMYFUNCTION("if(countif(ecn.list,CQ3),OFFSET(INDIRECT(CONCAT(""A"",to_text(match(CQ3,ecn.list,0)))),0,1),"""")"),"J2 ")</f>
        <v>J2 </v>
      </c>
      <c r="R3" s="236" t="str">
        <f>IFERROR(__xludf.DUMMYFUNCTION("if(countif(ecn.list,CR3),OFFSET(INDIRECT(CONCAT(""A"",to_text(match(CR3,ecn.list,0)))),0,1),"""")"),"")</f>
        <v/>
      </c>
      <c r="S3" s="236" t="str">
        <f>IFERROR(__xludf.DUMMYFUNCTION("if(countif(ecn.list,CS3),OFFSET(INDIRECT(CONCAT(""A"",to_text(match(CS3,ecn.list,0)))),0,1),"""")"),"")</f>
        <v/>
      </c>
      <c r="T3" s="236" t="str">
        <f>IFERROR(__xludf.DUMMYFUNCTION("if(countif(ecn.list,CT3),OFFSET(INDIRECT(CONCAT(""A"",to_text(match(CT3,ecn.list,0)))),0,1),"""")"),"J5 ")</f>
        <v>J5 </v>
      </c>
      <c r="U3" s="236" t="str">
        <f>IFERROR(__xludf.DUMMYFUNCTION("if(countif(ecn.list,CU3),OFFSET(INDIRECT(CONCAT(""A"",to_text(match(CU3,ecn.list,0)))),0,1),"""")"),"J6 ")</f>
        <v>J6 </v>
      </c>
      <c r="V3" s="236" t="str">
        <f>IFERROR(__xludf.DUMMYFUNCTION("if(countif(ecn.list,CV3),OFFSET(INDIRECT(CONCAT(""A"",to_text(match(CV3,ecn.list,0)))),0,1),"""")"),"J7 ")</f>
        <v>J7 </v>
      </c>
      <c r="W3" s="236" t="str">
        <f>IFERROR(__xludf.DUMMYFUNCTION("if(countif(ecn.list,CW3),OFFSET(INDIRECT(CONCAT(""A"",to_text(match(CW3,ecn.list,0)))),0,1),"""")"),"")</f>
        <v/>
      </c>
      <c r="X3" s="236" t="str">
        <f>IFERROR(__xludf.DUMMYFUNCTION("if(countif(ecn.list,CX3),OFFSET(INDIRECT(CONCAT(""A"",to_text(match(CX3,ecn.list,0)))),0,1),"""")"),"")</f>
        <v/>
      </c>
      <c r="Y3" s="236" t="str">
        <f>IFERROR(__xludf.DUMMYFUNCTION("if(countif(ecn.list,CY3),OFFSET(INDIRECT(CONCAT(""A"",to_text(match(CY3,ecn.list,0)))),0,1),"""")"),"")</f>
        <v/>
      </c>
      <c r="Z3" s="236" t="str">
        <f>IFERROR(__xludf.DUMMYFUNCTION("if(countif(ecn.list,CZ3),OFFSET(INDIRECT(CONCAT(""A"",to_text(match(CZ3,ecn.list,0)))),0,1),"""")"),"")</f>
        <v/>
      </c>
      <c r="AA3" s="236" t="str">
        <f>IFERROR(__xludf.DUMMYFUNCTION("if(countif(ecn.list,DA3),OFFSET(INDIRECT(CONCAT(""A"",to_text(match(DA3,ecn.list,0)))),0,1),"""")"),"JC ")</f>
        <v>JC </v>
      </c>
      <c r="AB3" s="236" t="str">
        <f>IFERROR(__xludf.DUMMYFUNCTION("if(countif(ecn.list,DB3),OFFSET(INDIRECT(CONCAT(""A"",to_text(match(DB3,ecn.list,0)))),0,1),"""")"),"")</f>
        <v/>
      </c>
      <c r="AC3" s="236" t="str">
        <f>IFERROR(__xludf.DUMMYFUNCTION("if(countif(ecn.list,DC3),OFFSET(INDIRECT(CONCAT(""A"",to_text(match(DC3,ecn.list,0)))),0,1),"""")"),"")</f>
        <v/>
      </c>
      <c r="AD3" s="236" t="str">
        <f>IFERROR(__xludf.DUMMYFUNCTION("if(countif(ecn.list,DD3),OFFSET(INDIRECT(CONCAT(""A"",to_text(match(DD3,ecn.list,0)))),0,1),"""")"),"")</f>
        <v/>
      </c>
      <c r="AE3" s="236" t="str">
        <f>IFERROR(__xludf.DUMMYFUNCTION("if(countif(ecn.list,DE3),OFFSET(INDIRECT(CONCAT(""A"",to_text(match(DE3,ecn.list,0)))),0,1),"""")"),"K0 ")</f>
        <v>K0 </v>
      </c>
      <c r="AF3" s="236" t="str">
        <f>IFERROR(__xludf.DUMMYFUNCTION("if(countif(ecn.list,DF3),OFFSET(INDIRECT(CONCAT(""A"",to_text(match(DF3,ecn.list,0)))),0,1),"""")"),"")</f>
        <v/>
      </c>
      <c r="AG3" s="236" t="str">
        <f>IFERROR(__xludf.DUMMYFUNCTION("if(countif(ecn.list,DG3),OFFSET(INDIRECT(CONCAT(""A"",to_text(match(DG3,ecn.list,0)))),0,1),"""")"),"")</f>
        <v/>
      </c>
      <c r="AH3" s="236" t="str">
        <f>IFERROR(__xludf.DUMMYFUNCTION("if(countif(ecn.list,DH3),OFFSET(INDIRECT(CONCAT(""A"",to_text(match(DH3,ecn.list,0)))),0,1),"""")"),"")</f>
        <v/>
      </c>
      <c r="AI3" s="236" t="str">
        <f>IFERROR(__xludf.DUMMYFUNCTION("if(countif(ecn.list,DI3),OFFSET(INDIRECT(CONCAT(""A"",to_text(match(DI3,ecn.list,0)))),0,1),"""")"),"")</f>
        <v/>
      </c>
      <c r="AJ3" s="236" t="str">
        <f>IFERROR(__xludf.DUMMYFUNCTION("if(countif(ecn.list,DJ3),OFFSET(INDIRECT(CONCAT(""A"",to_text(match(DJ3,ecn.list,0)))),0,1),"""")"),"K5 ")</f>
        <v>K5 </v>
      </c>
      <c r="AK3" s="236" t="str">
        <f>IFERROR(__xludf.DUMMYFUNCTION("if(countif(ecn.list,DK3),OFFSET(INDIRECT(CONCAT(""A"",to_text(match(DK3,ecn.list,0)))),0,1),"""")"),"")</f>
        <v/>
      </c>
      <c r="AL3" s="236" t="str">
        <f>IFERROR(__xludf.DUMMYFUNCTION("if(countif(ecn.list,DL3),OFFSET(INDIRECT(CONCAT(""A"",to_text(match(DL3,ecn.list,0)))),0,1),"""")"),"K7 ")</f>
        <v>K7 </v>
      </c>
      <c r="AM3" s="236" t="str">
        <f>IFERROR(__xludf.DUMMYFUNCTION("if(countif(ecn.list,DM3),OFFSET(INDIRECT(CONCAT(""A"",to_text(match(DM3,ecn.list,0)))),0,1),"""")"),"")</f>
        <v/>
      </c>
      <c r="AN3" s="236" t="str">
        <f>IFERROR(__xludf.DUMMYFUNCTION("if(countif(ecn.list,DN3),OFFSET(INDIRECT(CONCAT(""A"",to_text(match(DN3,ecn.list,0)))),0,1),"""")"),"K9 ")</f>
        <v>K9 </v>
      </c>
      <c r="AO3" s="236" t="str">
        <f>IFERROR(__xludf.DUMMYFUNCTION("if(countif(ecn.list,DO3),OFFSET(INDIRECT(CONCAT(""A"",to_text(match(DO3,ecn.list,0)))),0,1),"""")"),"KA ")</f>
        <v>KA </v>
      </c>
      <c r="AP3" s="236" t="str">
        <f>IFERROR(__xludf.DUMMYFUNCTION("if(countif(ecn.list,DP3),OFFSET(INDIRECT(CONCAT(""A"",to_text(match(DP3,ecn.list,0)))),0,1),"""")"),"KB ")</f>
        <v>KB </v>
      </c>
      <c r="AQ3" s="236" t="str">
        <f>IFERROR(__xludf.DUMMYFUNCTION("if(countif(ecn.list,DQ3),OFFSET(INDIRECT(CONCAT(""A"",to_text(match(DQ3,ecn.list,0)))),0,1),"""")"),"KC ")</f>
        <v>KC </v>
      </c>
      <c r="AR3" s="236" t="str">
        <f>IFERROR(__xludf.DUMMYFUNCTION("if(countif(ecn.list,DR3),OFFSET(INDIRECT(CONCAT(""A"",to_text(match(DR3,ecn.list,0)))),0,1),"""")"),"KD ")</f>
        <v>KD </v>
      </c>
      <c r="AS3" s="236" t="str">
        <f>IFERROR(__xludf.DUMMYFUNCTION("if(countif(ecn.list,DS3),OFFSET(INDIRECT(CONCAT(""A"",to_text(match(DS3,ecn.list,0)))),0,1),"""")"),"")</f>
        <v/>
      </c>
      <c r="AT3" s="236" t="str">
        <f>IFERROR(__xludf.DUMMYFUNCTION("if(countif(ecn.list,DT3),OFFSET(INDIRECT(CONCAT(""A"",to_text(match(DT3,ecn.list,0)))),0,1),"""")"),"KF ")</f>
        <v>KF </v>
      </c>
      <c r="AU3" s="236" t="str">
        <f>IFERROR(__xludf.DUMMYFUNCTION("if(countif(ecn.list,DU3),OFFSET(INDIRECT(CONCAT(""A"",to_text(match(DU3,ecn.list,0)))),0,1),"""")"),"")</f>
        <v/>
      </c>
      <c r="AV3" s="236" t="str">
        <f>IFERROR(__xludf.DUMMYFUNCTION("if(countif(ecn.list,DV3),OFFSET(INDIRECT(CONCAT(""A"",to_text(match(DV3,ecn.list,0)))),0,1),"""")"),"L1 ")</f>
        <v>L1 </v>
      </c>
      <c r="AW3" s="236" t="str">
        <f>IFERROR(__xludf.DUMMYFUNCTION("if(countif(ecn.list,DW3),OFFSET(INDIRECT(CONCAT(""A"",to_text(match(DW3,ecn.list,0)))),0,1),"""")"),"")</f>
        <v/>
      </c>
      <c r="AX3" s="236" t="str">
        <f>IFERROR(__xludf.DUMMYFUNCTION("if(countif(ecn.list,DX3),OFFSET(INDIRECT(CONCAT(""A"",to_text(match(DX3,ecn.list,0)))),0,1),"""")"),"")</f>
        <v/>
      </c>
      <c r="AY3" s="236" t="str">
        <f>IFERROR(__xludf.DUMMYFUNCTION("if(countif(ecn.list,DY3),OFFSET(INDIRECT(CONCAT(""A"",to_text(match(DY3,ecn.list,0)))),0,1),"""")"),"")</f>
        <v/>
      </c>
      <c r="AZ3" s="236" t="str">
        <f>IFERROR(__xludf.DUMMYFUNCTION("if(countif(ecn.list,DZ3),OFFSET(INDIRECT(CONCAT(""A"",to_text(match(DZ3,ecn.list,0)))),0,1),"""")"),"")</f>
        <v/>
      </c>
      <c r="BA3" s="236" t="str">
        <f>IFERROR(__xludf.DUMMYFUNCTION("if(countif(ecn.list,EA3),OFFSET(INDIRECT(CONCAT(""A"",to_text(match(EA3,ecn.list,0)))),0,1),"""")"),"")</f>
        <v/>
      </c>
      <c r="BB3" s="236" t="str">
        <f>IFERROR(__xludf.DUMMYFUNCTION("if(countif(ecn.list,EB3),OFFSET(INDIRECT(CONCAT(""A"",to_text(match(EB3,ecn.list,0)))),0,1),"""")"),"")</f>
        <v/>
      </c>
      <c r="BC3" s="236" t="str">
        <f>IFERROR(__xludf.DUMMYFUNCTION("if(countif(ecn.list,EC3),OFFSET(INDIRECT(CONCAT(""A"",to_text(match(EC3,ecn.list,0)))),0,1),"""")"),"L8 ")</f>
        <v>L8 </v>
      </c>
      <c r="BD3" s="236" t="str">
        <f>IFERROR(__xludf.DUMMYFUNCTION("if(countif(ecn.list,ED3),OFFSET(INDIRECT(CONCAT(""A"",to_text(match(ED3,ecn.list,0)))),0,1),"""")"),"")</f>
        <v/>
      </c>
      <c r="BE3" s="236" t="str">
        <f>IFERROR(__xludf.DUMMYFUNCTION("if(countif(ecn.list,EE3),OFFSET(INDIRECT(CONCAT(""A"",to_text(match(EE3,ecn.list,0)))),0,1),"""")"),"LA ")</f>
        <v>LA </v>
      </c>
      <c r="BF3" s="236" t="str">
        <f>IFERROR(__xludf.DUMMYFUNCTION("if(countif(ecn.list,EF3),OFFSET(INDIRECT(CONCAT(""A"",to_text(match(EF3,ecn.list,0)))),0,1),"""")"),"")</f>
        <v/>
      </c>
      <c r="BG3" s="236" t="str">
        <f>IFERROR(__xludf.DUMMYFUNCTION("if(countif(ecn.list,EG3),OFFSET(INDIRECT(CONCAT(""A"",to_text(match(EG3,ecn.list,0)))),0,1),"""")"),"LC ")</f>
        <v>LC </v>
      </c>
      <c r="BH3" s="236" t="str">
        <f>IFERROR(__xludf.DUMMYFUNCTION("if(countif(ecn.list,EH3),OFFSET(INDIRECT(CONCAT(""A"",to_text(match(EH3,ecn.list,0)))),0,1),"""")"),"")</f>
        <v/>
      </c>
      <c r="BI3" s="236" t="str">
        <f>IFERROR(__xludf.DUMMYFUNCTION("if(countif(ecn.list,EI3),OFFSET(INDIRECT(CONCAT(""A"",to_text(match(EI3,ecn.list,0)))),0,1),"""")"),"")</f>
        <v/>
      </c>
      <c r="BJ3" s="236" t="str">
        <f>IFERROR(__xludf.DUMMYFUNCTION("if(countif(ecn.list,EJ3),OFFSET(INDIRECT(CONCAT(""A"",to_text(match(EJ3,ecn.list,0)))),0,1),"""")"),"")</f>
        <v/>
      </c>
      <c r="BK3" s="236" t="str">
        <f>IFERROR(__xludf.DUMMYFUNCTION("if(countif(ecn.list,EK3),OFFSET(INDIRECT(CONCAT(""A"",to_text(match(EK3,ecn.list,0)))),0,1),"""")"),"")</f>
        <v/>
      </c>
      <c r="BL3" s="236" t="str">
        <f>IFERROR(__xludf.DUMMYFUNCTION("if(countif(ecn.list,EL3),OFFSET(INDIRECT(CONCAT(""A"",to_text(match(EL3,ecn.list,0)))),0,1),"""")"),"")</f>
        <v/>
      </c>
      <c r="BM3" s="236" t="str">
        <f>IFERROR(__xludf.DUMMYFUNCTION("if(countif(ecn.list,EM3),OFFSET(INDIRECT(CONCAT(""A"",to_text(match(EM3,ecn.list,0)))),0,1),"""")"),"")</f>
        <v/>
      </c>
      <c r="BN3" s="236" t="str">
        <f>IFERROR(__xludf.DUMMYFUNCTION("if(countif(ecn.list,EN3),OFFSET(INDIRECT(CONCAT(""A"",to_text(match(EN3,ecn.list,0)))),0,1),"""")"),"M3 ")</f>
        <v>M3 </v>
      </c>
      <c r="BO3" s="236" t="str">
        <f>IFERROR(__xludf.DUMMYFUNCTION("if(countif(ecn.list,EO3),OFFSET(INDIRECT(CONCAT(""A"",to_text(match(EO3,ecn.list,0)))),0,1),"""")"),"M4 ")</f>
        <v>M4 </v>
      </c>
      <c r="BP3" s="236" t="str">
        <f>IFERROR(__xludf.DUMMYFUNCTION("if(countif(ecn.list,EP3),OFFSET(INDIRECT(CONCAT(""A"",to_text(match(EP3,ecn.list,0)))),0,1),"""")"),"")</f>
        <v/>
      </c>
      <c r="BQ3" s="236" t="str">
        <f>IFERROR(__xludf.DUMMYFUNCTION("if(countif(ecn.list,EQ3),OFFSET(INDIRECT(CONCAT(""A"",to_text(match(EQ3,ecn.list,0)))),0,1),"""")"),"")</f>
        <v/>
      </c>
      <c r="BR3" s="236" t="str">
        <f>IFERROR(__xludf.DUMMYFUNCTION("if(countif(ecn.list,ER3),OFFSET(INDIRECT(CONCAT(""A"",to_text(match(ER3,ecn.list,0)))),0,1),"""")"),"")</f>
        <v/>
      </c>
      <c r="BS3" s="236" t="str">
        <f>IFERROR(__xludf.DUMMYFUNCTION("if(countif(ecn.list,ES3),OFFSET(INDIRECT(CONCAT(""A"",to_text(match(ES3,ecn.list,0)))),0,1),"""")"),"")</f>
        <v/>
      </c>
      <c r="BT3" s="236" t="str">
        <f>IFERROR(__xludf.DUMMYFUNCTION("if(countif(ecn.list,ET3),OFFSET(INDIRECT(CONCAT(""A"",to_text(match(ET3,ecn.list,0)))),0,1),"""")"),"")</f>
        <v/>
      </c>
      <c r="BU3" s="236" t="str">
        <f>IFERROR(__xludf.DUMMYFUNCTION("if(countif(ecn.list,EU3),OFFSET(INDIRECT(CONCAT(""A"",to_text(match(EU3,ecn.list,0)))),0,1),"""")"),"")</f>
        <v/>
      </c>
      <c r="BV3" s="236" t="str">
        <f>IFERROR(__xludf.DUMMYFUNCTION("if(countif(ecn.list,EV3),OFFSET(INDIRECT(CONCAT(""A"",to_text(match(EV3,ecn.list,0)))),0,1),"""")"),"MB ")</f>
        <v>MB </v>
      </c>
      <c r="BW3" s="236" t="str">
        <f>IFERROR(__xludf.DUMMYFUNCTION("if(countif(ecn.list,EW3),OFFSET(INDIRECT(CONCAT(""A"",to_text(match(EW3,ecn.list,0)))),0,1),"""")"),"")</f>
        <v/>
      </c>
      <c r="BX3" s="236" t="str">
        <f>IFERROR(__xludf.DUMMYFUNCTION("if(countif(ecn.list,EX3),OFFSET(INDIRECT(CONCAT(""A"",to_text(match(EX3,ecn.list,0)))),0,1),"""")"),"")</f>
        <v/>
      </c>
      <c r="BY3" s="236" t="str">
        <f>IFERROR(__xludf.DUMMYFUNCTION("if(countif(ecn.list,EY3),OFFSET(INDIRECT(CONCAT(""A"",to_text(match(EY3,ecn.list,0)))),0,1),"""")"),"")</f>
        <v/>
      </c>
      <c r="BZ3" s="236" t="str">
        <f>IFERROR(__xludf.DUMMYFUNCTION("if(countif(ecn.list,EZ3),OFFSET(INDIRECT(CONCAT(""A"",to_text(match(EZ3,ecn.list,0)))),0,1),"""")"),"MF ")</f>
        <v>MF </v>
      </c>
      <c r="CA3" s="236" t="str">
        <f>IFERROR(__xludf.DUMMYFUNCTION("if(countif(ecn.list,FA3),OFFSET(INDIRECT(CONCAT(""A"",to_text(match(FA3,ecn.list,0)))),0,1),"""")"),"")</f>
        <v/>
      </c>
      <c r="CB3" s="236" t="str">
        <f>IFERROR(__xludf.DUMMYFUNCTION("if(countif(ecn.list,FB3),OFFSET(INDIRECT(CONCAT(""A"",to_text(match(FB3,ecn.list,0)))),0,1),"""")"),"")</f>
        <v/>
      </c>
      <c r="CC3" s="236" t="str">
        <f>IFERROR(__xludf.DUMMYFUNCTION("if(countif(ecn.list,FC3),OFFSET(INDIRECT(CONCAT(""A"",to_text(match(FC3,ecn.list,0)))),0,1),"""")"),"N2 ")</f>
        <v>N2 </v>
      </c>
      <c r="CD3" s="236" t="str">
        <f>IFERROR(__xludf.DUMMYFUNCTION("if(countif(ecn.list,FD3),OFFSET(INDIRECT(CONCAT(""A"",to_text(match(FD3,ecn.list,0)))),0,1),"""")"),"")</f>
        <v/>
      </c>
      <c r="CE3" s="236" t="str">
        <f>IFERROR(__xludf.DUMMYFUNCTION("if(countif(ecn.list,FE3),OFFSET(INDIRECT(CONCAT(""A"",to_text(match(FE3,ecn.list,0)))),0,1),"""")"),"")</f>
        <v/>
      </c>
      <c r="CF3" s="236" t="str">
        <f>IFERROR(__xludf.DUMMYFUNCTION("if(countif(ecn.list,FF3),OFFSET(INDIRECT(CONCAT(""A"",to_text(match(FF3,ecn.list,0)))),0,1),"""")"),"")</f>
        <v/>
      </c>
      <c r="CG3" s="236" t="str">
        <f>IFERROR(__xludf.DUMMYFUNCTION("if(countif(ecn.list,FG3),OFFSET(INDIRECT(CONCAT(""A"",to_text(match(FG3,ecn.list,0)))),0,1),"""")"),"")</f>
        <v/>
      </c>
      <c r="CH3" s="236" t="str">
        <f>IFERROR(__xludf.DUMMYFUNCTION("if(countif(ecn.list,FH3),OFFSET(INDIRECT(CONCAT(""A"",to_text(match(FH3,ecn.list,0)))),0,1),"""")"),"N7 ")</f>
        <v>N7 </v>
      </c>
      <c r="CI3" s="236" t="str">
        <f>IFERROR(__xludf.DUMMYFUNCTION("if(countif(ecn.list,FI3),OFFSET(INDIRECT(CONCAT(""A"",to_text(match(FI3,ecn.list,0)))),0,1),"""")"),"")</f>
        <v/>
      </c>
      <c r="CJ3" s="236" t="str">
        <f>IFERROR(__xludf.DUMMYFUNCTION("if(countif(ecn.list,FJ3),OFFSET(INDIRECT(CONCAT(""A"",to_text(match(FJ3,ecn.list,0)))),0,1),"""")"),"")</f>
        <v/>
      </c>
      <c r="CK3" s="236" t="str">
        <f>IFERROR(__xludf.DUMMYFUNCTION("if(countif(ecn.list,FK3),OFFSET(INDIRECT(CONCAT(""A"",to_text(match(FK3,ecn.list,0)))),0,1),"""")"),"NA ")</f>
        <v>NA </v>
      </c>
      <c r="CL3" s="236" t="str">
        <f>IFERROR(__xludf.DUMMYFUNCTION("if(countif(ecn.list,FL3),OFFSET(INDIRECT(CONCAT(""A"",to_text(match(FL3,ecn.list,0)))),0,1),"""")"),"")</f>
        <v/>
      </c>
      <c r="CM3" s="236" t="str">
        <f>IFERROR(__xludf.DUMMYFUNCTION("if(countif(ecn.list,FM3),OFFSET(INDIRECT(CONCAT(""A"",to_text(match(FM3,ecn.list,0)))),0,1),"""")"),"")</f>
        <v/>
      </c>
      <c r="CN3" s="198" t="s">
        <v>76</v>
      </c>
      <c r="CO3" s="198" t="s">
        <v>1447</v>
      </c>
      <c r="CP3" s="198" t="s">
        <v>1451</v>
      </c>
      <c r="CQ3" s="198" t="s">
        <v>1452</v>
      </c>
      <c r="CR3" s="198" t="s">
        <v>1453</v>
      </c>
      <c r="CS3" s="198" t="s">
        <v>1453</v>
      </c>
      <c r="CT3" s="198" t="s">
        <v>1454</v>
      </c>
      <c r="CU3" s="198" t="s">
        <v>1455</v>
      </c>
      <c r="CV3" s="198" t="s">
        <v>1456</v>
      </c>
      <c r="CW3" s="198" t="s">
        <v>1453</v>
      </c>
      <c r="CX3" s="198" t="s">
        <v>1453</v>
      </c>
      <c r="CY3" s="198" t="s">
        <v>1453</v>
      </c>
      <c r="CZ3" s="198" t="s">
        <v>1453</v>
      </c>
      <c r="DA3" s="198" t="s">
        <v>1457</v>
      </c>
      <c r="DB3" s="198" t="s">
        <v>1453</v>
      </c>
      <c r="DC3" s="198" t="s">
        <v>1453</v>
      </c>
      <c r="DD3" s="198" t="s">
        <v>1453</v>
      </c>
      <c r="DE3" s="198" t="s">
        <v>1459</v>
      </c>
      <c r="DF3" s="198" t="s">
        <v>1453</v>
      </c>
      <c r="DG3" s="198" t="s">
        <v>1453</v>
      </c>
      <c r="DH3" s="198" t="s">
        <v>1453</v>
      </c>
      <c r="DI3" s="198" t="s">
        <v>1453</v>
      </c>
      <c r="DJ3" s="198" t="s">
        <v>1460</v>
      </c>
      <c r="DK3" s="198" t="s">
        <v>1453</v>
      </c>
      <c r="DL3" s="198" t="s">
        <v>1461</v>
      </c>
      <c r="DM3" s="198" t="s">
        <v>1453</v>
      </c>
      <c r="DN3" s="198" t="s">
        <v>1463</v>
      </c>
      <c r="DO3" s="198" t="s">
        <v>1464</v>
      </c>
      <c r="DP3" s="198" t="s">
        <v>1465</v>
      </c>
      <c r="DQ3" s="198" t="s">
        <v>1466</v>
      </c>
      <c r="DR3" s="198" t="s">
        <v>1467</v>
      </c>
      <c r="DS3" s="198" t="s">
        <v>1453</v>
      </c>
      <c r="DT3" s="198" t="s">
        <v>1468</v>
      </c>
      <c r="DU3" s="198" t="s">
        <v>1453</v>
      </c>
      <c r="DV3" s="198" t="s">
        <v>1469</v>
      </c>
      <c r="DW3" s="198" t="s">
        <v>1453</v>
      </c>
      <c r="DX3" s="198" t="s">
        <v>1453</v>
      </c>
      <c r="DY3" s="198" t="s">
        <v>1453</v>
      </c>
      <c r="DZ3" s="198" t="s">
        <v>1453</v>
      </c>
      <c r="EA3" s="198" t="s">
        <v>1453</v>
      </c>
      <c r="EB3" s="198" t="s">
        <v>1453</v>
      </c>
      <c r="EC3" s="198" t="s">
        <v>1483</v>
      </c>
      <c r="ED3" s="198" t="s">
        <v>1453</v>
      </c>
      <c r="EE3" s="198" t="s">
        <v>1470</v>
      </c>
      <c r="EF3" s="198" t="s">
        <v>1453</v>
      </c>
      <c r="EG3" s="198" t="s">
        <v>1471</v>
      </c>
      <c r="EH3" s="198" t="s">
        <v>1453</v>
      </c>
      <c r="EI3" s="198" t="s">
        <v>1453</v>
      </c>
      <c r="EJ3" s="198" t="s">
        <v>1453</v>
      </c>
      <c r="EK3" s="198" t="s">
        <v>1453</v>
      </c>
      <c r="EL3" s="198" t="s">
        <v>1453</v>
      </c>
      <c r="EM3" s="198" t="s">
        <v>1453</v>
      </c>
      <c r="EN3" s="198" t="s">
        <v>1474</v>
      </c>
      <c r="EO3" s="198" t="s">
        <v>1475</v>
      </c>
      <c r="EP3" s="198" t="s">
        <v>1453</v>
      </c>
      <c r="EQ3" s="198" t="s">
        <v>1453</v>
      </c>
      <c r="ER3" s="198" t="s">
        <v>1453</v>
      </c>
      <c r="ES3" s="198" t="s">
        <v>1453</v>
      </c>
      <c r="ET3" s="198" t="s">
        <v>1453</v>
      </c>
      <c r="EU3" s="198" t="s">
        <v>1453</v>
      </c>
      <c r="EV3" s="198" t="s">
        <v>1476</v>
      </c>
      <c r="EW3" s="198" t="s">
        <v>1453</v>
      </c>
      <c r="EX3" s="198" t="s">
        <v>1453</v>
      </c>
      <c r="EY3" s="198" t="s">
        <v>1453</v>
      </c>
      <c r="EZ3" s="198" t="s">
        <v>1477</v>
      </c>
      <c r="FA3" s="198" t="s">
        <v>1453</v>
      </c>
      <c r="FB3" s="198" t="s">
        <v>1453</v>
      </c>
      <c r="FC3" s="198" t="s">
        <v>1478</v>
      </c>
      <c r="FD3" s="198" t="s">
        <v>1453</v>
      </c>
      <c r="FE3" s="198" t="s">
        <v>1453</v>
      </c>
      <c r="FF3" s="198" t="s">
        <v>1453</v>
      </c>
      <c r="FG3" s="198" t="s">
        <v>1453</v>
      </c>
      <c r="FH3" s="198" t="s">
        <v>1479</v>
      </c>
      <c r="FI3" s="198" t="s">
        <v>1453</v>
      </c>
      <c r="FJ3" s="198" t="s">
        <v>1453</v>
      </c>
      <c r="FK3" s="198" t="s">
        <v>1481</v>
      </c>
      <c r="FL3" s="198" t="s">
        <v>1482</v>
      </c>
      <c r="FM3" s="198" t="s">
        <v>1453</v>
      </c>
    </row>
    <row r="4">
      <c r="A4" s="198" t="s">
        <v>1452</v>
      </c>
      <c r="B4" s="198" t="str">
        <f t="shared" si="1"/>
        <v>J2 </v>
      </c>
      <c r="C4" s="234">
        <v>2.0</v>
      </c>
      <c r="D4" s="232" t="s">
        <v>770</v>
      </c>
      <c r="E4" s="232" t="s">
        <v>1448</v>
      </c>
      <c r="F4" s="232" t="s">
        <v>1449</v>
      </c>
      <c r="G4" s="232" t="s">
        <v>1450</v>
      </c>
      <c r="H4" s="232" t="s">
        <v>876</v>
      </c>
      <c r="I4" s="232" t="s">
        <v>882</v>
      </c>
      <c r="J4" s="232" t="s">
        <v>883</v>
      </c>
      <c r="K4" s="232" t="s">
        <v>884</v>
      </c>
      <c r="L4" s="188" t="s">
        <v>80</v>
      </c>
      <c r="M4" s="236" t="str">
        <f>IFERROR(__xludf.DUMMYFUNCTION("regexreplace(N4,"" "","", "")"),"J0, J1, J2, J5, J6, J7, JA, JC, JD, K0, K5, K7, K9, KA, KC, KD, KF, L1, L8, LA, LC, LE, M0, MD, MF, N2, N4, N7, NA, ")</f>
        <v>J0, J1, J2, J5, J6, J7, JA, JC, JD, K0, K5, K7, K9, KA, KC, KD, KF, L1, L8, LA, LC, LE, M0, MD, MF, N2, N4, N7, NA, </v>
      </c>
      <c r="N4" s="236" t="str">
        <f t="shared" si="2"/>
        <v>J0 J1 J2 J5 J6 J7 JA JC JD K0 K5 K7 K9 KA KC KD KF L1 L8 LA LC LE M0 MD MF N2 N4 N7 NA </v>
      </c>
      <c r="O4" s="236" t="str">
        <f>IFERROR(__xludf.DUMMYFUNCTION("if(countif(ecn.list,CO4),OFFSET(INDIRECT(CONCAT(""A"",to_text(match(CO4,ecn.list,0)))),0,1),"""")"),"J0 ")</f>
        <v>J0 </v>
      </c>
      <c r="P4" s="236" t="str">
        <f>IFERROR(__xludf.DUMMYFUNCTION("if(countif(ecn.list,CP4),OFFSET(INDIRECT(CONCAT(""A"",to_text(match(CP4,ecn.list,0)))),0,1),"""")"),"J1 ")</f>
        <v>J1 </v>
      </c>
      <c r="Q4" s="236" t="str">
        <f>IFERROR(__xludf.DUMMYFUNCTION("if(countif(ecn.list,CQ4),OFFSET(INDIRECT(CONCAT(""A"",to_text(match(CQ4,ecn.list,0)))),0,1),"""")"),"J2 ")</f>
        <v>J2 </v>
      </c>
      <c r="R4" s="236" t="str">
        <f>IFERROR(__xludf.DUMMYFUNCTION("if(countif(ecn.list,CR4),OFFSET(INDIRECT(CONCAT(""A"",to_text(match(CR4,ecn.list,0)))),0,1),"""")"),"")</f>
        <v/>
      </c>
      <c r="S4" s="236" t="str">
        <f>IFERROR(__xludf.DUMMYFUNCTION("if(countif(ecn.list,CS4),OFFSET(INDIRECT(CONCAT(""A"",to_text(match(CS4,ecn.list,0)))),0,1),"""")"),"")</f>
        <v/>
      </c>
      <c r="T4" s="236" t="str">
        <f>IFERROR(__xludf.DUMMYFUNCTION("if(countif(ecn.list,CT4),OFFSET(INDIRECT(CONCAT(""A"",to_text(match(CT4,ecn.list,0)))),0,1),"""")"),"J5 ")</f>
        <v>J5 </v>
      </c>
      <c r="U4" s="236" t="str">
        <f>IFERROR(__xludf.DUMMYFUNCTION("if(countif(ecn.list,CU4),OFFSET(INDIRECT(CONCAT(""A"",to_text(match(CU4,ecn.list,0)))),0,1),"""")"),"J6 ")</f>
        <v>J6 </v>
      </c>
      <c r="V4" s="236" t="str">
        <f>IFERROR(__xludf.DUMMYFUNCTION("if(countif(ecn.list,CV4),OFFSET(INDIRECT(CONCAT(""A"",to_text(match(CV4,ecn.list,0)))),0,1),"""")"),"J7 ")</f>
        <v>J7 </v>
      </c>
      <c r="W4" s="236" t="str">
        <f>IFERROR(__xludf.DUMMYFUNCTION("if(countif(ecn.list,CW4),OFFSET(INDIRECT(CONCAT(""A"",to_text(match(CW4,ecn.list,0)))),0,1),"""")"),"")</f>
        <v/>
      </c>
      <c r="X4" s="236" t="str">
        <f>IFERROR(__xludf.DUMMYFUNCTION("if(countif(ecn.list,CX4),OFFSET(INDIRECT(CONCAT(""A"",to_text(match(CX4,ecn.list,0)))),0,1),"""")"),"")</f>
        <v/>
      </c>
      <c r="Y4" s="236" t="str">
        <f>IFERROR(__xludf.DUMMYFUNCTION("if(countif(ecn.list,CY4),OFFSET(INDIRECT(CONCAT(""A"",to_text(match(CY4,ecn.list,0)))),0,1),"""")"),"JA ")</f>
        <v>JA </v>
      </c>
      <c r="Z4" s="236" t="str">
        <f>IFERROR(__xludf.DUMMYFUNCTION("if(countif(ecn.list,CZ4),OFFSET(INDIRECT(CONCAT(""A"",to_text(match(CZ4,ecn.list,0)))),0,1),"""")"),"")</f>
        <v/>
      </c>
      <c r="AA4" s="236" t="str">
        <f>IFERROR(__xludf.DUMMYFUNCTION("if(countif(ecn.list,DA4),OFFSET(INDIRECT(CONCAT(""A"",to_text(match(DA4,ecn.list,0)))),0,1),"""")"),"JC ")</f>
        <v>JC </v>
      </c>
      <c r="AB4" s="236" t="str">
        <f>IFERROR(__xludf.DUMMYFUNCTION("if(countif(ecn.list,DB4),OFFSET(INDIRECT(CONCAT(""A"",to_text(match(DB4,ecn.list,0)))),0,1),"""")"),"JD ")</f>
        <v>JD </v>
      </c>
      <c r="AC4" s="236" t="str">
        <f>IFERROR(__xludf.DUMMYFUNCTION("if(countif(ecn.list,DC4),OFFSET(INDIRECT(CONCAT(""A"",to_text(match(DC4,ecn.list,0)))),0,1),"""")"),"")</f>
        <v/>
      </c>
      <c r="AD4" s="236" t="str">
        <f>IFERROR(__xludf.DUMMYFUNCTION("if(countif(ecn.list,DD4),OFFSET(INDIRECT(CONCAT(""A"",to_text(match(DD4,ecn.list,0)))),0,1),"""")"),"")</f>
        <v/>
      </c>
      <c r="AE4" s="236" t="str">
        <f>IFERROR(__xludf.DUMMYFUNCTION("if(countif(ecn.list,DE4),OFFSET(INDIRECT(CONCAT(""A"",to_text(match(DE4,ecn.list,0)))),0,1),"""")"),"K0 ")</f>
        <v>K0 </v>
      </c>
      <c r="AF4" s="236" t="str">
        <f>IFERROR(__xludf.DUMMYFUNCTION("if(countif(ecn.list,DF4),OFFSET(INDIRECT(CONCAT(""A"",to_text(match(DF4,ecn.list,0)))),0,1),"""")"),"")</f>
        <v/>
      </c>
      <c r="AG4" s="236" t="str">
        <f>IFERROR(__xludf.DUMMYFUNCTION("if(countif(ecn.list,DG4),OFFSET(INDIRECT(CONCAT(""A"",to_text(match(DG4,ecn.list,0)))),0,1),"""")"),"")</f>
        <v/>
      </c>
      <c r="AH4" s="236" t="str">
        <f>IFERROR(__xludf.DUMMYFUNCTION("if(countif(ecn.list,DH4),OFFSET(INDIRECT(CONCAT(""A"",to_text(match(DH4,ecn.list,0)))),0,1),"""")"),"")</f>
        <v/>
      </c>
      <c r="AI4" s="236" t="str">
        <f>IFERROR(__xludf.DUMMYFUNCTION("if(countif(ecn.list,DI4),OFFSET(INDIRECT(CONCAT(""A"",to_text(match(DI4,ecn.list,0)))),0,1),"""")"),"")</f>
        <v/>
      </c>
      <c r="AJ4" s="236" t="str">
        <f>IFERROR(__xludf.DUMMYFUNCTION("if(countif(ecn.list,DJ4),OFFSET(INDIRECT(CONCAT(""A"",to_text(match(DJ4,ecn.list,0)))),0,1),"""")"),"K5 ")</f>
        <v>K5 </v>
      </c>
      <c r="AK4" s="236" t="str">
        <f>IFERROR(__xludf.DUMMYFUNCTION("if(countif(ecn.list,DK4),OFFSET(INDIRECT(CONCAT(""A"",to_text(match(DK4,ecn.list,0)))),0,1),"""")"),"")</f>
        <v/>
      </c>
      <c r="AL4" s="236" t="str">
        <f>IFERROR(__xludf.DUMMYFUNCTION("if(countif(ecn.list,DL4),OFFSET(INDIRECT(CONCAT(""A"",to_text(match(DL4,ecn.list,0)))),0,1),"""")"),"K7 ")</f>
        <v>K7 </v>
      </c>
      <c r="AM4" s="236" t="str">
        <f>IFERROR(__xludf.DUMMYFUNCTION("if(countif(ecn.list,DM4),OFFSET(INDIRECT(CONCAT(""A"",to_text(match(DM4,ecn.list,0)))),0,1),"""")"),"")</f>
        <v/>
      </c>
      <c r="AN4" s="236" t="str">
        <f>IFERROR(__xludf.DUMMYFUNCTION("if(countif(ecn.list,DN4),OFFSET(INDIRECT(CONCAT(""A"",to_text(match(DN4,ecn.list,0)))),0,1),"""")"),"K9 ")</f>
        <v>K9 </v>
      </c>
      <c r="AO4" s="236" t="str">
        <f>IFERROR(__xludf.DUMMYFUNCTION("if(countif(ecn.list,DO4),OFFSET(INDIRECT(CONCAT(""A"",to_text(match(DO4,ecn.list,0)))),0,1),"""")"),"KA ")</f>
        <v>KA </v>
      </c>
      <c r="AP4" s="236" t="str">
        <f>IFERROR(__xludf.DUMMYFUNCTION("if(countif(ecn.list,DP4),OFFSET(INDIRECT(CONCAT(""A"",to_text(match(DP4,ecn.list,0)))),0,1),"""")"),"")</f>
        <v/>
      </c>
      <c r="AQ4" s="236" t="str">
        <f>IFERROR(__xludf.DUMMYFUNCTION("if(countif(ecn.list,DQ4),OFFSET(INDIRECT(CONCAT(""A"",to_text(match(DQ4,ecn.list,0)))),0,1),"""")"),"KC ")</f>
        <v>KC </v>
      </c>
      <c r="AR4" s="236" t="str">
        <f>IFERROR(__xludf.DUMMYFUNCTION("if(countif(ecn.list,DR4),OFFSET(INDIRECT(CONCAT(""A"",to_text(match(DR4,ecn.list,0)))),0,1),"""")"),"KD ")</f>
        <v>KD </v>
      </c>
      <c r="AS4" s="236" t="str">
        <f>IFERROR(__xludf.DUMMYFUNCTION("if(countif(ecn.list,DS4),OFFSET(INDIRECT(CONCAT(""A"",to_text(match(DS4,ecn.list,0)))),0,1),"""")"),"")</f>
        <v/>
      </c>
      <c r="AT4" s="236" t="str">
        <f>IFERROR(__xludf.DUMMYFUNCTION("if(countif(ecn.list,DT4),OFFSET(INDIRECT(CONCAT(""A"",to_text(match(DT4,ecn.list,0)))),0,1),"""")"),"KF ")</f>
        <v>KF </v>
      </c>
      <c r="AU4" s="236" t="str">
        <f>IFERROR(__xludf.DUMMYFUNCTION("if(countif(ecn.list,DU4),OFFSET(INDIRECT(CONCAT(""A"",to_text(match(DU4,ecn.list,0)))),0,1),"""")"),"")</f>
        <v/>
      </c>
      <c r="AV4" s="236" t="str">
        <f>IFERROR(__xludf.DUMMYFUNCTION("if(countif(ecn.list,DV4),OFFSET(INDIRECT(CONCAT(""A"",to_text(match(DV4,ecn.list,0)))),0,1),"""")"),"L1 ")</f>
        <v>L1 </v>
      </c>
      <c r="AW4" s="236" t="str">
        <f>IFERROR(__xludf.DUMMYFUNCTION("if(countif(ecn.list,DW4),OFFSET(INDIRECT(CONCAT(""A"",to_text(match(DW4,ecn.list,0)))),0,1),"""")"),"")</f>
        <v/>
      </c>
      <c r="AX4" s="236" t="str">
        <f>IFERROR(__xludf.DUMMYFUNCTION("if(countif(ecn.list,DX4),OFFSET(INDIRECT(CONCAT(""A"",to_text(match(DX4,ecn.list,0)))),0,1),"""")"),"")</f>
        <v/>
      </c>
      <c r="AY4" s="236" t="str">
        <f>IFERROR(__xludf.DUMMYFUNCTION("if(countif(ecn.list,DY4),OFFSET(INDIRECT(CONCAT(""A"",to_text(match(DY4,ecn.list,0)))),0,1),"""")"),"")</f>
        <v/>
      </c>
      <c r="AZ4" s="236" t="str">
        <f>IFERROR(__xludf.DUMMYFUNCTION("if(countif(ecn.list,DZ4),OFFSET(INDIRECT(CONCAT(""A"",to_text(match(DZ4,ecn.list,0)))),0,1),"""")"),"")</f>
        <v/>
      </c>
      <c r="BA4" s="236" t="str">
        <f>IFERROR(__xludf.DUMMYFUNCTION("if(countif(ecn.list,EA4),OFFSET(INDIRECT(CONCAT(""A"",to_text(match(EA4,ecn.list,0)))),0,1),"""")"),"")</f>
        <v/>
      </c>
      <c r="BB4" s="236" t="str">
        <f>IFERROR(__xludf.DUMMYFUNCTION("if(countif(ecn.list,EB4),OFFSET(INDIRECT(CONCAT(""A"",to_text(match(EB4,ecn.list,0)))),0,1),"""")"),"")</f>
        <v/>
      </c>
      <c r="BC4" s="236" t="str">
        <f>IFERROR(__xludf.DUMMYFUNCTION("if(countif(ecn.list,EC4),OFFSET(INDIRECT(CONCAT(""A"",to_text(match(EC4,ecn.list,0)))),0,1),"""")"),"L8 ")</f>
        <v>L8 </v>
      </c>
      <c r="BD4" s="236" t="str">
        <f>IFERROR(__xludf.DUMMYFUNCTION("if(countif(ecn.list,ED4),OFFSET(INDIRECT(CONCAT(""A"",to_text(match(ED4,ecn.list,0)))),0,1),"""")"),"")</f>
        <v/>
      </c>
      <c r="BE4" s="236" t="str">
        <f>IFERROR(__xludf.DUMMYFUNCTION("if(countif(ecn.list,EE4),OFFSET(INDIRECT(CONCAT(""A"",to_text(match(EE4,ecn.list,0)))),0,1),"""")"),"LA ")</f>
        <v>LA </v>
      </c>
      <c r="BF4" s="236" t="str">
        <f>IFERROR(__xludf.DUMMYFUNCTION("if(countif(ecn.list,EF4),OFFSET(INDIRECT(CONCAT(""A"",to_text(match(EF4,ecn.list,0)))),0,1),"""")"),"")</f>
        <v/>
      </c>
      <c r="BG4" s="236" t="str">
        <f>IFERROR(__xludf.DUMMYFUNCTION("if(countif(ecn.list,EG4),OFFSET(INDIRECT(CONCAT(""A"",to_text(match(EG4,ecn.list,0)))),0,1),"""")"),"LC ")</f>
        <v>LC </v>
      </c>
      <c r="BH4" s="236" t="str">
        <f>IFERROR(__xludf.DUMMYFUNCTION("if(countif(ecn.list,EH4),OFFSET(INDIRECT(CONCAT(""A"",to_text(match(EH4,ecn.list,0)))),0,1),"""")"),"")</f>
        <v/>
      </c>
      <c r="BI4" s="236" t="str">
        <f>IFERROR(__xludf.DUMMYFUNCTION("if(countif(ecn.list,EI4),OFFSET(INDIRECT(CONCAT(""A"",to_text(match(EI4,ecn.list,0)))),0,1),"""")"),"LE ")</f>
        <v>LE </v>
      </c>
      <c r="BJ4" s="236" t="str">
        <f>IFERROR(__xludf.DUMMYFUNCTION("if(countif(ecn.list,EJ4),OFFSET(INDIRECT(CONCAT(""A"",to_text(match(EJ4,ecn.list,0)))),0,1),"""")"),"")</f>
        <v/>
      </c>
      <c r="BK4" s="236" t="str">
        <f>IFERROR(__xludf.DUMMYFUNCTION("if(countif(ecn.list,EK4),OFFSET(INDIRECT(CONCAT(""A"",to_text(match(EK4,ecn.list,0)))),0,1),"""")"),"M0 ")</f>
        <v>M0 </v>
      </c>
      <c r="BL4" s="236" t="str">
        <f>IFERROR(__xludf.DUMMYFUNCTION("if(countif(ecn.list,EL4),OFFSET(INDIRECT(CONCAT(""A"",to_text(match(EL4,ecn.list,0)))),0,1),"""")"),"")</f>
        <v/>
      </c>
      <c r="BM4" s="236" t="str">
        <f>IFERROR(__xludf.DUMMYFUNCTION("if(countif(ecn.list,EM4),OFFSET(INDIRECT(CONCAT(""A"",to_text(match(EM4,ecn.list,0)))),0,1),"""")"),"")</f>
        <v/>
      </c>
      <c r="BN4" s="236" t="str">
        <f>IFERROR(__xludf.DUMMYFUNCTION("if(countif(ecn.list,EN4),OFFSET(INDIRECT(CONCAT(""A"",to_text(match(EN4,ecn.list,0)))),0,1),"""")"),"")</f>
        <v/>
      </c>
      <c r="BO4" s="236" t="str">
        <f>IFERROR(__xludf.DUMMYFUNCTION("if(countif(ecn.list,EO4),OFFSET(INDIRECT(CONCAT(""A"",to_text(match(EO4,ecn.list,0)))),0,1),"""")"),"")</f>
        <v/>
      </c>
      <c r="BP4" s="236" t="str">
        <f>IFERROR(__xludf.DUMMYFUNCTION("if(countif(ecn.list,EP4),OFFSET(INDIRECT(CONCAT(""A"",to_text(match(EP4,ecn.list,0)))),0,1),"""")"),"")</f>
        <v/>
      </c>
      <c r="BQ4" s="236" t="str">
        <f>IFERROR(__xludf.DUMMYFUNCTION("if(countif(ecn.list,EQ4),OFFSET(INDIRECT(CONCAT(""A"",to_text(match(EQ4,ecn.list,0)))),0,1),"""")"),"")</f>
        <v/>
      </c>
      <c r="BR4" s="236" t="str">
        <f>IFERROR(__xludf.DUMMYFUNCTION("if(countif(ecn.list,ER4),OFFSET(INDIRECT(CONCAT(""A"",to_text(match(ER4,ecn.list,0)))),0,1),"""")"),"")</f>
        <v/>
      </c>
      <c r="BS4" s="236" t="str">
        <f>IFERROR(__xludf.DUMMYFUNCTION("if(countif(ecn.list,ES4),OFFSET(INDIRECT(CONCAT(""A"",to_text(match(ES4,ecn.list,0)))),0,1),"""")"),"")</f>
        <v/>
      </c>
      <c r="BT4" s="236" t="str">
        <f>IFERROR(__xludf.DUMMYFUNCTION("if(countif(ecn.list,ET4),OFFSET(INDIRECT(CONCAT(""A"",to_text(match(ET4,ecn.list,0)))),0,1),"""")"),"")</f>
        <v/>
      </c>
      <c r="BU4" s="236" t="str">
        <f>IFERROR(__xludf.DUMMYFUNCTION("if(countif(ecn.list,EU4),OFFSET(INDIRECT(CONCAT(""A"",to_text(match(EU4,ecn.list,0)))),0,1),"""")"),"")</f>
        <v/>
      </c>
      <c r="BV4" s="236" t="str">
        <f>IFERROR(__xludf.DUMMYFUNCTION("if(countif(ecn.list,EV4),OFFSET(INDIRECT(CONCAT(""A"",to_text(match(EV4,ecn.list,0)))),0,1),"""")"),"")</f>
        <v/>
      </c>
      <c r="BW4" s="236" t="str">
        <f>IFERROR(__xludf.DUMMYFUNCTION("if(countif(ecn.list,EW4),OFFSET(INDIRECT(CONCAT(""A"",to_text(match(EW4,ecn.list,0)))),0,1),"""")"),"")</f>
        <v/>
      </c>
      <c r="BX4" s="236" t="str">
        <f>IFERROR(__xludf.DUMMYFUNCTION("if(countif(ecn.list,EX4),OFFSET(INDIRECT(CONCAT(""A"",to_text(match(EX4,ecn.list,0)))),0,1),"""")"),"MD ")</f>
        <v>MD </v>
      </c>
      <c r="BY4" s="236" t="str">
        <f>IFERROR(__xludf.DUMMYFUNCTION("if(countif(ecn.list,EY4),OFFSET(INDIRECT(CONCAT(""A"",to_text(match(EY4,ecn.list,0)))),0,1),"""")"),"")</f>
        <v/>
      </c>
      <c r="BZ4" s="236" t="str">
        <f>IFERROR(__xludf.DUMMYFUNCTION("if(countif(ecn.list,EZ4),OFFSET(INDIRECT(CONCAT(""A"",to_text(match(EZ4,ecn.list,0)))),0,1),"""")"),"MF ")</f>
        <v>MF </v>
      </c>
      <c r="CA4" s="236" t="str">
        <f>IFERROR(__xludf.DUMMYFUNCTION("if(countif(ecn.list,FA4),OFFSET(INDIRECT(CONCAT(""A"",to_text(match(FA4,ecn.list,0)))),0,1),"""")"),"")</f>
        <v/>
      </c>
      <c r="CB4" s="236" t="str">
        <f>IFERROR(__xludf.DUMMYFUNCTION("if(countif(ecn.list,FB4),OFFSET(INDIRECT(CONCAT(""A"",to_text(match(FB4,ecn.list,0)))),0,1),"""")"),"")</f>
        <v/>
      </c>
      <c r="CC4" s="236" t="str">
        <f>IFERROR(__xludf.DUMMYFUNCTION("if(countif(ecn.list,FC4),OFFSET(INDIRECT(CONCAT(""A"",to_text(match(FC4,ecn.list,0)))),0,1),"""")"),"N2 ")</f>
        <v>N2 </v>
      </c>
      <c r="CD4" s="236" t="str">
        <f>IFERROR(__xludf.DUMMYFUNCTION("if(countif(ecn.list,FD4),OFFSET(INDIRECT(CONCAT(""A"",to_text(match(FD4,ecn.list,0)))),0,1),"""")"),"")</f>
        <v/>
      </c>
      <c r="CE4" s="236" t="str">
        <f>IFERROR(__xludf.DUMMYFUNCTION("if(countif(ecn.list,FE4),OFFSET(INDIRECT(CONCAT(""A"",to_text(match(FE4,ecn.list,0)))),0,1),"""")"),"N4 ")</f>
        <v>N4 </v>
      </c>
      <c r="CF4" s="236" t="str">
        <f>IFERROR(__xludf.DUMMYFUNCTION("if(countif(ecn.list,FF4),OFFSET(INDIRECT(CONCAT(""A"",to_text(match(FF4,ecn.list,0)))),0,1),"""")"),"")</f>
        <v/>
      </c>
      <c r="CG4" s="236" t="str">
        <f>IFERROR(__xludf.DUMMYFUNCTION("if(countif(ecn.list,FG4),OFFSET(INDIRECT(CONCAT(""A"",to_text(match(FG4,ecn.list,0)))),0,1),"""")"),"")</f>
        <v/>
      </c>
      <c r="CH4" s="236" t="str">
        <f>IFERROR(__xludf.DUMMYFUNCTION("if(countif(ecn.list,FH4),OFFSET(INDIRECT(CONCAT(""A"",to_text(match(FH4,ecn.list,0)))),0,1),"""")"),"N7 ")</f>
        <v>N7 </v>
      </c>
      <c r="CI4" s="236" t="str">
        <f>IFERROR(__xludf.DUMMYFUNCTION("if(countif(ecn.list,FI4),OFFSET(INDIRECT(CONCAT(""A"",to_text(match(FI4,ecn.list,0)))),0,1),"""")"),"")</f>
        <v/>
      </c>
      <c r="CJ4" s="236" t="str">
        <f>IFERROR(__xludf.DUMMYFUNCTION("if(countif(ecn.list,FJ4),OFFSET(INDIRECT(CONCAT(""A"",to_text(match(FJ4,ecn.list,0)))),0,1),"""")"),"")</f>
        <v/>
      </c>
      <c r="CK4" s="236" t="str">
        <f>IFERROR(__xludf.DUMMYFUNCTION("if(countif(ecn.list,FK4),OFFSET(INDIRECT(CONCAT(""A"",to_text(match(FK4,ecn.list,0)))),0,1),"""")"),"NA ")</f>
        <v>NA </v>
      </c>
      <c r="CL4" s="236" t="str">
        <f>IFERROR(__xludf.DUMMYFUNCTION("if(countif(ecn.list,FL4),OFFSET(INDIRECT(CONCAT(""A"",to_text(match(FL4,ecn.list,0)))),0,1),"""")"),"")</f>
        <v/>
      </c>
      <c r="CM4" s="236" t="str">
        <f>IFERROR(__xludf.DUMMYFUNCTION("if(countif(ecn.list,FM4),OFFSET(INDIRECT(CONCAT(""A"",to_text(match(FM4,ecn.list,0)))),0,1),"""")"),"")</f>
        <v/>
      </c>
      <c r="CN4" s="198" t="s">
        <v>80</v>
      </c>
      <c r="CO4" s="198" t="s">
        <v>1447</v>
      </c>
      <c r="CP4" s="198" t="s">
        <v>1451</v>
      </c>
      <c r="CQ4" s="198" t="s">
        <v>1452</v>
      </c>
      <c r="CR4" s="198" t="s">
        <v>1453</v>
      </c>
      <c r="CS4" s="198" t="s">
        <v>1453</v>
      </c>
      <c r="CT4" s="198" t="s">
        <v>1454</v>
      </c>
      <c r="CU4" s="198" t="s">
        <v>1455</v>
      </c>
      <c r="CV4" s="198" t="s">
        <v>1456</v>
      </c>
      <c r="CW4" s="198" t="s">
        <v>1453</v>
      </c>
      <c r="CX4" s="198" t="s">
        <v>1453</v>
      </c>
      <c r="CY4" s="198" t="s">
        <v>1484</v>
      </c>
      <c r="CZ4" s="198" t="s">
        <v>1453</v>
      </c>
      <c r="DA4" s="198" t="s">
        <v>1457</v>
      </c>
      <c r="DB4" s="198" t="s">
        <v>1485</v>
      </c>
      <c r="DC4" s="198" t="s">
        <v>1453</v>
      </c>
      <c r="DD4" s="198" t="s">
        <v>1453</v>
      </c>
      <c r="DE4" s="198" t="s">
        <v>1459</v>
      </c>
      <c r="DF4" s="198" t="s">
        <v>1453</v>
      </c>
      <c r="DG4" s="198" t="s">
        <v>1453</v>
      </c>
      <c r="DH4" s="198" t="s">
        <v>1453</v>
      </c>
      <c r="DI4" s="198" t="s">
        <v>1453</v>
      </c>
      <c r="DJ4" s="198" t="s">
        <v>1460</v>
      </c>
      <c r="DK4" s="198" t="s">
        <v>1453</v>
      </c>
      <c r="DL4" s="198" t="s">
        <v>1461</v>
      </c>
      <c r="DM4" s="198" t="s">
        <v>1453</v>
      </c>
      <c r="DN4" s="198" t="s">
        <v>1463</v>
      </c>
      <c r="DO4" s="198" t="s">
        <v>1464</v>
      </c>
      <c r="DP4" s="198" t="s">
        <v>1453</v>
      </c>
      <c r="DQ4" s="198" t="s">
        <v>1466</v>
      </c>
      <c r="DR4" s="198" t="s">
        <v>1467</v>
      </c>
      <c r="DS4" s="198" t="s">
        <v>1453</v>
      </c>
      <c r="DT4" s="198" t="s">
        <v>1468</v>
      </c>
      <c r="DU4" s="198" t="s">
        <v>1453</v>
      </c>
      <c r="DV4" s="198" t="s">
        <v>1469</v>
      </c>
      <c r="DW4" s="198" t="s">
        <v>1453</v>
      </c>
      <c r="DX4" s="198" t="s">
        <v>1453</v>
      </c>
      <c r="DY4" s="198" t="s">
        <v>1453</v>
      </c>
      <c r="DZ4" s="198" t="s">
        <v>1453</v>
      </c>
      <c r="EA4" s="198" t="s">
        <v>1453</v>
      </c>
      <c r="EB4" s="198" t="s">
        <v>1453</v>
      </c>
      <c r="EC4" s="198" t="s">
        <v>1483</v>
      </c>
      <c r="ED4" s="198" t="s">
        <v>1453</v>
      </c>
      <c r="EE4" s="198" t="s">
        <v>1470</v>
      </c>
      <c r="EF4" s="198" t="s">
        <v>1453</v>
      </c>
      <c r="EG4" s="198" t="s">
        <v>1471</v>
      </c>
      <c r="EH4" s="198" t="s">
        <v>1453</v>
      </c>
      <c r="EI4" s="198" t="s">
        <v>1486</v>
      </c>
      <c r="EJ4" s="198" t="s">
        <v>1453</v>
      </c>
      <c r="EK4" s="198" t="s">
        <v>1487</v>
      </c>
      <c r="EL4" s="198" t="s">
        <v>1453</v>
      </c>
      <c r="EM4" s="198" t="s">
        <v>1453</v>
      </c>
      <c r="EN4" s="198" t="s">
        <v>1453</v>
      </c>
      <c r="EO4" s="198" t="s">
        <v>1453</v>
      </c>
      <c r="EP4" s="198" t="s">
        <v>1453</v>
      </c>
      <c r="EQ4" s="198" t="s">
        <v>1453</v>
      </c>
      <c r="ER4" s="198" t="s">
        <v>1453</v>
      </c>
      <c r="ES4" s="198" t="s">
        <v>1453</v>
      </c>
      <c r="ET4" s="198" t="s">
        <v>1453</v>
      </c>
      <c r="EU4" s="198" t="s">
        <v>1453</v>
      </c>
      <c r="EV4" s="198" t="s">
        <v>1453</v>
      </c>
      <c r="EW4" s="198" t="s">
        <v>1453</v>
      </c>
      <c r="EX4" s="198" t="s">
        <v>1488</v>
      </c>
      <c r="EY4" s="198" t="s">
        <v>1453</v>
      </c>
      <c r="EZ4" s="198" t="s">
        <v>1477</v>
      </c>
      <c r="FA4" s="198" t="s">
        <v>1453</v>
      </c>
      <c r="FB4" s="198" t="s">
        <v>1453</v>
      </c>
      <c r="FC4" s="198" t="s">
        <v>1478</v>
      </c>
      <c r="FD4" s="198" t="s">
        <v>1453</v>
      </c>
      <c r="FE4" s="198" t="s">
        <v>1489</v>
      </c>
      <c r="FF4" s="198" t="s">
        <v>1453</v>
      </c>
      <c r="FG4" s="198" t="s">
        <v>1453</v>
      </c>
      <c r="FH4" s="198" t="s">
        <v>1479</v>
      </c>
      <c r="FI4" s="198" t="s">
        <v>1453</v>
      </c>
      <c r="FJ4" s="198" t="s">
        <v>1453</v>
      </c>
      <c r="FK4" s="198" t="s">
        <v>1481</v>
      </c>
      <c r="FL4" s="198" t="s">
        <v>1482</v>
      </c>
      <c r="FM4" s="198" t="s">
        <v>1453</v>
      </c>
    </row>
    <row r="5">
      <c r="A5" s="198" t="s">
        <v>1490</v>
      </c>
      <c r="B5" s="198" t="str">
        <f t="shared" si="1"/>
        <v>J3 </v>
      </c>
      <c r="C5" s="234">
        <v>3.0</v>
      </c>
      <c r="D5" s="232" t="s">
        <v>770</v>
      </c>
      <c r="E5" s="232" t="s">
        <v>1448</v>
      </c>
      <c r="F5" s="232" t="s">
        <v>1449</v>
      </c>
      <c r="G5" s="232" t="s">
        <v>1450</v>
      </c>
      <c r="H5" s="232" t="s">
        <v>876</v>
      </c>
      <c r="I5" s="232" t="s">
        <v>882</v>
      </c>
      <c r="J5" s="232" t="s">
        <v>883</v>
      </c>
      <c r="K5" s="232" t="s">
        <v>884</v>
      </c>
      <c r="L5" s="188" t="s">
        <v>84</v>
      </c>
      <c r="M5" s="236" t="str">
        <f>IFERROR(__xludf.DUMMYFUNCTION("regexreplace(N5,"" "","", "")"),"J0, J1, J2, J5, J6, J7, JA, JC, JD, K0, K5, K7, K9, KA, KC, KD, KF, L0, L1, L8, LA, LC, LD, LE, LF, M0, M2, MA, MC, MD, MF, N2, N4, N7, NA, ")</f>
        <v>J0, J1, J2, J5, J6, J7, JA, JC, JD, K0, K5, K7, K9, KA, KC, KD, KF, L0, L1, L8, LA, LC, LD, LE, LF, M0, M2, MA, MC, MD, MF, N2, N4, N7, NA, </v>
      </c>
      <c r="N5" s="236" t="str">
        <f t="shared" si="2"/>
        <v>J0 J1 J2 J5 J6 J7 JA JC JD K0 K5 K7 K9 KA KC KD KF L0 L1 L8 LA LC LD LE LF M0 M2 MA MC MD MF N2 N4 N7 NA </v>
      </c>
      <c r="O5" s="236" t="str">
        <f>IFERROR(__xludf.DUMMYFUNCTION("if(countif(ecn.list,CO5),OFFSET(INDIRECT(CONCAT(""A"",to_text(match(CO5,ecn.list,0)))),0,1),"""")"),"J0 ")</f>
        <v>J0 </v>
      </c>
      <c r="P5" s="236" t="str">
        <f>IFERROR(__xludf.DUMMYFUNCTION("if(countif(ecn.list,CP5),OFFSET(INDIRECT(CONCAT(""A"",to_text(match(CP5,ecn.list,0)))),0,1),"""")"),"J1 ")</f>
        <v>J1 </v>
      </c>
      <c r="Q5" s="236" t="str">
        <f>IFERROR(__xludf.DUMMYFUNCTION("if(countif(ecn.list,CQ5),OFFSET(INDIRECT(CONCAT(""A"",to_text(match(CQ5,ecn.list,0)))),0,1),"""")"),"J2 ")</f>
        <v>J2 </v>
      </c>
      <c r="R5" s="236" t="str">
        <f>IFERROR(__xludf.DUMMYFUNCTION("if(countif(ecn.list,CR5),OFFSET(INDIRECT(CONCAT(""A"",to_text(match(CR5,ecn.list,0)))),0,1),"""")"),"")</f>
        <v/>
      </c>
      <c r="S5" s="236" t="str">
        <f>IFERROR(__xludf.DUMMYFUNCTION("if(countif(ecn.list,CS5),OFFSET(INDIRECT(CONCAT(""A"",to_text(match(CS5,ecn.list,0)))),0,1),"""")"),"")</f>
        <v/>
      </c>
      <c r="T5" s="236" t="str">
        <f>IFERROR(__xludf.DUMMYFUNCTION("if(countif(ecn.list,CT5),OFFSET(INDIRECT(CONCAT(""A"",to_text(match(CT5,ecn.list,0)))),0,1),"""")"),"J5 ")</f>
        <v>J5 </v>
      </c>
      <c r="U5" s="236" t="str">
        <f>IFERROR(__xludf.DUMMYFUNCTION("if(countif(ecn.list,CU5),OFFSET(INDIRECT(CONCAT(""A"",to_text(match(CU5,ecn.list,0)))),0,1),"""")"),"J6 ")</f>
        <v>J6 </v>
      </c>
      <c r="V5" s="236" t="str">
        <f>IFERROR(__xludf.DUMMYFUNCTION("if(countif(ecn.list,CV5),OFFSET(INDIRECT(CONCAT(""A"",to_text(match(CV5,ecn.list,0)))),0,1),"""")"),"J7 ")</f>
        <v>J7 </v>
      </c>
      <c r="W5" s="236" t="str">
        <f>IFERROR(__xludf.DUMMYFUNCTION("if(countif(ecn.list,CW5),OFFSET(INDIRECT(CONCAT(""A"",to_text(match(CW5,ecn.list,0)))),0,1),"""")"),"")</f>
        <v/>
      </c>
      <c r="X5" s="236" t="str">
        <f>IFERROR(__xludf.DUMMYFUNCTION("if(countif(ecn.list,CX5),OFFSET(INDIRECT(CONCAT(""A"",to_text(match(CX5,ecn.list,0)))),0,1),"""")"),"")</f>
        <v/>
      </c>
      <c r="Y5" s="236" t="str">
        <f>IFERROR(__xludf.DUMMYFUNCTION("if(countif(ecn.list,CY5),OFFSET(INDIRECT(CONCAT(""A"",to_text(match(CY5,ecn.list,0)))),0,1),"""")"),"JA ")</f>
        <v>JA </v>
      </c>
      <c r="Z5" s="236" t="str">
        <f>IFERROR(__xludf.DUMMYFUNCTION("if(countif(ecn.list,CZ5),OFFSET(INDIRECT(CONCAT(""A"",to_text(match(CZ5,ecn.list,0)))),0,1),"""")"),"")</f>
        <v/>
      </c>
      <c r="AA5" s="236" t="str">
        <f>IFERROR(__xludf.DUMMYFUNCTION("if(countif(ecn.list,DA5),OFFSET(INDIRECT(CONCAT(""A"",to_text(match(DA5,ecn.list,0)))),0,1),"""")"),"JC ")</f>
        <v>JC </v>
      </c>
      <c r="AB5" s="236" t="str">
        <f>IFERROR(__xludf.DUMMYFUNCTION("if(countif(ecn.list,DB5),OFFSET(INDIRECT(CONCAT(""A"",to_text(match(DB5,ecn.list,0)))),0,1),"""")"),"JD ")</f>
        <v>JD </v>
      </c>
      <c r="AC5" s="236" t="str">
        <f>IFERROR(__xludf.DUMMYFUNCTION("if(countif(ecn.list,DC5),OFFSET(INDIRECT(CONCAT(""A"",to_text(match(DC5,ecn.list,0)))),0,1),"""")"),"")</f>
        <v/>
      </c>
      <c r="AD5" s="236" t="str">
        <f>IFERROR(__xludf.DUMMYFUNCTION("if(countif(ecn.list,DD5),OFFSET(INDIRECT(CONCAT(""A"",to_text(match(DD5,ecn.list,0)))),0,1),"""")"),"")</f>
        <v/>
      </c>
      <c r="AE5" s="236" t="str">
        <f>IFERROR(__xludf.DUMMYFUNCTION("if(countif(ecn.list,DE5),OFFSET(INDIRECT(CONCAT(""A"",to_text(match(DE5,ecn.list,0)))),0,1),"""")"),"K0 ")</f>
        <v>K0 </v>
      </c>
      <c r="AF5" s="236" t="str">
        <f>IFERROR(__xludf.DUMMYFUNCTION("if(countif(ecn.list,DF5),OFFSET(INDIRECT(CONCAT(""A"",to_text(match(DF5,ecn.list,0)))),0,1),"""")"),"")</f>
        <v/>
      </c>
      <c r="AG5" s="236" t="str">
        <f>IFERROR(__xludf.DUMMYFUNCTION("if(countif(ecn.list,DG5),OFFSET(INDIRECT(CONCAT(""A"",to_text(match(DG5,ecn.list,0)))),0,1),"""")"),"")</f>
        <v/>
      </c>
      <c r="AH5" s="236" t="str">
        <f>IFERROR(__xludf.DUMMYFUNCTION("if(countif(ecn.list,DH5),OFFSET(INDIRECT(CONCAT(""A"",to_text(match(DH5,ecn.list,0)))),0,1),"""")"),"")</f>
        <v/>
      </c>
      <c r="AI5" s="236" t="str">
        <f>IFERROR(__xludf.DUMMYFUNCTION("if(countif(ecn.list,DI5),OFFSET(INDIRECT(CONCAT(""A"",to_text(match(DI5,ecn.list,0)))),0,1),"""")"),"")</f>
        <v/>
      </c>
      <c r="AJ5" s="236" t="str">
        <f>IFERROR(__xludf.DUMMYFUNCTION("if(countif(ecn.list,DJ5),OFFSET(INDIRECT(CONCAT(""A"",to_text(match(DJ5,ecn.list,0)))),0,1),"""")"),"K5 ")</f>
        <v>K5 </v>
      </c>
      <c r="AK5" s="236" t="str">
        <f>IFERROR(__xludf.DUMMYFUNCTION("if(countif(ecn.list,DK5),OFFSET(INDIRECT(CONCAT(""A"",to_text(match(DK5,ecn.list,0)))),0,1),"""")"),"")</f>
        <v/>
      </c>
      <c r="AL5" s="236" t="str">
        <f>IFERROR(__xludf.DUMMYFUNCTION("if(countif(ecn.list,DL5),OFFSET(INDIRECT(CONCAT(""A"",to_text(match(DL5,ecn.list,0)))),0,1),"""")"),"K7 ")</f>
        <v>K7 </v>
      </c>
      <c r="AM5" s="236" t="str">
        <f>IFERROR(__xludf.DUMMYFUNCTION("if(countif(ecn.list,DM5),OFFSET(INDIRECT(CONCAT(""A"",to_text(match(DM5,ecn.list,0)))),0,1),"""")"),"")</f>
        <v/>
      </c>
      <c r="AN5" s="236" t="str">
        <f>IFERROR(__xludf.DUMMYFUNCTION("if(countif(ecn.list,DN5),OFFSET(INDIRECT(CONCAT(""A"",to_text(match(DN5,ecn.list,0)))),0,1),"""")"),"K9 ")</f>
        <v>K9 </v>
      </c>
      <c r="AO5" s="236" t="str">
        <f>IFERROR(__xludf.DUMMYFUNCTION("if(countif(ecn.list,DO5),OFFSET(INDIRECT(CONCAT(""A"",to_text(match(DO5,ecn.list,0)))),0,1),"""")"),"KA ")</f>
        <v>KA </v>
      </c>
      <c r="AP5" s="236" t="str">
        <f>IFERROR(__xludf.DUMMYFUNCTION("if(countif(ecn.list,DP5),OFFSET(INDIRECT(CONCAT(""A"",to_text(match(DP5,ecn.list,0)))),0,1),"""")"),"")</f>
        <v/>
      </c>
      <c r="AQ5" s="236" t="str">
        <f>IFERROR(__xludf.DUMMYFUNCTION("if(countif(ecn.list,DQ5),OFFSET(INDIRECT(CONCAT(""A"",to_text(match(DQ5,ecn.list,0)))),0,1),"""")"),"KC ")</f>
        <v>KC </v>
      </c>
      <c r="AR5" s="236" t="str">
        <f>IFERROR(__xludf.DUMMYFUNCTION("if(countif(ecn.list,DR5),OFFSET(INDIRECT(CONCAT(""A"",to_text(match(DR5,ecn.list,0)))),0,1),"""")"),"KD ")</f>
        <v>KD </v>
      </c>
      <c r="AS5" s="236" t="str">
        <f>IFERROR(__xludf.DUMMYFUNCTION("if(countif(ecn.list,DS5),OFFSET(INDIRECT(CONCAT(""A"",to_text(match(DS5,ecn.list,0)))),0,1),"""")"),"")</f>
        <v/>
      </c>
      <c r="AT5" s="236" t="str">
        <f>IFERROR(__xludf.DUMMYFUNCTION("if(countif(ecn.list,DT5),OFFSET(INDIRECT(CONCAT(""A"",to_text(match(DT5,ecn.list,0)))),0,1),"""")"),"KF ")</f>
        <v>KF </v>
      </c>
      <c r="AU5" s="236" t="str">
        <f>IFERROR(__xludf.DUMMYFUNCTION("if(countif(ecn.list,DU5),OFFSET(INDIRECT(CONCAT(""A"",to_text(match(DU5,ecn.list,0)))),0,1),"""")"),"L0 ")</f>
        <v>L0 </v>
      </c>
      <c r="AV5" s="236" t="str">
        <f>IFERROR(__xludf.DUMMYFUNCTION("if(countif(ecn.list,DV5),OFFSET(INDIRECT(CONCAT(""A"",to_text(match(DV5,ecn.list,0)))),0,1),"""")"),"L1 ")</f>
        <v>L1 </v>
      </c>
      <c r="AW5" s="236" t="str">
        <f>IFERROR(__xludf.DUMMYFUNCTION("if(countif(ecn.list,DW5),OFFSET(INDIRECT(CONCAT(""A"",to_text(match(DW5,ecn.list,0)))),0,1),"""")"),"")</f>
        <v/>
      </c>
      <c r="AX5" s="236" t="str">
        <f>IFERROR(__xludf.DUMMYFUNCTION("if(countif(ecn.list,DX5),OFFSET(INDIRECT(CONCAT(""A"",to_text(match(DX5,ecn.list,0)))),0,1),"""")"),"")</f>
        <v/>
      </c>
      <c r="AY5" s="236" t="str">
        <f>IFERROR(__xludf.DUMMYFUNCTION("if(countif(ecn.list,DY5),OFFSET(INDIRECT(CONCAT(""A"",to_text(match(DY5,ecn.list,0)))),0,1),"""")"),"")</f>
        <v/>
      </c>
      <c r="AZ5" s="236" t="str">
        <f>IFERROR(__xludf.DUMMYFUNCTION("if(countif(ecn.list,DZ5),OFFSET(INDIRECT(CONCAT(""A"",to_text(match(DZ5,ecn.list,0)))),0,1),"""")"),"")</f>
        <v/>
      </c>
      <c r="BA5" s="236" t="str">
        <f>IFERROR(__xludf.DUMMYFUNCTION("if(countif(ecn.list,EA5),OFFSET(INDIRECT(CONCAT(""A"",to_text(match(EA5,ecn.list,0)))),0,1),"""")"),"")</f>
        <v/>
      </c>
      <c r="BB5" s="236" t="str">
        <f>IFERROR(__xludf.DUMMYFUNCTION("if(countif(ecn.list,EB5),OFFSET(INDIRECT(CONCAT(""A"",to_text(match(EB5,ecn.list,0)))),0,1),"""")"),"")</f>
        <v/>
      </c>
      <c r="BC5" s="236" t="str">
        <f>IFERROR(__xludf.DUMMYFUNCTION("if(countif(ecn.list,EC5),OFFSET(INDIRECT(CONCAT(""A"",to_text(match(EC5,ecn.list,0)))),0,1),"""")"),"L8 ")</f>
        <v>L8 </v>
      </c>
      <c r="BD5" s="236" t="str">
        <f>IFERROR(__xludf.DUMMYFUNCTION("if(countif(ecn.list,ED5),OFFSET(INDIRECT(CONCAT(""A"",to_text(match(ED5,ecn.list,0)))),0,1),"""")"),"")</f>
        <v/>
      </c>
      <c r="BE5" s="236" t="str">
        <f>IFERROR(__xludf.DUMMYFUNCTION("if(countif(ecn.list,EE5),OFFSET(INDIRECT(CONCAT(""A"",to_text(match(EE5,ecn.list,0)))),0,1),"""")"),"LA ")</f>
        <v>LA </v>
      </c>
      <c r="BF5" s="236" t="str">
        <f>IFERROR(__xludf.DUMMYFUNCTION("if(countif(ecn.list,EF5),OFFSET(INDIRECT(CONCAT(""A"",to_text(match(EF5,ecn.list,0)))),0,1),"""")"),"")</f>
        <v/>
      </c>
      <c r="BG5" s="236" t="str">
        <f>IFERROR(__xludf.DUMMYFUNCTION("if(countif(ecn.list,EG5),OFFSET(INDIRECT(CONCAT(""A"",to_text(match(EG5,ecn.list,0)))),0,1),"""")"),"LC ")</f>
        <v>LC </v>
      </c>
      <c r="BH5" s="236" t="str">
        <f>IFERROR(__xludf.DUMMYFUNCTION("if(countif(ecn.list,EH5),OFFSET(INDIRECT(CONCAT(""A"",to_text(match(EH5,ecn.list,0)))),0,1),"""")"),"LD ")</f>
        <v>LD </v>
      </c>
      <c r="BI5" s="236" t="str">
        <f>IFERROR(__xludf.DUMMYFUNCTION("if(countif(ecn.list,EI5),OFFSET(INDIRECT(CONCAT(""A"",to_text(match(EI5,ecn.list,0)))),0,1),"""")"),"LE ")</f>
        <v>LE </v>
      </c>
      <c r="BJ5" s="236" t="str">
        <f>IFERROR(__xludf.DUMMYFUNCTION("if(countif(ecn.list,EJ5),OFFSET(INDIRECT(CONCAT(""A"",to_text(match(EJ5,ecn.list,0)))),0,1),"""")"),"LF ")</f>
        <v>LF </v>
      </c>
      <c r="BK5" s="236" t="str">
        <f>IFERROR(__xludf.DUMMYFUNCTION("if(countif(ecn.list,EK5),OFFSET(INDIRECT(CONCAT(""A"",to_text(match(EK5,ecn.list,0)))),0,1),"""")"),"M0 ")</f>
        <v>M0 </v>
      </c>
      <c r="BL5" s="236" t="str">
        <f>IFERROR(__xludf.DUMMYFUNCTION("if(countif(ecn.list,EL5),OFFSET(INDIRECT(CONCAT(""A"",to_text(match(EL5,ecn.list,0)))),0,1),"""")"),"")</f>
        <v/>
      </c>
      <c r="BM5" s="236" t="str">
        <f>IFERROR(__xludf.DUMMYFUNCTION("if(countif(ecn.list,EM5),OFFSET(INDIRECT(CONCAT(""A"",to_text(match(EM5,ecn.list,0)))),0,1),"""")"),"M2 ")</f>
        <v>M2 </v>
      </c>
      <c r="BN5" s="236" t="str">
        <f>IFERROR(__xludf.DUMMYFUNCTION("if(countif(ecn.list,EN5),OFFSET(INDIRECT(CONCAT(""A"",to_text(match(EN5,ecn.list,0)))),0,1),"""")"),"")</f>
        <v/>
      </c>
      <c r="BO5" s="236" t="str">
        <f>IFERROR(__xludf.DUMMYFUNCTION("if(countif(ecn.list,EO5),OFFSET(INDIRECT(CONCAT(""A"",to_text(match(EO5,ecn.list,0)))),0,1),"""")"),"")</f>
        <v/>
      </c>
      <c r="BP5" s="236" t="str">
        <f>IFERROR(__xludf.DUMMYFUNCTION("if(countif(ecn.list,EP5),OFFSET(INDIRECT(CONCAT(""A"",to_text(match(EP5,ecn.list,0)))),0,1),"""")"),"")</f>
        <v/>
      </c>
      <c r="BQ5" s="236" t="str">
        <f>IFERROR(__xludf.DUMMYFUNCTION("if(countif(ecn.list,EQ5),OFFSET(INDIRECT(CONCAT(""A"",to_text(match(EQ5,ecn.list,0)))),0,1),"""")"),"")</f>
        <v/>
      </c>
      <c r="BR5" s="236" t="str">
        <f>IFERROR(__xludf.DUMMYFUNCTION("if(countif(ecn.list,ER5),OFFSET(INDIRECT(CONCAT(""A"",to_text(match(ER5,ecn.list,0)))),0,1),"""")"),"")</f>
        <v/>
      </c>
      <c r="BS5" s="236" t="str">
        <f>IFERROR(__xludf.DUMMYFUNCTION("if(countif(ecn.list,ES5),OFFSET(INDIRECT(CONCAT(""A"",to_text(match(ES5,ecn.list,0)))),0,1),"""")"),"")</f>
        <v/>
      </c>
      <c r="BT5" s="236" t="str">
        <f>IFERROR(__xludf.DUMMYFUNCTION("if(countif(ecn.list,ET5),OFFSET(INDIRECT(CONCAT(""A"",to_text(match(ET5,ecn.list,0)))),0,1),"""")"),"")</f>
        <v/>
      </c>
      <c r="BU5" s="236" t="str">
        <f>IFERROR(__xludf.DUMMYFUNCTION("if(countif(ecn.list,EU5),OFFSET(INDIRECT(CONCAT(""A"",to_text(match(EU5,ecn.list,0)))),0,1),"""")"),"MA ")</f>
        <v>MA </v>
      </c>
      <c r="BV5" s="236" t="str">
        <f>IFERROR(__xludf.DUMMYFUNCTION("if(countif(ecn.list,EV5),OFFSET(INDIRECT(CONCAT(""A"",to_text(match(EV5,ecn.list,0)))),0,1),"""")"),"")</f>
        <v/>
      </c>
      <c r="BW5" s="236" t="str">
        <f>IFERROR(__xludf.DUMMYFUNCTION("if(countif(ecn.list,EW5),OFFSET(INDIRECT(CONCAT(""A"",to_text(match(EW5,ecn.list,0)))),0,1),"""")"),"MC ")</f>
        <v>MC </v>
      </c>
      <c r="BX5" s="236" t="str">
        <f>IFERROR(__xludf.DUMMYFUNCTION("if(countif(ecn.list,EX5),OFFSET(INDIRECT(CONCAT(""A"",to_text(match(EX5,ecn.list,0)))),0,1),"""")"),"MD ")</f>
        <v>MD </v>
      </c>
      <c r="BY5" s="236" t="str">
        <f>IFERROR(__xludf.DUMMYFUNCTION("if(countif(ecn.list,EY5),OFFSET(INDIRECT(CONCAT(""A"",to_text(match(EY5,ecn.list,0)))),0,1),"""")"),"")</f>
        <v/>
      </c>
      <c r="BZ5" s="236" t="str">
        <f>IFERROR(__xludf.DUMMYFUNCTION("if(countif(ecn.list,EZ5),OFFSET(INDIRECT(CONCAT(""A"",to_text(match(EZ5,ecn.list,0)))),0,1),"""")"),"MF ")</f>
        <v>MF </v>
      </c>
      <c r="CA5" s="236" t="str">
        <f>IFERROR(__xludf.DUMMYFUNCTION("if(countif(ecn.list,FA5),OFFSET(INDIRECT(CONCAT(""A"",to_text(match(FA5,ecn.list,0)))),0,1),"""")"),"")</f>
        <v/>
      </c>
      <c r="CB5" s="236" t="str">
        <f>IFERROR(__xludf.DUMMYFUNCTION("if(countif(ecn.list,FB5),OFFSET(INDIRECT(CONCAT(""A"",to_text(match(FB5,ecn.list,0)))),0,1),"""")"),"")</f>
        <v/>
      </c>
      <c r="CC5" s="236" t="str">
        <f>IFERROR(__xludf.DUMMYFUNCTION("if(countif(ecn.list,FC5),OFFSET(INDIRECT(CONCAT(""A"",to_text(match(FC5,ecn.list,0)))),0,1),"""")"),"N2 ")</f>
        <v>N2 </v>
      </c>
      <c r="CD5" s="236" t="str">
        <f>IFERROR(__xludf.DUMMYFUNCTION("if(countif(ecn.list,FD5),OFFSET(INDIRECT(CONCAT(""A"",to_text(match(FD5,ecn.list,0)))),0,1),"""")"),"")</f>
        <v/>
      </c>
      <c r="CE5" s="236" t="str">
        <f>IFERROR(__xludf.DUMMYFUNCTION("if(countif(ecn.list,FE5),OFFSET(INDIRECT(CONCAT(""A"",to_text(match(FE5,ecn.list,0)))),0,1),"""")"),"N4 ")</f>
        <v>N4 </v>
      </c>
      <c r="CF5" s="236" t="str">
        <f>IFERROR(__xludf.DUMMYFUNCTION("if(countif(ecn.list,FF5),OFFSET(INDIRECT(CONCAT(""A"",to_text(match(FF5,ecn.list,0)))),0,1),"""")"),"")</f>
        <v/>
      </c>
      <c r="CG5" s="236" t="str">
        <f>IFERROR(__xludf.DUMMYFUNCTION("if(countif(ecn.list,FG5),OFFSET(INDIRECT(CONCAT(""A"",to_text(match(FG5,ecn.list,0)))),0,1),"""")"),"")</f>
        <v/>
      </c>
      <c r="CH5" s="236" t="str">
        <f>IFERROR(__xludf.DUMMYFUNCTION("if(countif(ecn.list,FH5),OFFSET(INDIRECT(CONCAT(""A"",to_text(match(FH5,ecn.list,0)))),0,1),"""")"),"N7 ")</f>
        <v>N7 </v>
      </c>
      <c r="CI5" s="236" t="str">
        <f>IFERROR(__xludf.DUMMYFUNCTION("if(countif(ecn.list,FI5),OFFSET(INDIRECT(CONCAT(""A"",to_text(match(FI5,ecn.list,0)))),0,1),"""")"),"")</f>
        <v/>
      </c>
      <c r="CJ5" s="236" t="str">
        <f>IFERROR(__xludf.DUMMYFUNCTION("if(countif(ecn.list,FJ5),OFFSET(INDIRECT(CONCAT(""A"",to_text(match(FJ5,ecn.list,0)))),0,1),"""")"),"")</f>
        <v/>
      </c>
      <c r="CK5" s="236" t="str">
        <f>IFERROR(__xludf.DUMMYFUNCTION("if(countif(ecn.list,FK5),OFFSET(INDIRECT(CONCAT(""A"",to_text(match(FK5,ecn.list,0)))),0,1),"""")"),"NA ")</f>
        <v>NA </v>
      </c>
      <c r="CL5" s="236" t="str">
        <f>IFERROR(__xludf.DUMMYFUNCTION("if(countif(ecn.list,FL5),OFFSET(INDIRECT(CONCAT(""A"",to_text(match(FL5,ecn.list,0)))),0,1),"""")"),"")</f>
        <v/>
      </c>
      <c r="CM5" s="236" t="str">
        <f>IFERROR(__xludf.DUMMYFUNCTION("if(countif(ecn.list,FM5),OFFSET(INDIRECT(CONCAT(""A"",to_text(match(FM5,ecn.list,0)))),0,1),"""")"),"")</f>
        <v/>
      </c>
      <c r="CN5" s="198" t="s">
        <v>84</v>
      </c>
      <c r="CO5" s="198" t="s">
        <v>1447</v>
      </c>
      <c r="CP5" s="198" t="s">
        <v>1451</v>
      </c>
      <c r="CQ5" s="198" t="s">
        <v>1452</v>
      </c>
      <c r="CR5" s="198" t="s">
        <v>1453</v>
      </c>
      <c r="CS5" s="198" t="s">
        <v>1453</v>
      </c>
      <c r="CT5" s="198" t="s">
        <v>1454</v>
      </c>
      <c r="CU5" s="198" t="s">
        <v>1455</v>
      </c>
      <c r="CV5" s="198" t="s">
        <v>1456</v>
      </c>
      <c r="CW5" s="198" t="s">
        <v>1453</v>
      </c>
      <c r="CX5" s="198" t="s">
        <v>1453</v>
      </c>
      <c r="CY5" s="198" t="s">
        <v>1484</v>
      </c>
      <c r="CZ5" s="198" t="s">
        <v>1453</v>
      </c>
      <c r="DA5" s="198" t="s">
        <v>1457</v>
      </c>
      <c r="DB5" s="198" t="s">
        <v>1485</v>
      </c>
      <c r="DC5" s="198" t="s">
        <v>1453</v>
      </c>
      <c r="DD5" s="198" t="s">
        <v>1453</v>
      </c>
      <c r="DE5" s="198" t="s">
        <v>1459</v>
      </c>
      <c r="DF5" s="198" t="s">
        <v>1453</v>
      </c>
      <c r="DG5" s="198" t="s">
        <v>1453</v>
      </c>
      <c r="DH5" s="198" t="s">
        <v>1453</v>
      </c>
      <c r="DI5" s="198" t="s">
        <v>1453</v>
      </c>
      <c r="DJ5" s="198" t="s">
        <v>1460</v>
      </c>
      <c r="DK5" s="198" t="s">
        <v>1453</v>
      </c>
      <c r="DL5" s="198" t="s">
        <v>1461</v>
      </c>
      <c r="DM5" s="198" t="s">
        <v>1453</v>
      </c>
      <c r="DN5" s="198" t="s">
        <v>1463</v>
      </c>
      <c r="DO5" s="198" t="s">
        <v>1464</v>
      </c>
      <c r="DP5" s="198" t="s">
        <v>1453</v>
      </c>
      <c r="DQ5" s="198" t="s">
        <v>1466</v>
      </c>
      <c r="DR5" s="198" t="s">
        <v>1467</v>
      </c>
      <c r="DS5" s="198" t="s">
        <v>1453</v>
      </c>
      <c r="DT5" s="198" t="s">
        <v>1468</v>
      </c>
      <c r="DU5" s="198" t="s">
        <v>1491</v>
      </c>
      <c r="DV5" s="198" t="s">
        <v>1469</v>
      </c>
      <c r="DW5" s="198" t="s">
        <v>1453</v>
      </c>
      <c r="DX5" s="198" t="s">
        <v>1453</v>
      </c>
      <c r="DY5" s="198" t="s">
        <v>1453</v>
      </c>
      <c r="DZ5" s="198" t="s">
        <v>1453</v>
      </c>
      <c r="EA5" s="198" t="s">
        <v>1453</v>
      </c>
      <c r="EB5" s="198" t="s">
        <v>1453</v>
      </c>
      <c r="EC5" s="198" t="s">
        <v>1483</v>
      </c>
      <c r="ED5" s="198" t="s">
        <v>1453</v>
      </c>
      <c r="EE5" s="198" t="s">
        <v>1470</v>
      </c>
      <c r="EF5" s="198" t="s">
        <v>1453</v>
      </c>
      <c r="EG5" s="198" t="s">
        <v>1471</v>
      </c>
      <c r="EH5" s="198" t="s">
        <v>1492</v>
      </c>
      <c r="EI5" s="198" t="s">
        <v>1486</v>
      </c>
      <c r="EJ5" s="198" t="s">
        <v>1472</v>
      </c>
      <c r="EK5" s="198" t="s">
        <v>1487</v>
      </c>
      <c r="EL5" s="198" t="s">
        <v>1453</v>
      </c>
      <c r="EM5" s="198" t="s">
        <v>1493</v>
      </c>
      <c r="EN5" s="198" t="s">
        <v>1453</v>
      </c>
      <c r="EO5" s="198" t="s">
        <v>1453</v>
      </c>
      <c r="EP5" s="198" t="s">
        <v>1453</v>
      </c>
      <c r="EQ5" s="198" t="s">
        <v>1453</v>
      </c>
      <c r="ER5" s="198" t="s">
        <v>1453</v>
      </c>
      <c r="ES5" s="198" t="s">
        <v>1453</v>
      </c>
      <c r="ET5" s="198" t="s">
        <v>1453</v>
      </c>
      <c r="EU5" s="198" t="s">
        <v>1494</v>
      </c>
      <c r="EV5" s="198" t="s">
        <v>1453</v>
      </c>
      <c r="EW5" s="198" t="s">
        <v>1495</v>
      </c>
      <c r="EX5" s="198" t="s">
        <v>1488</v>
      </c>
      <c r="EY5" s="198" t="s">
        <v>1453</v>
      </c>
      <c r="EZ5" s="198" t="s">
        <v>1477</v>
      </c>
      <c r="FA5" s="198" t="s">
        <v>1453</v>
      </c>
      <c r="FB5" s="198" t="s">
        <v>1453</v>
      </c>
      <c r="FC5" s="198" t="s">
        <v>1478</v>
      </c>
      <c r="FD5" s="198" t="s">
        <v>1453</v>
      </c>
      <c r="FE5" s="198" t="s">
        <v>1489</v>
      </c>
      <c r="FF5" s="198" t="s">
        <v>1453</v>
      </c>
      <c r="FG5" s="198" t="s">
        <v>1453</v>
      </c>
      <c r="FH5" s="198" t="s">
        <v>1479</v>
      </c>
      <c r="FI5" s="198" t="s">
        <v>1453</v>
      </c>
      <c r="FJ5" s="198" t="s">
        <v>1453</v>
      </c>
      <c r="FK5" s="198" t="s">
        <v>1481</v>
      </c>
      <c r="FL5" s="198" t="s">
        <v>1482</v>
      </c>
      <c r="FM5" s="198" t="s">
        <v>1453</v>
      </c>
    </row>
    <row r="6">
      <c r="A6" s="236" t="s">
        <v>1496</v>
      </c>
      <c r="B6" s="198" t="str">
        <f t="shared" si="1"/>
        <v>J4 </v>
      </c>
      <c r="C6" s="234">
        <v>4.0</v>
      </c>
      <c r="D6" s="232" t="s">
        <v>770</v>
      </c>
      <c r="E6" s="232" t="s">
        <v>1448</v>
      </c>
      <c r="F6" s="232" t="s">
        <v>1449</v>
      </c>
      <c r="G6" s="232" t="s">
        <v>1450</v>
      </c>
      <c r="H6" s="232" t="s">
        <v>876</v>
      </c>
      <c r="I6" s="232" t="s">
        <v>987</v>
      </c>
      <c r="J6" s="232" t="s">
        <v>1497</v>
      </c>
      <c r="K6" s="232" t="s">
        <v>988</v>
      </c>
      <c r="L6" s="188" t="s">
        <v>88</v>
      </c>
      <c r="M6" s="236" t="str">
        <f>IFERROR(__xludf.DUMMYFUNCTION("regexreplace(N6,"" "","", "")"),"J0, J1, J2, J3, J5, J6, J7, JA, JC, JD, K0, K1, K2, K3, K4, K5, K7, K8, K9, KA, KB, KC, KD, KF, L1, L2, L3, L7, L8, LA, LC, LF, M0, M1, M3, M4, M8, MB, MF, N2, N7, NA, ")</f>
        <v>J0, J1, J2, J3, J5, J6, J7, JA, JC, JD, K0, K1, K2, K3, K4, K5, K7, K8, K9, KA, KB, KC, KD, KF, L1, L2, L3, L7, L8, LA, LC, LF, M0, M1, M3, M4, M8, MB, MF, N2, N7, NA, </v>
      </c>
      <c r="N6" s="236" t="str">
        <f t="shared" si="2"/>
        <v>J0 J1 J2 J3 J5 J6 J7 JA JC JD K0 K1 K2 K3 K4 K5 K7 K8 K9 KA KB KC KD KF L1 L2 L3 L7 L8 LA LC LF M0 M1 M3 M4 M8 MB MF N2 N7 NA </v>
      </c>
      <c r="O6" s="236" t="str">
        <f>IFERROR(__xludf.DUMMYFUNCTION("if(countif(ecn.list,CO6),OFFSET(INDIRECT(CONCAT(""A"",to_text(match(CO6,ecn.list,0)))),0,1),"""")"),"J0 ")</f>
        <v>J0 </v>
      </c>
      <c r="P6" s="236" t="str">
        <f>IFERROR(__xludf.DUMMYFUNCTION("if(countif(ecn.list,CP6),OFFSET(INDIRECT(CONCAT(""A"",to_text(match(CP6,ecn.list,0)))),0,1),"""")"),"J1 ")</f>
        <v>J1 </v>
      </c>
      <c r="Q6" s="236" t="str">
        <f>IFERROR(__xludf.DUMMYFUNCTION("if(countif(ecn.list,CQ6),OFFSET(INDIRECT(CONCAT(""A"",to_text(match(CQ6,ecn.list,0)))),0,1),"""")"),"J2 ")</f>
        <v>J2 </v>
      </c>
      <c r="R6" s="236" t="str">
        <f>IFERROR(__xludf.DUMMYFUNCTION("if(countif(ecn.list,CR6),OFFSET(INDIRECT(CONCAT(""A"",to_text(match(CR6,ecn.list,0)))),0,1),"""")"),"J3 ")</f>
        <v>J3 </v>
      </c>
      <c r="S6" s="236" t="str">
        <f>IFERROR(__xludf.DUMMYFUNCTION("if(countif(ecn.list,CS6),OFFSET(INDIRECT(CONCAT(""A"",to_text(match(CS6,ecn.list,0)))),0,1),"""")"),"")</f>
        <v/>
      </c>
      <c r="T6" s="236" t="str">
        <f>IFERROR(__xludf.DUMMYFUNCTION("if(countif(ecn.list,CT6),OFFSET(INDIRECT(CONCAT(""A"",to_text(match(CT6,ecn.list,0)))),0,1),"""")"),"J5 ")</f>
        <v>J5 </v>
      </c>
      <c r="U6" s="236" t="str">
        <f>IFERROR(__xludf.DUMMYFUNCTION("if(countif(ecn.list,CU6),OFFSET(INDIRECT(CONCAT(""A"",to_text(match(CU6,ecn.list,0)))),0,1),"""")"),"J6 ")</f>
        <v>J6 </v>
      </c>
      <c r="V6" s="236" t="str">
        <f>IFERROR(__xludf.DUMMYFUNCTION("if(countif(ecn.list,CV6),OFFSET(INDIRECT(CONCAT(""A"",to_text(match(CV6,ecn.list,0)))),0,1),"""")"),"J7 ")</f>
        <v>J7 </v>
      </c>
      <c r="W6" s="236" t="str">
        <f>IFERROR(__xludf.DUMMYFUNCTION("if(countif(ecn.list,CW6),OFFSET(INDIRECT(CONCAT(""A"",to_text(match(CW6,ecn.list,0)))),0,1),"""")"),"")</f>
        <v/>
      </c>
      <c r="X6" s="236" t="str">
        <f>IFERROR(__xludf.DUMMYFUNCTION("if(countif(ecn.list,CX6),OFFSET(INDIRECT(CONCAT(""A"",to_text(match(CX6,ecn.list,0)))),0,1),"""")"),"")</f>
        <v/>
      </c>
      <c r="Y6" s="236" t="str">
        <f>IFERROR(__xludf.DUMMYFUNCTION("if(countif(ecn.list,CY6),OFFSET(INDIRECT(CONCAT(""A"",to_text(match(CY6,ecn.list,0)))),0,1),"""")"),"JA ")</f>
        <v>JA </v>
      </c>
      <c r="Z6" s="236" t="str">
        <f>IFERROR(__xludf.DUMMYFUNCTION("if(countif(ecn.list,CZ6),OFFSET(INDIRECT(CONCAT(""A"",to_text(match(CZ6,ecn.list,0)))),0,1),"""")"),"")</f>
        <v/>
      </c>
      <c r="AA6" s="236" t="str">
        <f>IFERROR(__xludf.DUMMYFUNCTION("if(countif(ecn.list,DA6),OFFSET(INDIRECT(CONCAT(""A"",to_text(match(DA6,ecn.list,0)))),0,1),"""")"),"JC ")</f>
        <v>JC </v>
      </c>
      <c r="AB6" s="236" t="str">
        <f>IFERROR(__xludf.DUMMYFUNCTION("if(countif(ecn.list,DB6),OFFSET(INDIRECT(CONCAT(""A"",to_text(match(DB6,ecn.list,0)))),0,1),"""")"),"JD ")</f>
        <v>JD </v>
      </c>
      <c r="AC6" s="236" t="str">
        <f>IFERROR(__xludf.DUMMYFUNCTION("if(countif(ecn.list,DC6),OFFSET(INDIRECT(CONCAT(""A"",to_text(match(DC6,ecn.list,0)))),0,1),"""")"),"")</f>
        <v/>
      </c>
      <c r="AD6" s="236" t="str">
        <f>IFERROR(__xludf.DUMMYFUNCTION("if(countif(ecn.list,DD6),OFFSET(INDIRECT(CONCAT(""A"",to_text(match(DD6,ecn.list,0)))),0,1),"""")"),"")</f>
        <v/>
      </c>
      <c r="AE6" s="236" t="str">
        <f>IFERROR(__xludf.DUMMYFUNCTION("if(countif(ecn.list,DE6),OFFSET(INDIRECT(CONCAT(""A"",to_text(match(DE6,ecn.list,0)))),0,1),"""")"),"K0 ")</f>
        <v>K0 </v>
      </c>
      <c r="AF6" s="236" t="str">
        <f>IFERROR(__xludf.DUMMYFUNCTION("if(countif(ecn.list,DF6),OFFSET(INDIRECT(CONCAT(""A"",to_text(match(DF6,ecn.list,0)))),0,1),"""")"),"K1 ")</f>
        <v>K1 </v>
      </c>
      <c r="AG6" s="236" t="str">
        <f>IFERROR(__xludf.DUMMYFUNCTION("if(countif(ecn.list,DG6),OFFSET(INDIRECT(CONCAT(""A"",to_text(match(DG6,ecn.list,0)))),0,1),"""")"),"K2 ")</f>
        <v>K2 </v>
      </c>
      <c r="AH6" s="236" t="str">
        <f>IFERROR(__xludf.DUMMYFUNCTION("if(countif(ecn.list,DH6),OFFSET(INDIRECT(CONCAT(""A"",to_text(match(DH6,ecn.list,0)))),0,1),"""")"),"K3 ")</f>
        <v>K3 </v>
      </c>
      <c r="AI6" s="236" t="str">
        <f>IFERROR(__xludf.DUMMYFUNCTION("if(countif(ecn.list,DI6),OFFSET(INDIRECT(CONCAT(""A"",to_text(match(DI6,ecn.list,0)))),0,1),"""")"),"K4 ")</f>
        <v>K4 </v>
      </c>
      <c r="AJ6" s="236" t="str">
        <f>IFERROR(__xludf.DUMMYFUNCTION("if(countif(ecn.list,DJ6),OFFSET(INDIRECT(CONCAT(""A"",to_text(match(DJ6,ecn.list,0)))),0,1),"""")"),"K5 ")</f>
        <v>K5 </v>
      </c>
      <c r="AK6" s="236" t="str">
        <f>IFERROR(__xludf.DUMMYFUNCTION("if(countif(ecn.list,DK6),OFFSET(INDIRECT(CONCAT(""A"",to_text(match(DK6,ecn.list,0)))),0,1),"""")"),"")</f>
        <v/>
      </c>
      <c r="AL6" s="236" t="str">
        <f>IFERROR(__xludf.DUMMYFUNCTION("if(countif(ecn.list,DL6),OFFSET(INDIRECT(CONCAT(""A"",to_text(match(DL6,ecn.list,0)))),0,1),"""")"),"K7 ")</f>
        <v>K7 </v>
      </c>
      <c r="AM6" s="236" t="str">
        <f>IFERROR(__xludf.DUMMYFUNCTION("if(countif(ecn.list,DM6),OFFSET(INDIRECT(CONCAT(""A"",to_text(match(DM6,ecn.list,0)))),0,1),"""")"),"K8 ")</f>
        <v>K8 </v>
      </c>
      <c r="AN6" s="236" t="str">
        <f>IFERROR(__xludf.DUMMYFUNCTION("if(countif(ecn.list,DN6),OFFSET(INDIRECT(CONCAT(""A"",to_text(match(DN6,ecn.list,0)))),0,1),"""")"),"K9 ")</f>
        <v>K9 </v>
      </c>
      <c r="AO6" s="236" t="str">
        <f>IFERROR(__xludf.DUMMYFUNCTION("if(countif(ecn.list,DO6),OFFSET(INDIRECT(CONCAT(""A"",to_text(match(DO6,ecn.list,0)))),0,1),"""")"),"KA ")</f>
        <v>KA </v>
      </c>
      <c r="AP6" s="236" t="str">
        <f>IFERROR(__xludf.DUMMYFUNCTION("if(countif(ecn.list,DP6),OFFSET(INDIRECT(CONCAT(""A"",to_text(match(DP6,ecn.list,0)))),0,1),"""")"),"KB ")</f>
        <v>KB </v>
      </c>
      <c r="AQ6" s="236" t="str">
        <f>IFERROR(__xludf.DUMMYFUNCTION("if(countif(ecn.list,DQ6),OFFSET(INDIRECT(CONCAT(""A"",to_text(match(DQ6,ecn.list,0)))),0,1),"""")"),"KC ")</f>
        <v>KC </v>
      </c>
      <c r="AR6" s="236" t="str">
        <f>IFERROR(__xludf.DUMMYFUNCTION("if(countif(ecn.list,DR6),OFFSET(INDIRECT(CONCAT(""A"",to_text(match(DR6,ecn.list,0)))),0,1),"""")"),"KD ")</f>
        <v>KD </v>
      </c>
      <c r="AS6" s="236" t="str">
        <f>IFERROR(__xludf.DUMMYFUNCTION("if(countif(ecn.list,DS6),OFFSET(INDIRECT(CONCAT(""A"",to_text(match(DS6,ecn.list,0)))),0,1),"""")"),"")</f>
        <v/>
      </c>
      <c r="AT6" s="236" t="str">
        <f>IFERROR(__xludf.DUMMYFUNCTION("if(countif(ecn.list,DT6),OFFSET(INDIRECT(CONCAT(""A"",to_text(match(DT6,ecn.list,0)))),0,1),"""")"),"KF ")</f>
        <v>KF </v>
      </c>
      <c r="AU6" s="236" t="str">
        <f>IFERROR(__xludf.DUMMYFUNCTION("if(countif(ecn.list,DU6),OFFSET(INDIRECT(CONCAT(""A"",to_text(match(DU6,ecn.list,0)))),0,1),"""")"),"")</f>
        <v/>
      </c>
      <c r="AV6" s="236" t="str">
        <f>IFERROR(__xludf.DUMMYFUNCTION("if(countif(ecn.list,DV6),OFFSET(INDIRECT(CONCAT(""A"",to_text(match(DV6,ecn.list,0)))),0,1),"""")"),"L1 ")</f>
        <v>L1 </v>
      </c>
      <c r="AW6" s="236" t="str">
        <f>IFERROR(__xludf.DUMMYFUNCTION("if(countif(ecn.list,DW6),OFFSET(INDIRECT(CONCAT(""A"",to_text(match(DW6,ecn.list,0)))),0,1),"""")"),"L2 ")</f>
        <v>L2 </v>
      </c>
      <c r="AX6" s="236" t="str">
        <f>IFERROR(__xludf.DUMMYFUNCTION("if(countif(ecn.list,DX6),OFFSET(INDIRECT(CONCAT(""A"",to_text(match(DX6,ecn.list,0)))),0,1),"""")"),"L3 ")</f>
        <v>L3 </v>
      </c>
      <c r="AY6" s="236" t="str">
        <f>IFERROR(__xludf.DUMMYFUNCTION("if(countif(ecn.list,DY6),OFFSET(INDIRECT(CONCAT(""A"",to_text(match(DY6,ecn.list,0)))),0,1),"""")"),"")</f>
        <v/>
      </c>
      <c r="AZ6" s="236" t="str">
        <f>IFERROR(__xludf.DUMMYFUNCTION("if(countif(ecn.list,DZ6),OFFSET(INDIRECT(CONCAT(""A"",to_text(match(DZ6,ecn.list,0)))),0,1),"""")"),"")</f>
        <v/>
      </c>
      <c r="BA6" s="236" t="str">
        <f>IFERROR(__xludf.DUMMYFUNCTION("if(countif(ecn.list,EA6),OFFSET(INDIRECT(CONCAT(""A"",to_text(match(EA6,ecn.list,0)))),0,1),"""")"),"")</f>
        <v/>
      </c>
      <c r="BB6" s="236" t="str">
        <f>IFERROR(__xludf.DUMMYFUNCTION("if(countif(ecn.list,EB6),OFFSET(INDIRECT(CONCAT(""A"",to_text(match(EB6,ecn.list,0)))),0,1),"""")"),"L7 ")</f>
        <v>L7 </v>
      </c>
      <c r="BC6" s="236" t="str">
        <f>IFERROR(__xludf.DUMMYFUNCTION("if(countif(ecn.list,EC6),OFFSET(INDIRECT(CONCAT(""A"",to_text(match(EC6,ecn.list,0)))),0,1),"""")"),"L8 ")</f>
        <v>L8 </v>
      </c>
      <c r="BD6" s="236" t="str">
        <f>IFERROR(__xludf.DUMMYFUNCTION("if(countif(ecn.list,ED6),OFFSET(INDIRECT(CONCAT(""A"",to_text(match(ED6,ecn.list,0)))),0,1),"""")"),"")</f>
        <v/>
      </c>
      <c r="BE6" s="236" t="str">
        <f>IFERROR(__xludf.DUMMYFUNCTION("if(countif(ecn.list,EE6),OFFSET(INDIRECT(CONCAT(""A"",to_text(match(EE6,ecn.list,0)))),0,1),"""")"),"LA ")</f>
        <v>LA </v>
      </c>
      <c r="BF6" s="236" t="str">
        <f>IFERROR(__xludf.DUMMYFUNCTION("if(countif(ecn.list,EF6),OFFSET(INDIRECT(CONCAT(""A"",to_text(match(EF6,ecn.list,0)))),0,1),"""")"),"")</f>
        <v/>
      </c>
      <c r="BG6" s="236" t="str">
        <f>IFERROR(__xludf.DUMMYFUNCTION("if(countif(ecn.list,EG6),OFFSET(INDIRECT(CONCAT(""A"",to_text(match(EG6,ecn.list,0)))),0,1),"""")"),"LC ")</f>
        <v>LC </v>
      </c>
      <c r="BH6" s="236" t="str">
        <f>IFERROR(__xludf.DUMMYFUNCTION("if(countif(ecn.list,EH6),OFFSET(INDIRECT(CONCAT(""A"",to_text(match(EH6,ecn.list,0)))),0,1),"""")"),"")</f>
        <v/>
      </c>
      <c r="BI6" s="236" t="str">
        <f>IFERROR(__xludf.DUMMYFUNCTION("if(countif(ecn.list,EI6),OFFSET(INDIRECT(CONCAT(""A"",to_text(match(EI6,ecn.list,0)))),0,1),"""")"),"")</f>
        <v/>
      </c>
      <c r="BJ6" s="236" t="str">
        <f>IFERROR(__xludf.DUMMYFUNCTION("if(countif(ecn.list,EJ6),OFFSET(INDIRECT(CONCAT(""A"",to_text(match(EJ6,ecn.list,0)))),0,1),"""")"),"LF ")</f>
        <v>LF </v>
      </c>
      <c r="BK6" s="236" t="str">
        <f>IFERROR(__xludf.DUMMYFUNCTION("if(countif(ecn.list,EK6),OFFSET(INDIRECT(CONCAT(""A"",to_text(match(EK6,ecn.list,0)))),0,1),"""")"),"M0 ")</f>
        <v>M0 </v>
      </c>
      <c r="BL6" s="236" t="str">
        <f>IFERROR(__xludf.DUMMYFUNCTION("if(countif(ecn.list,EL6),OFFSET(INDIRECT(CONCAT(""A"",to_text(match(EL6,ecn.list,0)))),0,1),"""")"),"M1 ")</f>
        <v>M1 </v>
      </c>
      <c r="BM6" s="236" t="str">
        <f>IFERROR(__xludf.DUMMYFUNCTION("if(countif(ecn.list,EM6),OFFSET(INDIRECT(CONCAT(""A"",to_text(match(EM6,ecn.list,0)))),0,1),"""")"),"")</f>
        <v/>
      </c>
      <c r="BN6" s="236" t="str">
        <f>IFERROR(__xludf.DUMMYFUNCTION("if(countif(ecn.list,EN6),OFFSET(INDIRECT(CONCAT(""A"",to_text(match(EN6,ecn.list,0)))),0,1),"""")"),"M3 ")</f>
        <v>M3 </v>
      </c>
      <c r="BO6" s="236" t="str">
        <f>IFERROR(__xludf.DUMMYFUNCTION("if(countif(ecn.list,EO6),OFFSET(INDIRECT(CONCAT(""A"",to_text(match(EO6,ecn.list,0)))),0,1),"""")"),"M4 ")</f>
        <v>M4 </v>
      </c>
      <c r="BP6" s="236" t="str">
        <f>IFERROR(__xludf.DUMMYFUNCTION("if(countif(ecn.list,EP6),OFFSET(INDIRECT(CONCAT(""A"",to_text(match(EP6,ecn.list,0)))),0,1),"""")"),"")</f>
        <v/>
      </c>
      <c r="BQ6" s="236" t="str">
        <f>IFERROR(__xludf.DUMMYFUNCTION("if(countif(ecn.list,EQ6),OFFSET(INDIRECT(CONCAT(""A"",to_text(match(EQ6,ecn.list,0)))),0,1),"""")"),"")</f>
        <v/>
      </c>
      <c r="BR6" s="236" t="str">
        <f>IFERROR(__xludf.DUMMYFUNCTION("if(countif(ecn.list,ER6),OFFSET(INDIRECT(CONCAT(""A"",to_text(match(ER6,ecn.list,0)))),0,1),"""")"),"")</f>
        <v/>
      </c>
      <c r="BS6" s="236" t="str">
        <f>IFERROR(__xludf.DUMMYFUNCTION("if(countif(ecn.list,ES6),OFFSET(INDIRECT(CONCAT(""A"",to_text(match(ES6,ecn.list,0)))),0,1),"""")"),"M8 ")</f>
        <v>M8 </v>
      </c>
      <c r="BT6" s="236" t="str">
        <f>IFERROR(__xludf.DUMMYFUNCTION("if(countif(ecn.list,ET6),OFFSET(INDIRECT(CONCAT(""A"",to_text(match(ET6,ecn.list,0)))),0,1),"""")"),"")</f>
        <v/>
      </c>
      <c r="BU6" s="236" t="str">
        <f>IFERROR(__xludf.DUMMYFUNCTION("if(countif(ecn.list,EU6),OFFSET(INDIRECT(CONCAT(""A"",to_text(match(EU6,ecn.list,0)))),0,1),"""")"),"")</f>
        <v/>
      </c>
      <c r="BV6" s="236" t="str">
        <f>IFERROR(__xludf.DUMMYFUNCTION("if(countif(ecn.list,EV6),OFFSET(INDIRECT(CONCAT(""A"",to_text(match(EV6,ecn.list,0)))),0,1),"""")"),"MB ")</f>
        <v>MB </v>
      </c>
      <c r="BW6" s="236" t="str">
        <f>IFERROR(__xludf.DUMMYFUNCTION("if(countif(ecn.list,EW6),OFFSET(INDIRECT(CONCAT(""A"",to_text(match(EW6,ecn.list,0)))),0,1),"""")"),"")</f>
        <v/>
      </c>
      <c r="BX6" s="236" t="str">
        <f>IFERROR(__xludf.DUMMYFUNCTION("if(countif(ecn.list,EX6),OFFSET(INDIRECT(CONCAT(""A"",to_text(match(EX6,ecn.list,0)))),0,1),"""")"),"")</f>
        <v/>
      </c>
      <c r="BY6" s="236" t="str">
        <f>IFERROR(__xludf.DUMMYFUNCTION("if(countif(ecn.list,EY6),OFFSET(INDIRECT(CONCAT(""A"",to_text(match(EY6,ecn.list,0)))),0,1),"""")"),"")</f>
        <v/>
      </c>
      <c r="BZ6" s="236" t="str">
        <f>IFERROR(__xludf.DUMMYFUNCTION("if(countif(ecn.list,EZ6),OFFSET(INDIRECT(CONCAT(""A"",to_text(match(EZ6,ecn.list,0)))),0,1),"""")"),"MF ")</f>
        <v>MF </v>
      </c>
      <c r="CA6" s="236" t="str">
        <f>IFERROR(__xludf.DUMMYFUNCTION("if(countif(ecn.list,FA6),OFFSET(INDIRECT(CONCAT(""A"",to_text(match(FA6,ecn.list,0)))),0,1),"""")"),"")</f>
        <v/>
      </c>
      <c r="CB6" s="236" t="str">
        <f>IFERROR(__xludf.DUMMYFUNCTION("if(countif(ecn.list,FB6),OFFSET(INDIRECT(CONCAT(""A"",to_text(match(FB6,ecn.list,0)))),0,1),"""")"),"")</f>
        <v/>
      </c>
      <c r="CC6" s="236" t="str">
        <f>IFERROR(__xludf.DUMMYFUNCTION("if(countif(ecn.list,FC6),OFFSET(INDIRECT(CONCAT(""A"",to_text(match(FC6,ecn.list,0)))),0,1),"""")"),"N2 ")</f>
        <v>N2 </v>
      </c>
      <c r="CD6" s="236" t="str">
        <f>IFERROR(__xludf.DUMMYFUNCTION("if(countif(ecn.list,FD6),OFFSET(INDIRECT(CONCAT(""A"",to_text(match(FD6,ecn.list,0)))),0,1),"""")"),"")</f>
        <v/>
      </c>
      <c r="CE6" s="236" t="str">
        <f>IFERROR(__xludf.DUMMYFUNCTION("if(countif(ecn.list,FE6),OFFSET(INDIRECT(CONCAT(""A"",to_text(match(FE6,ecn.list,0)))),0,1),"""")"),"")</f>
        <v/>
      </c>
      <c r="CF6" s="236" t="str">
        <f>IFERROR(__xludf.DUMMYFUNCTION("if(countif(ecn.list,FF6),OFFSET(INDIRECT(CONCAT(""A"",to_text(match(FF6,ecn.list,0)))),0,1),"""")"),"")</f>
        <v/>
      </c>
      <c r="CG6" s="236" t="str">
        <f>IFERROR(__xludf.DUMMYFUNCTION("if(countif(ecn.list,FG6),OFFSET(INDIRECT(CONCAT(""A"",to_text(match(FG6,ecn.list,0)))),0,1),"""")"),"")</f>
        <v/>
      </c>
      <c r="CH6" s="236" t="str">
        <f>IFERROR(__xludf.DUMMYFUNCTION("if(countif(ecn.list,FH6),OFFSET(INDIRECT(CONCAT(""A"",to_text(match(FH6,ecn.list,0)))),0,1),"""")"),"N7 ")</f>
        <v>N7 </v>
      </c>
      <c r="CI6" s="236" t="str">
        <f>IFERROR(__xludf.DUMMYFUNCTION("if(countif(ecn.list,FI6),OFFSET(INDIRECT(CONCAT(""A"",to_text(match(FI6,ecn.list,0)))),0,1),"""")"),"")</f>
        <v/>
      </c>
      <c r="CJ6" s="236" t="str">
        <f>IFERROR(__xludf.DUMMYFUNCTION("if(countif(ecn.list,FJ6),OFFSET(INDIRECT(CONCAT(""A"",to_text(match(FJ6,ecn.list,0)))),0,1),"""")"),"")</f>
        <v/>
      </c>
      <c r="CK6" s="236" t="str">
        <f>IFERROR(__xludf.DUMMYFUNCTION("if(countif(ecn.list,FK6),OFFSET(INDIRECT(CONCAT(""A"",to_text(match(FK6,ecn.list,0)))),0,1),"""")"),"NA ")</f>
        <v>NA </v>
      </c>
      <c r="CL6" s="236" t="str">
        <f>IFERROR(__xludf.DUMMYFUNCTION("if(countif(ecn.list,FL6),OFFSET(INDIRECT(CONCAT(""A"",to_text(match(FL6,ecn.list,0)))),0,1),"""")"),"")</f>
        <v/>
      </c>
      <c r="CM6" s="236" t="str">
        <f>IFERROR(__xludf.DUMMYFUNCTION("if(countif(ecn.list,FM6),OFFSET(INDIRECT(CONCAT(""A"",to_text(match(FM6,ecn.list,0)))),0,1),"""")"),"")</f>
        <v/>
      </c>
      <c r="CN6" s="198" t="s">
        <v>88</v>
      </c>
      <c r="CO6" s="198" t="s">
        <v>1447</v>
      </c>
      <c r="CP6" s="198" t="s">
        <v>1451</v>
      </c>
      <c r="CQ6" s="198" t="s">
        <v>1452</v>
      </c>
      <c r="CR6" s="198" t="s">
        <v>1490</v>
      </c>
      <c r="CS6" s="198" t="s">
        <v>1453</v>
      </c>
      <c r="CT6" s="198" t="s">
        <v>1454</v>
      </c>
      <c r="CU6" s="198" t="s">
        <v>1455</v>
      </c>
      <c r="CV6" s="198" t="s">
        <v>1456</v>
      </c>
      <c r="CW6" s="198" t="s">
        <v>1453</v>
      </c>
      <c r="CX6" s="198" t="s">
        <v>1453</v>
      </c>
      <c r="CY6" s="198" t="s">
        <v>1484</v>
      </c>
      <c r="CZ6" s="198" t="s">
        <v>1453</v>
      </c>
      <c r="DA6" s="198" t="s">
        <v>1457</v>
      </c>
      <c r="DB6" s="198" t="s">
        <v>1485</v>
      </c>
      <c r="DC6" s="198" t="s">
        <v>1453</v>
      </c>
      <c r="DD6" s="198" t="s">
        <v>1453</v>
      </c>
      <c r="DE6" s="198" t="s">
        <v>1459</v>
      </c>
      <c r="DF6" s="198" t="s">
        <v>1498</v>
      </c>
      <c r="DG6" s="198" t="s">
        <v>1499</v>
      </c>
      <c r="DH6" s="198" t="s">
        <v>1500</v>
      </c>
      <c r="DI6" s="198" t="s">
        <v>1501</v>
      </c>
      <c r="DJ6" s="198" t="s">
        <v>1460</v>
      </c>
      <c r="DK6" s="198" t="s">
        <v>1453</v>
      </c>
      <c r="DL6" s="198" t="s">
        <v>1461</v>
      </c>
      <c r="DM6" s="198" t="s">
        <v>1462</v>
      </c>
      <c r="DN6" s="198" t="s">
        <v>1463</v>
      </c>
      <c r="DO6" s="198" t="s">
        <v>1464</v>
      </c>
      <c r="DP6" s="198" t="s">
        <v>1465</v>
      </c>
      <c r="DQ6" s="198" t="s">
        <v>1466</v>
      </c>
      <c r="DR6" s="198" t="s">
        <v>1467</v>
      </c>
      <c r="DS6" s="198" t="s">
        <v>1453</v>
      </c>
      <c r="DT6" s="198" t="s">
        <v>1468</v>
      </c>
      <c r="DU6" s="198" t="s">
        <v>1453</v>
      </c>
      <c r="DV6" s="198" t="s">
        <v>1469</v>
      </c>
      <c r="DW6" s="198" t="s">
        <v>1502</v>
      </c>
      <c r="DX6" s="198" t="s">
        <v>1503</v>
      </c>
      <c r="DY6" s="198" t="s">
        <v>1453</v>
      </c>
      <c r="DZ6" s="198" t="s">
        <v>1453</v>
      </c>
      <c r="EA6" s="198" t="s">
        <v>1453</v>
      </c>
      <c r="EB6" s="198" t="s">
        <v>1504</v>
      </c>
      <c r="EC6" s="198" t="s">
        <v>1483</v>
      </c>
      <c r="ED6" s="198" t="s">
        <v>1453</v>
      </c>
      <c r="EE6" s="198" t="s">
        <v>1470</v>
      </c>
      <c r="EF6" s="198" t="s">
        <v>1453</v>
      </c>
      <c r="EG6" s="198" t="s">
        <v>1471</v>
      </c>
      <c r="EH6" s="198" t="s">
        <v>1453</v>
      </c>
      <c r="EI6" s="198" t="s">
        <v>1453</v>
      </c>
      <c r="EJ6" s="198" t="s">
        <v>1472</v>
      </c>
      <c r="EK6" s="198" t="s">
        <v>1487</v>
      </c>
      <c r="EL6" s="198" t="s">
        <v>1473</v>
      </c>
      <c r="EM6" s="198" t="s">
        <v>1453</v>
      </c>
      <c r="EN6" s="198" t="s">
        <v>1474</v>
      </c>
      <c r="EO6" s="198" t="s">
        <v>1475</v>
      </c>
      <c r="EP6" s="198" t="s">
        <v>1453</v>
      </c>
      <c r="EQ6" s="198" t="s">
        <v>1453</v>
      </c>
      <c r="ER6" s="198" t="s">
        <v>1453</v>
      </c>
      <c r="ES6" s="198" t="s">
        <v>1505</v>
      </c>
      <c r="ET6" s="198" t="s">
        <v>1453</v>
      </c>
      <c r="EU6" s="198" t="s">
        <v>1453</v>
      </c>
      <c r="EV6" s="198" t="s">
        <v>1476</v>
      </c>
      <c r="EW6" s="198" t="s">
        <v>1453</v>
      </c>
      <c r="EX6" s="198" t="s">
        <v>1453</v>
      </c>
      <c r="EY6" s="198" t="s">
        <v>1453</v>
      </c>
      <c r="EZ6" s="198" t="s">
        <v>1477</v>
      </c>
      <c r="FA6" s="198" t="s">
        <v>1453</v>
      </c>
      <c r="FB6" s="198" t="s">
        <v>1453</v>
      </c>
      <c r="FC6" s="198" t="s">
        <v>1478</v>
      </c>
      <c r="FD6" s="198" t="s">
        <v>1453</v>
      </c>
      <c r="FE6" s="198" t="s">
        <v>1453</v>
      </c>
      <c r="FF6" s="198" t="s">
        <v>1453</v>
      </c>
      <c r="FG6" s="198" t="s">
        <v>1453</v>
      </c>
      <c r="FH6" s="198" t="s">
        <v>1479</v>
      </c>
      <c r="FI6" s="198" t="s">
        <v>1453</v>
      </c>
      <c r="FJ6" s="198" t="s">
        <v>1453</v>
      </c>
      <c r="FK6" s="198" t="s">
        <v>1481</v>
      </c>
      <c r="FL6" s="198" t="s">
        <v>1482</v>
      </c>
      <c r="FM6" s="198" t="s">
        <v>1453</v>
      </c>
    </row>
    <row r="7">
      <c r="A7" s="236" t="s">
        <v>1454</v>
      </c>
      <c r="B7" s="198" t="str">
        <f t="shared" si="1"/>
        <v>J5 </v>
      </c>
      <c r="C7" s="234">
        <v>5.0</v>
      </c>
      <c r="D7" s="232" t="s">
        <v>770</v>
      </c>
      <c r="E7" s="232" t="s">
        <v>1448</v>
      </c>
      <c r="F7" s="232" t="s">
        <v>1449</v>
      </c>
      <c r="G7" s="232" t="s">
        <v>1450</v>
      </c>
      <c r="H7" s="232" t="s">
        <v>876</v>
      </c>
      <c r="I7" s="232" t="s">
        <v>987</v>
      </c>
      <c r="J7" s="232" t="s">
        <v>1497</v>
      </c>
      <c r="K7" s="232" t="s">
        <v>988</v>
      </c>
      <c r="L7" s="188" t="s">
        <v>92</v>
      </c>
      <c r="M7" s="236" t="str">
        <f>IFERROR(__xludf.DUMMYFUNCTION("regexreplace(N7,"" "","", "")"),"J0, J3, J5, J6, J7, JA, JC, JD, K0, K1, K2, K3, K4, K5, K7, K8, K9, KA, KB, KC, KD, KF, L1, L2, L3, L7, L8, LA, LC, LF, M0, M1, M3, M4, M8, MB, MF, N2, N7, NA, ")</f>
        <v>J0, J3, J5, J6, J7, JA, JC, JD, K0, K1, K2, K3, K4, K5, K7, K8, K9, KA, KB, KC, KD, KF, L1, L2, L3, L7, L8, LA, LC, LF, M0, M1, M3, M4, M8, MB, MF, N2, N7, NA, </v>
      </c>
      <c r="N7" s="236" t="str">
        <f t="shared" si="2"/>
        <v>J0 J3 J5 J6 J7 JA JC JD K0 K1 K2 K3 K4 K5 K7 K8 K9 KA KB KC KD KF L1 L2 L3 L7 L8 LA LC LF M0 M1 M3 M4 M8 MB MF N2 N7 NA </v>
      </c>
      <c r="O7" s="236" t="str">
        <f>IFERROR(__xludf.DUMMYFUNCTION("if(countif(ecn.list,CO7),OFFSET(INDIRECT(CONCAT(""A"",to_text(match(CO7,ecn.list,0)))),0,1),"""")"),"J0 ")</f>
        <v>J0 </v>
      </c>
      <c r="P7" s="236" t="str">
        <f>IFERROR(__xludf.DUMMYFUNCTION("if(countif(ecn.list,CP7),OFFSET(INDIRECT(CONCAT(""A"",to_text(match(CP7,ecn.list,0)))),0,1),"""")"),"")</f>
        <v/>
      </c>
      <c r="Q7" s="236" t="str">
        <f>IFERROR(__xludf.DUMMYFUNCTION("if(countif(ecn.list,CQ7),OFFSET(INDIRECT(CONCAT(""A"",to_text(match(CQ7,ecn.list,0)))),0,1),"""")"),"")</f>
        <v/>
      </c>
      <c r="R7" s="236" t="str">
        <f>IFERROR(__xludf.DUMMYFUNCTION("if(countif(ecn.list,CR7),OFFSET(INDIRECT(CONCAT(""A"",to_text(match(CR7,ecn.list,0)))),0,1),"""")"),"J3 ")</f>
        <v>J3 </v>
      </c>
      <c r="S7" s="236" t="str">
        <f>IFERROR(__xludf.DUMMYFUNCTION("if(countif(ecn.list,CS7),OFFSET(INDIRECT(CONCAT(""A"",to_text(match(CS7,ecn.list,0)))),0,1),"""")"),"")</f>
        <v/>
      </c>
      <c r="T7" s="236" t="str">
        <f>IFERROR(__xludf.DUMMYFUNCTION("if(countif(ecn.list,CT7),OFFSET(INDIRECT(CONCAT(""A"",to_text(match(CT7,ecn.list,0)))),0,1),"""")"),"J5 ")</f>
        <v>J5 </v>
      </c>
      <c r="U7" s="236" t="str">
        <f>IFERROR(__xludf.DUMMYFUNCTION("if(countif(ecn.list,CU7),OFFSET(INDIRECT(CONCAT(""A"",to_text(match(CU7,ecn.list,0)))),0,1),"""")"),"J6 ")</f>
        <v>J6 </v>
      </c>
      <c r="V7" s="236" t="str">
        <f>IFERROR(__xludf.DUMMYFUNCTION("if(countif(ecn.list,CV7),OFFSET(INDIRECT(CONCAT(""A"",to_text(match(CV7,ecn.list,0)))),0,1),"""")"),"J7 ")</f>
        <v>J7 </v>
      </c>
      <c r="W7" s="236" t="str">
        <f>IFERROR(__xludf.DUMMYFUNCTION("if(countif(ecn.list,CW7),OFFSET(INDIRECT(CONCAT(""A"",to_text(match(CW7,ecn.list,0)))),0,1),"""")"),"")</f>
        <v/>
      </c>
      <c r="X7" s="236" t="str">
        <f>IFERROR(__xludf.DUMMYFUNCTION("if(countif(ecn.list,CX7),OFFSET(INDIRECT(CONCAT(""A"",to_text(match(CX7,ecn.list,0)))),0,1),"""")"),"")</f>
        <v/>
      </c>
      <c r="Y7" s="236" t="str">
        <f>IFERROR(__xludf.DUMMYFUNCTION("if(countif(ecn.list,CY7),OFFSET(INDIRECT(CONCAT(""A"",to_text(match(CY7,ecn.list,0)))),0,1),"""")"),"JA ")</f>
        <v>JA </v>
      </c>
      <c r="Z7" s="236" t="str">
        <f>IFERROR(__xludf.DUMMYFUNCTION("if(countif(ecn.list,CZ7),OFFSET(INDIRECT(CONCAT(""A"",to_text(match(CZ7,ecn.list,0)))),0,1),"""")"),"")</f>
        <v/>
      </c>
      <c r="AA7" s="236" t="str">
        <f>IFERROR(__xludf.DUMMYFUNCTION("if(countif(ecn.list,DA7),OFFSET(INDIRECT(CONCAT(""A"",to_text(match(DA7,ecn.list,0)))),0,1),"""")"),"JC ")</f>
        <v>JC </v>
      </c>
      <c r="AB7" s="236" t="str">
        <f>IFERROR(__xludf.DUMMYFUNCTION("if(countif(ecn.list,DB7),OFFSET(INDIRECT(CONCAT(""A"",to_text(match(DB7,ecn.list,0)))),0,1),"""")"),"JD ")</f>
        <v>JD </v>
      </c>
      <c r="AC7" s="236" t="str">
        <f>IFERROR(__xludf.DUMMYFUNCTION("if(countif(ecn.list,DC7),OFFSET(INDIRECT(CONCAT(""A"",to_text(match(DC7,ecn.list,0)))),0,1),"""")"),"")</f>
        <v/>
      </c>
      <c r="AD7" s="236" t="str">
        <f>IFERROR(__xludf.DUMMYFUNCTION("if(countif(ecn.list,DD7),OFFSET(INDIRECT(CONCAT(""A"",to_text(match(DD7,ecn.list,0)))),0,1),"""")"),"")</f>
        <v/>
      </c>
      <c r="AE7" s="236" t="str">
        <f>IFERROR(__xludf.DUMMYFUNCTION("if(countif(ecn.list,DE7),OFFSET(INDIRECT(CONCAT(""A"",to_text(match(DE7,ecn.list,0)))),0,1),"""")"),"K0 ")</f>
        <v>K0 </v>
      </c>
      <c r="AF7" s="236" t="str">
        <f>IFERROR(__xludf.DUMMYFUNCTION("if(countif(ecn.list,DF7),OFFSET(INDIRECT(CONCAT(""A"",to_text(match(DF7,ecn.list,0)))),0,1),"""")"),"K1 ")</f>
        <v>K1 </v>
      </c>
      <c r="AG7" s="236" t="str">
        <f>IFERROR(__xludf.DUMMYFUNCTION("if(countif(ecn.list,DG7),OFFSET(INDIRECT(CONCAT(""A"",to_text(match(DG7,ecn.list,0)))),0,1),"""")"),"K2 ")</f>
        <v>K2 </v>
      </c>
      <c r="AH7" s="236" t="str">
        <f>IFERROR(__xludf.DUMMYFUNCTION("if(countif(ecn.list,DH7),OFFSET(INDIRECT(CONCAT(""A"",to_text(match(DH7,ecn.list,0)))),0,1),"""")"),"K3 ")</f>
        <v>K3 </v>
      </c>
      <c r="AI7" s="236" t="str">
        <f>IFERROR(__xludf.DUMMYFUNCTION("if(countif(ecn.list,DI7),OFFSET(INDIRECT(CONCAT(""A"",to_text(match(DI7,ecn.list,0)))),0,1),"""")"),"K4 ")</f>
        <v>K4 </v>
      </c>
      <c r="AJ7" s="236" t="str">
        <f>IFERROR(__xludf.DUMMYFUNCTION("if(countif(ecn.list,DJ7),OFFSET(INDIRECT(CONCAT(""A"",to_text(match(DJ7,ecn.list,0)))),0,1),"""")"),"K5 ")</f>
        <v>K5 </v>
      </c>
      <c r="AK7" s="236" t="str">
        <f>IFERROR(__xludf.DUMMYFUNCTION("if(countif(ecn.list,DK7),OFFSET(INDIRECT(CONCAT(""A"",to_text(match(DK7,ecn.list,0)))),0,1),"""")"),"")</f>
        <v/>
      </c>
      <c r="AL7" s="236" t="str">
        <f>IFERROR(__xludf.DUMMYFUNCTION("if(countif(ecn.list,DL7),OFFSET(INDIRECT(CONCAT(""A"",to_text(match(DL7,ecn.list,0)))),0,1),"""")"),"K7 ")</f>
        <v>K7 </v>
      </c>
      <c r="AM7" s="236" t="str">
        <f>IFERROR(__xludf.DUMMYFUNCTION("if(countif(ecn.list,DM7),OFFSET(INDIRECT(CONCAT(""A"",to_text(match(DM7,ecn.list,0)))),0,1),"""")"),"K8 ")</f>
        <v>K8 </v>
      </c>
      <c r="AN7" s="236" t="str">
        <f>IFERROR(__xludf.DUMMYFUNCTION("if(countif(ecn.list,DN7),OFFSET(INDIRECT(CONCAT(""A"",to_text(match(DN7,ecn.list,0)))),0,1),"""")"),"K9 ")</f>
        <v>K9 </v>
      </c>
      <c r="AO7" s="236" t="str">
        <f>IFERROR(__xludf.DUMMYFUNCTION("if(countif(ecn.list,DO7),OFFSET(INDIRECT(CONCAT(""A"",to_text(match(DO7,ecn.list,0)))),0,1),"""")"),"KA ")</f>
        <v>KA </v>
      </c>
      <c r="AP7" s="236" t="str">
        <f>IFERROR(__xludf.DUMMYFUNCTION("if(countif(ecn.list,DP7),OFFSET(INDIRECT(CONCAT(""A"",to_text(match(DP7,ecn.list,0)))),0,1),"""")"),"KB ")</f>
        <v>KB </v>
      </c>
      <c r="AQ7" s="236" t="str">
        <f>IFERROR(__xludf.DUMMYFUNCTION("if(countif(ecn.list,DQ7),OFFSET(INDIRECT(CONCAT(""A"",to_text(match(DQ7,ecn.list,0)))),0,1),"""")"),"KC ")</f>
        <v>KC </v>
      </c>
      <c r="AR7" s="236" t="str">
        <f>IFERROR(__xludf.DUMMYFUNCTION("if(countif(ecn.list,DR7),OFFSET(INDIRECT(CONCAT(""A"",to_text(match(DR7,ecn.list,0)))),0,1),"""")"),"KD ")</f>
        <v>KD </v>
      </c>
      <c r="AS7" s="236" t="str">
        <f>IFERROR(__xludf.DUMMYFUNCTION("if(countif(ecn.list,DS7),OFFSET(INDIRECT(CONCAT(""A"",to_text(match(DS7,ecn.list,0)))),0,1),"""")"),"")</f>
        <v/>
      </c>
      <c r="AT7" s="236" t="str">
        <f>IFERROR(__xludf.DUMMYFUNCTION("if(countif(ecn.list,DT7),OFFSET(INDIRECT(CONCAT(""A"",to_text(match(DT7,ecn.list,0)))),0,1),"""")"),"KF ")</f>
        <v>KF </v>
      </c>
      <c r="AU7" s="236" t="str">
        <f>IFERROR(__xludf.DUMMYFUNCTION("if(countif(ecn.list,DU7),OFFSET(INDIRECT(CONCAT(""A"",to_text(match(DU7,ecn.list,0)))),0,1),"""")"),"")</f>
        <v/>
      </c>
      <c r="AV7" s="236" t="str">
        <f>IFERROR(__xludf.DUMMYFUNCTION("if(countif(ecn.list,DV7),OFFSET(INDIRECT(CONCAT(""A"",to_text(match(DV7,ecn.list,0)))),0,1),"""")"),"L1 ")</f>
        <v>L1 </v>
      </c>
      <c r="AW7" s="236" t="str">
        <f>IFERROR(__xludf.DUMMYFUNCTION("if(countif(ecn.list,DW7),OFFSET(INDIRECT(CONCAT(""A"",to_text(match(DW7,ecn.list,0)))),0,1),"""")"),"L2 ")</f>
        <v>L2 </v>
      </c>
      <c r="AX7" s="236" t="str">
        <f>IFERROR(__xludf.DUMMYFUNCTION("if(countif(ecn.list,DX7),OFFSET(INDIRECT(CONCAT(""A"",to_text(match(DX7,ecn.list,0)))),0,1),"""")"),"L3 ")</f>
        <v>L3 </v>
      </c>
      <c r="AY7" s="236" t="str">
        <f>IFERROR(__xludf.DUMMYFUNCTION("if(countif(ecn.list,DY7),OFFSET(INDIRECT(CONCAT(""A"",to_text(match(DY7,ecn.list,0)))),0,1),"""")"),"")</f>
        <v/>
      </c>
      <c r="AZ7" s="236" t="str">
        <f>IFERROR(__xludf.DUMMYFUNCTION("if(countif(ecn.list,DZ7),OFFSET(INDIRECT(CONCAT(""A"",to_text(match(DZ7,ecn.list,0)))),0,1),"""")"),"")</f>
        <v/>
      </c>
      <c r="BA7" s="236" t="str">
        <f>IFERROR(__xludf.DUMMYFUNCTION("if(countif(ecn.list,EA7),OFFSET(INDIRECT(CONCAT(""A"",to_text(match(EA7,ecn.list,0)))),0,1),"""")"),"")</f>
        <v/>
      </c>
      <c r="BB7" s="236" t="str">
        <f>IFERROR(__xludf.DUMMYFUNCTION("if(countif(ecn.list,EB7),OFFSET(INDIRECT(CONCAT(""A"",to_text(match(EB7,ecn.list,0)))),0,1),"""")"),"L7 ")</f>
        <v>L7 </v>
      </c>
      <c r="BC7" s="236" t="str">
        <f>IFERROR(__xludf.DUMMYFUNCTION("if(countif(ecn.list,EC7),OFFSET(INDIRECT(CONCAT(""A"",to_text(match(EC7,ecn.list,0)))),0,1),"""")"),"L8 ")</f>
        <v>L8 </v>
      </c>
      <c r="BD7" s="236" t="str">
        <f>IFERROR(__xludf.DUMMYFUNCTION("if(countif(ecn.list,ED7),OFFSET(INDIRECT(CONCAT(""A"",to_text(match(ED7,ecn.list,0)))),0,1),"""")"),"")</f>
        <v/>
      </c>
      <c r="BE7" s="236" t="str">
        <f>IFERROR(__xludf.DUMMYFUNCTION("if(countif(ecn.list,EE7),OFFSET(INDIRECT(CONCAT(""A"",to_text(match(EE7,ecn.list,0)))),0,1),"""")"),"LA ")</f>
        <v>LA </v>
      </c>
      <c r="BF7" s="236" t="str">
        <f>IFERROR(__xludf.DUMMYFUNCTION("if(countif(ecn.list,EF7),OFFSET(INDIRECT(CONCAT(""A"",to_text(match(EF7,ecn.list,0)))),0,1),"""")"),"")</f>
        <v/>
      </c>
      <c r="BG7" s="236" t="str">
        <f>IFERROR(__xludf.DUMMYFUNCTION("if(countif(ecn.list,EG7),OFFSET(INDIRECT(CONCAT(""A"",to_text(match(EG7,ecn.list,0)))),0,1),"""")"),"LC ")</f>
        <v>LC </v>
      </c>
      <c r="BH7" s="236" t="str">
        <f>IFERROR(__xludf.DUMMYFUNCTION("if(countif(ecn.list,EH7),OFFSET(INDIRECT(CONCAT(""A"",to_text(match(EH7,ecn.list,0)))),0,1),"""")"),"")</f>
        <v/>
      </c>
      <c r="BI7" s="236" t="str">
        <f>IFERROR(__xludf.DUMMYFUNCTION("if(countif(ecn.list,EI7),OFFSET(INDIRECT(CONCAT(""A"",to_text(match(EI7,ecn.list,0)))),0,1),"""")"),"")</f>
        <v/>
      </c>
      <c r="BJ7" s="236" t="str">
        <f>IFERROR(__xludf.DUMMYFUNCTION("if(countif(ecn.list,EJ7),OFFSET(INDIRECT(CONCAT(""A"",to_text(match(EJ7,ecn.list,0)))),0,1),"""")"),"LF ")</f>
        <v>LF </v>
      </c>
      <c r="BK7" s="236" t="str">
        <f>IFERROR(__xludf.DUMMYFUNCTION("if(countif(ecn.list,EK7),OFFSET(INDIRECT(CONCAT(""A"",to_text(match(EK7,ecn.list,0)))),0,1),"""")"),"M0 ")</f>
        <v>M0 </v>
      </c>
      <c r="BL7" s="236" t="str">
        <f>IFERROR(__xludf.DUMMYFUNCTION("if(countif(ecn.list,EL7),OFFSET(INDIRECT(CONCAT(""A"",to_text(match(EL7,ecn.list,0)))),0,1),"""")"),"M1 ")</f>
        <v>M1 </v>
      </c>
      <c r="BM7" s="236" t="str">
        <f>IFERROR(__xludf.DUMMYFUNCTION("if(countif(ecn.list,EM7),OFFSET(INDIRECT(CONCAT(""A"",to_text(match(EM7,ecn.list,0)))),0,1),"""")"),"")</f>
        <v/>
      </c>
      <c r="BN7" s="236" t="str">
        <f>IFERROR(__xludf.DUMMYFUNCTION("if(countif(ecn.list,EN7),OFFSET(INDIRECT(CONCAT(""A"",to_text(match(EN7,ecn.list,0)))),0,1),"""")"),"M3 ")</f>
        <v>M3 </v>
      </c>
      <c r="BO7" s="236" t="str">
        <f>IFERROR(__xludf.DUMMYFUNCTION("if(countif(ecn.list,EO7),OFFSET(INDIRECT(CONCAT(""A"",to_text(match(EO7,ecn.list,0)))),0,1),"""")"),"M4 ")</f>
        <v>M4 </v>
      </c>
      <c r="BP7" s="236" t="str">
        <f>IFERROR(__xludf.DUMMYFUNCTION("if(countif(ecn.list,EP7),OFFSET(INDIRECT(CONCAT(""A"",to_text(match(EP7,ecn.list,0)))),0,1),"""")"),"")</f>
        <v/>
      </c>
      <c r="BQ7" s="236" t="str">
        <f>IFERROR(__xludf.DUMMYFUNCTION("if(countif(ecn.list,EQ7),OFFSET(INDIRECT(CONCAT(""A"",to_text(match(EQ7,ecn.list,0)))),0,1),"""")"),"")</f>
        <v/>
      </c>
      <c r="BR7" s="236" t="str">
        <f>IFERROR(__xludf.DUMMYFUNCTION("if(countif(ecn.list,ER7),OFFSET(INDIRECT(CONCAT(""A"",to_text(match(ER7,ecn.list,0)))),0,1),"""")"),"")</f>
        <v/>
      </c>
      <c r="BS7" s="236" t="str">
        <f>IFERROR(__xludf.DUMMYFUNCTION("if(countif(ecn.list,ES7),OFFSET(INDIRECT(CONCAT(""A"",to_text(match(ES7,ecn.list,0)))),0,1),"""")"),"M8 ")</f>
        <v>M8 </v>
      </c>
      <c r="BT7" s="236" t="str">
        <f>IFERROR(__xludf.DUMMYFUNCTION("if(countif(ecn.list,ET7),OFFSET(INDIRECT(CONCAT(""A"",to_text(match(ET7,ecn.list,0)))),0,1),"""")"),"")</f>
        <v/>
      </c>
      <c r="BU7" s="236" t="str">
        <f>IFERROR(__xludf.DUMMYFUNCTION("if(countif(ecn.list,EU7),OFFSET(INDIRECT(CONCAT(""A"",to_text(match(EU7,ecn.list,0)))),0,1),"""")"),"")</f>
        <v/>
      </c>
      <c r="BV7" s="236" t="str">
        <f>IFERROR(__xludf.DUMMYFUNCTION("if(countif(ecn.list,EV7),OFFSET(INDIRECT(CONCAT(""A"",to_text(match(EV7,ecn.list,0)))),0,1),"""")"),"MB ")</f>
        <v>MB </v>
      </c>
      <c r="BW7" s="236" t="str">
        <f>IFERROR(__xludf.DUMMYFUNCTION("if(countif(ecn.list,EW7),OFFSET(INDIRECT(CONCAT(""A"",to_text(match(EW7,ecn.list,0)))),0,1),"""")"),"")</f>
        <v/>
      </c>
      <c r="BX7" s="236" t="str">
        <f>IFERROR(__xludf.DUMMYFUNCTION("if(countif(ecn.list,EX7),OFFSET(INDIRECT(CONCAT(""A"",to_text(match(EX7,ecn.list,0)))),0,1),"""")"),"")</f>
        <v/>
      </c>
      <c r="BY7" s="236" t="str">
        <f>IFERROR(__xludf.DUMMYFUNCTION("if(countif(ecn.list,EY7),OFFSET(INDIRECT(CONCAT(""A"",to_text(match(EY7,ecn.list,0)))),0,1),"""")"),"")</f>
        <v/>
      </c>
      <c r="BZ7" s="236" t="str">
        <f>IFERROR(__xludf.DUMMYFUNCTION("if(countif(ecn.list,EZ7),OFFSET(INDIRECT(CONCAT(""A"",to_text(match(EZ7,ecn.list,0)))),0,1),"""")"),"MF ")</f>
        <v>MF </v>
      </c>
      <c r="CA7" s="236" t="str">
        <f>IFERROR(__xludf.DUMMYFUNCTION("if(countif(ecn.list,FA7),OFFSET(INDIRECT(CONCAT(""A"",to_text(match(FA7,ecn.list,0)))),0,1),"""")"),"")</f>
        <v/>
      </c>
      <c r="CB7" s="236" t="str">
        <f>IFERROR(__xludf.DUMMYFUNCTION("if(countif(ecn.list,FB7),OFFSET(INDIRECT(CONCAT(""A"",to_text(match(FB7,ecn.list,0)))),0,1),"""")"),"")</f>
        <v/>
      </c>
      <c r="CC7" s="236" t="str">
        <f>IFERROR(__xludf.DUMMYFUNCTION("if(countif(ecn.list,FC7),OFFSET(INDIRECT(CONCAT(""A"",to_text(match(FC7,ecn.list,0)))),0,1),"""")"),"N2 ")</f>
        <v>N2 </v>
      </c>
      <c r="CD7" s="236" t="str">
        <f>IFERROR(__xludf.DUMMYFUNCTION("if(countif(ecn.list,FD7),OFFSET(INDIRECT(CONCAT(""A"",to_text(match(FD7,ecn.list,0)))),0,1),"""")"),"")</f>
        <v/>
      </c>
      <c r="CE7" s="236" t="str">
        <f>IFERROR(__xludf.DUMMYFUNCTION("if(countif(ecn.list,FE7),OFFSET(INDIRECT(CONCAT(""A"",to_text(match(FE7,ecn.list,0)))),0,1),"""")"),"")</f>
        <v/>
      </c>
      <c r="CF7" s="236" t="str">
        <f>IFERROR(__xludf.DUMMYFUNCTION("if(countif(ecn.list,FF7),OFFSET(INDIRECT(CONCAT(""A"",to_text(match(FF7,ecn.list,0)))),0,1),"""")"),"")</f>
        <v/>
      </c>
      <c r="CG7" s="236" t="str">
        <f>IFERROR(__xludf.DUMMYFUNCTION("if(countif(ecn.list,FG7),OFFSET(INDIRECT(CONCAT(""A"",to_text(match(FG7,ecn.list,0)))),0,1),"""")"),"")</f>
        <v/>
      </c>
      <c r="CH7" s="236" t="str">
        <f>IFERROR(__xludf.DUMMYFUNCTION("if(countif(ecn.list,FH7),OFFSET(INDIRECT(CONCAT(""A"",to_text(match(FH7,ecn.list,0)))),0,1),"""")"),"N7 ")</f>
        <v>N7 </v>
      </c>
      <c r="CI7" s="236" t="str">
        <f>IFERROR(__xludf.DUMMYFUNCTION("if(countif(ecn.list,FI7),OFFSET(INDIRECT(CONCAT(""A"",to_text(match(FI7,ecn.list,0)))),0,1),"""")"),"")</f>
        <v/>
      </c>
      <c r="CJ7" s="236" t="str">
        <f>IFERROR(__xludf.DUMMYFUNCTION("if(countif(ecn.list,FJ7),OFFSET(INDIRECT(CONCAT(""A"",to_text(match(FJ7,ecn.list,0)))),0,1),"""")"),"")</f>
        <v/>
      </c>
      <c r="CK7" s="236" t="str">
        <f>IFERROR(__xludf.DUMMYFUNCTION("if(countif(ecn.list,FK7),OFFSET(INDIRECT(CONCAT(""A"",to_text(match(FK7,ecn.list,0)))),0,1),"""")"),"NA ")</f>
        <v>NA </v>
      </c>
      <c r="CL7" s="236" t="str">
        <f>IFERROR(__xludf.DUMMYFUNCTION("if(countif(ecn.list,FL7),OFFSET(INDIRECT(CONCAT(""A"",to_text(match(FL7,ecn.list,0)))),0,1),"""")"),"")</f>
        <v/>
      </c>
      <c r="CM7" s="236" t="str">
        <f>IFERROR(__xludf.DUMMYFUNCTION("if(countif(ecn.list,FM7),OFFSET(INDIRECT(CONCAT(""A"",to_text(match(FM7,ecn.list,0)))),0,1),"""")"),"")</f>
        <v/>
      </c>
      <c r="CN7" s="198" t="s">
        <v>92</v>
      </c>
      <c r="CO7" s="198" t="s">
        <v>1447</v>
      </c>
      <c r="CP7" s="198" t="s">
        <v>1453</v>
      </c>
      <c r="CQ7" s="198" t="s">
        <v>1453</v>
      </c>
      <c r="CR7" s="198" t="s">
        <v>1490</v>
      </c>
      <c r="CS7" s="198" t="s">
        <v>1453</v>
      </c>
      <c r="CT7" s="198" t="s">
        <v>1454</v>
      </c>
      <c r="CU7" s="198" t="s">
        <v>1455</v>
      </c>
      <c r="CV7" s="198" t="s">
        <v>1456</v>
      </c>
      <c r="CW7" s="198" t="s">
        <v>1453</v>
      </c>
      <c r="CX7" s="198" t="s">
        <v>1453</v>
      </c>
      <c r="CY7" s="198" t="s">
        <v>1484</v>
      </c>
      <c r="CZ7" s="198" t="s">
        <v>1453</v>
      </c>
      <c r="DA7" s="198" t="s">
        <v>1457</v>
      </c>
      <c r="DB7" s="198" t="s">
        <v>1485</v>
      </c>
      <c r="DC7" s="198" t="s">
        <v>1453</v>
      </c>
      <c r="DD7" s="198" t="s">
        <v>1453</v>
      </c>
      <c r="DE7" s="198" t="s">
        <v>1459</v>
      </c>
      <c r="DF7" s="198" t="s">
        <v>1498</v>
      </c>
      <c r="DG7" s="198" t="s">
        <v>1499</v>
      </c>
      <c r="DH7" s="198" t="s">
        <v>1500</v>
      </c>
      <c r="DI7" s="198" t="s">
        <v>1501</v>
      </c>
      <c r="DJ7" s="198" t="s">
        <v>1460</v>
      </c>
      <c r="DK7" s="198" t="s">
        <v>1453</v>
      </c>
      <c r="DL7" s="198" t="s">
        <v>1461</v>
      </c>
      <c r="DM7" s="198" t="s">
        <v>1462</v>
      </c>
      <c r="DN7" s="198" t="s">
        <v>1463</v>
      </c>
      <c r="DO7" s="198" t="s">
        <v>1464</v>
      </c>
      <c r="DP7" s="198" t="s">
        <v>1465</v>
      </c>
      <c r="DQ7" s="198" t="s">
        <v>1466</v>
      </c>
      <c r="DR7" s="198" t="s">
        <v>1467</v>
      </c>
      <c r="DS7" s="198" t="s">
        <v>1453</v>
      </c>
      <c r="DT7" s="198" t="s">
        <v>1468</v>
      </c>
      <c r="DU7" s="198" t="s">
        <v>1453</v>
      </c>
      <c r="DV7" s="198" t="s">
        <v>1469</v>
      </c>
      <c r="DW7" s="198" t="s">
        <v>1502</v>
      </c>
      <c r="DX7" s="198" t="s">
        <v>1503</v>
      </c>
      <c r="DY7" s="198" t="s">
        <v>1453</v>
      </c>
      <c r="DZ7" s="198" t="s">
        <v>1453</v>
      </c>
      <c r="EA7" s="198" t="s">
        <v>1453</v>
      </c>
      <c r="EB7" s="198" t="s">
        <v>1504</v>
      </c>
      <c r="EC7" s="198" t="s">
        <v>1483</v>
      </c>
      <c r="ED7" s="198" t="s">
        <v>1453</v>
      </c>
      <c r="EE7" s="198" t="s">
        <v>1470</v>
      </c>
      <c r="EF7" s="198" t="s">
        <v>1453</v>
      </c>
      <c r="EG7" s="198" t="s">
        <v>1471</v>
      </c>
      <c r="EH7" s="198" t="s">
        <v>1453</v>
      </c>
      <c r="EI7" s="198" t="s">
        <v>1453</v>
      </c>
      <c r="EJ7" s="198" t="s">
        <v>1472</v>
      </c>
      <c r="EK7" s="198" t="s">
        <v>1487</v>
      </c>
      <c r="EL7" s="198" t="s">
        <v>1473</v>
      </c>
      <c r="EM7" s="198" t="s">
        <v>1453</v>
      </c>
      <c r="EN7" s="198" t="s">
        <v>1474</v>
      </c>
      <c r="EO7" s="198" t="s">
        <v>1475</v>
      </c>
      <c r="EP7" s="198" t="s">
        <v>1453</v>
      </c>
      <c r="EQ7" s="198" t="s">
        <v>1453</v>
      </c>
      <c r="ER7" s="198" t="s">
        <v>1453</v>
      </c>
      <c r="ES7" s="198" t="s">
        <v>1505</v>
      </c>
      <c r="ET7" s="198" t="s">
        <v>1453</v>
      </c>
      <c r="EU7" s="198" t="s">
        <v>1453</v>
      </c>
      <c r="EV7" s="198" t="s">
        <v>1476</v>
      </c>
      <c r="EW7" s="198" t="s">
        <v>1453</v>
      </c>
      <c r="EX7" s="198" t="s">
        <v>1453</v>
      </c>
      <c r="EY7" s="198" t="s">
        <v>1453</v>
      </c>
      <c r="EZ7" s="198" t="s">
        <v>1477</v>
      </c>
      <c r="FA7" s="198" t="s">
        <v>1453</v>
      </c>
      <c r="FB7" s="198" t="s">
        <v>1453</v>
      </c>
      <c r="FC7" s="198" t="s">
        <v>1478</v>
      </c>
      <c r="FD7" s="198" t="s">
        <v>1453</v>
      </c>
      <c r="FE7" s="198" t="s">
        <v>1453</v>
      </c>
      <c r="FF7" s="198" t="s">
        <v>1453</v>
      </c>
      <c r="FG7" s="198" t="s">
        <v>1453</v>
      </c>
      <c r="FH7" s="198" t="s">
        <v>1479</v>
      </c>
      <c r="FI7" s="198" t="s">
        <v>1453</v>
      </c>
      <c r="FJ7" s="198" t="s">
        <v>1453</v>
      </c>
      <c r="FK7" s="198" t="s">
        <v>1481</v>
      </c>
      <c r="FL7" s="198" t="s">
        <v>1482</v>
      </c>
      <c r="FM7" s="198" t="s">
        <v>1453</v>
      </c>
    </row>
    <row r="8">
      <c r="A8" s="236" t="s">
        <v>1455</v>
      </c>
      <c r="B8" s="198" t="str">
        <f t="shared" si="1"/>
        <v>J6 </v>
      </c>
      <c r="C8" s="234">
        <v>6.0</v>
      </c>
      <c r="D8" s="232" t="s">
        <v>770</v>
      </c>
      <c r="E8" s="232" t="s">
        <v>1448</v>
      </c>
      <c r="F8" s="232" t="s">
        <v>1449</v>
      </c>
      <c r="G8" s="232" t="s">
        <v>1450</v>
      </c>
      <c r="H8" s="232" t="s">
        <v>788</v>
      </c>
      <c r="I8" s="232" t="s">
        <v>832</v>
      </c>
      <c r="J8" s="232" t="s">
        <v>833</v>
      </c>
      <c r="K8" s="232" t="s">
        <v>834</v>
      </c>
      <c r="L8" s="188" t="s">
        <v>95</v>
      </c>
      <c r="M8" s="236" t="str">
        <f>IFERROR(__xludf.DUMMYFUNCTION("regexreplace(N8,"" "","", "")"),"J0, J1, J2, J5, J6, J7, JC, K0, K5, K7, K9, KA, KB, KC, KD, KF, L1, L8, LA, LC, LF, M1, M3, M4, MB, MF, N2, N7, NA, ")</f>
        <v>J0, J1, J2, J5, J6, J7, JC, K0, K5, K7, K9, KA, KB, KC, KD, KF, L1, L8, LA, LC, LF, M1, M3, M4, MB, MF, N2, N7, NA, </v>
      </c>
      <c r="N8" s="236" t="str">
        <f t="shared" si="2"/>
        <v>J0 J1 J2 J5 J6 J7 JC K0 K5 K7 K9 KA KB KC KD KF L1 L8 LA LC LF M1 M3 M4 MB MF N2 N7 NA </v>
      </c>
      <c r="O8" s="236" t="str">
        <f>IFERROR(__xludf.DUMMYFUNCTION("if(countif(ecn.list,CO8),OFFSET(INDIRECT(CONCAT(""A"",to_text(match(CO8,ecn.list,0)))),0,1),"""")"),"J0 ")</f>
        <v>J0 </v>
      </c>
      <c r="P8" s="236" t="str">
        <f>IFERROR(__xludf.DUMMYFUNCTION("if(countif(ecn.list,CP8),OFFSET(INDIRECT(CONCAT(""A"",to_text(match(CP8,ecn.list,0)))),0,1),"""")"),"J1 ")</f>
        <v>J1 </v>
      </c>
      <c r="Q8" s="236" t="str">
        <f>IFERROR(__xludf.DUMMYFUNCTION("if(countif(ecn.list,CQ8),OFFSET(INDIRECT(CONCAT(""A"",to_text(match(CQ8,ecn.list,0)))),0,1),"""")"),"J2 ")</f>
        <v>J2 </v>
      </c>
      <c r="R8" s="236" t="str">
        <f>IFERROR(__xludf.DUMMYFUNCTION("if(countif(ecn.list,CR8),OFFSET(INDIRECT(CONCAT(""A"",to_text(match(CR8,ecn.list,0)))),0,1),"""")"),"")</f>
        <v/>
      </c>
      <c r="S8" s="236" t="str">
        <f>IFERROR(__xludf.DUMMYFUNCTION("if(countif(ecn.list,CS8),OFFSET(INDIRECT(CONCAT(""A"",to_text(match(CS8,ecn.list,0)))),0,1),"""")"),"")</f>
        <v/>
      </c>
      <c r="T8" s="236" t="str">
        <f>IFERROR(__xludf.DUMMYFUNCTION("if(countif(ecn.list,CT8),OFFSET(INDIRECT(CONCAT(""A"",to_text(match(CT8,ecn.list,0)))),0,1),"""")"),"J5 ")</f>
        <v>J5 </v>
      </c>
      <c r="U8" s="236" t="str">
        <f>IFERROR(__xludf.DUMMYFUNCTION("if(countif(ecn.list,CU8),OFFSET(INDIRECT(CONCAT(""A"",to_text(match(CU8,ecn.list,0)))),0,1),"""")"),"J6 ")</f>
        <v>J6 </v>
      </c>
      <c r="V8" s="236" t="str">
        <f>IFERROR(__xludf.DUMMYFUNCTION("if(countif(ecn.list,CV8),OFFSET(INDIRECT(CONCAT(""A"",to_text(match(CV8,ecn.list,0)))),0,1),"""")"),"J7 ")</f>
        <v>J7 </v>
      </c>
      <c r="W8" s="236" t="str">
        <f>IFERROR(__xludf.DUMMYFUNCTION("if(countif(ecn.list,CW8),OFFSET(INDIRECT(CONCAT(""A"",to_text(match(CW8,ecn.list,0)))),0,1),"""")"),"")</f>
        <v/>
      </c>
      <c r="X8" s="236" t="str">
        <f>IFERROR(__xludf.DUMMYFUNCTION("if(countif(ecn.list,CX8),OFFSET(INDIRECT(CONCAT(""A"",to_text(match(CX8,ecn.list,0)))),0,1),"""")"),"")</f>
        <v/>
      </c>
      <c r="Y8" s="236" t="str">
        <f>IFERROR(__xludf.DUMMYFUNCTION("if(countif(ecn.list,CY8),OFFSET(INDIRECT(CONCAT(""A"",to_text(match(CY8,ecn.list,0)))),0,1),"""")"),"")</f>
        <v/>
      </c>
      <c r="Z8" s="236" t="str">
        <f>IFERROR(__xludf.DUMMYFUNCTION("if(countif(ecn.list,CZ8),OFFSET(INDIRECT(CONCAT(""A"",to_text(match(CZ8,ecn.list,0)))),0,1),"""")"),"")</f>
        <v/>
      </c>
      <c r="AA8" s="236" t="str">
        <f>IFERROR(__xludf.DUMMYFUNCTION("if(countif(ecn.list,DA8),OFFSET(INDIRECT(CONCAT(""A"",to_text(match(DA8,ecn.list,0)))),0,1),"""")"),"JC ")</f>
        <v>JC </v>
      </c>
      <c r="AB8" s="236" t="str">
        <f>IFERROR(__xludf.DUMMYFUNCTION("if(countif(ecn.list,DB8),OFFSET(INDIRECT(CONCAT(""A"",to_text(match(DB8,ecn.list,0)))),0,1),"""")"),"")</f>
        <v/>
      </c>
      <c r="AC8" s="236" t="str">
        <f>IFERROR(__xludf.DUMMYFUNCTION("if(countif(ecn.list,DC8),OFFSET(INDIRECT(CONCAT(""A"",to_text(match(DC8,ecn.list,0)))),0,1),"""")"),"")</f>
        <v/>
      </c>
      <c r="AD8" s="236" t="str">
        <f>IFERROR(__xludf.DUMMYFUNCTION("if(countif(ecn.list,DD8),OFFSET(INDIRECT(CONCAT(""A"",to_text(match(DD8,ecn.list,0)))),0,1),"""")"),"")</f>
        <v/>
      </c>
      <c r="AE8" s="236" t="str">
        <f>IFERROR(__xludf.DUMMYFUNCTION("if(countif(ecn.list,DE8),OFFSET(INDIRECT(CONCAT(""A"",to_text(match(DE8,ecn.list,0)))),0,1),"""")"),"K0 ")</f>
        <v>K0 </v>
      </c>
      <c r="AF8" s="236" t="str">
        <f>IFERROR(__xludf.DUMMYFUNCTION("if(countif(ecn.list,DF8),OFFSET(INDIRECT(CONCAT(""A"",to_text(match(DF8,ecn.list,0)))),0,1),"""")"),"")</f>
        <v/>
      </c>
      <c r="AG8" s="236" t="str">
        <f>IFERROR(__xludf.DUMMYFUNCTION("if(countif(ecn.list,DG8),OFFSET(INDIRECT(CONCAT(""A"",to_text(match(DG8,ecn.list,0)))),0,1),"""")"),"")</f>
        <v/>
      </c>
      <c r="AH8" s="236" t="str">
        <f>IFERROR(__xludf.DUMMYFUNCTION("if(countif(ecn.list,DH8),OFFSET(INDIRECT(CONCAT(""A"",to_text(match(DH8,ecn.list,0)))),0,1),"""")"),"")</f>
        <v/>
      </c>
      <c r="AI8" s="236" t="str">
        <f>IFERROR(__xludf.DUMMYFUNCTION("if(countif(ecn.list,DI8),OFFSET(INDIRECT(CONCAT(""A"",to_text(match(DI8,ecn.list,0)))),0,1),"""")"),"")</f>
        <v/>
      </c>
      <c r="AJ8" s="236" t="str">
        <f>IFERROR(__xludf.DUMMYFUNCTION("if(countif(ecn.list,DJ8),OFFSET(INDIRECT(CONCAT(""A"",to_text(match(DJ8,ecn.list,0)))),0,1),"""")"),"K5 ")</f>
        <v>K5 </v>
      </c>
      <c r="AK8" s="236" t="str">
        <f>IFERROR(__xludf.DUMMYFUNCTION("if(countif(ecn.list,DK8),OFFSET(INDIRECT(CONCAT(""A"",to_text(match(DK8,ecn.list,0)))),0,1),"""")"),"")</f>
        <v/>
      </c>
      <c r="AL8" s="236" t="str">
        <f>IFERROR(__xludf.DUMMYFUNCTION("if(countif(ecn.list,DL8),OFFSET(INDIRECT(CONCAT(""A"",to_text(match(DL8,ecn.list,0)))),0,1),"""")"),"K7 ")</f>
        <v>K7 </v>
      </c>
      <c r="AM8" s="236" t="str">
        <f>IFERROR(__xludf.DUMMYFUNCTION("if(countif(ecn.list,DM8),OFFSET(INDIRECT(CONCAT(""A"",to_text(match(DM8,ecn.list,0)))),0,1),"""")"),"")</f>
        <v/>
      </c>
      <c r="AN8" s="236" t="str">
        <f>IFERROR(__xludf.DUMMYFUNCTION("if(countif(ecn.list,DN8),OFFSET(INDIRECT(CONCAT(""A"",to_text(match(DN8,ecn.list,0)))),0,1),"""")"),"K9 ")</f>
        <v>K9 </v>
      </c>
      <c r="AO8" s="236" t="str">
        <f>IFERROR(__xludf.DUMMYFUNCTION("if(countif(ecn.list,DO8),OFFSET(INDIRECT(CONCAT(""A"",to_text(match(DO8,ecn.list,0)))),0,1),"""")"),"KA ")</f>
        <v>KA </v>
      </c>
      <c r="AP8" s="236" t="str">
        <f>IFERROR(__xludf.DUMMYFUNCTION("if(countif(ecn.list,DP8),OFFSET(INDIRECT(CONCAT(""A"",to_text(match(DP8,ecn.list,0)))),0,1),"""")"),"KB ")</f>
        <v>KB </v>
      </c>
      <c r="AQ8" s="236" t="str">
        <f>IFERROR(__xludf.DUMMYFUNCTION("if(countif(ecn.list,DQ8),OFFSET(INDIRECT(CONCAT(""A"",to_text(match(DQ8,ecn.list,0)))),0,1),"""")"),"KC ")</f>
        <v>KC </v>
      </c>
      <c r="AR8" s="236" t="str">
        <f>IFERROR(__xludf.DUMMYFUNCTION("if(countif(ecn.list,DR8),OFFSET(INDIRECT(CONCAT(""A"",to_text(match(DR8,ecn.list,0)))),0,1),"""")"),"KD ")</f>
        <v>KD </v>
      </c>
      <c r="AS8" s="236" t="str">
        <f>IFERROR(__xludf.DUMMYFUNCTION("if(countif(ecn.list,DS8),OFFSET(INDIRECT(CONCAT(""A"",to_text(match(DS8,ecn.list,0)))),0,1),"""")"),"")</f>
        <v/>
      </c>
      <c r="AT8" s="236" t="str">
        <f>IFERROR(__xludf.DUMMYFUNCTION("if(countif(ecn.list,DT8),OFFSET(INDIRECT(CONCAT(""A"",to_text(match(DT8,ecn.list,0)))),0,1),"""")"),"KF ")</f>
        <v>KF </v>
      </c>
      <c r="AU8" s="236" t="str">
        <f>IFERROR(__xludf.DUMMYFUNCTION("if(countif(ecn.list,DU8),OFFSET(INDIRECT(CONCAT(""A"",to_text(match(DU8,ecn.list,0)))),0,1),"""")"),"")</f>
        <v/>
      </c>
      <c r="AV8" s="236" t="str">
        <f>IFERROR(__xludf.DUMMYFUNCTION("if(countif(ecn.list,DV8),OFFSET(INDIRECT(CONCAT(""A"",to_text(match(DV8,ecn.list,0)))),0,1),"""")"),"L1 ")</f>
        <v>L1 </v>
      </c>
      <c r="AW8" s="236" t="str">
        <f>IFERROR(__xludf.DUMMYFUNCTION("if(countif(ecn.list,DW8),OFFSET(INDIRECT(CONCAT(""A"",to_text(match(DW8,ecn.list,0)))),0,1),"""")"),"")</f>
        <v/>
      </c>
      <c r="AX8" s="236" t="str">
        <f>IFERROR(__xludf.DUMMYFUNCTION("if(countif(ecn.list,DX8),OFFSET(INDIRECT(CONCAT(""A"",to_text(match(DX8,ecn.list,0)))),0,1),"""")"),"")</f>
        <v/>
      </c>
      <c r="AY8" s="236" t="str">
        <f>IFERROR(__xludf.DUMMYFUNCTION("if(countif(ecn.list,DY8),OFFSET(INDIRECT(CONCAT(""A"",to_text(match(DY8,ecn.list,0)))),0,1),"""")"),"")</f>
        <v/>
      </c>
      <c r="AZ8" s="236" t="str">
        <f>IFERROR(__xludf.DUMMYFUNCTION("if(countif(ecn.list,DZ8),OFFSET(INDIRECT(CONCAT(""A"",to_text(match(DZ8,ecn.list,0)))),0,1),"""")"),"")</f>
        <v/>
      </c>
      <c r="BA8" s="236" t="str">
        <f>IFERROR(__xludf.DUMMYFUNCTION("if(countif(ecn.list,EA8),OFFSET(INDIRECT(CONCAT(""A"",to_text(match(EA8,ecn.list,0)))),0,1),"""")"),"")</f>
        <v/>
      </c>
      <c r="BB8" s="236" t="str">
        <f>IFERROR(__xludf.DUMMYFUNCTION("if(countif(ecn.list,EB8),OFFSET(INDIRECT(CONCAT(""A"",to_text(match(EB8,ecn.list,0)))),0,1),"""")"),"")</f>
        <v/>
      </c>
      <c r="BC8" s="236" t="str">
        <f>IFERROR(__xludf.DUMMYFUNCTION("if(countif(ecn.list,EC8),OFFSET(INDIRECT(CONCAT(""A"",to_text(match(EC8,ecn.list,0)))),0,1),"""")"),"L8 ")</f>
        <v>L8 </v>
      </c>
      <c r="BD8" s="236" t="str">
        <f>IFERROR(__xludf.DUMMYFUNCTION("if(countif(ecn.list,ED8),OFFSET(INDIRECT(CONCAT(""A"",to_text(match(ED8,ecn.list,0)))),0,1),"""")"),"")</f>
        <v/>
      </c>
      <c r="BE8" s="236" t="str">
        <f>IFERROR(__xludf.DUMMYFUNCTION("if(countif(ecn.list,EE8),OFFSET(INDIRECT(CONCAT(""A"",to_text(match(EE8,ecn.list,0)))),0,1),"""")"),"LA ")</f>
        <v>LA </v>
      </c>
      <c r="BF8" s="236" t="str">
        <f>IFERROR(__xludf.DUMMYFUNCTION("if(countif(ecn.list,EF8),OFFSET(INDIRECT(CONCAT(""A"",to_text(match(EF8,ecn.list,0)))),0,1),"""")"),"")</f>
        <v/>
      </c>
      <c r="BG8" s="236" t="str">
        <f>IFERROR(__xludf.DUMMYFUNCTION("if(countif(ecn.list,EG8),OFFSET(INDIRECT(CONCAT(""A"",to_text(match(EG8,ecn.list,0)))),0,1),"""")"),"LC ")</f>
        <v>LC </v>
      </c>
      <c r="BH8" s="236" t="str">
        <f>IFERROR(__xludf.DUMMYFUNCTION("if(countif(ecn.list,EH8),OFFSET(INDIRECT(CONCAT(""A"",to_text(match(EH8,ecn.list,0)))),0,1),"""")"),"")</f>
        <v/>
      </c>
      <c r="BI8" s="236" t="str">
        <f>IFERROR(__xludf.DUMMYFUNCTION("if(countif(ecn.list,EI8),OFFSET(INDIRECT(CONCAT(""A"",to_text(match(EI8,ecn.list,0)))),0,1),"""")"),"")</f>
        <v/>
      </c>
      <c r="BJ8" s="236" t="str">
        <f>IFERROR(__xludf.DUMMYFUNCTION("if(countif(ecn.list,EJ8),OFFSET(INDIRECT(CONCAT(""A"",to_text(match(EJ8,ecn.list,0)))),0,1),"""")"),"LF ")</f>
        <v>LF </v>
      </c>
      <c r="BK8" s="236" t="str">
        <f>IFERROR(__xludf.DUMMYFUNCTION("if(countif(ecn.list,EK8),OFFSET(INDIRECT(CONCAT(""A"",to_text(match(EK8,ecn.list,0)))),0,1),"""")"),"")</f>
        <v/>
      </c>
      <c r="BL8" s="236" t="str">
        <f>IFERROR(__xludf.DUMMYFUNCTION("if(countif(ecn.list,EL8),OFFSET(INDIRECT(CONCAT(""A"",to_text(match(EL8,ecn.list,0)))),0,1),"""")"),"M1 ")</f>
        <v>M1 </v>
      </c>
      <c r="BM8" s="236" t="str">
        <f>IFERROR(__xludf.DUMMYFUNCTION("if(countif(ecn.list,EM8),OFFSET(INDIRECT(CONCAT(""A"",to_text(match(EM8,ecn.list,0)))),0,1),"""")"),"")</f>
        <v/>
      </c>
      <c r="BN8" s="236" t="str">
        <f>IFERROR(__xludf.DUMMYFUNCTION("if(countif(ecn.list,EN8),OFFSET(INDIRECT(CONCAT(""A"",to_text(match(EN8,ecn.list,0)))),0,1),"""")"),"M3 ")</f>
        <v>M3 </v>
      </c>
      <c r="BO8" s="236" t="str">
        <f>IFERROR(__xludf.DUMMYFUNCTION("if(countif(ecn.list,EO8),OFFSET(INDIRECT(CONCAT(""A"",to_text(match(EO8,ecn.list,0)))),0,1),"""")"),"M4 ")</f>
        <v>M4 </v>
      </c>
      <c r="BP8" s="236" t="str">
        <f>IFERROR(__xludf.DUMMYFUNCTION("if(countif(ecn.list,EP8),OFFSET(INDIRECT(CONCAT(""A"",to_text(match(EP8,ecn.list,0)))),0,1),"""")"),"")</f>
        <v/>
      </c>
      <c r="BQ8" s="236" t="str">
        <f>IFERROR(__xludf.DUMMYFUNCTION("if(countif(ecn.list,EQ8),OFFSET(INDIRECT(CONCAT(""A"",to_text(match(EQ8,ecn.list,0)))),0,1),"""")"),"")</f>
        <v/>
      </c>
      <c r="BR8" s="236" t="str">
        <f>IFERROR(__xludf.DUMMYFUNCTION("if(countif(ecn.list,ER8),OFFSET(INDIRECT(CONCAT(""A"",to_text(match(ER8,ecn.list,0)))),0,1),"""")"),"")</f>
        <v/>
      </c>
      <c r="BS8" s="236" t="str">
        <f>IFERROR(__xludf.DUMMYFUNCTION("if(countif(ecn.list,ES8),OFFSET(INDIRECT(CONCAT(""A"",to_text(match(ES8,ecn.list,0)))),0,1),"""")"),"")</f>
        <v/>
      </c>
      <c r="BT8" s="236" t="str">
        <f>IFERROR(__xludf.DUMMYFUNCTION("if(countif(ecn.list,ET8),OFFSET(INDIRECT(CONCAT(""A"",to_text(match(ET8,ecn.list,0)))),0,1),"""")"),"")</f>
        <v/>
      </c>
      <c r="BU8" s="236" t="str">
        <f>IFERROR(__xludf.DUMMYFUNCTION("if(countif(ecn.list,EU8),OFFSET(INDIRECT(CONCAT(""A"",to_text(match(EU8,ecn.list,0)))),0,1),"""")"),"")</f>
        <v/>
      </c>
      <c r="BV8" s="236" t="str">
        <f>IFERROR(__xludf.DUMMYFUNCTION("if(countif(ecn.list,EV8),OFFSET(INDIRECT(CONCAT(""A"",to_text(match(EV8,ecn.list,0)))),0,1),"""")"),"MB ")</f>
        <v>MB </v>
      </c>
      <c r="BW8" s="236" t="str">
        <f>IFERROR(__xludf.DUMMYFUNCTION("if(countif(ecn.list,EW8),OFFSET(INDIRECT(CONCAT(""A"",to_text(match(EW8,ecn.list,0)))),0,1),"""")"),"")</f>
        <v/>
      </c>
      <c r="BX8" s="236" t="str">
        <f>IFERROR(__xludf.DUMMYFUNCTION("if(countif(ecn.list,EX8),OFFSET(INDIRECT(CONCAT(""A"",to_text(match(EX8,ecn.list,0)))),0,1),"""")"),"")</f>
        <v/>
      </c>
      <c r="BY8" s="236" t="str">
        <f>IFERROR(__xludf.DUMMYFUNCTION("if(countif(ecn.list,EY8),OFFSET(INDIRECT(CONCAT(""A"",to_text(match(EY8,ecn.list,0)))),0,1),"""")"),"")</f>
        <v/>
      </c>
      <c r="BZ8" s="236" t="str">
        <f>IFERROR(__xludf.DUMMYFUNCTION("if(countif(ecn.list,EZ8),OFFSET(INDIRECT(CONCAT(""A"",to_text(match(EZ8,ecn.list,0)))),0,1),"""")"),"MF ")</f>
        <v>MF </v>
      </c>
      <c r="CA8" s="236" t="str">
        <f>IFERROR(__xludf.DUMMYFUNCTION("if(countif(ecn.list,FA8),OFFSET(INDIRECT(CONCAT(""A"",to_text(match(FA8,ecn.list,0)))),0,1),"""")"),"")</f>
        <v/>
      </c>
      <c r="CB8" s="236" t="str">
        <f>IFERROR(__xludf.DUMMYFUNCTION("if(countif(ecn.list,FB8),OFFSET(INDIRECT(CONCAT(""A"",to_text(match(FB8,ecn.list,0)))),0,1),"""")"),"")</f>
        <v/>
      </c>
      <c r="CC8" s="236" t="str">
        <f>IFERROR(__xludf.DUMMYFUNCTION("if(countif(ecn.list,FC8),OFFSET(INDIRECT(CONCAT(""A"",to_text(match(FC8,ecn.list,0)))),0,1),"""")"),"N2 ")</f>
        <v>N2 </v>
      </c>
      <c r="CD8" s="236" t="str">
        <f>IFERROR(__xludf.DUMMYFUNCTION("if(countif(ecn.list,FD8),OFFSET(INDIRECT(CONCAT(""A"",to_text(match(FD8,ecn.list,0)))),0,1),"""")"),"")</f>
        <v/>
      </c>
      <c r="CE8" s="236" t="str">
        <f>IFERROR(__xludf.DUMMYFUNCTION("if(countif(ecn.list,FE8),OFFSET(INDIRECT(CONCAT(""A"",to_text(match(FE8,ecn.list,0)))),0,1),"""")"),"")</f>
        <v/>
      </c>
      <c r="CF8" s="236" t="str">
        <f>IFERROR(__xludf.DUMMYFUNCTION("if(countif(ecn.list,FF8),OFFSET(INDIRECT(CONCAT(""A"",to_text(match(FF8,ecn.list,0)))),0,1),"""")"),"")</f>
        <v/>
      </c>
      <c r="CG8" s="236" t="str">
        <f>IFERROR(__xludf.DUMMYFUNCTION("if(countif(ecn.list,FG8),OFFSET(INDIRECT(CONCAT(""A"",to_text(match(FG8,ecn.list,0)))),0,1),"""")"),"")</f>
        <v/>
      </c>
      <c r="CH8" s="236" t="str">
        <f>IFERROR(__xludf.DUMMYFUNCTION("if(countif(ecn.list,FH8),OFFSET(INDIRECT(CONCAT(""A"",to_text(match(FH8,ecn.list,0)))),0,1),"""")"),"N7 ")</f>
        <v>N7 </v>
      </c>
      <c r="CI8" s="236" t="str">
        <f>IFERROR(__xludf.DUMMYFUNCTION("if(countif(ecn.list,FI8),OFFSET(INDIRECT(CONCAT(""A"",to_text(match(FI8,ecn.list,0)))),0,1),"""")"),"")</f>
        <v/>
      </c>
      <c r="CJ8" s="236" t="str">
        <f>IFERROR(__xludf.DUMMYFUNCTION("if(countif(ecn.list,FJ8),OFFSET(INDIRECT(CONCAT(""A"",to_text(match(FJ8,ecn.list,0)))),0,1),"""")"),"")</f>
        <v/>
      </c>
      <c r="CK8" s="236" t="str">
        <f>IFERROR(__xludf.DUMMYFUNCTION("if(countif(ecn.list,FK8),OFFSET(INDIRECT(CONCAT(""A"",to_text(match(FK8,ecn.list,0)))),0,1),"""")"),"NA ")</f>
        <v>NA </v>
      </c>
      <c r="CL8" s="236" t="str">
        <f>IFERROR(__xludf.DUMMYFUNCTION("if(countif(ecn.list,FL8),OFFSET(INDIRECT(CONCAT(""A"",to_text(match(FL8,ecn.list,0)))),0,1),"""")"),"")</f>
        <v/>
      </c>
      <c r="CM8" s="236" t="str">
        <f>IFERROR(__xludf.DUMMYFUNCTION("if(countif(ecn.list,FM8),OFFSET(INDIRECT(CONCAT(""A"",to_text(match(FM8,ecn.list,0)))),0,1),"""")"),"")</f>
        <v/>
      </c>
      <c r="CN8" s="198" t="s">
        <v>95</v>
      </c>
      <c r="CO8" s="198" t="s">
        <v>1447</v>
      </c>
      <c r="CP8" s="198" t="s">
        <v>1451</v>
      </c>
      <c r="CQ8" s="198" t="s">
        <v>1452</v>
      </c>
      <c r="CR8" s="198" t="s">
        <v>1453</v>
      </c>
      <c r="CS8" s="198" t="s">
        <v>1453</v>
      </c>
      <c r="CT8" s="198" t="s">
        <v>1454</v>
      </c>
      <c r="CU8" s="198" t="s">
        <v>1455</v>
      </c>
      <c r="CV8" s="198" t="s">
        <v>1456</v>
      </c>
      <c r="CW8" s="198" t="s">
        <v>1453</v>
      </c>
      <c r="CX8" s="198" t="s">
        <v>1453</v>
      </c>
      <c r="CY8" s="198" t="s">
        <v>1453</v>
      </c>
      <c r="CZ8" s="198" t="s">
        <v>1453</v>
      </c>
      <c r="DA8" s="198" t="s">
        <v>1457</v>
      </c>
      <c r="DB8" s="198" t="s">
        <v>1453</v>
      </c>
      <c r="DC8" s="198" t="s">
        <v>1453</v>
      </c>
      <c r="DD8" s="198" t="s">
        <v>1453</v>
      </c>
      <c r="DE8" s="198" t="s">
        <v>1459</v>
      </c>
      <c r="DF8" s="198" t="s">
        <v>1453</v>
      </c>
      <c r="DG8" s="198" t="s">
        <v>1453</v>
      </c>
      <c r="DH8" s="198" t="s">
        <v>1453</v>
      </c>
      <c r="DI8" s="198" t="s">
        <v>1453</v>
      </c>
      <c r="DJ8" s="198" t="s">
        <v>1460</v>
      </c>
      <c r="DK8" s="198" t="s">
        <v>1453</v>
      </c>
      <c r="DL8" s="198" t="s">
        <v>1461</v>
      </c>
      <c r="DM8" s="198" t="s">
        <v>1453</v>
      </c>
      <c r="DN8" s="198" t="s">
        <v>1463</v>
      </c>
      <c r="DO8" s="198" t="s">
        <v>1464</v>
      </c>
      <c r="DP8" s="198" t="s">
        <v>1465</v>
      </c>
      <c r="DQ8" s="198" t="s">
        <v>1466</v>
      </c>
      <c r="DR8" s="198" t="s">
        <v>1467</v>
      </c>
      <c r="DS8" s="198" t="s">
        <v>1453</v>
      </c>
      <c r="DT8" s="198" t="s">
        <v>1468</v>
      </c>
      <c r="DU8" s="198" t="s">
        <v>1453</v>
      </c>
      <c r="DV8" s="198" t="s">
        <v>1469</v>
      </c>
      <c r="DW8" s="198" t="s">
        <v>1453</v>
      </c>
      <c r="DX8" s="198" t="s">
        <v>1453</v>
      </c>
      <c r="DY8" s="198" t="s">
        <v>1453</v>
      </c>
      <c r="DZ8" s="198" t="s">
        <v>1453</v>
      </c>
      <c r="EA8" s="198" t="s">
        <v>1453</v>
      </c>
      <c r="EB8" s="198" t="s">
        <v>1453</v>
      </c>
      <c r="EC8" s="198" t="s">
        <v>1483</v>
      </c>
      <c r="ED8" s="198" t="s">
        <v>1453</v>
      </c>
      <c r="EE8" s="198" t="s">
        <v>1470</v>
      </c>
      <c r="EF8" s="198" t="s">
        <v>1453</v>
      </c>
      <c r="EG8" s="198" t="s">
        <v>1471</v>
      </c>
      <c r="EH8" s="198" t="s">
        <v>1453</v>
      </c>
      <c r="EI8" s="198" t="s">
        <v>1453</v>
      </c>
      <c r="EJ8" s="198" t="s">
        <v>1472</v>
      </c>
      <c r="EK8" s="198" t="s">
        <v>1453</v>
      </c>
      <c r="EL8" s="198" t="s">
        <v>1473</v>
      </c>
      <c r="EM8" s="198" t="s">
        <v>1453</v>
      </c>
      <c r="EN8" s="198" t="s">
        <v>1474</v>
      </c>
      <c r="EO8" s="198" t="s">
        <v>1475</v>
      </c>
      <c r="EP8" s="198" t="s">
        <v>1453</v>
      </c>
      <c r="EQ8" s="198" t="s">
        <v>1453</v>
      </c>
      <c r="ER8" s="198" t="s">
        <v>1453</v>
      </c>
      <c r="ES8" s="198" t="s">
        <v>1453</v>
      </c>
      <c r="ET8" s="198" t="s">
        <v>1453</v>
      </c>
      <c r="EU8" s="198" t="s">
        <v>1453</v>
      </c>
      <c r="EV8" s="198" t="s">
        <v>1476</v>
      </c>
      <c r="EW8" s="198" t="s">
        <v>1453</v>
      </c>
      <c r="EX8" s="198" t="s">
        <v>1453</v>
      </c>
      <c r="EY8" s="198" t="s">
        <v>1453</v>
      </c>
      <c r="EZ8" s="198" t="s">
        <v>1477</v>
      </c>
      <c r="FA8" s="198" t="s">
        <v>1453</v>
      </c>
      <c r="FB8" s="198" t="s">
        <v>1453</v>
      </c>
      <c r="FC8" s="198" t="s">
        <v>1478</v>
      </c>
      <c r="FD8" s="198" t="s">
        <v>1453</v>
      </c>
      <c r="FE8" s="198" t="s">
        <v>1453</v>
      </c>
      <c r="FF8" s="198" t="s">
        <v>1453</v>
      </c>
      <c r="FG8" s="198" t="s">
        <v>1453</v>
      </c>
      <c r="FH8" s="198" t="s">
        <v>1479</v>
      </c>
      <c r="FI8" s="198" t="s">
        <v>1453</v>
      </c>
      <c r="FJ8" s="198" t="s">
        <v>1453</v>
      </c>
      <c r="FK8" s="198" t="s">
        <v>1481</v>
      </c>
      <c r="FL8" s="198" t="s">
        <v>1482</v>
      </c>
      <c r="FM8" s="198" t="s">
        <v>1453</v>
      </c>
    </row>
    <row r="9">
      <c r="A9" s="236" t="s">
        <v>1456</v>
      </c>
      <c r="B9" s="198" t="str">
        <f t="shared" si="1"/>
        <v>J7 </v>
      </c>
      <c r="C9" s="234">
        <v>7.0</v>
      </c>
      <c r="D9" s="232" t="s">
        <v>860</v>
      </c>
      <c r="E9" s="232" t="s">
        <v>785</v>
      </c>
      <c r="F9" s="232" t="s">
        <v>786</v>
      </c>
      <c r="G9" s="232" t="s">
        <v>846</v>
      </c>
      <c r="H9" s="232" t="s">
        <v>775</v>
      </c>
      <c r="I9" s="232" t="s">
        <v>925</v>
      </c>
      <c r="J9" s="232" t="s">
        <v>926</v>
      </c>
      <c r="K9" s="232" t="s">
        <v>927</v>
      </c>
      <c r="L9" s="188" t="s">
        <v>99</v>
      </c>
      <c r="M9" s="236" t="str">
        <f>IFERROR(__xludf.DUMMYFUNCTION("regexreplace(N9,"" "","", "")"),"")</f>
        <v/>
      </c>
      <c r="N9" s="236" t="str">
        <f t="shared" si="2"/>
        <v/>
      </c>
      <c r="O9" s="236" t="str">
        <f>IFERROR(__xludf.DUMMYFUNCTION("if(countif(ecn.list,CO9),OFFSET(INDIRECT(CONCAT(""A"",to_text(match(CO9,ecn.list,0)))),0,1),"""")"),"")</f>
        <v/>
      </c>
      <c r="P9" s="236" t="str">
        <f>IFERROR(__xludf.DUMMYFUNCTION("if(countif(ecn.list,CP9),OFFSET(INDIRECT(CONCAT(""A"",to_text(match(CP9,ecn.list,0)))),0,1),"""")"),"")</f>
        <v/>
      </c>
      <c r="Q9" s="236" t="str">
        <f>IFERROR(__xludf.DUMMYFUNCTION("if(countif(ecn.list,CQ9),OFFSET(INDIRECT(CONCAT(""A"",to_text(match(CQ9,ecn.list,0)))),0,1),"""")"),"")</f>
        <v/>
      </c>
      <c r="R9" s="236" t="str">
        <f>IFERROR(__xludf.DUMMYFUNCTION("if(countif(ecn.list,CR9),OFFSET(INDIRECT(CONCAT(""A"",to_text(match(CR9,ecn.list,0)))),0,1),"""")"),"")</f>
        <v/>
      </c>
      <c r="S9" s="236" t="str">
        <f>IFERROR(__xludf.DUMMYFUNCTION("if(countif(ecn.list,CS9),OFFSET(INDIRECT(CONCAT(""A"",to_text(match(CS9,ecn.list,0)))),0,1),"""")"),"")</f>
        <v/>
      </c>
      <c r="T9" s="236" t="str">
        <f>IFERROR(__xludf.DUMMYFUNCTION("if(countif(ecn.list,CT9),OFFSET(INDIRECT(CONCAT(""A"",to_text(match(CT9,ecn.list,0)))),0,1),"""")"),"")</f>
        <v/>
      </c>
      <c r="U9" s="236" t="str">
        <f>IFERROR(__xludf.DUMMYFUNCTION("if(countif(ecn.list,CU9),OFFSET(INDIRECT(CONCAT(""A"",to_text(match(CU9,ecn.list,0)))),0,1),"""")"),"")</f>
        <v/>
      </c>
      <c r="V9" s="236" t="str">
        <f>IFERROR(__xludf.DUMMYFUNCTION("if(countif(ecn.list,CV9),OFFSET(INDIRECT(CONCAT(""A"",to_text(match(CV9,ecn.list,0)))),0,1),"""")"),"")</f>
        <v/>
      </c>
      <c r="W9" s="236" t="str">
        <f>IFERROR(__xludf.DUMMYFUNCTION("if(countif(ecn.list,CW9),OFFSET(INDIRECT(CONCAT(""A"",to_text(match(CW9,ecn.list,0)))),0,1),"""")"),"")</f>
        <v/>
      </c>
      <c r="X9" s="236" t="str">
        <f>IFERROR(__xludf.DUMMYFUNCTION("if(countif(ecn.list,CX9),OFFSET(INDIRECT(CONCAT(""A"",to_text(match(CX9,ecn.list,0)))),0,1),"""")"),"")</f>
        <v/>
      </c>
      <c r="Y9" s="236" t="str">
        <f>IFERROR(__xludf.DUMMYFUNCTION("if(countif(ecn.list,CY9),OFFSET(INDIRECT(CONCAT(""A"",to_text(match(CY9,ecn.list,0)))),0,1),"""")"),"")</f>
        <v/>
      </c>
      <c r="Z9" s="236" t="str">
        <f>IFERROR(__xludf.DUMMYFUNCTION("if(countif(ecn.list,CZ9),OFFSET(INDIRECT(CONCAT(""A"",to_text(match(CZ9,ecn.list,0)))),0,1),"""")"),"")</f>
        <v/>
      </c>
      <c r="AA9" s="236" t="str">
        <f>IFERROR(__xludf.DUMMYFUNCTION("if(countif(ecn.list,DA9),OFFSET(INDIRECT(CONCAT(""A"",to_text(match(DA9,ecn.list,0)))),0,1),"""")"),"")</f>
        <v/>
      </c>
      <c r="AB9" s="236" t="str">
        <f>IFERROR(__xludf.DUMMYFUNCTION("if(countif(ecn.list,DB9),OFFSET(INDIRECT(CONCAT(""A"",to_text(match(DB9,ecn.list,0)))),0,1),"""")"),"")</f>
        <v/>
      </c>
      <c r="AC9" s="236" t="str">
        <f>IFERROR(__xludf.DUMMYFUNCTION("if(countif(ecn.list,DC9),OFFSET(INDIRECT(CONCAT(""A"",to_text(match(DC9,ecn.list,0)))),0,1),"""")"),"")</f>
        <v/>
      </c>
      <c r="AD9" s="236" t="str">
        <f>IFERROR(__xludf.DUMMYFUNCTION("if(countif(ecn.list,DD9),OFFSET(INDIRECT(CONCAT(""A"",to_text(match(DD9,ecn.list,0)))),0,1),"""")"),"")</f>
        <v/>
      </c>
      <c r="AE9" s="236" t="str">
        <f>IFERROR(__xludf.DUMMYFUNCTION("if(countif(ecn.list,DE9),OFFSET(INDIRECT(CONCAT(""A"",to_text(match(DE9,ecn.list,0)))),0,1),"""")"),"")</f>
        <v/>
      </c>
      <c r="AF9" s="236" t="str">
        <f>IFERROR(__xludf.DUMMYFUNCTION("if(countif(ecn.list,DF9),OFFSET(INDIRECT(CONCAT(""A"",to_text(match(DF9,ecn.list,0)))),0,1),"""")"),"")</f>
        <v/>
      </c>
      <c r="AG9" s="236" t="str">
        <f>IFERROR(__xludf.DUMMYFUNCTION("if(countif(ecn.list,DG9),OFFSET(INDIRECT(CONCAT(""A"",to_text(match(DG9,ecn.list,0)))),0,1),"""")"),"")</f>
        <v/>
      </c>
      <c r="AH9" s="236" t="str">
        <f>IFERROR(__xludf.DUMMYFUNCTION("if(countif(ecn.list,DH9),OFFSET(INDIRECT(CONCAT(""A"",to_text(match(DH9,ecn.list,0)))),0,1),"""")"),"")</f>
        <v/>
      </c>
      <c r="AI9" s="236" t="str">
        <f>IFERROR(__xludf.DUMMYFUNCTION("if(countif(ecn.list,DI9),OFFSET(INDIRECT(CONCAT(""A"",to_text(match(DI9,ecn.list,0)))),0,1),"""")"),"")</f>
        <v/>
      </c>
      <c r="AJ9" s="236" t="str">
        <f>IFERROR(__xludf.DUMMYFUNCTION("if(countif(ecn.list,DJ9),OFFSET(INDIRECT(CONCAT(""A"",to_text(match(DJ9,ecn.list,0)))),0,1),"""")"),"")</f>
        <v/>
      </c>
      <c r="AK9" s="236" t="str">
        <f>IFERROR(__xludf.DUMMYFUNCTION("if(countif(ecn.list,DK9),OFFSET(INDIRECT(CONCAT(""A"",to_text(match(DK9,ecn.list,0)))),0,1),"""")"),"")</f>
        <v/>
      </c>
      <c r="AL9" s="236" t="str">
        <f>IFERROR(__xludf.DUMMYFUNCTION("if(countif(ecn.list,DL9),OFFSET(INDIRECT(CONCAT(""A"",to_text(match(DL9,ecn.list,0)))),0,1),"""")"),"")</f>
        <v/>
      </c>
      <c r="AM9" s="236" t="str">
        <f>IFERROR(__xludf.DUMMYFUNCTION("if(countif(ecn.list,DM9),OFFSET(INDIRECT(CONCAT(""A"",to_text(match(DM9,ecn.list,0)))),0,1),"""")"),"")</f>
        <v/>
      </c>
      <c r="AN9" s="236" t="str">
        <f>IFERROR(__xludf.DUMMYFUNCTION("if(countif(ecn.list,DN9),OFFSET(INDIRECT(CONCAT(""A"",to_text(match(DN9,ecn.list,0)))),0,1),"""")"),"")</f>
        <v/>
      </c>
      <c r="AO9" s="236" t="str">
        <f>IFERROR(__xludf.DUMMYFUNCTION("if(countif(ecn.list,DO9),OFFSET(INDIRECT(CONCAT(""A"",to_text(match(DO9,ecn.list,0)))),0,1),"""")"),"")</f>
        <v/>
      </c>
      <c r="AP9" s="236" t="str">
        <f>IFERROR(__xludf.DUMMYFUNCTION("if(countif(ecn.list,DP9),OFFSET(INDIRECT(CONCAT(""A"",to_text(match(DP9,ecn.list,0)))),0,1),"""")"),"")</f>
        <v/>
      </c>
      <c r="AQ9" s="236" t="str">
        <f>IFERROR(__xludf.DUMMYFUNCTION("if(countif(ecn.list,DQ9),OFFSET(INDIRECT(CONCAT(""A"",to_text(match(DQ9,ecn.list,0)))),0,1),"""")"),"")</f>
        <v/>
      </c>
      <c r="AR9" s="236" t="str">
        <f>IFERROR(__xludf.DUMMYFUNCTION("if(countif(ecn.list,DR9),OFFSET(INDIRECT(CONCAT(""A"",to_text(match(DR9,ecn.list,0)))),0,1),"""")"),"")</f>
        <v/>
      </c>
      <c r="AS9" s="236" t="str">
        <f>IFERROR(__xludf.DUMMYFUNCTION("if(countif(ecn.list,DS9),OFFSET(INDIRECT(CONCAT(""A"",to_text(match(DS9,ecn.list,0)))),0,1),"""")"),"")</f>
        <v/>
      </c>
      <c r="AT9" s="236" t="str">
        <f>IFERROR(__xludf.DUMMYFUNCTION("if(countif(ecn.list,DT9),OFFSET(INDIRECT(CONCAT(""A"",to_text(match(DT9,ecn.list,0)))),0,1),"""")"),"")</f>
        <v/>
      </c>
      <c r="AU9" s="236" t="str">
        <f>IFERROR(__xludf.DUMMYFUNCTION("if(countif(ecn.list,DU9),OFFSET(INDIRECT(CONCAT(""A"",to_text(match(DU9,ecn.list,0)))),0,1),"""")"),"")</f>
        <v/>
      </c>
      <c r="AV9" s="236" t="str">
        <f>IFERROR(__xludf.DUMMYFUNCTION("if(countif(ecn.list,DV9),OFFSET(INDIRECT(CONCAT(""A"",to_text(match(DV9,ecn.list,0)))),0,1),"""")"),"")</f>
        <v/>
      </c>
      <c r="AW9" s="236" t="str">
        <f>IFERROR(__xludf.DUMMYFUNCTION("if(countif(ecn.list,DW9),OFFSET(INDIRECT(CONCAT(""A"",to_text(match(DW9,ecn.list,0)))),0,1),"""")"),"")</f>
        <v/>
      </c>
      <c r="AX9" s="236" t="str">
        <f>IFERROR(__xludf.DUMMYFUNCTION("if(countif(ecn.list,DX9),OFFSET(INDIRECT(CONCAT(""A"",to_text(match(DX9,ecn.list,0)))),0,1),"""")"),"")</f>
        <v/>
      </c>
      <c r="AY9" s="236" t="str">
        <f>IFERROR(__xludf.DUMMYFUNCTION("if(countif(ecn.list,DY9),OFFSET(INDIRECT(CONCAT(""A"",to_text(match(DY9,ecn.list,0)))),0,1),"""")"),"")</f>
        <v/>
      </c>
      <c r="AZ9" s="236" t="str">
        <f>IFERROR(__xludf.DUMMYFUNCTION("if(countif(ecn.list,DZ9),OFFSET(INDIRECT(CONCAT(""A"",to_text(match(DZ9,ecn.list,0)))),0,1),"""")"),"")</f>
        <v/>
      </c>
      <c r="BA9" s="236" t="str">
        <f>IFERROR(__xludf.DUMMYFUNCTION("if(countif(ecn.list,EA9),OFFSET(INDIRECT(CONCAT(""A"",to_text(match(EA9,ecn.list,0)))),0,1),"""")"),"")</f>
        <v/>
      </c>
      <c r="BB9" s="236" t="str">
        <f>IFERROR(__xludf.DUMMYFUNCTION("if(countif(ecn.list,EB9),OFFSET(INDIRECT(CONCAT(""A"",to_text(match(EB9,ecn.list,0)))),0,1),"""")"),"")</f>
        <v/>
      </c>
      <c r="BC9" s="236" t="str">
        <f>IFERROR(__xludf.DUMMYFUNCTION("if(countif(ecn.list,EC9),OFFSET(INDIRECT(CONCAT(""A"",to_text(match(EC9,ecn.list,0)))),0,1),"""")"),"")</f>
        <v/>
      </c>
      <c r="BD9" s="236" t="str">
        <f>IFERROR(__xludf.DUMMYFUNCTION("if(countif(ecn.list,ED9),OFFSET(INDIRECT(CONCAT(""A"",to_text(match(ED9,ecn.list,0)))),0,1),"""")"),"")</f>
        <v/>
      </c>
      <c r="BE9" s="236" t="str">
        <f>IFERROR(__xludf.DUMMYFUNCTION("if(countif(ecn.list,EE9),OFFSET(INDIRECT(CONCAT(""A"",to_text(match(EE9,ecn.list,0)))),0,1),"""")"),"")</f>
        <v/>
      </c>
      <c r="BF9" s="236" t="str">
        <f>IFERROR(__xludf.DUMMYFUNCTION("if(countif(ecn.list,EF9),OFFSET(INDIRECT(CONCAT(""A"",to_text(match(EF9,ecn.list,0)))),0,1),"""")"),"")</f>
        <v/>
      </c>
      <c r="BG9" s="236" t="str">
        <f>IFERROR(__xludf.DUMMYFUNCTION("if(countif(ecn.list,EG9),OFFSET(INDIRECT(CONCAT(""A"",to_text(match(EG9,ecn.list,0)))),0,1),"""")"),"")</f>
        <v/>
      </c>
      <c r="BH9" s="236" t="str">
        <f>IFERROR(__xludf.DUMMYFUNCTION("if(countif(ecn.list,EH9),OFFSET(INDIRECT(CONCAT(""A"",to_text(match(EH9,ecn.list,0)))),0,1),"""")"),"")</f>
        <v/>
      </c>
      <c r="BI9" s="236" t="str">
        <f>IFERROR(__xludf.DUMMYFUNCTION("if(countif(ecn.list,EI9),OFFSET(INDIRECT(CONCAT(""A"",to_text(match(EI9,ecn.list,0)))),0,1),"""")"),"")</f>
        <v/>
      </c>
      <c r="BJ9" s="236" t="str">
        <f>IFERROR(__xludf.DUMMYFUNCTION("if(countif(ecn.list,EJ9),OFFSET(INDIRECT(CONCAT(""A"",to_text(match(EJ9,ecn.list,0)))),0,1),"""")"),"")</f>
        <v/>
      </c>
      <c r="BK9" s="236" t="str">
        <f>IFERROR(__xludf.DUMMYFUNCTION("if(countif(ecn.list,EK9),OFFSET(INDIRECT(CONCAT(""A"",to_text(match(EK9,ecn.list,0)))),0,1),"""")"),"")</f>
        <v/>
      </c>
      <c r="BL9" s="236" t="str">
        <f>IFERROR(__xludf.DUMMYFUNCTION("if(countif(ecn.list,EL9),OFFSET(INDIRECT(CONCAT(""A"",to_text(match(EL9,ecn.list,0)))),0,1),"""")"),"")</f>
        <v/>
      </c>
      <c r="BM9" s="236" t="str">
        <f>IFERROR(__xludf.DUMMYFUNCTION("if(countif(ecn.list,EM9),OFFSET(INDIRECT(CONCAT(""A"",to_text(match(EM9,ecn.list,0)))),0,1),"""")"),"")</f>
        <v/>
      </c>
      <c r="BN9" s="236" t="str">
        <f>IFERROR(__xludf.DUMMYFUNCTION("if(countif(ecn.list,EN9),OFFSET(INDIRECT(CONCAT(""A"",to_text(match(EN9,ecn.list,0)))),0,1),"""")"),"")</f>
        <v/>
      </c>
      <c r="BO9" s="236" t="str">
        <f>IFERROR(__xludf.DUMMYFUNCTION("if(countif(ecn.list,EO9),OFFSET(INDIRECT(CONCAT(""A"",to_text(match(EO9,ecn.list,0)))),0,1),"""")"),"")</f>
        <v/>
      </c>
      <c r="BP9" s="236" t="str">
        <f>IFERROR(__xludf.DUMMYFUNCTION("if(countif(ecn.list,EP9),OFFSET(INDIRECT(CONCAT(""A"",to_text(match(EP9,ecn.list,0)))),0,1),"""")"),"")</f>
        <v/>
      </c>
      <c r="BQ9" s="236" t="str">
        <f>IFERROR(__xludf.DUMMYFUNCTION("if(countif(ecn.list,EQ9),OFFSET(INDIRECT(CONCAT(""A"",to_text(match(EQ9,ecn.list,0)))),0,1),"""")"),"")</f>
        <v/>
      </c>
      <c r="BR9" s="236" t="str">
        <f>IFERROR(__xludf.DUMMYFUNCTION("if(countif(ecn.list,ER9),OFFSET(INDIRECT(CONCAT(""A"",to_text(match(ER9,ecn.list,0)))),0,1),"""")"),"")</f>
        <v/>
      </c>
      <c r="BS9" s="236" t="str">
        <f>IFERROR(__xludf.DUMMYFUNCTION("if(countif(ecn.list,ES9),OFFSET(INDIRECT(CONCAT(""A"",to_text(match(ES9,ecn.list,0)))),0,1),"""")"),"")</f>
        <v/>
      </c>
      <c r="BT9" s="236" t="str">
        <f>IFERROR(__xludf.DUMMYFUNCTION("if(countif(ecn.list,ET9),OFFSET(INDIRECT(CONCAT(""A"",to_text(match(ET9,ecn.list,0)))),0,1),"""")"),"")</f>
        <v/>
      </c>
      <c r="BU9" s="236" t="str">
        <f>IFERROR(__xludf.DUMMYFUNCTION("if(countif(ecn.list,EU9),OFFSET(INDIRECT(CONCAT(""A"",to_text(match(EU9,ecn.list,0)))),0,1),"""")"),"")</f>
        <v/>
      </c>
      <c r="BV9" s="236" t="str">
        <f>IFERROR(__xludf.DUMMYFUNCTION("if(countif(ecn.list,EV9),OFFSET(INDIRECT(CONCAT(""A"",to_text(match(EV9,ecn.list,0)))),0,1),"""")"),"")</f>
        <v/>
      </c>
      <c r="BW9" s="236" t="str">
        <f>IFERROR(__xludf.DUMMYFUNCTION("if(countif(ecn.list,EW9),OFFSET(INDIRECT(CONCAT(""A"",to_text(match(EW9,ecn.list,0)))),0,1),"""")"),"")</f>
        <v/>
      </c>
      <c r="BX9" s="236" t="str">
        <f>IFERROR(__xludf.DUMMYFUNCTION("if(countif(ecn.list,EX9),OFFSET(INDIRECT(CONCAT(""A"",to_text(match(EX9,ecn.list,0)))),0,1),"""")"),"")</f>
        <v/>
      </c>
      <c r="BY9" s="236" t="str">
        <f>IFERROR(__xludf.DUMMYFUNCTION("if(countif(ecn.list,EY9),OFFSET(INDIRECT(CONCAT(""A"",to_text(match(EY9,ecn.list,0)))),0,1),"""")"),"")</f>
        <v/>
      </c>
      <c r="BZ9" s="236" t="str">
        <f>IFERROR(__xludf.DUMMYFUNCTION("if(countif(ecn.list,EZ9),OFFSET(INDIRECT(CONCAT(""A"",to_text(match(EZ9,ecn.list,0)))),0,1),"""")"),"")</f>
        <v/>
      </c>
      <c r="CA9" s="236" t="str">
        <f>IFERROR(__xludf.DUMMYFUNCTION("if(countif(ecn.list,FA9),OFFSET(INDIRECT(CONCAT(""A"",to_text(match(FA9,ecn.list,0)))),0,1),"""")"),"")</f>
        <v/>
      </c>
      <c r="CB9" s="236" t="str">
        <f>IFERROR(__xludf.DUMMYFUNCTION("if(countif(ecn.list,FB9),OFFSET(INDIRECT(CONCAT(""A"",to_text(match(FB9,ecn.list,0)))),0,1),"""")"),"")</f>
        <v/>
      </c>
      <c r="CC9" s="236" t="str">
        <f>IFERROR(__xludf.DUMMYFUNCTION("if(countif(ecn.list,FC9),OFFSET(INDIRECT(CONCAT(""A"",to_text(match(FC9,ecn.list,0)))),0,1),"""")"),"")</f>
        <v/>
      </c>
      <c r="CD9" s="236" t="str">
        <f>IFERROR(__xludf.DUMMYFUNCTION("if(countif(ecn.list,FD9),OFFSET(INDIRECT(CONCAT(""A"",to_text(match(FD9,ecn.list,0)))),0,1),"""")"),"")</f>
        <v/>
      </c>
      <c r="CE9" s="236" t="str">
        <f>IFERROR(__xludf.DUMMYFUNCTION("if(countif(ecn.list,FE9),OFFSET(INDIRECT(CONCAT(""A"",to_text(match(FE9,ecn.list,0)))),0,1),"""")"),"")</f>
        <v/>
      </c>
      <c r="CF9" s="236" t="str">
        <f>IFERROR(__xludf.DUMMYFUNCTION("if(countif(ecn.list,FF9),OFFSET(INDIRECT(CONCAT(""A"",to_text(match(FF9,ecn.list,0)))),0,1),"""")"),"")</f>
        <v/>
      </c>
      <c r="CG9" s="236" t="str">
        <f>IFERROR(__xludf.DUMMYFUNCTION("if(countif(ecn.list,FG9),OFFSET(INDIRECT(CONCAT(""A"",to_text(match(FG9,ecn.list,0)))),0,1),"""")"),"")</f>
        <v/>
      </c>
      <c r="CH9" s="236" t="str">
        <f>IFERROR(__xludf.DUMMYFUNCTION("if(countif(ecn.list,FH9),OFFSET(INDIRECT(CONCAT(""A"",to_text(match(FH9,ecn.list,0)))),0,1),"""")"),"")</f>
        <v/>
      </c>
      <c r="CI9" s="236" t="str">
        <f>IFERROR(__xludf.DUMMYFUNCTION("if(countif(ecn.list,FI9),OFFSET(INDIRECT(CONCAT(""A"",to_text(match(FI9,ecn.list,0)))),0,1),"""")"),"")</f>
        <v/>
      </c>
      <c r="CJ9" s="236" t="str">
        <f>IFERROR(__xludf.DUMMYFUNCTION("if(countif(ecn.list,FJ9),OFFSET(INDIRECT(CONCAT(""A"",to_text(match(FJ9,ecn.list,0)))),0,1),"""")"),"")</f>
        <v/>
      </c>
      <c r="CK9" s="236" t="str">
        <f>IFERROR(__xludf.DUMMYFUNCTION("if(countif(ecn.list,FK9),OFFSET(INDIRECT(CONCAT(""A"",to_text(match(FK9,ecn.list,0)))),0,1),"""")"),"")</f>
        <v/>
      </c>
      <c r="CL9" s="236" t="str">
        <f>IFERROR(__xludf.DUMMYFUNCTION("if(countif(ecn.list,FL9),OFFSET(INDIRECT(CONCAT(""A"",to_text(match(FL9,ecn.list,0)))),0,1),"""")"),"")</f>
        <v/>
      </c>
      <c r="CM9" s="236" t="str">
        <f>IFERROR(__xludf.DUMMYFUNCTION("if(countif(ecn.list,FM9),OFFSET(INDIRECT(CONCAT(""A"",to_text(match(FM9,ecn.list,0)))),0,1),"""")"),"")</f>
        <v/>
      </c>
      <c r="CN9" s="198" t="s">
        <v>99</v>
      </c>
      <c r="CO9" s="198" t="s">
        <v>1453</v>
      </c>
      <c r="CP9" s="198" t="s">
        <v>1453</v>
      </c>
      <c r="CQ9" s="198" t="s">
        <v>1453</v>
      </c>
      <c r="CR9" s="198" t="s">
        <v>1453</v>
      </c>
      <c r="CS9" s="198" t="s">
        <v>1453</v>
      </c>
      <c r="CT9" s="198" t="s">
        <v>1453</v>
      </c>
      <c r="CU9" s="198" t="s">
        <v>1453</v>
      </c>
      <c r="CV9" s="198" t="s">
        <v>1453</v>
      </c>
      <c r="CW9" s="198" t="s">
        <v>1453</v>
      </c>
      <c r="CX9" s="198" t="s">
        <v>1453</v>
      </c>
      <c r="CY9" s="198" t="s">
        <v>1453</v>
      </c>
      <c r="CZ9" s="198" t="s">
        <v>1453</v>
      </c>
      <c r="DA9" s="198" t="s">
        <v>1453</v>
      </c>
      <c r="DB9" s="198" t="s">
        <v>1453</v>
      </c>
      <c r="DC9" s="198" t="s">
        <v>1453</v>
      </c>
      <c r="DD9" s="198" t="s">
        <v>1453</v>
      </c>
      <c r="DE9" s="198" t="s">
        <v>1453</v>
      </c>
      <c r="DF9" s="198" t="s">
        <v>1453</v>
      </c>
      <c r="DG9" s="198" t="s">
        <v>1453</v>
      </c>
      <c r="DH9" s="198" t="s">
        <v>1453</v>
      </c>
      <c r="DI9" s="198" t="s">
        <v>1453</v>
      </c>
      <c r="DJ9" s="198" t="s">
        <v>1453</v>
      </c>
      <c r="DK9" s="198" t="s">
        <v>1453</v>
      </c>
      <c r="DL9" s="198" t="s">
        <v>1453</v>
      </c>
      <c r="DM9" s="198" t="s">
        <v>1453</v>
      </c>
      <c r="DN9" s="198" t="s">
        <v>1453</v>
      </c>
      <c r="DO9" s="198" t="s">
        <v>1453</v>
      </c>
      <c r="DP9" s="198" t="s">
        <v>1453</v>
      </c>
      <c r="DQ9" s="198" t="s">
        <v>1453</v>
      </c>
      <c r="DR9" s="198" t="s">
        <v>1453</v>
      </c>
      <c r="DS9" s="198" t="s">
        <v>1453</v>
      </c>
      <c r="DT9" s="198" t="s">
        <v>1453</v>
      </c>
      <c r="DU9" s="198" t="s">
        <v>1453</v>
      </c>
      <c r="DV9" s="198" t="s">
        <v>1453</v>
      </c>
      <c r="DW9" s="198" t="s">
        <v>1453</v>
      </c>
      <c r="DX9" s="198" t="s">
        <v>1453</v>
      </c>
      <c r="DY9" s="198" t="s">
        <v>1453</v>
      </c>
      <c r="DZ9" s="198" t="s">
        <v>1453</v>
      </c>
      <c r="EA9" s="198" t="s">
        <v>1453</v>
      </c>
      <c r="EB9" s="198" t="s">
        <v>1453</v>
      </c>
      <c r="EC9" s="198" t="s">
        <v>1453</v>
      </c>
      <c r="ED9" s="198" t="s">
        <v>1453</v>
      </c>
      <c r="EE9" s="198" t="s">
        <v>1453</v>
      </c>
      <c r="EF9" s="198" t="s">
        <v>1453</v>
      </c>
      <c r="EG9" s="198" t="s">
        <v>1453</v>
      </c>
      <c r="EH9" s="198" t="s">
        <v>1453</v>
      </c>
      <c r="EI9" s="198" t="s">
        <v>1453</v>
      </c>
      <c r="EJ9" s="198" t="s">
        <v>1453</v>
      </c>
      <c r="EK9" s="198" t="s">
        <v>1453</v>
      </c>
      <c r="EL9" s="198" t="s">
        <v>1453</v>
      </c>
      <c r="EM9" s="198" t="s">
        <v>1453</v>
      </c>
      <c r="EN9" s="198" t="s">
        <v>1453</v>
      </c>
      <c r="EO9" s="198" t="s">
        <v>1453</v>
      </c>
      <c r="EP9" s="198" t="s">
        <v>1453</v>
      </c>
      <c r="EQ9" s="198" t="s">
        <v>1453</v>
      </c>
      <c r="ER9" s="198" t="s">
        <v>1453</v>
      </c>
      <c r="ES9" s="198" t="s">
        <v>1453</v>
      </c>
      <c r="ET9" s="198" t="s">
        <v>1453</v>
      </c>
      <c r="EU9" s="198" t="s">
        <v>1453</v>
      </c>
      <c r="EV9" s="198" t="s">
        <v>1453</v>
      </c>
      <c r="EW9" s="198" t="s">
        <v>1453</v>
      </c>
      <c r="EX9" s="198" t="s">
        <v>1453</v>
      </c>
      <c r="EY9" s="198" t="s">
        <v>1453</v>
      </c>
      <c r="EZ9" s="198" t="s">
        <v>1453</v>
      </c>
      <c r="FA9" s="198" t="s">
        <v>1453</v>
      </c>
      <c r="FB9" s="198" t="s">
        <v>1453</v>
      </c>
      <c r="FC9" s="198" t="s">
        <v>1453</v>
      </c>
      <c r="FD9" s="198" t="s">
        <v>1453</v>
      </c>
      <c r="FE9" s="198" t="s">
        <v>1453</v>
      </c>
      <c r="FF9" s="198" t="s">
        <v>1453</v>
      </c>
      <c r="FG9" s="198" t="s">
        <v>1453</v>
      </c>
      <c r="FH9" s="198" t="s">
        <v>1453</v>
      </c>
      <c r="FI9" s="198" t="s">
        <v>1453</v>
      </c>
      <c r="FJ9" s="198" t="s">
        <v>1453</v>
      </c>
      <c r="FK9" s="198" t="s">
        <v>1453</v>
      </c>
      <c r="FL9" s="198" t="s">
        <v>1453</v>
      </c>
      <c r="FM9" s="198" t="s">
        <v>1453</v>
      </c>
    </row>
    <row r="10">
      <c r="A10" s="236" t="s">
        <v>1506</v>
      </c>
      <c r="B10" s="198" t="str">
        <f t="shared" si="1"/>
        <v>J8 </v>
      </c>
      <c r="C10" s="234">
        <v>8.0</v>
      </c>
      <c r="D10" s="232" t="s">
        <v>860</v>
      </c>
      <c r="E10" s="232" t="s">
        <v>785</v>
      </c>
      <c r="F10" s="232" t="s">
        <v>861</v>
      </c>
      <c r="G10" s="232" t="s">
        <v>862</v>
      </c>
      <c r="H10" s="232" t="s">
        <v>775</v>
      </c>
      <c r="I10" s="232" t="s">
        <v>863</v>
      </c>
      <c r="J10" s="232" t="s">
        <v>864</v>
      </c>
      <c r="K10" s="232" t="s">
        <v>865</v>
      </c>
      <c r="L10" s="188" t="s">
        <v>103</v>
      </c>
      <c r="M10" s="236" t="str">
        <f>IFERROR(__xludf.DUMMYFUNCTION("regexreplace(N10,"" "","", "")"),"J5, J6, MF, ")</f>
        <v>J5, J6, MF, </v>
      </c>
      <c r="N10" s="236" t="str">
        <f t="shared" si="2"/>
        <v>J5 J6 MF </v>
      </c>
      <c r="O10" s="236" t="str">
        <f>IFERROR(__xludf.DUMMYFUNCTION("if(countif(ecn.list,CO10),OFFSET(INDIRECT(CONCAT(""A"",to_text(match(CO10,ecn.list,0)))),0,1),"""")"),"")</f>
        <v/>
      </c>
      <c r="P10" s="236" t="str">
        <f>IFERROR(__xludf.DUMMYFUNCTION("if(countif(ecn.list,CP10),OFFSET(INDIRECT(CONCAT(""A"",to_text(match(CP10,ecn.list,0)))),0,1),"""")"),"")</f>
        <v/>
      </c>
      <c r="Q10" s="236" t="str">
        <f>IFERROR(__xludf.DUMMYFUNCTION("if(countif(ecn.list,CQ10),OFFSET(INDIRECT(CONCAT(""A"",to_text(match(CQ10,ecn.list,0)))),0,1),"""")"),"")</f>
        <v/>
      </c>
      <c r="R10" s="236" t="str">
        <f>IFERROR(__xludf.DUMMYFUNCTION("if(countif(ecn.list,CR10),OFFSET(INDIRECT(CONCAT(""A"",to_text(match(CR10,ecn.list,0)))),0,1),"""")"),"")</f>
        <v/>
      </c>
      <c r="S10" s="236" t="str">
        <f>IFERROR(__xludf.DUMMYFUNCTION("if(countif(ecn.list,CS10),OFFSET(INDIRECT(CONCAT(""A"",to_text(match(CS10,ecn.list,0)))),0,1),"""")"),"")</f>
        <v/>
      </c>
      <c r="T10" s="236" t="str">
        <f>IFERROR(__xludf.DUMMYFUNCTION("if(countif(ecn.list,CT10),OFFSET(INDIRECT(CONCAT(""A"",to_text(match(CT10,ecn.list,0)))),0,1),"""")"),"J5 ")</f>
        <v>J5 </v>
      </c>
      <c r="U10" s="236" t="str">
        <f>IFERROR(__xludf.DUMMYFUNCTION("if(countif(ecn.list,CU10),OFFSET(INDIRECT(CONCAT(""A"",to_text(match(CU10,ecn.list,0)))),0,1),"""")"),"J6 ")</f>
        <v>J6 </v>
      </c>
      <c r="V10" s="236" t="str">
        <f>IFERROR(__xludf.DUMMYFUNCTION("if(countif(ecn.list,CV10),OFFSET(INDIRECT(CONCAT(""A"",to_text(match(CV10,ecn.list,0)))),0,1),"""")"),"")</f>
        <v/>
      </c>
      <c r="W10" s="236" t="str">
        <f>IFERROR(__xludf.DUMMYFUNCTION("if(countif(ecn.list,CW10),OFFSET(INDIRECT(CONCAT(""A"",to_text(match(CW10,ecn.list,0)))),0,1),"""")"),"")</f>
        <v/>
      </c>
      <c r="X10" s="236" t="str">
        <f>IFERROR(__xludf.DUMMYFUNCTION("if(countif(ecn.list,CX10),OFFSET(INDIRECT(CONCAT(""A"",to_text(match(CX10,ecn.list,0)))),0,1),"""")"),"")</f>
        <v/>
      </c>
      <c r="Y10" s="236" t="str">
        <f>IFERROR(__xludf.DUMMYFUNCTION("if(countif(ecn.list,CY10),OFFSET(INDIRECT(CONCAT(""A"",to_text(match(CY10,ecn.list,0)))),0,1),"""")"),"")</f>
        <v/>
      </c>
      <c r="Z10" s="236" t="str">
        <f>IFERROR(__xludf.DUMMYFUNCTION("if(countif(ecn.list,CZ10),OFFSET(INDIRECT(CONCAT(""A"",to_text(match(CZ10,ecn.list,0)))),0,1),"""")"),"")</f>
        <v/>
      </c>
      <c r="AA10" s="236" t="str">
        <f>IFERROR(__xludf.DUMMYFUNCTION("if(countif(ecn.list,DA10),OFFSET(INDIRECT(CONCAT(""A"",to_text(match(DA10,ecn.list,0)))),0,1),"""")"),"")</f>
        <v/>
      </c>
      <c r="AB10" s="236" t="str">
        <f>IFERROR(__xludf.DUMMYFUNCTION("if(countif(ecn.list,DB10),OFFSET(INDIRECT(CONCAT(""A"",to_text(match(DB10,ecn.list,0)))),0,1),"""")"),"")</f>
        <v/>
      </c>
      <c r="AC10" s="236" t="str">
        <f>IFERROR(__xludf.DUMMYFUNCTION("if(countif(ecn.list,DC10),OFFSET(INDIRECT(CONCAT(""A"",to_text(match(DC10,ecn.list,0)))),0,1),"""")"),"")</f>
        <v/>
      </c>
      <c r="AD10" s="236" t="str">
        <f>IFERROR(__xludf.DUMMYFUNCTION("if(countif(ecn.list,DD10),OFFSET(INDIRECT(CONCAT(""A"",to_text(match(DD10,ecn.list,0)))),0,1),"""")"),"")</f>
        <v/>
      </c>
      <c r="AE10" s="236" t="str">
        <f>IFERROR(__xludf.DUMMYFUNCTION("if(countif(ecn.list,DE10),OFFSET(INDIRECT(CONCAT(""A"",to_text(match(DE10,ecn.list,0)))),0,1),"""")"),"")</f>
        <v/>
      </c>
      <c r="AF10" s="236" t="str">
        <f>IFERROR(__xludf.DUMMYFUNCTION("if(countif(ecn.list,DF10),OFFSET(INDIRECT(CONCAT(""A"",to_text(match(DF10,ecn.list,0)))),0,1),"""")"),"")</f>
        <v/>
      </c>
      <c r="AG10" s="236" t="str">
        <f>IFERROR(__xludf.DUMMYFUNCTION("if(countif(ecn.list,DG10),OFFSET(INDIRECT(CONCAT(""A"",to_text(match(DG10,ecn.list,0)))),0,1),"""")"),"")</f>
        <v/>
      </c>
      <c r="AH10" s="236" t="str">
        <f>IFERROR(__xludf.DUMMYFUNCTION("if(countif(ecn.list,DH10),OFFSET(INDIRECT(CONCAT(""A"",to_text(match(DH10,ecn.list,0)))),0,1),"""")"),"")</f>
        <v/>
      </c>
      <c r="AI10" s="236" t="str">
        <f>IFERROR(__xludf.DUMMYFUNCTION("if(countif(ecn.list,DI10),OFFSET(INDIRECT(CONCAT(""A"",to_text(match(DI10,ecn.list,0)))),0,1),"""")"),"")</f>
        <v/>
      </c>
      <c r="AJ10" s="236" t="str">
        <f>IFERROR(__xludf.DUMMYFUNCTION("if(countif(ecn.list,DJ10),OFFSET(INDIRECT(CONCAT(""A"",to_text(match(DJ10,ecn.list,0)))),0,1),"""")"),"")</f>
        <v/>
      </c>
      <c r="AK10" s="236" t="str">
        <f>IFERROR(__xludf.DUMMYFUNCTION("if(countif(ecn.list,DK10),OFFSET(INDIRECT(CONCAT(""A"",to_text(match(DK10,ecn.list,0)))),0,1),"""")"),"")</f>
        <v/>
      </c>
      <c r="AL10" s="236" t="str">
        <f>IFERROR(__xludf.DUMMYFUNCTION("if(countif(ecn.list,DL10),OFFSET(INDIRECT(CONCAT(""A"",to_text(match(DL10,ecn.list,0)))),0,1),"""")"),"")</f>
        <v/>
      </c>
      <c r="AM10" s="236" t="str">
        <f>IFERROR(__xludf.DUMMYFUNCTION("if(countif(ecn.list,DM10),OFFSET(INDIRECT(CONCAT(""A"",to_text(match(DM10,ecn.list,0)))),0,1),"""")"),"")</f>
        <v/>
      </c>
      <c r="AN10" s="236" t="str">
        <f>IFERROR(__xludf.DUMMYFUNCTION("if(countif(ecn.list,DN10),OFFSET(INDIRECT(CONCAT(""A"",to_text(match(DN10,ecn.list,0)))),0,1),"""")"),"")</f>
        <v/>
      </c>
      <c r="AO10" s="236" t="str">
        <f>IFERROR(__xludf.DUMMYFUNCTION("if(countif(ecn.list,DO10),OFFSET(INDIRECT(CONCAT(""A"",to_text(match(DO10,ecn.list,0)))),0,1),"""")"),"")</f>
        <v/>
      </c>
      <c r="AP10" s="236" t="str">
        <f>IFERROR(__xludf.DUMMYFUNCTION("if(countif(ecn.list,DP10),OFFSET(INDIRECT(CONCAT(""A"",to_text(match(DP10,ecn.list,0)))),0,1),"""")"),"")</f>
        <v/>
      </c>
      <c r="AQ10" s="236" t="str">
        <f>IFERROR(__xludf.DUMMYFUNCTION("if(countif(ecn.list,DQ10),OFFSET(INDIRECT(CONCAT(""A"",to_text(match(DQ10,ecn.list,0)))),0,1),"""")"),"")</f>
        <v/>
      </c>
      <c r="AR10" s="236" t="str">
        <f>IFERROR(__xludf.DUMMYFUNCTION("if(countif(ecn.list,DR10),OFFSET(INDIRECT(CONCAT(""A"",to_text(match(DR10,ecn.list,0)))),0,1),"""")"),"")</f>
        <v/>
      </c>
      <c r="AS10" s="236" t="str">
        <f>IFERROR(__xludf.DUMMYFUNCTION("if(countif(ecn.list,DS10),OFFSET(INDIRECT(CONCAT(""A"",to_text(match(DS10,ecn.list,0)))),0,1),"""")"),"")</f>
        <v/>
      </c>
      <c r="AT10" s="236" t="str">
        <f>IFERROR(__xludf.DUMMYFUNCTION("if(countif(ecn.list,DT10),OFFSET(INDIRECT(CONCAT(""A"",to_text(match(DT10,ecn.list,0)))),0,1),"""")"),"")</f>
        <v/>
      </c>
      <c r="AU10" s="236" t="str">
        <f>IFERROR(__xludf.DUMMYFUNCTION("if(countif(ecn.list,DU10),OFFSET(INDIRECT(CONCAT(""A"",to_text(match(DU10,ecn.list,0)))),0,1),"""")"),"")</f>
        <v/>
      </c>
      <c r="AV10" s="236" t="str">
        <f>IFERROR(__xludf.DUMMYFUNCTION("if(countif(ecn.list,DV10),OFFSET(INDIRECT(CONCAT(""A"",to_text(match(DV10,ecn.list,0)))),0,1),"""")"),"")</f>
        <v/>
      </c>
      <c r="AW10" s="236" t="str">
        <f>IFERROR(__xludf.DUMMYFUNCTION("if(countif(ecn.list,DW10),OFFSET(INDIRECT(CONCAT(""A"",to_text(match(DW10,ecn.list,0)))),0,1),"""")"),"")</f>
        <v/>
      </c>
      <c r="AX10" s="236" t="str">
        <f>IFERROR(__xludf.DUMMYFUNCTION("if(countif(ecn.list,DX10),OFFSET(INDIRECT(CONCAT(""A"",to_text(match(DX10,ecn.list,0)))),0,1),"""")"),"")</f>
        <v/>
      </c>
      <c r="AY10" s="236" t="str">
        <f>IFERROR(__xludf.DUMMYFUNCTION("if(countif(ecn.list,DY10),OFFSET(INDIRECT(CONCAT(""A"",to_text(match(DY10,ecn.list,0)))),0,1),"""")"),"")</f>
        <v/>
      </c>
      <c r="AZ10" s="236" t="str">
        <f>IFERROR(__xludf.DUMMYFUNCTION("if(countif(ecn.list,DZ10),OFFSET(INDIRECT(CONCAT(""A"",to_text(match(DZ10,ecn.list,0)))),0,1),"""")"),"")</f>
        <v/>
      </c>
      <c r="BA10" s="236" t="str">
        <f>IFERROR(__xludf.DUMMYFUNCTION("if(countif(ecn.list,EA10),OFFSET(INDIRECT(CONCAT(""A"",to_text(match(EA10,ecn.list,0)))),0,1),"""")"),"")</f>
        <v/>
      </c>
      <c r="BB10" s="236" t="str">
        <f>IFERROR(__xludf.DUMMYFUNCTION("if(countif(ecn.list,EB10),OFFSET(INDIRECT(CONCAT(""A"",to_text(match(EB10,ecn.list,0)))),0,1),"""")"),"")</f>
        <v/>
      </c>
      <c r="BC10" s="236" t="str">
        <f>IFERROR(__xludf.DUMMYFUNCTION("if(countif(ecn.list,EC10),OFFSET(INDIRECT(CONCAT(""A"",to_text(match(EC10,ecn.list,0)))),0,1),"""")"),"")</f>
        <v/>
      </c>
      <c r="BD10" s="236" t="str">
        <f>IFERROR(__xludf.DUMMYFUNCTION("if(countif(ecn.list,ED10),OFFSET(INDIRECT(CONCAT(""A"",to_text(match(ED10,ecn.list,0)))),0,1),"""")"),"")</f>
        <v/>
      </c>
      <c r="BE10" s="236" t="str">
        <f>IFERROR(__xludf.DUMMYFUNCTION("if(countif(ecn.list,EE10),OFFSET(INDIRECT(CONCAT(""A"",to_text(match(EE10,ecn.list,0)))),0,1),"""")"),"")</f>
        <v/>
      </c>
      <c r="BF10" s="236" t="str">
        <f>IFERROR(__xludf.DUMMYFUNCTION("if(countif(ecn.list,EF10),OFFSET(INDIRECT(CONCAT(""A"",to_text(match(EF10,ecn.list,0)))),0,1),"""")"),"")</f>
        <v/>
      </c>
      <c r="BG10" s="236" t="str">
        <f>IFERROR(__xludf.DUMMYFUNCTION("if(countif(ecn.list,EG10),OFFSET(INDIRECT(CONCAT(""A"",to_text(match(EG10,ecn.list,0)))),0,1),"""")"),"")</f>
        <v/>
      </c>
      <c r="BH10" s="236" t="str">
        <f>IFERROR(__xludf.DUMMYFUNCTION("if(countif(ecn.list,EH10),OFFSET(INDIRECT(CONCAT(""A"",to_text(match(EH10,ecn.list,0)))),0,1),"""")"),"")</f>
        <v/>
      </c>
      <c r="BI10" s="236" t="str">
        <f>IFERROR(__xludf.DUMMYFUNCTION("if(countif(ecn.list,EI10),OFFSET(INDIRECT(CONCAT(""A"",to_text(match(EI10,ecn.list,0)))),0,1),"""")"),"")</f>
        <v/>
      </c>
      <c r="BJ10" s="236" t="str">
        <f>IFERROR(__xludf.DUMMYFUNCTION("if(countif(ecn.list,EJ10),OFFSET(INDIRECT(CONCAT(""A"",to_text(match(EJ10,ecn.list,0)))),0,1),"""")"),"")</f>
        <v/>
      </c>
      <c r="BK10" s="236" t="str">
        <f>IFERROR(__xludf.DUMMYFUNCTION("if(countif(ecn.list,EK10),OFFSET(INDIRECT(CONCAT(""A"",to_text(match(EK10,ecn.list,0)))),0,1),"""")"),"")</f>
        <v/>
      </c>
      <c r="BL10" s="236" t="str">
        <f>IFERROR(__xludf.DUMMYFUNCTION("if(countif(ecn.list,EL10),OFFSET(INDIRECT(CONCAT(""A"",to_text(match(EL10,ecn.list,0)))),0,1),"""")"),"")</f>
        <v/>
      </c>
      <c r="BM10" s="236" t="str">
        <f>IFERROR(__xludf.DUMMYFUNCTION("if(countif(ecn.list,EM10),OFFSET(INDIRECT(CONCAT(""A"",to_text(match(EM10,ecn.list,0)))),0,1),"""")"),"")</f>
        <v/>
      </c>
      <c r="BN10" s="236" t="str">
        <f>IFERROR(__xludf.DUMMYFUNCTION("if(countif(ecn.list,EN10),OFFSET(INDIRECT(CONCAT(""A"",to_text(match(EN10,ecn.list,0)))),0,1),"""")"),"")</f>
        <v/>
      </c>
      <c r="BO10" s="236" t="str">
        <f>IFERROR(__xludf.DUMMYFUNCTION("if(countif(ecn.list,EO10),OFFSET(INDIRECT(CONCAT(""A"",to_text(match(EO10,ecn.list,0)))),0,1),"""")"),"")</f>
        <v/>
      </c>
      <c r="BP10" s="236" t="str">
        <f>IFERROR(__xludf.DUMMYFUNCTION("if(countif(ecn.list,EP10),OFFSET(INDIRECT(CONCAT(""A"",to_text(match(EP10,ecn.list,0)))),0,1),"""")"),"")</f>
        <v/>
      </c>
      <c r="BQ10" s="236" t="str">
        <f>IFERROR(__xludf.DUMMYFUNCTION("if(countif(ecn.list,EQ10),OFFSET(INDIRECT(CONCAT(""A"",to_text(match(EQ10,ecn.list,0)))),0,1),"""")"),"")</f>
        <v/>
      </c>
      <c r="BR10" s="236" t="str">
        <f>IFERROR(__xludf.DUMMYFUNCTION("if(countif(ecn.list,ER10),OFFSET(INDIRECT(CONCAT(""A"",to_text(match(ER10,ecn.list,0)))),0,1),"""")"),"")</f>
        <v/>
      </c>
      <c r="BS10" s="236" t="str">
        <f>IFERROR(__xludf.DUMMYFUNCTION("if(countif(ecn.list,ES10),OFFSET(INDIRECT(CONCAT(""A"",to_text(match(ES10,ecn.list,0)))),0,1),"""")"),"")</f>
        <v/>
      </c>
      <c r="BT10" s="236" t="str">
        <f>IFERROR(__xludf.DUMMYFUNCTION("if(countif(ecn.list,ET10),OFFSET(INDIRECT(CONCAT(""A"",to_text(match(ET10,ecn.list,0)))),0,1),"""")"),"")</f>
        <v/>
      </c>
      <c r="BU10" s="236" t="str">
        <f>IFERROR(__xludf.DUMMYFUNCTION("if(countif(ecn.list,EU10),OFFSET(INDIRECT(CONCAT(""A"",to_text(match(EU10,ecn.list,0)))),0,1),"""")"),"")</f>
        <v/>
      </c>
      <c r="BV10" s="236" t="str">
        <f>IFERROR(__xludf.DUMMYFUNCTION("if(countif(ecn.list,EV10),OFFSET(INDIRECT(CONCAT(""A"",to_text(match(EV10,ecn.list,0)))),0,1),"""")"),"")</f>
        <v/>
      </c>
      <c r="BW10" s="236" t="str">
        <f>IFERROR(__xludf.DUMMYFUNCTION("if(countif(ecn.list,EW10),OFFSET(INDIRECT(CONCAT(""A"",to_text(match(EW10,ecn.list,0)))),0,1),"""")"),"")</f>
        <v/>
      </c>
      <c r="BX10" s="236" t="str">
        <f>IFERROR(__xludf.DUMMYFUNCTION("if(countif(ecn.list,EX10),OFFSET(INDIRECT(CONCAT(""A"",to_text(match(EX10,ecn.list,0)))),0,1),"""")"),"")</f>
        <v/>
      </c>
      <c r="BY10" s="236" t="str">
        <f>IFERROR(__xludf.DUMMYFUNCTION("if(countif(ecn.list,EY10),OFFSET(INDIRECT(CONCAT(""A"",to_text(match(EY10,ecn.list,0)))),0,1),"""")"),"")</f>
        <v/>
      </c>
      <c r="BZ10" s="236" t="str">
        <f>IFERROR(__xludf.DUMMYFUNCTION("if(countif(ecn.list,EZ10),OFFSET(INDIRECT(CONCAT(""A"",to_text(match(EZ10,ecn.list,0)))),0,1),"""")"),"MF ")</f>
        <v>MF </v>
      </c>
      <c r="CA10" s="236" t="str">
        <f>IFERROR(__xludf.DUMMYFUNCTION("if(countif(ecn.list,FA10),OFFSET(INDIRECT(CONCAT(""A"",to_text(match(FA10,ecn.list,0)))),0,1),"""")"),"")</f>
        <v/>
      </c>
      <c r="CB10" s="236" t="str">
        <f>IFERROR(__xludf.DUMMYFUNCTION("if(countif(ecn.list,FB10),OFFSET(INDIRECT(CONCAT(""A"",to_text(match(FB10,ecn.list,0)))),0,1),"""")"),"")</f>
        <v/>
      </c>
      <c r="CC10" s="236" t="str">
        <f>IFERROR(__xludf.DUMMYFUNCTION("if(countif(ecn.list,FC10),OFFSET(INDIRECT(CONCAT(""A"",to_text(match(FC10,ecn.list,0)))),0,1),"""")"),"")</f>
        <v/>
      </c>
      <c r="CD10" s="236" t="str">
        <f>IFERROR(__xludf.DUMMYFUNCTION("if(countif(ecn.list,FD10),OFFSET(INDIRECT(CONCAT(""A"",to_text(match(FD10,ecn.list,0)))),0,1),"""")"),"")</f>
        <v/>
      </c>
      <c r="CE10" s="236" t="str">
        <f>IFERROR(__xludf.DUMMYFUNCTION("if(countif(ecn.list,FE10),OFFSET(INDIRECT(CONCAT(""A"",to_text(match(FE10,ecn.list,0)))),0,1),"""")"),"")</f>
        <v/>
      </c>
      <c r="CF10" s="236" t="str">
        <f>IFERROR(__xludf.DUMMYFUNCTION("if(countif(ecn.list,FF10),OFFSET(INDIRECT(CONCAT(""A"",to_text(match(FF10,ecn.list,0)))),0,1),"""")"),"")</f>
        <v/>
      </c>
      <c r="CG10" s="236" t="str">
        <f>IFERROR(__xludf.DUMMYFUNCTION("if(countif(ecn.list,FG10),OFFSET(INDIRECT(CONCAT(""A"",to_text(match(FG10,ecn.list,0)))),0,1),"""")"),"")</f>
        <v/>
      </c>
      <c r="CH10" s="236" t="str">
        <f>IFERROR(__xludf.DUMMYFUNCTION("if(countif(ecn.list,FH10),OFFSET(INDIRECT(CONCAT(""A"",to_text(match(FH10,ecn.list,0)))),0,1),"""")"),"")</f>
        <v/>
      </c>
      <c r="CI10" s="236" t="str">
        <f>IFERROR(__xludf.DUMMYFUNCTION("if(countif(ecn.list,FI10),OFFSET(INDIRECT(CONCAT(""A"",to_text(match(FI10,ecn.list,0)))),0,1),"""")"),"")</f>
        <v/>
      </c>
      <c r="CJ10" s="236" t="str">
        <f>IFERROR(__xludf.DUMMYFUNCTION("if(countif(ecn.list,FJ10),OFFSET(INDIRECT(CONCAT(""A"",to_text(match(FJ10,ecn.list,0)))),0,1),"""")"),"")</f>
        <v/>
      </c>
      <c r="CK10" s="236" t="str">
        <f>IFERROR(__xludf.DUMMYFUNCTION("if(countif(ecn.list,FK10),OFFSET(INDIRECT(CONCAT(""A"",to_text(match(FK10,ecn.list,0)))),0,1),"""")"),"")</f>
        <v/>
      </c>
      <c r="CL10" s="236" t="str">
        <f>IFERROR(__xludf.DUMMYFUNCTION("if(countif(ecn.list,FL10),OFFSET(INDIRECT(CONCAT(""A"",to_text(match(FL10,ecn.list,0)))),0,1),"""")"),"")</f>
        <v/>
      </c>
      <c r="CM10" s="236" t="str">
        <f>IFERROR(__xludf.DUMMYFUNCTION("if(countif(ecn.list,FM10),OFFSET(INDIRECT(CONCAT(""A"",to_text(match(FM10,ecn.list,0)))),0,1),"""")"),"")</f>
        <v/>
      </c>
      <c r="CN10" s="198" t="s">
        <v>103</v>
      </c>
      <c r="CO10" s="198" t="s">
        <v>1453</v>
      </c>
      <c r="CP10" s="198" t="s">
        <v>1453</v>
      </c>
      <c r="CQ10" s="198" t="s">
        <v>1453</v>
      </c>
      <c r="CR10" s="198" t="s">
        <v>1453</v>
      </c>
      <c r="CS10" s="198" t="s">
        <v>1453</v>
      </c>
      <c r="CT10" s="198" t="s">
        <v>1454</v>
      </c>
      <c r="CU10" s="198" t="s">
        <v>1455</v>
      </c>
      <c r="CV10" s="198" t="s">
        <v>1453</v>
      </c>
      <c r="CW10" s="198" t="s">
        <v>1453</v>
      </c>
      <c r="CX10" s="198" t="s">
        <v>1453</v>
      </c>
      <c r="CY10" s="198" t="s">
        <v>1453</v>
      </c>
      <c r="CZ10" s="198" t="s">
        <v>1453</v>
      </c>
      <c r="DA10" s="198" t="s">
        <v>1453</v>
      </c>
      <c r="DB10" s="198" t="s">
        <v>1453</v>
      </c>
      <c r="DC10" s="198" t="s">
        <v>1453</v>
      </c>
      <c r="DD10" s="198" t="s">
        <v>1453</v>
      </c>
      <c r="DE10" s="198" t="s">
        <v>1453</v>
      </c>
      <c r="DF10" s="198" t="s">
        <v>1453</v>
      </c>
      <c r="DG10" s="198" t="s">
        <v>1453</v>
      </c>
      <c r="DH10" s="198" t="s">
        <v>1453</v>
      </c>
      <c r="DI10" s="198" t="s">
        <v>1453</v>
      </c>
      <c r="DJ10" s="198" t="s">
        <v>1453</v>
      </c>
      <c r="DK10" s="198" t="s">
        <v>1453</v>
      </c>
      <c r="DL10" s="198" t="s">
        <v>1453</v>
      </c>
      <c r="DM10" s="198" t="s">
        <v>1453</v>
      </c>
      <c r="DN10" s="198" t="s">
        <v>1453</v>
      </c>
      <c r="DO10" s="198" t="s">
        <v>1453</v>
      </c>
      <c r="DP10" s="198" t="s">
        <v>1453</v>
      </c>
      <c r="DQ10" s="198" t="s">
        <v>1453</v>
      </c>
      <c r="DR10" s="198" t="s">
        <v>1453</v>
      </c>
      <c r="DS10" s="198" t="s">
        <v>1453</v>
      </c>
      <c r="DT10" s="198" t="s">
        <v>1453</v>
      </c>
      <c r="DU10" s="198" t="s">
        <v>1453</v>
      </c>
      <c r="DV10" s="198" t="s">
        <v>1453</v>
      </c>
      <c r="DW10" s="198" t="s">
        <v>1453</v>
      </c>
      <c r="DX10" s="198" t="s">
        <v>1453</v>
      </c>
      <c r="DY10" s="198" t="s">
        <v>1453</v>
      </c>
      <c r="DZ10" s="198" t="s">
        <v>1453</v>
      </c>
      <c r="EA10" s="198" t="s">
        <v>1453</v>
      </c>
      <c r="EB10" s="198" t="s">
        <v>1453</v>
      </c>
      <c r="EC10" s="198" t="s">
        <v>1453</v>
      </c>
      <c r="ED10" s="198" t="s">
        <v>1453</v>
      </c>
      <c r="EE10" s="198" t="s">
        <v>1453</v>
      </c>
      <c r="EF10" s="198" t="s">
        <v>1453</v>
      </c>
      <c r="EG10" s="198" t="s">
        <v>1453</v>
      </c>
      <c r="EH10" s="198" t="s">
        <v>1453</v>
      </c>
      <c r="EI10" s="198" t="s">
        <v>1453</v>
      </c>
      <c r="EJ10" s="198" t="s">
        <v>1453</v>
      </c>
      <c r="EK10" s="198" t="s">
        <v>1453</v>
      </c>
      <c r="EL10" s="198" t="s">
        <v>1453</v>
      </c>
      <c r="EM10" s="198" t="s">
        <v>1453</v>
      </c>
      <c r="EN10" s="198" t="s">
        <v>1453</v>
      </c>
      <c r="EO10" s="198" t="s">
        <v>1453</v>
      </c>
      <c r="EP10" s="198" t="s">
        <v>1453</v>
      </c>
      <c r="EQ10" s="198" t="s">
        <v>1453</v>
      </c>
      <c r="ER10" s="198" t="s">
        <v>1453</v>
      </c>
      <c r="ES10" s="198" t="s">
        <v>1453</v>
      </c>
      <c r="ET10" s="198" t="s">
        <v>1453</v>
      </c>
      <c r="EU10" s="198" t="s">
        <v>1453</v>
      </c>
      <c r="EV10" s="198" t="s">
        <v>1453</v>
      </c>
      <c r="EW10" s="198" t="s">
        <v>1453</v>
      </c>
      <c r="EX10" s="198" t="s">
        <v>1453</v>
      </c>
      <c r="EY10" s="198" t="s">
        <v>1453</v>
      </c>
      <c r="EZ10" s="198" t="s">
        <v>1477</v>
      </c>
      <c r="FA10" s="198" t="s">
        <v>1453</v>
      </c>
      <c r="FB10" s="198" t="s">
        <v>1453</v>
      </c>
      <c r="FC10" s="198" t="s">
        <v>1453</v>
      </c>
      <c r="FD10" s="198" t="s">
        <v>1453</v>
      </c>
      <c r="FE10" s="198" t="s">
        <v>1453</v>
      </c>
      <c r="FF10" s="198" t="s">
        <v>1453</v>
      </c>
      <c r="FG10" s="198" t="s">
        <v>1453</v>
      </c>
      <c r="FH10" s="198" t="s">
        <v>1453</v>
      </c>
      <c r="FI10" s="198" t="s">
        <v>1453</v>
      </c>
      <c r="FJ10" s="198" t="s">
        <v>1453</v>
      </c>
      <c r="FK10" s="198" t="s">
        <v>1453</v>
      </c>
      <c r="FL10" s="198" t="s">
        <v>1453</v>
      </c>
      <c r="FM10" s="198" t="s">
        <v>1453</v>
      </c>
    </row>
    <row r="11">
      <c r="A11" s="236" t="s">
        <v>1507</v>
      </c>
      <c r="B11" s="198" t="str">
        <f t="shared" si="1"/>
        <v>J9 </v>
      </c>
      <c r="C11" s="234">
        <v>9.0</v>
      </c>
      <c r="D11" s="232" t="s">
        <v>770</v>
      </c>
      <c r="E11" s="232" t="s">
        <v>1448</v>
      </c>
      <c r="F11" s="232" t="s">
        <v>1449</v>
      </c>
      <c r="G11" s="232" t="s">
        <v>1450</v>
      </c>
      <c r="H11" s="232" t="s">
        <v>777</v>
      </c>
      <c r="I11" s="232" t="s">
        <v>778</v>
      </c>
      <c r="J11" s="232" t="s">
        <v>779</v>
      </c>
      <c r="K11" s="232" t="s">
        <v>780</v>
      </c>
      <c r="L11" s="188" t="s">
        <v>107</v>
      </c>
      <c r="M11" s="236" t="str">
        <f>IFERROR(__xludf.DUMMYFUNCTION("regexreplace(N11,"" "","", "")"),"J0, J1, J2, J5, J6, J7, JA, JC, K0, K5, K7, K9, KA, KB, KC, KD, KF, L1, L8, LA, LC, LF, M0, M1, M3, M4, M8, MB, MD, MF, N2, N7, NA, ")</f>
        <v>J0, J1, J2, J5, J6, J7, JA, JC, K0, K5, K7, K9, KA, KB, KC, KD, KF, L1, L8, LA, LC, LF, M0, M1, M3, M4, M8, MB, MD, MF, N2, N7, NA, </v>
      </c>
      <c r="N11" s="236" t="str">
        <f t="shared" si="2"/>
        <v>J0 J1 J2 J5 J6 J7 JA JC K0 K5 K7 K9 KA KB KC KD KF L1 L8 LA LC LF M0 M1 M3 M4 M8 MB MD MF N2 N7 NA </v>
      </c>
      <c r="O11" s="236" t="str">
        <f>IFERROR(__xludf.DUMMYFUNCTION("if(countif(ecn.list,CO11),OFFSET(INDIRECT(CONCAT(""A"",to_text(match(CO11,ecn.list,0)))),0,1),"""")"),"J0 ")</f>
        <v>J0 </v>
      </c>
      <c r="P11" s="236" t="str">
        <f>IFERROR(__xludf.DUMMYFUNCTION("if(countif(ecn.list,CP11),OFFSET(INDIRECT(CONCAT(""A"",to_text(match(CP11,ecn.list,0)))),0,1),"""")"),"J1 ")</f>
        <v>J1 </v>
      </c>
      <c r="Q11" s="236" t="str">
        <f>IFERROR(__xludf.DUMMYFUNCTION("if(countif(ecn.list,CQ11),OFFSET(INDIRECT(CONCAT(""A"",to_text(match(CQ11,ecn.list,0)))),0,1),"""")"),"J2 ")</f>
        <v>J2 </v>
      </c>
      <c r="R11" s="236" t="str">
        <f>IFERROR(__xludf.DUMMYFUNCTION("if(countif(ecn.list,CR11),OFFSET(INDIRECT(CONCAT(""A"",to_text(match(CR11,ecn.list,0)))),0,1),"""")"),"")</f>
        <v/>
      </c>
      <c r="S11" s="236" t="str">
        <f>IFERROR(__xludf.DUMMYFUNCTION("if(countif(ecn.list,CS11),OFFSET(INDIRECT(CONCAT(""A"",to_text(match(CS11,ecn.list,0)))),0,1),"""")"),"")</f>
        <v/>
      </c>
      <c r="T11" s="236" t="str">
        <f>IFERROR(__xludf.DUMMYFUNCTION("if(countif(ecn.list,CT11),OFFSET(INDIRECT(CONCAT(""A"",to_text(match(CT11,ecn.list,0)))),0,1),"""")"),"J5 ")</f>
        <v>J5 </v>
      </c>
      <c r="U11" s="236" t="str">
        <f>IFERROR(__xludf.DUMMYFUNCTION("if(countif(ecn.list,CU11),OFFSET(INDIRECT(CONCAT(""A"",to_text(match(CU11,ecn.list,0)))),0,1),"""")"),"J6 ")</f>
        <v>J6 </v>
      </c>
      <c r="V11" s="236" t="str">
        <f>IFERROR(__xludf.DUMMYFUNCTION("if(countif(ecn.list,CV11),OFFSET(INDIRECT(CONCAT(""A"",to_text(match(CV11,ecn.list,0)))),0,1),"""")"),"J7 ")</f>
        <v>J7 </v>
      </c>
      <c r="W11" s="236" t="str">
        <f>IFERROR(__xludf.DUMMYFUNCTION("if(countif(ecn.list,CW11),OFFSET(INDIRECT(CONCAT(""A"",to_text(match(CW11,ecn.list,0)))),0,1),"""")"),"")</f>
        <v/>
      </c>
      <c r="X11" s="236" t="str">
        <f>IFERROR(__xludf.DUMMYFUNCTION("if(countif(ecn.list,CX11),OFFSET(INDIRECT(CONCAT(""A"",to_text(match(CX11,ecn.list,0)))),0,1),"""")"),"")</f>
        <v/>
      </c>
      <c r="Y11" s="236" t="str">
        <f>IFERROR(__xludf.DUMMYFUNCTION("if(countif(ecn.list,CY11),OFFSET(INDIRECT(CONCAT(""A"",to_text(match(CY11,ecn.list,0)))),0,1),"""")"),"JA ")</f>
        <v>JA </v>
      </c>
      <c r="Z11" s="236" t="str">
        <f>IFERROR(__xludf.DUMMYFUNCTION("if(countif(ecn.list,CZ11),OFFSET(INDIRECT(CONCAT(""A"",to_text(match(CZ11,ecn.list,0)))),0,1),"""")"),"")</f>
        <v/>
      </c>
      <c r="AA11" s="236" t="str">
        <f>IFERROR(__xludf.DUMMYFUNCTION("if(countif(ecn.list,DA11),OFFSET(INDIRECT(CONCAT(""A"",to_text(match(DA11,ecn.list,0)))),0,1),"""")"),"JC ")</f>
        <v>JC </v>
      </c>
      <c r="AB11" s="236" t="str">
        <f>IFERROR(__xludf.DUMMYFUNCTION("if(countif(ecn.list,DB11),OFFSET(INDIRECT(CONCAT(""A"",to_text(match(DB11,ecn.list,0)))),0,1),"""")"),"")</f>
        <v/>
      </c>
      <c r="AC11" s="236" t="str">
        <f>IFERROR(__xludf.DUMMYFUNCTION("if(countif(ecn.list,DC11),OFFSET(INDIRECT(CONCAT(""A"",to_text(match(DC11,ecn.list,0)))),0,1),"""")"),"")</f>
        <v/>
      </c>
      <c r="AD11" s="236" t="str">
        <f>IFERROR(__xludf.DUMMYFUNCTION("if(countif(ecn.list,DD11),OFFSET(INDIRECT(CONCAT(""A"",to_text(match(DD11,ecn.list,0)))),0,1),"""")"),"")</f>
        <v/>
      </c>
      <c r="AE11" s="236" t="str">
        <f>IFERROR(__xludf.DUMMYFUNCTION("if(countif(ecn.list,DE11),OFFSET(INDIRECT(CONCAT(""A"",to_text(match(DE11,ecn.list,0)))),0,1),"""")"),"K0 ")</f>
        <v>K0 </v>
      </c>
      <c r="AF11" s="236" t="str">
        <f>IFERROR(__xludf.DUMMYFUNCTION("if(countif(ecn.list,DF11),OFFSET(INDIRECT(CONCAT(""A"",to_text(match(DF11,ecn.list,0)))),0,1),"""")"),"")</f>
        <v/>
      </c>
      <c r="AG11" s="236" t="str">
        <f>IFERROR(__xludf.DUMMYFUNCTION("if(countif(ecn.list,DG11),OFFSET(INDIRECT(CONCAT(""A"",to_text(match(DG11,ecn.list,0)))),0,1),"""")"),"")</f>
        <v/>
      </c>
      <c r="AH11" s="236" t="str">
        <f>IFERROR(__xludf.DUMMYFUNCTION("if(countif(ecn.list,DH11),OFFSET(INDIRECT(CONCAT(""A"",to_text(match(DH11,ecn.list,0)))),0,1),"""")"),"")</f>
        <v/>
      </c>
      <c r="AI11" s="236" t="str">
        <f>IFERROR(__xludf.DUMMYFUNCTION("if(countif(ecn.list,DI11),OFFSET(INDIRECT(CONCAT(""A"",to_text(match(DI11,ecn.list,0)))),0,1),"""")"),"")</f>
        <v/>
      </c>
      <c r="AJ11" s="236" t="str">
        <f>IFERROR(__xludf.DUMMYFUNCTION("if(countif(ecn.list,DJ11),OFFSET(INDIRECT(CONCAT(""A"",to_text(match(DJ11,ecn.list,0)))),0,1),"""")"),"K5 ")</f>
        <v>K5 </v>
      </c>
      <c r="AK11" s="236" t="str">
        <f>IFERROR(__xludf.DUMMYFUNCTION("if(countif(ecn.list,DK11),OFFSET(INDIRECT(CONCAT(""A"",to_text(match(DK11,ecn.list,0)))),0,1),"""")"),"")</f>
        <v/>
      </c>
      <c r="AL11" s="236" t="str">
        <f>IFERROR(__xludf.DUMMYFUNCTION("if(countif(ecn.list,DL11),OFFSET(INDIRECT(CONCAT(""A"",to_text(match(DL11,ecn.list,0)))),0,1),"""")"),"K7 ")</f>
        <v>K7 </v>
      </c>
      <c r="AM11" s="236" t="str">
        <f>IFERROR(__xludf.DUMMYFUNCTION("if(countif(ecn.list,DM11),OFFSET(INDIRECT(CONCAT(""A"",to_text(match(DM11,ecn.list,0)))),0,1),"""")"),"")</f>
        <v/>
      </c>
      <c r="AN11" s="236" t="str">
        <f>IFERROR(__xludf.DUMMYFUNCTION("if(countif(ecn.list,DN11),OFFSET(INDIRECT(CONCAT(""A"",to_text(match(DN11,ecn.list,0)))),0,1),"""")"),"K9 ")</f>
        <v>K9 </v>
      </c>
      <c r="AO11" s="236" t="str">
        <f>IFERROR(__xludf.DUMMYFUNCTION("if(countif(ecn.list,DO11),OFFSET(INDIRECT(CONCAT(""A"",to_text(match(DO11,ecn.list,0)))),0,1),"""")"),"KA ")</f>
        <v>KA </v>
      </c>
      <c r="AP11" s="236" t="str">
        <f>IFERROR(__xludf.DUMMYFUNCTION("if(countif(ecn.list,DP11),OFFSET(INDIRECT(CONCAT(""A"",to_text(match(DP11,ecn.list,0)))),0,1),"""")"),"KB ")</f>
        <v>KB </v>
      </c>
      <c r="AQ11" s="236" t="str">
        <f>IFERROR(__xludf.DUMMYFUNCTION("if(countif(ecn.list,DQ11),OFFSET(INDIRECT(CONCAT(""A"",to_text(match(DQ11,ecn.list,0)))),0,1),"""")"),"KC ")</f>
        <v>KC </v>
      </c>
      <c r="AR11" s="236" t="str">
        <f>IFERROR(__xludf.DUMMYFUNCTION("if(countif(ecn.list,DR11),OFFSET(INDIRECT(CONCAT(""A"",to_text(match(DR11,ecn.list,0)))),0,1),"""")"),"KD ")</f>
        <v>KD </v>
      </c>
      <c r="AS11" s="236" t="str">
        <f>IFERROR(__xludf.DUMMYFUNCTION("if(countif(ecn.list,DS11),OFFSET(INDIRECT(CONCAT(""A"",to_text(match(DS11,ecn.list,0)))),0,1),"""")"),"")</f>
        <v/>
      </c>
      <c r="AT11" s="236" t="str">
        <f>IFERROR(__xludf.DUMMYFUNCTION("if(countif(ecn.list,DT11),OFFSET(INDIRECT(CONCAT(""A"",to_text(match(DT11,ecn.list,0)))),0,1),"""")"),"KF ")</f>
        <v>KF </v>
      </c>
      <c r="AU11" s="236" t="str">
        <f>IFERROR(__xludf.DUMMYFUNCTION("if(countif(ecn.list,DU11),OFFSET(INDIRECT(CONCAT(""A"",to_text(match(DU11,ecn.list,0)))),0,1),"""")"),"")</f>
        <v/>
      </c>
      <c r="AV11" s="236" t="str">
        <f>IFERROR(__xludf.DUMMYFUNCTION("if(countif(ecn.list,DV11),OFFSET(INDIRECT(CONCAT(""A"",to_text(match(DV11,ecn.list,0)))),0,1),"""")"),"L1 ")</f>
        <v>L1 </v>
      </c>
      <c r="AW11" s="236" t="str">
        <f>IFERROR(__xludf.DUMMYFUNCTION("if(countif(ecn.list,DW11),OFFSET(INDIRECT(CONCAT(""A"",to_text(match(DW11,ecn.list,0)))),0,1),"""")"),"")</f>
        <v/>
      </c>
      <c r="AX11" s="236" t="str">
        <f>IFERROR(__xludf.DUMMYFUNCTION("if(countif(ecn.list,DX11),OFFSET(INDIRECT(CONCAT(""A"",to_text(match(DX11,ecn.list,0)))),0,1),"""")"),"")</f>
        <v/>
      </c>
      <c r="AY11" s="236" t="str">
        <f>IFERROR(__xludf.DUMMYFUNCTION("if(countif(ecn.list,DY11),OFFSET(INDIRECT(CONCAT(""A"",to_text(match(DY11,ecn.list,0)))),0,1),"""")"),"")</f>
        <v/>
      </c>
      <c r="AZ11" s="236" t="str">
        <f>IFERROR(__xludf.DUMMYFUNCTION("if(countif(ecn.list,DZ11),OFFSET(INDIRECT(CONCAT(""A"",to_text(match(DZ11,ecn.list,0)))),0,1),"""")"),"")</f>
        <v/>
      </c>
      <c r="BA11" s="236" t="str">
        <f>IFERROR(__xludf.DUMMYFUNCTION("if(countif(ecn.list,EA11),OFFSET(INDIRECT(CONCAT(""A"",to_text(match(EA11,ecn.list,0)))),0,1),"""")"),"")</f>
        <v/>
      </c>
      <c r="BB11" s="236" t="str">
        <f>IFERROR(__xludf.DUMMYFUNCTION("if(countif(ecn.list,EB11),OFFSET(INDIRECT(CONCAT(""A"",to_text(match(EB11,ecn.list,0)))),0,1),"""")"),"")</f>
        <v/>
      </c>
      <c r="BC11" s="236" t="str">
        <f>IFERROR(__xludf.DUMMYFUNCTION("if(countif(ecn.list,EC11),OFFSET(INDIRECT(CONCAT(""A"",to_text(match(EC11,ecn.list,0)))),0,1),"""")"),"L8 ")</f>
        <v>L8 </v>
      </c>
      <c r="BD11" s="236" t="str">
        <f>IFERROR(__xludf.DUMMYFUNCTION("if(countif(ecn.list,ED11),OFFSET(INDIRECT(CONCAT(""A"",to_text(match(ED11,ecn.list,0)))),0,1),"""")"),"")</f>
        <v/>
      </c>
      <c r="BE11" s="236" t="str">
        <f>IFERROR(__xludf.DUMMYFUNCTION("if(countif(ecn.list,EE11),OFFSET(INDIRECT(CONCAT(""A"",to_text(match(EE11,ecn.list,0)))),0,1),"""")"),"LA ")</f>
        <v>LA </v>
      </c>
      <c r="BF11" s="236" t="str">
        <f>IFERROR(__xludf.DUMMYFUNCTION("if(countif(ecn.list,EF11),OFFSET(INDIRECT(CONCAT(""A"",to_text(match(EF11,ecn.list,0)))),0,1),"""")"),"")</f>
        <v/>
      </c>
      <c r="BG11" s="236" t="str">
        <f>IFERROR(__xludf.DUMMYFUNCTION("if(countif(ecn.list,EG11),OFFSET(INDIRECT(CONCAT(""A"",to_text(match(EG11,ecn.list,0)))),0,1),"""")"),"LC ")</f>
        <v>LC </v>
      </c>
      <c r="BH11" s="236" t="str">
        <f>IFERROR(__xludf.DUMMYFUNCTION("if(countif(ecn.list,EH11),OFFSET(INDIRECT(CONCAT(""A"",to_text(match(EH11,ecn.list,0)))),0,1),"""")"),"")</f>
        <v/>
      </c>
      <c r="BI11" s="236" t="str">
        <f>IFERROR(__xludf.DUMMYFUNCTION("if(countif(ecn.list,EI11),OFFSET(INDIRECT(CONCAT(""A"",to_text(match(EI11,ecn.list,0)))),0,1),"""")"),"")</f>
        <v/>
      </c>
      <c r="BJ11" s="236" t="str">
        <f>IFERROR(__xludf.DUMMYFUNCTION("if(countif(ecn.list,EJ11),OFFSET(INDIRECT(CONCAT(""A"",to_text(match(EJ11,ecn.list,0)))),0,1),"""")"),"LF ")</f>
        <v>LF </v>
      </c>
      <c r="BK11" s="236" t="str">
        <f>IFERROR(__xludf.DUMMYFUNCTION("if(countif(ecn.list,EK11),OFFSET(INDIRECT(CONCAT(""A"",to_text(match(EK11,ecn.list,0)))),0,1),"""")"),"M0 ")</f>
        <v>M0 </v>
      </c>
      <c r="BL11" s="236" t="str">
        <f>IFERROR(__xludf.DUMMYFUNCTION("if(countif(ecn.list,EL11),OFFSET(INDIRECT(CONCAT(""A"",to_text(match(EL11,ecn.list,0)))),0,1),"""")"),"M1 ")</f>
        <v>M1 </v>
      </c>
      <c r="BM11" s="236" t="str">
        <f>IFERROR(__xludf.DUMMYFUNCTION("if(countif(ecn.list,EM11),OFFSET(INDIRECT(CONCAT(""A"",to_text(match(EM11,ecn.list,0)))),0,1),"""")"),"")</f>
        <v/>
      </c>
      <c r="BN11" s="236" t="str">
        <f>IFERROR(__xludf.DUMMYFUNCTION("if(countif(ecn.list,EN11),OFFSET(INDIRECT(CONCAT(""A"",to_text(match(EN11,ecn.list,0)))),0,1),"""")"),"M3 ")</f>
        <v>M3 </v>
      </c>
      <c r="BO11" s="236" t="str">
        <f>IFERROR(__xludf.DUMMYFUNCTION("if(countif(ecn.list,EO11),OFFSET(INDIRECT(CONCAT(""A"",to_text(match(EO11,ecn.list,0)))),0,1),"""")"),"M4 ")</f>
        <v>M4 </v>
      </c>
      <c r="BP11" s="236" t="str">
        <f>IFERROR(__xludf.DUMMYFUNCTION("if(countif(ecn.list,EP11),OFFSET(INDIRECT(CONCAT(""A"",to_text(match(EP11,ecn.list,0)))),0,1),"""")"),"")</f>
        <v/>
      </c>
      <c r="BQ11" s="236" t="str">
        <f>IFERROR(__xludf.DUMMYFUNCTION("if(countif(ecn.list,EQ11),OFFSET(INDIRECT(CONCAT(""A"",to_text(match(EQ11,ecn.list,0)))),0,1),"""")"),"")</f>
        <v/>
      </c>
      <c r="BR11" s="236" t="str">
        <f>IFERROR(__xludf.DUMMYFUNCTION("if(countif(ecn.list,ER11),OFFSET(INDIRECT(CONCAT(""A"",to_text(match(ER11,ecn.list,0)))),0,1),"""")"),"")</f>
        <v/>
      </c>
      <c r="BS11" s="236" t="str">
        <f>IFERROR(__xludf.DUMMYFUNCTION("if(countif(ecn.list,ES11),OFFSET(INDIRECT(CONCAT(""A"",to_text(match(ES11,ecn.list,0)))),0,1),"""")"),"M8 ")</f>
        <v>M8 </v>
      </c>
      <c r="BT11" s="236" t="str">
        <f>IFERROR(__xludf.DUMMYFUNCTION("if(countif(ecn.list,ET11),OFFSET(INDIRECT(CONCAT(""A"",to_text(match(ET11,ecn.list,0)))),0,1),"""")"),"")</f>
        <v/>
      </c>
      <c r="BU11" s="236" t="str">
        <f>IFERROR(__xludf.DUMMYFUNCTION("if(countif(ecn.list,EU11),OFFSET(INDIRECT(CONCAT(""A"",to_text(match(EU11,ecn.list,0)))),0,1),"""")"),"")</f>
        <v/>
      </c>
      <c r="BV11" s="236" t="str">
        <f>IFERROR(__xludf.DUMMYFUNCTION("if(countif(ecn.list,EV11),OFFSET(INDIRECT(CONCAT(""A"",to_text(match(EV11,ecn.list,0)))),0,1),"""")"),"MB ")</f>
        <v>MB </v>
      </c>
      <c r="BW11" s="236" t="str">
        <f>IFERROR(__xludf.DUMMYFUNCTION("if(countif(ecn.list,EW11),OFFSET(INDIRECT(CONCAT(""A"",to_text(match(EW11,ecn.list,0)))),0,1),"""")"),"")</f>
        <v/>
      </c>
      <c r="BX11" s="236" t="str">
        <f>IFERROR(__xludf.DUMMYFUNCTION("if(countif(ecn.list,EX11),OFFSET(INDIRECT(CONCAT(""A"",to_text(match(EX11,ecn.list,0)))),0,1),"""")"),"MD ")</f>
        <v>MD </v>
      </c>
      <c r="BY11" s="236" t="str">
        <f>IFERROR(__xludf.DUMMYFUNCTION("if(countif(ecn.list,EY11),OFFSET(INDIRECT(CONCAT(""A"",to_text(match(EY11,ecn.list,0)))),0,1),"""")"),"")</f>
        <v/>
      </c>
      <c r="BZ11" s="236" t="str">
        <f>IFERROR(__xludf.DUMMYFUNCTION("if(countif(ecn.list,EZ11),OFFSET(INDIRECT(CONCAT(""A"",to_text(match(EZ11,ecn.list,0)))),0,1),"""")"),"MF ")</f>
        <v>MF </v>
      </c>
      <c r="CA11" s="236" t="str">
        <f>IFERROR(__xludf.DUMMYFUNCTION("if(countif(ecn.list,FA11),OFFSET(INDIRECT(CONCAT(""A"",to_text(match(FA11,ecn.list,0)))),0,1),"""")"),"")</f>
        <v/>
      </c>
      <c r="CB11" s="236" t="str">
        <f>IFERROR(__xludf.DUMMYFUNCTION("if(countif(ecn.list,FB11),OFFSET(INDIRECT(CONCAT(""A"",to_text(match(FB11,ecn.list,0)))),0,1),"""")"),"")</f>
        <v/>
      </c>
      <c r="CC11" s="236" t="str">
        <f>IFERROR(__xludf.DUMMYFUNCTION("if(countif(ecn.list,FC11),OFFSET(INDIRECT(CONCAT(""A"",to_text(match(FC11,ecn.list,0)))),0,1),"""")"),"N2 ")</f>
        <v>N2 </v>
      </c>
      <c r="CD11" s="236" t="str">
        <f>IFERROR(__xludf.DUMMYFUNCTION("if(countif(ecn.list,FD11),OFFSET(INDIRECT(CONCAT(""A"",to_text(match(FD11,ecn.list,0)))),0,1),"""")"),"")</f>
        <v/>
      </c>
      <c r="CE11" s="236" t="str">
        <f>IFERROR(__xludf.DUMMYFUNCTION("if(countif(ecn.list,FE11),OFFSET(INDIRECT(CONCAT(""A"",to_text(match(FE11,ecn.list,0)))),0,1),"""")"),"")</f>
        <v/>
      </c>
      <c r="CF11" s="236" t="str">
        <f>IFERROR(__xludf.DUMMYFUNCTION("if(countif(ecn.list,FF11),OFFSET(INDIRECT(CONCAT(""A"",to_text(match(FF11,ecn.list,0)))),0,1),"""")"),"")</f>
        <v/>
      </c>
      <c r="CG11" s="236" t="str">
        <f>IFERROR(__xludf.DUMMYFUNCTION("if(countif(ecn.list,FG11),OFFSET(INDIRECT(CONCAT(""A"",to_text(match(FG11,ecn.list,0)))),0,1),"""")"),"")</f>
        <v/>
      </c>
      <c r="CH11" s="236" t="str">
        <f>IFERROR(__xludf.DUMMYFUNCTION("if(countif(ecn.list,FH11),OFFSET(INDIRECT(CONCAT(""A"",to_text(match(FH11,ecn.list,0)))),0,1),"""")"),"N7 ")</f>
        <v>N7 </v>
      </c>
      <c r="CI11" s="236" t="str">
        <f>IFERROR(__xludf.DUMMYFUNCTION("if(countif(ecn.list,FI11),OFFSET(INDIRECT(CONCAT(""A"",to_text(match(FI11,ecn.list,0)))),0,1),"""")"),"")</f>
        <v/>
      </c>
      <c r="CJ11" s="236" t="str">
        <f>IFERROR(__xludf.DUMMYFUNCTION("if(countif(ecn.list,FJ11),OFFSET(INDIRECT(CONCAT(""A"",to_text(match(FJ11,ecn.list,0)))),0,1),"""")"),"")</f>
        <v/>
      </c>
      <c r="CK11" s="236" t="str">
        <f>IFERROR(__xludf.DUMMYFUNCTION("if(countif(ecn.list,FK11),OFFSET(INDIRECT(CONCAT(""A"",to_text(match(FK11,ecn.list,0)))),0,1),"""")"),"NA ")</f>
        <v>NA </v>
      </c>
      <c r="CL11" s="236" t="str">
        <f>IFERROR(__xludf.DUMMYFUNCTION("if(countif(ecn.list,FL11),OFFSET(INDIRECT(CONCAT(""A"",to_text(match(FL11,ecn.list,0)))),0,1),"""")"),"")</f>
        <v/>
      </c>
      <c r="CM11" s="236" t="str">
        <f>IFERROR(__xludf.DUMMYFUNCTION("if(countif(ecn.list,FM11),OFFSET(INDIRECT(CONCAT(""A"",to_text(match(FM11,ecn.list,0)))),0,1),"""")"),"")</f>
        <v/>
      </c>
      <c r="CN11" s="198" t="s">
        <v>107</v>
      </c>
      <c r="CO11" s="198" t="s">
        <v>1447</v>
      </c>
      <c r="CP11" s="198" t="s">
        <v>1451</v>
      </c>
      <c r="CQ11" s="198" t="s">
        <v>1452</v>
      </c>
      <c r="CR11" s="198" t="s">
        <v>1453</v>
      </c>
      <c r="CS11" s="198" t="s">
        <v>1453</v>
      </c>
      <c r="CT11" s="198" t="s">
        <v>1454</v>
      </c>
      <c r="CU11" s="198" t="s">
        <v>1455</v>
      </c>
      <c r="CV11" s="198" t="s">
        <v>1456</v>
      </c>
      <c r="CW11" s="198" t="s">
        <v>1453</v>
      </c>
      <c r="CX11" s="198" t="s">
        <v>1453</v>
      </c>
      <c r="CY11" s="198" t="s">
        <v>1484</v>
      </c>
      <c r="CZ11" s="198" t="s">
        <v>1453</v>
      </c>
      <c r="DA11" s="198" t="s">
        <v>1457</v>
      </c>
      <c r="DB11" s="198" t="s">
        <v>1453</v>
      </c>
      <c r="DC11" s="198" t="s">
        <v>1453</v>
      </c>
      <c r="DD11" s="198" t="s">
        <v>1453</v>
      </c>
      <c r="DE11" s="198" t="s">
        <v>1459</v>
      </c>
      <c r="DF11" s="198" t="s">
        <v>1453</v>
      </c>
      <c r="DG11" s="198" t="s">
        <v>1453</v>
      </c>
      <c r="DH11" s="198" t="s">
        <v>1453</v>
      </c>
      <c r="DI11" s="198" t="s">
        <v>1453</v>
      </c>
      <c r="DJ11" s="198" t="s">
        <v>1460</v>
      </c>
      <c r="DK11" s="198" t="s">
        <v>1453</v>
      </c>
      <c r="DL11" s="198" t="s">
        <v>1461</v>
      </c>
      <c r="DM11" s="198" t="s">
        <v>1453</v>
      </c>
      <c r="DN11" s="198" t="s">
        <v>1463</v>
      </c>
      <c r="DO11" s="198" t="s">
        <v>1464</v>
      </c>
      <c r="DP11" s="198" t="s">
        <v>1465</v>
      </c>
      <c r="DQ11" s="198" t="s">
        <v>1466</v>
      </c>
      <c r="DR11" s="198" t="s">
        <v>1467</v>
      </c>
      <c r="DS11" s="198" t="s">
        <v>1453</v>
      </c>
      <c r="DT11" s="198" t="s">
        <v>1468</v>
      </c>
      <c r="DU11" s="198" t="s">
        <v>1453</v>
      </c>
      <c r="DV11" s="198" t="s">
        <v>1469</v>
      </c>
      <c r="DW11" s="198" t="s">
        <v>1453</v>
      </c>
      <c r="DX11" s="198" t="s">
        <v>1453</v>
      </c>
      <c r="DY11" s="198" t="s">
        <v>1453</v>
      </c>
      <c r="DZ11" s="198" t="s">
        <v>1453</v>
      </c>
      <c r="EA11" s="198" t="s">
        <v>1453</v>
      </c>
      <c r="EB11" s="198" t="s">
        <v>1453</v>
      </c>
      <c r="EC11" s="198" t="s">
        <v>1483</v>
      </c>
      <c r="ED11" s="198" t="s">
        <v>1453</v>
      </c>
      <c r="EE11" s="198" t="s">
        <v>1470</v>
      </c>
      <c r="EF11" s="198" t="s">
        <v>1453</v>
      </c>
      <c r="EG11" s="198" t="s">
        <v>1471</v>
      </c>
      <c r="EH11" s="198" t="s">
        <v>1453</v>
      </c>
      <c r="EI11" s="198" t="s">
        <v>1453</v>
      </c>
      <c r="EJ11" s="198" t="s">
        <v>1472</v>
      </c>
      <c r="EK11" s="198" t="s">
        <v>1487</v>
      </c>
      <c r="EL11" s="198" t="s">
        <v>1473</v>
      </c>
      <c r="EM11" s="198" t="s">
        <v>1453</v>
      </c>
      <c r="EN11" s="198" t="s">
        <v>1474</v>
      </c>
      <c r="EO11" s="198" t="s">
        <v>1475</v>
      </c>
      <c r="EP11" s="198" t="s">
        <v>1453</v>
      </c>
      <c r="EQ11" s="198" t="s">
        <v>1453</v>
      </c>
      <c r="ER11" s="198" t="s">
        <v>1453</v>
      </c>
      <c r="ES11" s="198" t="s">
        <v>1505</v>
      </c>
      <c r="ET11" s="198" t="s">
        <v>1453</v>
      </c>
      <c r="EU11" s="198" t="s">
        <v>1453</v>
      </c>
      <c r="EV11" s="198" t="s">
        <v>1476</v>
      </c>
      <c r="EW11" s="198" t="s">
        <v>1453</v>
      </c>
      <c r="EX11" s="198" t="s">
        <v>1488</v>
      </c>
      <c r="EY11" s="198" t="s">
        <v>1453</v>
      </c>
      <c r="EZ11" s="198" t="s">
        <v>1477</v>
      </c>
      <c r="FA11" s="198" t="s">
        <v>1453</v>
      </c>
      <c r="FB11" s="198" t="s">
        <v>1453</v>
      </c>
      <c r="FC11" s="198" t="s">
        <v>1478</v>
      </c>
      <c r="FD11" s="198" t="s">
        <v>1453</v>
      </c>
      <c r="FE11" s="198" t="s">
        <v>1453</v>
      </c>
      <c r="FF11" s="198" t="s">
        <v>1453</v>
      </c>
      <c r="FG11" s="198" t="s">
        <v>1453</v>
      </c>
      <c r="FH11" s="198" t="s">
        <v>1479</v>
      </c>
      <c r="FI11" s="198" t="s">
        <v>1453</v>
      </c>
      <c r="FJ11" s="198" t="s">
        <v>1453</v>
      </c>
      <c r="FK11" s="198" t="s">
        <v>1481</v>
      </c>
      <c r="FL11" s="198" t="s">
        <v>1482</v>
      </c>
      <c r="FM11" s="198" t="s">
        <v>1453</v>
      </c>
    </row>
    <row r="12">
      <c r="A12" s="198" t="s">
        <v>1484</v>
      </c>
      <c r="B12" s="198" t="str">
        <f t="shared" si="1"/>
        <v>JA </v>
      </c>
      <c r="C12" s="234" t="s">
        <v>1508</v>
      </c>
      <c r="D12" s="232" t="s">
        <v>770</v>
      </c>
      <c r="E12" s="232" t="s">
        <v>1448</v>
      </c>
      <c r="F12" s="232" t="s">
        <v>1449</v>
      </c>
      <c r="G12" s="232" t="s">
        <v>1450</v>
      </c>
      <c r="H12" s="232" t="s">
        <v>788</v>
      </c>
      <c r="I12" s="232" t="s">
        <v>980</v>
      </c>
      <c r="J12" s="232" t="s">
        <v>847</v>
      </c>
      <c r="K12" s="232" t="s">
        <v>1095</v>
      </c>
      <c r="L12" s="188" t="s">
        <v>111</v>
      </c>
      <c r="M12" s="236" t="str">
        <f>IFERROR(__xludf.DUMMYFUNCTION("regexreplace(N12,"" "","", "")"),"J0, J1, J2, J5, J6, J7, JC, JF, K0, K5, K7, K8, KA, KB, KC, KD, KF, L1, LA, LC, LD, LF, M1, M3, M4, MB, MF, N2, N4, N7, N8, NA, ")</f>
        <v>J0, J1, J2, J5, J6, J7, JC, JF, K0, K5, K7, K8, KA, KB, KC, KD, KF, L1, LA, LC, LD, LF, M1, M3, M4, MB, MF, N2, N4, N7, N8, NA, </v>
      </c>
      <c r="N12" s="236" t="str">
        <f t="shared" si="2"/>
        <v>J0 J1 J2 J5 J6 J7 JC JF K0 K5 K7 K8 KA KB KC KD KF L1 LA LC LD LF M1 M3 M4 MB MF N2 N4 N7 N8 NA </v>
      </c>
      <c r="O12" s="236" t="str">
        <f>IFERROR(__xludf.DUMMYFUNCTION("if(countif(ecn.list,CO12),OFFSET(INDIRECT(CONCAT(""A"",to_text(match(CO12,ecn.list,0)))),0,1),"""")"),"J0 ")</f>
        <v>J0 </v>
      </c>
      <c r="P12" s="236" t="str">
        <f>IFERROR(__xludf.DUMMYFUNCTION("if(countif(ecn.list,CP12),OFFSET(INDIRECT(CONCAT(""A"",to_text(match(CP12,ecn.list,0)))),0,1),"""")"),"J1 ")</f>
        <v>J1 </v>
      </c>
      <c r="Q12" s="236" t="str">
        <f>IFERROR(__xludf.DUMMYFUNCTION("if(countif(ecn.list,CQ12),OFFSET(INDIRECT(CONCAT(""A"",to_text(match(CQ12,ecn.list,0)))),0,1),"""")"),"J2 ")</f>
        <v>J2 </v>
      </c>
      <c r="R12" s="236" t="str">
        <f>IFERROR(__xludf.DUMMYFUNCTION("if(countif(ecn.list,CR12),OFFSET(INDIRECT(CONCAT(""A"",to_text(match(CR12,ecn.list,0)))),0,1),"""")"),"")</f>
        <v/>
      </c>
      <c r="S12" s="236" t="str">
        <f>IFERROR(__xludf.DUMMYFUNCTION("if(countif(ecn.list,CS12),OFFSET(INDIRECT(CONCAT(""A"",to_text(match(CS12,ecn.list,0)))),0,1),"""")"),"")</f>
        <v/>
      </c>
      <c r="T12" s="236" t="str">
        <f>IFERROR(__xludf.DUMMYFUNCTION("if(countif(ecn.list,CT12),OFFSET(INDIRECT(CONCAT(""A"",to_text(match(CT12,ecn.list,0)))),0,1),"""")"),"J5 ")</f>
        <v>J5 </v>
      </c>
      <c r="U12" s="236" t="str">
        <f>IFERROR(__xludf.DUMMYFUNCTION("if(countif(ecn.list,CU12),OFFSET(INDIRECT(CONCAT(""A"",to_text(match(CU12,ecn.list,0)))),0,1),"""")"),"J6 ")</f>
        <v>J6 </v>
      </c>
      <c r="V12" s="236" t="str">
        <f>IFERROR(__xludf.DUMMYFUNCTION("if(countif(ecn.list,CV12),OFFSET(INDIRECT(CONCAT(""A"",to_text(match(CV12,ecn.list,0)))),0,1),"""")"),"J7 ")</f>
        <v>J7 </v>
      </c>
      <c r="W12" s="236" t="str">
        <f>IFERROR(__xludf.DUMMYFUNCTION("if(countif(ecn.list,CW12),OFFSET(INDIRECT(CONCAT(""A"",to_text(match(CW12,ecn.list,0)))),0,1),"""")"),"")</f>
        <v/>
      </c>
      <c r="X12" s="236" t="str">
        <f>IFERROR(__xludf.DUMMYFUNCTION("if(countif(ecn.list,CX12),OFFSET(INDIRECT(CONCAT(""A"",to_text(match(CX12,ecn.list,0)))),0,1),"""")"),"")</f>
        <v/>
      </c>
      <c r="Y12" s="236" t="str">
        <f>IFERROR(__xludf.DUMMYFUNCTION("if(countif(ecn.list,CY12),OFFSET(INDIRECT(CONCAT(""A"",to_text(match(CY12,ecn.list,0)))),0,1),"""")"),"")</f>
        <v/>
      </c>
      <c r="Z12" s="236" t="str">
        <f>IFERROR(__xludf.DUMMYFUNCTION("if(countif(ecn.list,CZ12),OFFSET(INDIRECT(CONCAT(""A"",to_text(match(CZ12,ecn.list,0)))),0,1),"""")"),"")</f>
        <v/>
      </c>
      <c r="AA12" s="236" t="str">
        <f>IFERROR(__xludf.DUMMYFUNCTION("if(countif(ecn.list,DA12),OFFSET(INDIRECT(CONCAT(""A"",to_text(match(DA12,ecn.list,0)))),0,1),"""")"),"JC ")</f>
        <v>JC </v>
      </c>
      <c r="AB12" s="236" t="str">
        <f>IFERROR(__xludf.DUMMYFUNCTION("if(countif(ecn.list,DB12),OFFSET(INDIRECT(CONCAT(""A"",to_text(match(DB12,ecn.list,0)))),0,1),"""")"),"")</f>
        <v/>
      </c>
      <c r="AC12" s="236" t="str">
        <f>IFERROR(__xludf.DUMMYFUNCTION("if(countif(ecn.list,DC12),OFFSET(INDIRECT(CONCAT(""A"",to_text(match(DC12,ecn.list,0)))),0,1),"""")"),"")</f>
        <v/>
      </c>
      <c r="AD12" s="236" t="str">
        <f>IFERROR(__xludf.DUMMYFUNCTION("if(countif(ecn.list,DD12),OFFSET(INDIRECT(CONCAT(""A"",to_text(match(DD12,ecn.list,0)))),0,1),"""")"),"JF ")</f>
        <v>JF </v>
      </c>
      <c r="AE12" s="236" t="str">
        <f>IFERROR(__xludf.DUMMYFUNCTION("if(countif(ecn.list,DE12),OFFSET(INDIRECT(CONCAT(""A"",to_text(match(DE12,ecn.list,0)))),0,1),"""")"),"K0 ")</f>
        <v>K0 </v>
      </c>
      <c r="AF12" s="236" t="str">
        <f>IFERROR(__xludf.DUMMYFUNCTION("if(countif(ecn.list,DF12),OFFSET(INDIRECT(CONCAT(""A"",to_text(match(DF12,ecn.list,0)))),0,1),"""")"),"")</f>
        <v/>
      </c>
      <c r="AG12" s="236" t="str">
        <f>IFERROR(__xludf.DUMMYFUNCTION("if(countif(ecn.list,DG12),OFFSET(INDIRECT(CONCAT(""A"",to_text(match(DG12,ecn.list,0)))),0,1),"""")"),"")</f>
        <v/>
      </c>
      <c r="AH12" s="236" t="str">
        <f>IFERROR(__xludf.DUMMYFUNCTION("if(countif(ecn.list,DH12),OFFSET(INDIRECT(CONCAT(""A"",to_text(match(DH12,ecn.list,0)))),0,1),"""")"),"")</f>
        <v/>
      </c>
      <c r="AI12" s="236" t="str">
        <f>IFERROR(__xludf.DUMMYFUNCTION("if(countif(ecn.list,DI12),OFFSET(INDIRECT(CONCAT(""A"",to_text(match(DI12,ecn.list,0)))),0,1),"""")"),"")</f>
        <v/>
      </c>
      <c r="AJ12" s="236" t="str">
        <f>IFERROR(__xludf.DUMMYFUNCTION("if(countif(ecn.list,DJ12),OFFSET(INDIRECT(CONCAT(""A"",to_text(match(DJ12,ecn.list,0)))),0,1),"""")"),"K5 ")</f>
        <v>K5 </v>
      </c>
      <c r="AK12" s="236" t="str">
        <f>IFERROR(__xludf.DUMMYFUNCTION("if(countif(ecn.list,DK12),OFFSET(INDIRECT(CONCAT(""A"",to_text(match(DK12,ecn.list,0)))),0,1),"""")"),"")</f>
        <v/>
      </c>
      <c r="AL12" s="236" t="str">
        <f>IFERROR(__xludf.DUMMYFUNCTION("if(countif(ecn.list,DL12),OFFSET(INDIRECT(CONCAT(""A"",to_text(match(DL12,ecn.list,0)))),0,1),"""")"),"K7 ")</f>
        <v>K7 </v>
      </c>
      <c r="AM12" s="236" t="str">
        <f>IFERROR(__xludf.DUMMYFUNCTION("if(countif(ecn.list,DM12),OFFSET(INDIRECT(CONCAT(""A"",to_text(match(DM12,ecn.list,0)))),0,1),"""")"),"K8 ")</f>
        <v>K8 </v>
      </c>
      <c r="AN12" s="236" t="str">
        <f>IFERROR(__xludf.DUMMYFUNCTION("if(countif(ecn.list,DN12),OFFSET(INDIRECT(CONCAT(""A"",to_text(match(DN12,ecn.list,0)))),0,1),"""")"),"")</f>
        <v/>
      </c>
      <c r="AO12" s="236" t="str">
        <f>IFERROR(__xludf.DUMMYFUNCTION("if(countif(ecn.list,DO12),OFFSET(INDIRECT(CONCAT(""A"",to_text(match(DO12,ecn.list,0)))),0,1),"""")"),"KA ")</f>
        <v>KA </v>
      </c>
      <c r="AP12" s="236" t="str">
        <f>IFERROR(__xludf.DUMMYFUNCTION("if(countif(ecn.list,DP12),OFFSET(INDIRECT(CONCAT(""A"",to_text(match(DP12,ecn.list,0)))),0,1),"""")"),"KB ")</f>
        <v>KB </v>
      </c>
      <c r="AQ12" s="236" t="str">
        <f>IFERROR(__xludf.DUMMYFUNCTION("if(countif(ecn.list,DQ12),OFFSET(INDIRECT(CONCAT(""A"",to_text(match(DQ12,ecn.list,0)))),0,1),"""")"),"KC ")</f>
        <v>KC </v>
      </c>
      <c r="AR12" s="236" t="str">
        <f>IFERROR(__xludf.DUMMYFUNCTION("if(countif(ecn.list,DR12),OFFSET(INDIRECT(CONCAT(""A"",to_text(match(DR12,ecn.list,0)))),0,1),"""")"),"KD ")</f>
        <v>KD </v>
      </c>
      <c r="AS12" s="236" t="str">
        <f>IFERROR(__xludf.DUMMYFUNCTION("if(countif(ecn.list,DS12),OFFSET(INDIRECT(CONCAT(""A"",to_text(match(DS12,ecn.list,0)))),0,1),"""")"),"")</f>
        <v/>
      </c>
      <c r="AT12" s="236" t="str">
        <f>IFERROR(__xludf.DUMMYFUNCTION("if(countif(ecn.list,DT12),OFFSET(INDIRECT(CONCAT(""A"",to_text(match(DT12,ecn.list,0)))),0,1),"""")"),"KF ")</f>
        <v>KF </v>
      </c>
      <c r="AU12" s="236" t="str">
        <f>IFERROR(__xludf.DUMMYFUNCTION("if(countif(ecn.list,DU12),OFFSET(INDIRECT(CONCAT(""A"",to_text(match(DU12,ecn.list,0)))),0,1),"""")"),"")</f>
        <v/>
      </c>
      <c r="AV12" s="236" t="str">
        <f>IFERROR(__xludf.DUMMYFUNCTION("if(countif(ecn.list,DV12),OFFSET(INDIRECT(CONCAT(""A"",to_text(match(DV12,ecn.list,0)))),0,1),"""")"),"L1 ")</f>
        <v>L1 </v>
      </c>
      <c r="AW12" s="236" t="str">
        <f>IFERROR(__xludf.DUMMYFUNCTION("if(countif(ecn.list,DW12),OFFSET(INDIRECT(CONCAT(""A"",to_text(match(DW12,ecn.list,0)))),0,1),"""")"),"")</f>
        <v/>
      </c>
      <c r="AX12" s="236" t="str">
        <f>IFERROR(__xludf.DUMMYFUNCTION("if(countif(ecn.list,DX12),OFFSET(INDIRECT(CONCAT(""A"",to_text(match(DX12,ecn.list,0)))),0,1),"""")"),"")</f>
        <v/>
      </c>
      <c r="AY12" s="236" t="str">
        <f>IFERROR(__xludf.DUMMYFUNCTION("if(countif(ecn.list,DY12),OFFSET(INDIRECT(CONCAT(""A"",to_text(match(DY12,ecn.list,0)))),0,1),"""")"),"")</f>
        <v/>
      </c>
      <c r="AZ12" s="236" t="str">
        <f>IFERROR(__xludf.DUMMYFUNCTION("if(countif(ecn.list,DZ12),OFFSET(INDIRECT(CONCAT(""A"",to_text(match(DZ12,ecn.list,0)))),0,1),"""")"),"")</f>
        <v/>
      </c>
      <c r="BA12" s="236" t="str">
        <f>IFERROR(__xludf.DUMMYFUNCTION("if(countif(ecn.list,EA12),OFFSET(INDIRECT(CONCAT(""A"",to_text(match(EA12,ecn.list,0)))),0,1),"""")"),"")</f>
        <v/>
      </c>
      <c r="BB12" s="236" t="str">
        <f>IFERROR(__xludf.DUMMYFUNCTION("if(countif(ecn.list,EB12),OFFSET(INDIRECT(CONCAT(""A"",to_text(match(EB12,ecn.list,0)))),0,1),"""")"),"")</f>
        <v/>
      </c>
      <c r="BC12" s="236" t="str">
        <f>IFERROR(__xludf.DUMMYFUNCTION("if(countif(ecn.list,EC12),OFFSET(INDIRECT(CONCAT(""A"",to_text(match(EC12,ecn.list,0)))),0,1),"""")"),"")</f>
        <v/>
      </c>
      <c r="BD12" s="236" t="str">
        <f>IFERROR(__xludf.DUMMYFUNCTION("if(countif(ecn.list,ED12),OFFSET(INDIRECT(CONCAT(""A"",to_text(match(ED12,ecn.list,0)))),0,1),"""")"),"")</f>
        <v/>
      </c>
      <c r="BE12" s="236" t="str">
        <f>IFERROR(__xludf.DUMMYFUNCTION("if(countif(ecn.list,EE12),OFFSET(INDIRECT(CONCAT(""A"",to_text(match(EE12,ecn.list,0)))),0,1),"""")"),"LA ")</f>
        <v>LA </v>
      </c>
      <c r="BF12" s="236" t="str">
        <f>IFERROR(__xludf.DUMMYFUNCTION("if(countif(ecn.list,EF12),OFFSET(INDIRECT(CONCAT(""A"",to_text(match(EF12,ecn.list,0)))),0,1),"""")"),"")</f>
        <v/>
      </c>
      <c r="BG12" s="236" t="str">
        <f>IFERROR(__xludf.DUMMYFUNCTION("if(countif(ecn.list,EG12),OFFSET(INDIRECT(CONCAT(""A"",to_text(match(EG12,ecn.list,0)))),0,1),"""")"),"LC ")</f>
        <v>LC </v>
      </c>
      <c r="BH12" s="236" t="str">
        <f>IFERROR(__xludf.DUMMYFUNCTION("if(countif(ecn.list,EH12),OFFSET(INDIRECT(CONCAT(""A"",to_text(match(EH12,ecn.list,0)))),0,1),"""")"),"LD ")</f>
        <v>LD </v>
      </c>
      <c r="BI12" s="236" t="str">
        <f>IFERROR(__xludf.DUMMYFUNCTION("if(countif(ecn.list,EI12),OFFSET(INDIRECT(CONCAT(""A"",to_text(match(EI12,ecn.list,0)))),0,1),"""")"),"")</f>
        <v/>
      </c>
      <c r="BJ12" s="236" t="str">
        <f>IFERROR(__xludf.DUMMYFUNCTION("if(countif(ecn.list,EJ12),OFFSET(INDIRECT(CONCAT(""A"",to_text(match(EJ12,ecn.list,0)))),0,1),"""")"),"LF ")</f>
        <v>LF </v>
      </c>
      <c r="BK12" s="236" t="str">
        <f>IFERROR(__xludf.DUMMYFUNCTION("if(countif(ecn.list,EK12),OFFSET(INDIRECT(CONCAT(""A"",to_text(match(EK12,ecn.list,0)))),0,1),"""")"),"")</f>
        <v/>
      </c>
      <c r="BL12" s="236" t="str">
        <f>IFERROR(__xludf.DUMMYFUNCTION("if(countif(ecn.list,EL12),OFFSET(INDIRECT(CONCAT(""A"",to_text(match(EL12,ecn.list,0)))),0,1),"""")"),"M1 ")</f>
        <v>M1 </v>
      </c>
      <c r="BM12" s="236" t="str">
        <f>IFERROR(__xludf.DUMMYFUNCTION("if(countif(ecn.list,EM12),OFFSET(INDIRECT(CONCAT(""A"",to_text(match(EM12,ecn.list,0)))),0,1),"""")"),"")</f>
        <v/>
      </c>
      <c r="BN12" s="236" t="str">
        <f>IFERROR(__xludf.DUMMYFUNCTION("if(countif(ecn.list,EN12),OFFSET(INDIRECT(CONCAT(""A"",to_text(match(EN12,ecn.list,0)))),0,1),"""")"),"M3 ")</f>
        <v>M3 </v>
      </c>
      <c r="BO12" s="236" t="str">
        <f>IFERROR(__xludf.DUMMYFUNCTION("if(countif(ecn.list,EO12),OFFSET(INDIRECT(CONCAT(""A"",to_text(match(EO12,ecn.list,0)))),0,1),"""")"),"M4 ")</f>
        <v>M4 </v>
      </c>
      <c r="BP12" s="236" t="str">
        <f>IFERROR(__xludf.DUMMYFUNCTION("if(countif(ecn.list,EP12),OFFSET(INDIRECT(CONCAT(""A"",to_text(match(EP12,ecn.list,0)))),0,1),"""")"),"")</f>
        <v/>
      </c>
      <c r="BQ12" s="236" t="str">
        <f>IFERROR(__xludf.DUMMYFUNCTION("if(countif(ecn.list,EQ12),OFFSET(INDIRECT(CONCAT(""A"",to_text(match(EQ12,ecn.list,0)))),0,1),"""")"),"")</f>
        <v/>
      </c>
      <c r="BR12" s="236" t="str">
        <f>IFERROR(__xludf.DUMMYFUNCTION("if(countif(ecn.list,ER12),OFFSET(INDIRECT(CONCAT(""A"",to_text(match(ER12,ecn.list,0)))),0,1),"""")"),"")</f>
        <v/>
      </c>
      <c r="BS12" s="236" t="str">
        <f>IFERROR(__xludf.DUMMYFUNCTION("if(countif(ecn.list,ES12),OFFSET(INDIRECT(CONCAT(""A"",to_text(match(ES12,ecn.list,0)))),0,1),"""")"),"")</f>
        <v/>
      </c>
      <c r="BT12" s="236" t="str">
        <f>IFERROR(__xludf.DUMMYFUNCTION("if(countif(ecn.list,ET12),OFFSET(INDIRECT(CONCAT(""A"",to_text(match(ET12,ecn.list,0)))),0,1),"""")"),"")</f>
        <v/>
      </c>
      <c r="BU12" s="236" t="str">
        <f>IFERROR(__xludf.DUMMYFUNCTION("if(countif(ecn.list,EU12),OFFSET(INDIRECT(CONCAT(""A"",to_text(match(EU12,ecn.list,0)))),0,1),"""")"),"")</f>
        <v/>
      </c>
      <c r="BV12" s="236" t="str">
        <f>IFERROR(__xludf.DUMMYFUNCTION("if(countif(ecn.list,EV12),OFFSET(INDIRECT(CONCAT(""A"",to_text(match(EV12,ecn.list,0)))),0,1),"""")"),"MB ")</f>
        <v>MB </v>
      </c>
      <c r="BW12" s="236" t="str">
        <f>IFERROR(__xludf.DUMMYFUNCTION("if(countif(ecn.list,EW12),OFFSET(INDIRECT(CONCAT(""A"",to_text(match(EW12,ecn.list,0)))),0,1),"""")"),"")</f>
        <v/>
      </c>
      <c r="BX12" s="236" t="str">
        <f>IFERROR(__xludf.DUMMYFUNCTION("if(countif(ecn.list,EX12),OFFSET(INDIRECT(CONCAT(""A"",to_text(match(EX12,ecn.list,0)))),0,1),"""")"),"")</f>
        <v/>
      </c>
      <c r="BY12" s="236" t="str">
        <f>IFERROR(__xludf.DUMMYFUNCTION("if(countif(ecn.list,EY12),OFFSET(INDIRECT(CONCAT(""A"",to_text(match(EY12,ecn.list,0)))),0,1),"""")"),"")</f>
        <v/>
      </c>
      <c r="BZ12" s="236" t="str">
        <f>IFERROR(__xludf.DUMMYFUNCTION("if(countif(ecn.list,EZ12),OFFSET(INDIRECT(CONCAT(""A"",to_text(match(EZ12,ecn.list,0)))),0,1),"""")"),"MF ")</f>
        <v>MF </v>
      </c>
      <c r="CA12" s="236" t="str">
        <f>IFERROR(__xludf.DUMMYFUNCTION("if(countif(ecn.list,FA12),OFFSET(INDIRECT(CONCAT(""A"",to_text(match(FA12,ecn.list,0)))),0,1),"""")"),"")</f>
        <v/>
      </c>
      <c r="CB12" s="236" t="str">
        <f>IFERROR(__xludf.DUMMYFUNCTION("if(countif(ecn.list,FB12),OFFSET(INDIRECT(CONCAT(""A"",to_text(match(FB12,ecn.list,0)))),0,1),"""")"),"")</f>
        <v/>
      </c>
      <c r="CC12" s="236" t="str">
        <f>IFERROR(__xludf.DUMMYFUNCTION("if(countif(ecn.list,FC12),OFFSET(INDIRECT(CONCAT(""A"",to_text(match(FC12,ecn.list,0)))),0,1),"""")"),"N2 ")</f>
        <v>N2 </v>
      </c>
      <c r="CD12" s="236" t="str">
        <f>IFERROR(__xludf.DUMMYFUNCTION("if(countif(ecn.list,FD12),OFFSET(INDIRECT(CONCAT(""A"",to_text(match(FD12,ecn.list,0)))),0,1),"""")"),"")</f>
        <v/>
      </c>
      <c r="CE12" s="236" t="str">
        <f>IFERROR(__xludf.DUMMYFUNCTION("if(countif(ecn.list,FE12),OFFSET(INDIRECT(CONCAT(""A"",to_text(match(FE12,ecn.list,0)))),0,1),"""")"),"N4 ")</f>
        <v>N4 </v>
      </c>
      <c r="CF12" s="236" t="str">
        <f>IFERROR(__xludf.DUMMYFUNCTION("if(countif(ecn.list,FF12),OFFSET(INDIRECT(CONCAT(""A"",to_text(match(FF12,ecn.list,0)))),0,1),"""")"),"")</f>
        <v/>
      </c>
      <c r="CG12" s="236" t="str">
        <f>IFERROR(__xludf.DUMMYFUNCTION("if(countif(ecn.list,FG12),OFFSET(INDIRECT(CONCAT(""A"",to_text(match(FG12,ecn.list,0)))),0,1),"""")"),"")</f>
        <v/>
      </c>
      <c r="CH12" s="236" t="str">
        <f>IFERROR(__xludf.DUMMYFUNCTION("if(countif(ecn.list,FH12),OFFSET(INDIRECT(CONCAT(""A"",to_text(match(FH12,ecn.list,0)))),0,1),"""")"),"N7 ")</f>
        <v>N7 </v>
      </c>
      <c r="CI12" s="236" t="str">
        <f>IFERROR(__xludf.DUMMYFUNCTION("if(countif(ecn.list,FI12),OFFSET(INDIRECT(CONCAT(""A"",to_text(match(FI12,ecn.list,0)))),0,1),"""")"),"N8 ")</f>
        <v>N8 </v>
      </c>
      <c r="CJ12" s="236" t="str">
        <f>IFERROR(__xludf.DUMMYFUNCTION("if(countif(ecn.list,FJ12),OFFSET(INDIRECT(CONCAT(""A"",to_text(match(FJ12,ecn.list,0)))),0,1),"""")"),"")</f>
        <v/>
      </c>
      <c r="CK12" s="236" t="str">
        <f>IFERROR(__xludf.DUMMYFUNCTION("if(countif(ecn.list,FK12),OFFSET(INDIRECT(CONCAT(""A"",to_text(match(FK12,ecn.list,0)))),0,1),"""")"),"NA ")</f>
        <v>NA </v>
      </c>
      <c r="CL12" s="236" t="str">
        <f>IFERROR(__xludf.DUMMYFUNCTION("if(countif(ecn.list,FL12),OFFSET(INDIRECT(CONCAT(""A"",to_text(match(FL12,ecn.list,0)))),0,1),"""")"),"")</f>
        <v/>
      </c>
      <c r="CM12" s="236" t="str">
        <f>IFERROR(__xludf.DUMMYFUNCTION("if(countif(ecn.list,FM12),OFFSET(INDIRECT(CONCAT(""A"",to_text(match(FM12,ecn.list,0)))),0,1),"""")"),"")</f>
        <v/>
      </c>
      <c r="CN12" s="198" t="s">
        <v>111</v>
      </c>
      <c r="CO12" s="198" t="s">
        <v>1447</v>
      </c>
      <c r="CP12" s="198" t="s">
        <v>1451</v>
      </c>
      <c r="CQ12" s="198" t="s">
        <v>1452</v>
      </c>
      <c r="CR12" s="198" t="s">
        <v>1453</v>
      </c>
      <c r="CS12" s="198" t="s">
        <v>1453</v>
      </c>
      <c r="CT12" s="198" t="s">
        <v>1454</v>
      </c>
      <c r="CU12" s="198" t="s">
        <v>1455</v>
      </c>
      <c r="CV12" s="198" t="s">
        <v>1456</v>
      </c>
      <c r="CW12" s="198" t="s">
        <v>1453</v>
      </c>
      <c r="CX12" s="198" t="s">
        <v>1453</v>
      </c>
      <c r="CY12" s="198" t="s">
        <v>1453</v>
      </c>
      <c r="CZ12" s="198" t="s">
        <v>1453</v>
      </c>
      <c r="DA12" s="198" t="s">
        <v>1457</v>
      </c>
      <c r="DB12" s="198" t="s">
        <v>1453</v>
      </c>
      <c r="DC12" s="198" t="s">
        <v>1453</v>
      </c>
      <c r="DD12" s="198" t="s">
        <v>1458</v>
      </c>
      <c r="DE12" s="198" t="s">
        <v>1459</v>
      </c>
      <c r="DF12" s="198" t="s">
        <v>1453</v>
      </c>
      <c r="DG12" s="198" t="s">
        <v>1453</v>
      </c>
      <c r="DH12" s="198" t="s">
        <v>1453</v>
      </c>
      <c r="DI12" s="198" t="s">
        <v>1453</v>
      </c>
      <c r="DJ12" s="198" t="s">
        <v>1460</v>
      </c>
      <c r="DK12" s="198" t="s">
        <v>1453</v>
      </c>
      <c r="DL12" s="198" t="s">
        <v>1461</v>
      </c>
      <c r="DM12" s="198" t="s">
        <v>1462</v>
      </c>
      <c r="DN12" s="198" t="s">
        <v>1453</v>
      </c>
      <c r="DO12" s="198" t="s">
        <v>1464</v>
      </c>
      <c r="DP12" s="198" t="s">
        <v>1465</v>
      </c>
      <c r="DQ12" s="198" t="s">
        <v>1466</v>
      </c>
      <c r="DR12" s="198" t="s">
        <v>1467</v>
      </c>
      <c r="DS12" s="198" t="s">
        <v>1453</v>
      </c>
      <c r="DT12" s="198" t="s">
        <v>1468</v>
      </c>
      <c r="DU12" s="198" t="s">
        <v>1453</v>
      </c>
      <c r="DV12" s="198" t="s">
        <v>1469</v>
      </c>
      <c r="DW12" s="198" t="s">
        <v>1453</v>
      </c>
      <c r="DX12" s="198" t="s">
        <v>1453</v>
      </c>
      <c r="DY12" s="198" t="s">
        <v>1453</v>
      </c>
      <c r="DZ12" s="198" t="s">
        <v>1453</v>
      </c>
      <c r="EA12" s="198" t="s">
        <v>1453</v>
      </c>
      <c r="EB12" s="198" t="s">
        <v>1453</v>
      </c>
      <c r="EC12" s="198" t="s">
        <v>1453</v>
      </c>
      <c r="ED12" s="198" t="s">
        <v>1453</v>
      </c>
      <c r="EE12" s="198" t="s">
        <v>1470</v>
      </c>
      <c r="EF12" s="198" t="s">
        <v>1453</v>
      </c>
      <c r="EG12" s="198" t="s">
        <v>1471</v>
      </c>
      <c r="EH12" s="198" t="s">
        <v>1492</v>
      </c>
      <c r="EI12" s="198" t="s">
        <v>1453</v>
      </c>
      <c r="EJ12" s="198" t="s">
        <v>1472</v>
      </c>
      <c r="EK12" s="198" t="s">
        <v>1453</v>
      </c>
      <c r="EL12" s="198" t="s">
        <v>1473</v>
      </c>
      <c r="EM12" s="198" t="s">
        <v>1453</v>
      </c>
      <c r="EN12" s="198" t="s">
        <v>1474</v>
      </c>
      <c r="EO12" s="198" t="s">
        <v>1475</v>
      </c>
      <c r="EP12" s="198" t="s">
        <v>1453</v>
      </c>
      <c r="EQ12" s="198" t="s">
        <v>1453</v>
      </c>
      <c r="ER12" s="198" t="s">
        <v>1453</v>
      </c>
      <c r="ES12" s="198" t="s">
        <v>1453</v>
      </c>
      <c r="ET12" s="198" t="s">
        <v>1453</v>
      </c>
      <c r="EU12" s="198" t="s">
        <v>1453</v>
      </c>
      <c r="EV12" s="198" t="s">
        <v>1476</v>
      </c>
      <c r="EW12" s="198" t="s">
        <v>1453</v>
      </c>
      <c r="EX12" s="198" t="s">
        <v>1453</v>
      </c>
      <c r="EY12" s="198" t="s">
        <v>1453</v>
      </c>
      <c r="EZ12" s="198" t="s">
        <v>1477</v>
      </c>
      <c r="FA12" s="198" t="s">
        <v>1453</v>
      </c>
      <c r="FB12" s="198" t="s">
        <v>1453</v>
      </c>
      <c r="FC12" s="198" t="s">
        <v>1478</v>
      </c>
      <c r="FD12" s="198" t="s">
        <v>1453</v>
      </c>
      <c r="FE12" s="198" t="s">
        <v>1489</v>
      </c>
      <c r="FF12" s="198" t="s">
        <v>1453</v>
      </c>
      <c r="FG12" s="198" t="s">
        <v>1453</v>
      </c>
      <c r="FH12" s="198" t="s">
        <v>1479</v>
      </c>
      <c r="FI12" s="198" t="s">
        <v>1480</v>
      </c>
      <c r="FJ12" s="198" t="s">
        <v>1453</v>
      </c>
      <c r="FK12" s="198" t="s">
        <v>1481</v>
      </c>
      <c r="FL12" s="198" t="s">
        <v>1482</v>
      </c>
      <c r="FM12" s="198" t="s">
        <v>1453</v>
      </c>
    </row>
    <row r="13">
      <c r="A13" s="198" t="s">
        <v>1509</v>
      </c>
      <c r="B13" s="198" t="str">
        <f t="shared" si="1"/>
        <v>JB </v>
      </c>
      <c r="C13" s="234" t="s">
        <v>1510</v>
      </c>
      <c r="D13" s="232" t="s">
        <v>770</v>
      </c>
      <c r="E13" s="232" t="s">
        <v>1448</v>
      </c>
      <c r="F13" s="232" t="s">
        <v>1449</v>
      </c>
      <c r="G13" s="232" t="s">
        <v>1450</v>
      </c>
      <c r="H13" s="232" t="s">
        <v>876</v>
      </c>
      <c r="I13" s="232" t="s">
        <v>882</v>
      </c>
      <c r="J13" s="232" t="s">
        <v>883</v>
      </c>
      <c r="K13" s="232" t="s">
        <v>894</v>
      </c>
      <c r="L13" s="188" t="s">
        <v>114</v>
      </c>
      <c r="M13" s="236" t="str">
        <f>IFERROR(__xludf.DUMMYFUNCTION("regexreplace(N13,"" "","", "")"),"J0, J1, J2, J5, J6, J7, JA, JC, JD, K0, K5, K7, K9, KA, KC, KD, KF, L1, L8, LA, LC, LD, M0, M2, M3, MA, MC, MD, MF, N2, N4, N7, NA, ")</f>
        <v>J0, J1, J2, J5, J6, J7, JA, JC, JD, K0, K5, K7, K9, KA, KC, KD, KF, L1, L8, LA, LC, LD, M0, M2, M3, MA, MC, MD, MF, N2, N4, N7, NA, </v>
      </c>
      <c r="N13" s="236" t="str">
        <f t="shared" si="2"/>
        <v>J0 J1 J2 J5 J6 J7 JA JC JD K0 K5 K7 K9 KA KC KD KF L1 L8 LA LC LD M0 M2 M3 MA MC MD MF N2 N4 N7 NA </v>
      </c>
      <c r="O13" s="236" t="str">
        <f>IFERROR(__xludf.DUMMYFUNCTION("if(countif(ecn.list,CO13),OFFSET(INDIRECT(CONCAT(""A"",to_text(match(CO13,ecn.list,0)))),0,1),"""")"),"J0 ")</f>
        <v>J0 </v>
      </c>
      <c r="P13" s="236" t="str">
        <f>IFERROR(__xludf.DUMMYFUNCTION("if(countif(ecn.list,CP13),OFFSET(INDIRECT(CONCAT(""A"",to_text(match(CP13,ecn.list,0)))),0,1),"""")"),"J1 ")</f>
        <v>J1 </v>
      </c>
      <c r="Q13" s="236" t="str">
        <f>IFERROR(__xludf.DUMMYFUNCTION("if(countif(ecn.list,CQ13),OFFSET(INDIRECT(CONCAT(""A"",to_text(match(CQ13,ecn.list,0)))),0,1),"""")"),"J2 ")</f>
        <v>J2 </v>
      </c>
      <c r="R13" s="236" t="str">
        <f>IFERROR(__xludf.DUMMYFUNCTION("if(countif(ecn.list,CR13),OFFSET(INDIRECT(CONCAT(""A"",to_text(match(CR13,ecn.list,0)))),0,1),"""")"),"")</f>
        <v/>
      </c>
      <c r="S13" s="236" t="str">
        <f>IFERROR(__xludf.DUMMYFUNCTION("if(countif(ecn.list,CS13),OFFSET(INDIRECT(CONCAT(""A"",to_text(match(CS13,ecn.list,0)))),0,1),"""")"),"")</f>
        <v/>
      </c>
      <c r="T13" s="236" t="str">
        <f>IFERROR(__xludf.DUMMYFUNCTION("if(countif(ecn.list,CT13),OFFSET(INDIRECT(CONCAT(""A"",to_text(match(CT13,ecn.list,0)))),0,1),"""")"),"J5 ")</f>
        <v>J5 </v>
      </c>
      <c r="U13" s="236" t="str">
        <f>IFERROR(__xludf.DUMMYFUNCTION("if(countif(ecn.list,CU13),OFFSET(INDIRECT(CONCAT(""A"",to_text(match(CU13,ecn.list,0)))),0,1),"""")"),"J6 ")</f>
        <v>J6 </v>
      </c>
      <c r="V13" s="236" t="str">
        <f>IFERROR(__xludf.DUMMYFUNCTION("if(countif(ecn.list,CV13),OFFSET(INDIRECT(CONCAT(""A"",to_text(match(CV13,ecn.list,0)))),0,1),"""")"),"J7 ")</f>
        <v>J7 </v>
      </c>
      <c r="W13" s="236" t="str">
        <f>IFERROR(__xludf.DUMMYFUNCTION("if(countif(ecn.list,CW13),OFFSET(INDIRECT(CONCAT(""A"",to_text(match(CW13,ecn.list,0)))),0,1),"""")"),"")</f>
        <v/>
      </c>
      <c r="X13" s="236" t="str">
        <f>IFERROR(__xludf.DUMMYFUNCTION("if(countif(ecn.list,CX13),OFFSET(INDIRECT(CONCAT(""A"",to_text(match(CX13,ecn.list,0)))),0,1),"""")"),"")</f>
        <v/>
      </c>
      <c r="Y13" s="236" t="str">
        <f>IFERROR(__xludf.DUMMYFUNCTION("if(countif(ecn.list,CY13),OFFSET(INDIRECT(CONCAT(""A"",to_text(match(CY13,ecn.list,0)))),0,1),"""")"),"JA ")</f>
        <v>JA </v>
      </c>
      <c r="Z13" s="236" t="str">
        <f>IFERROR(__xludf.DUMMYFUNCTION("if(countif(ecn.list,CZ13),OFFSET(INDIRECT(CONCAT(""A"",to_text(match(CZ13,ecn.list,0)))),0,1),"""")"),"")</f>
        <v/>
      </c>
      <c r="AA13" s="236" t="str">
        <f>IFERROR(__xludf.DUMMYFUNCTION("if(countif(ecn.list,DA13),OFFSET(INDIRECT(CONCAT(""A"",to_text(match(DA13,ecn.list,0)))),0,1),"""")"),"JC ")</f>
        <v>JC </v>
      </c>
      <c r="AB13" s="236" t="str">
        <f>IFERROR(__xludf.DUMMYFUNCTION("if(countif(ecn.list,DB13),OFFSET(INDIRECT(CONCAT(""A"",to_text(match(DB13,ecn.list,0)))),0,1),"""")"),"JD ")</f>
        <v>JD </v>
      </c>
      <c r="AC13" s="236" t="str">
        <f>IFERROR(__xludf.DUMMYFUNCTION("if(countif(ecn.list,DC13),OFFSET(INDIRECT(CONCAT(""A"",to_text(match(DC13,ecn.list,0)))),0,1),"""")"),"")</f>
        <v/>
      </c>
      <c r="AD13" s="236" t="str">
        <f>IFERROR(__xludf.DUMMYFUNCTION("if(countif(ecn.list,DD13),OFFSET(INDIRECT(CONCAT(""A"",to_text(match(DD13,ecn.list,0)))),0,1),"""")"),"")</f>
        <v/>
      </c>
      <c r="AE13" s="236" t="str">
        <f>IFERROR(__xludf.DUMMYFUNCTION("if(countif(ecn.list,DE13),OFFSET(INDIRECT(CONCAT(""A"",to_text(match(DE13,ecn.list,0)))),0,1),"""")"),"K0 ")</f>
        <v>K0 </v>
      </c>
      <c r="AF13" s="236" t="str">
        <f>IFERROR(__xludf.DUMMYFUNCTION("if(countif(ecn.list,DF13),OFFSET(INDIRECT(CONCAT(""A"",to_text(match(DF13,ecn.list,0)))),0,1),"""")"),"")</f>
        <v/>
      </c>
      <c r="AG13" s="236" t="str">
        <f>IFERROR(__xludf.DUMMYFUNCTION("if(countif(ecn.list,DG13),OFFSET(INDIRECT(CONCAT(""A"",to_text(match(DG13,ecn.list,0)))),0,1),"""")"),"")</f>
        <v/>
      </c>
      <c r="AH13" s="236" t="str">
        <f>IFERROR(__xludf.DUMMYFUNCTION("if(countif(ecn.list,DH13),OFFSET(INDIRECT(CONCAT(""A"",to_text(match(DH13,ecn.list,0)))),0,1),"""")"),"")</f>
        <v/>
      </c>
      <c r="AI13" s="236" t="str">
        <f>IFERROR(__xludf.DUMMYFUNCTION("if(countif(ecn.list,DI13),OFFSET(INDIRECT(CONCAT(""A"",to_text(match(DI13,ecn.list,0)))),0,1),"""")"),"")</f>
        <v/>
      </c>
      <c r="AJ13" s="236" t="str">
        <f>IFERROR(__xludf.DUMMYFUNCTION("if(countif(ecn.list,DJ13),OFFSET(INDIRECT(CONCAT(""A"",to_text(match(DJ13,ecn.list,0)))),0,1),"""")"),"K5 ")</f>
        <v>K5 </v>
      </c>
      <c r="AK13" s="236" t="str">
        <f>IFERROR(__xludf.DUMMYFUNCTION("if(countif(ecn.list,DK13),OFFSET(INDIRECT(CONCAT(""A"",to_text(match(DK13,ecn.list,0)))),0,1),"""")"),"")</f>
        <v/>
      </c>
      <c r="AL13" s="236" t="str">
        <f>IFERROR(__xludf.DUMMYFUNCTION("if(countif(ecn.list,DL13),OFFSET(INDIRECT(CONCAT(""A"",to_text(match(DL13,ecn.list,0)))),0,1),"""")"),"K7 ")</f>
        <v>K7 </v>
      </c>
      <c r="AM13" s="236" t="str">
        <f>IFERROR(__xludf.DUMMYFUNCTION("if(countif(ecn.list,DM13),OFFSET(INDIRECT(CONCAT(""A"",to_text(match(DM13,ecn.list,0)))),0,1),"""")"),"")</f>
        <v/>
      </c>
      <c r="AN13" s="236" t="str">
        <f>IFERROR(__xludf.DUMMYFUNCTION("if(countif(ecn.list,DN13),OFFSET(INDIRECT(CONCAT(""A"",to_text(match(DN13,ecn.list,0)))),0,1),"""")"),"K9 ")</f>
        <v>K9 </v>
      </c>
      <c r="AO13" s="236" t="str">
        <f>IFERROR(__xludf.DUMMYFUNCTION("if(countif(ecn.list,DO13),OFFSET(INDIRECT(CONCAT(""A"",to_text(match(DO13,ecn.list,0)))),0,1),"""")"),"KA ")</f>
        <v>KA </v>
      </c>
      <c r="AP13" s="236" t="str">
        <f>IFERROR(__xludf.DUMMYFUNCTION("if(countif(ecn.list,DP13),OFFSET(INDIRECT(CONCAT(""A"",to_text(match(DP13,ecn.list,0)))),0,1),"""")"),"")</f>
        <v/>
      </c>
      <c r="AQ13" s="236" t="str">
        <f>IFERROR(__xludf.DUMMYFUNCTION("if(countif(ecn.list,DQ13),OFFSET(INDIRECT(CONCAT(""A"",to_text(match(DQ13,ecn.list,0)))),0,1),"""")"),"KC ")</f>
        <v>KC </v>
      </c>
      <c r="AR13" s="236" t="str">
        <f>IFERROR(__xludf.DUMMYFUNCTION("if(countif(ecn.list,DR13),OFFSET(INDIRECT(CONCAT(""A"",to_text(match(DR13,ecn.list,0)))),0,1),"""")"),"KD ")</f>
        <v>KD </v>
      </c>
      <c r="AS13" s="236" t="str">
        <f>IFERROR(__xludf.DUMMYFUNCTION("if(countif(ecn.list,DS13),OFFSET(INDIRECT(CONCAT(""A"",to_text(match(DS13,ecn.list,0)))),0,1),"""")"),"")</f>
        <v/>
      </c>
      <c r="AT13" s="236" t="str">
        <f>IFERROR(__xludf.DUMMYFUNCTION("if(countif(ecn.list,DT13),OFFSET(INDIRECT(CONCAT(""A"",to_text(match(DT13,ecn.list,0)))),0,1),"""")"),"KF ")</f>
        <v>KF </v>
      </c>
      <c r="AU13" s="236" t="str">
        <f>IFERROR(__xludf.DUMMYFUNCTION("if(countif(ecn.list,DU13),OFFSET(INDIRECT(CONCAT(""A"",to_text(match(DU13,ecn.list,0)))),0,1),"""")"),"")</f>
        <v/>
      </c>
      <c r="AV13" s="236" t="str">
        <f>IFERROR(__xludf.DUMMYFUNCTION("if(countif(ecn.list,DV13),OFFSET(INDIRECT(CONCAT(""A"",to_text(match(DV13,ecn.list,0)))),0,1),"""")"),"L1 ")</f>
        <v>L1 </v>
      </c>
      <c r="AW13" s="236" t="str">
        <f>IFERROR(__xludf.DUMMYFUNCTION("if(countif(ecn.list,DW13),OFFSET(INDIRECT(CONCAT(""A"",to_text(match(DW13,ecn.list,0)))),0,1),"""")"),"")</f>
        <v/>
      </c>
      <c r="AX13" s="236" t="str">
        <f>IFERROR(__xludf.DUMMYFUNCTION("if(countif(ecn.list,DX13),OFFSET(INDIRECT(CONCAT(""A"",to_text(match(DX13,ecn.list,0)))),0,1),"""")"),"")</f>
        <v/>
      </c>
      <c r="AY13" s="236" t="str">
        <f>IFERROR(__xludf.DUMMYFUNCTION("if(countif(ecn.list,DY13),OFFSET(INDIRECT(CONCAT(""A"",to_text(match(DY13,ecn.list,0)))),0,1),"""")"),"")</f>
        <v/>
      </c>
      <c r="AZ13" s="236" t="str">
        <f>IFERROR(__xludf.DUMMYFUNCTION("if(countif(ecn.list,DZ13),OFFSET(INDIRECT(CONCAT(""A"",to_text(match(DZ13,ecn.list,0)))),0,1),"""")"),"")</f>
        <v/>
      </c>
      <c r="BA13" s="236" t="str">
        <f>IFERROR(__xludf.DUMMYFUNCTION("if(countif(ecn.list,EA13),OFFSET(INDIRECT(CONCAT(""A"",to_text(match(EA13,ecn.list,0)))),0,1),"""")"),"")</f>
        <v/>
      </c>
      <c r="BB13" s="236" t="str">
        <f>IFERROR(__xludf.DUMMYFUNCTION("if(countif(ecn.list,EB13),OFFSET(INDIRECT(CONCAT(""A"",to_text(match(EB13,ecn.list,0)))),0,1),"""")"),"")</f>
        <v/>
      </c>
      <c r="BC13" s="236" t="str">
        <f>IFERROR(__xludf.DUMMYFUNCTION("if(countif(ecn.list,EC13),OFFSET(INDIRECT(CONCAT(""A"",to_text(match(EC13,ecn.list,0)))),0,1),"""")"),"L8 ")</f>
        <v>L8 </v>
      </c>
      <c r="BD13" s="236" t="str">
        <f>IFERROR(__xludf.DUMMYFUNCTION("if(countif(ecn.list,ED13),OFFSET(INDIRECT(CONCAT(""A"",to_text(match(ED13,ecn.list,0)))),0,1),"""")"),"")</f>
        <v/>
      </c>
      <c r="BE13" s="236" t="str">
        <f>IFERROR(__xludf.DUMMYFUNCTION("if(countif(ecn.list,EE13),OFFSET(INDIRECT(CONCAT(""A"",to_text(match(EE13,ecn.list,0)))),0,1),"""")"),"LA ")</f>
        <v>LA </v>
      </c>
      <c r="BF13" s="236" t="str">
        <f>IFERROR(__xludf.DUMMYFUNCTION("if(countif(ecn.list,EF13),OFFSET(INDIRECT(CONCAT(""A"",to_text(match(EF13,ecn.list,0)))),0,1),"""")"),"")</f>
        <v/>
      </c>
      <c r="BG13" s="236" t="str">
        <f>IFERROR(__xludf.DUMMYFUNCTION("if(countif(ecn.list,EG13),OFFSET(INDIRECT(CONCAT(""A"",to_text(match(EG13,ecn.list,0)))),0,1),"""")"),"LC ")</f>
        <v>LC </v>
      </c>
      <c r="BH13" s="236" t="str">
        <f>IFERROR(__xludf.DUMMYFUNCTION("if(countif(ecn.list,EH13),OFFSET(INDIRECT(CONCAT(""A"",to_text(match(EH13,ecn.list,0)))),0,1),"""")"),"LD ")</f>
        <v>LD </v>
      </c>
      <c r="BI13" s="236" t="str">
        <f>IFERROR(__xludf.DUMMYFUNCTION("if(countif(ecn.list,EI13),OFFSET(INDIRECT(CONCAT(""A"",to_text(match(EI13,ecn.list,0)))),0,1),"""")"),"")</f>
        <v/>
      </c>
      <c r="BJ13" s="236" t="str">
        <f>IFERROR(__xludf.DUMMYFUNCTION("if(countif(ecn.list,EJ13),OFFSET(INDIRECT(CONCAT(""A"",to_text(match(EJ13,ecn.list,0)))),0,1),"""")"),"")</f>
        <v/>
      </c>
      <c r="BK13" s="236" t="str">
        <f>IFERROR(__xludf.DUMMYFUNCTION("if(countif(ecn.list,EK13),OFFSET(INDIRECT(CONCAT(""A"",to_text(match(EK13,ecn.list,0)))),0,1),"""")"),"M0 ")</f>
        <v>M0 </v>
      </c>
      <c r="BL13" s="236" t="str">
        <f>IFERROR(__xludf.DUMMYFUNCTION("if(countif(ecn.list,EL13),OFFSET(INDIRECT(CONCAT(""A"",to_text(match(EL13,ecn.list,0)))),0,1),"""")"),"")</f>
        <v/>
      </c>
      <c r="BM13" s="236" t="str">
        <f>IFERROR(__xludf.DUMMYFUNCTION("if(countif(ecn.list,EM13),OFFSET(INDIRECT(CONCAT(""A"",to_text(match(EM13,ecn.list,0)))),0,1),"""")"),"M2 ")</f>
        <v>M2 </v>
      </c>
      <c r="BN13" s="236" t="str">
        <f>IFERROR(__xludf.DUMMYFUNCTION("if(countif(ecn.list,EN13),OFFSET(INDIRECT(CONCAT(""A"",to_text(match(EN13,ecn.list,0)))),0,1),"""")"),"M3 ")</f>
        <v>M3 </v>
      </c>
      <c r="BO13" s="236" t="str">
        <f>IFERROR(__xludf.DUMMYFUNCTION("if(countif(ecn.list,EO13),OFFSET(INDIRECT(CONCAT(""A"",to_text(match(EO13,ecn.list,0)))),0,1),"""")"),"")</f>
        <v/>
      </c>
      <c r="BP13" s="236" t="str">
        <f>IFERROR(__xludf.DUMMYFUNCTION("if(countif(ecn.list,EP13),OFFSET(INDIRECT(CONCAT(""A"",to_text(match(EP13,ecn.list,0)))),0,1),"""")"),"")</f>
        <v/>
      </c>
      <c r="BQ13" s="236" t="str">
        <f>IFERROR(__xludf.DUMMYFUNCTION("if(countif(ecn.list,EQ13),OFFSET(INDIRECT(CONCAT(""A"",to_text(match(EQ13,ecn.list,0)))),0,1),"""")"),"")</f>
        <v/>
      </c>
      <c r="BR13" s="236" t="str">
        <f>IFERROR(__xludf.DUMMYFUNCTION("if(countif(ecn.list,ER13),OFFSET(INDIRECT(CONCAT(""A"",to_text(match(ER13,ecn.list,0)))),0,1),"""")"),"")</f>
        <v/>
      </c>
      <c r="BS13" s="236" t="str">
        <f>IFERROR(__xludf.DUMMYFUNCTION("if(countif(ecn.list,ES13),OFFSET(INDIRECT(CONCAT(""A"",to_text(match(ES13,ecn.list,0)))),0,1),"""")"),"")</f>
        <v/>
      </c>
      <c r="BT13" s="236" t="str">
        <f>IFERROR(__xludf.DUMMYFUNCTION("if(countif(ecn.list,ET13),OFFSET(INDIRECT(CONCAT(""A"",to_text(match(ET13,ecn.list,0)))),0,1),"""")"),"")</f>
        <v/>
      </c>
      <c r="BU13" s="236" t="str">
        <f>IFERROR(__xludf.DUMMYFUNCTION("if(countif(ecn.list,EU13),OFFSET(INDIRECT(CONCAT(""A"",to_text(match(EU13,ecn.list,0)))),0,1),"""")"),"MA ")</f>
        <v>MA </v>
      </c>
      <c r="BV13" s="236" t="str">
        <f>IFERROR(__xludf.DUMMYFUNCTION("if(countif(ecn.list,EV13),OFFSET(INDIRECT(CONCAT(""A"",to_text(match(EV13,ecn.list,0)))),0,1),"""")"),"")</f>
        <v/>
      </c>
      <c r="BW13" s="236" t="str">
        <f>IFERROR(__xludf.DUMMYFUNCTION("if(countif(ecn.list,EW13),OFFSET(INDIRECT(CONCAT(""A"",to_text(match(EW13,ecn.list,0)))),0,1),"""")"),"MC ")</f>
        <v>MC </v>
      </c>
      <c r="BX13" s="236" t="str">
        <f>IFERROR(__xludf.DUMMYFUNCTION("if(countif(ecn.list,EX13),OFFSET(INDIRECT(CONCAT(""A"",to_text(match(EX13,ecn.list,0)))),0,1),"""")"),"MD ")</f>
        <v>MD </v>
      </c>
      <c r="BY13" s="236" t="str">
        <f>IFERROR(__xludf.DUMMYFUNCTION("if(countif(ecn.list,EY13),OFFSET(INDIRECT(CONCAT(""A"",to_text(match(EY13,ecn.list,0)))),0,1),"""")"),"")</f>
        <v/>
      </c>
      <c r="BZ13" s="236" t="str">
        <f>IFERROR(__xludf.DUMMYFUNCTION("if(countif(ecn.list,EZ13),OFFSET(INDIRECT(CONCAT(""A"",to_text(match(EZ13,ecn.list,0)))),0,1),"""")"),"MF ")</f>
        <v>MF </v>
      </c>
      <c r="CA13" s="236" t="str">
        <f>IFERROR(__xludf.DUMMYFUNCTION("if(countif(ecn.list,FA13),OFFSET(INDIRECT(CONCAT(""A"",to_text(match(FA13,ecn.list,0)))),0,1),"""")"),"")</f>
        <v/>
      </c>
      <c r="CB13" s="236" t="str">
        <f>IFERROR(__xludf.DUMMYFUNCTION("if(countif(ecn.list,FB13),OFFSET(INDIRECT(CONCAT(""A"",to_text(match(FB13,ecn.list,0)))),0,1),"""")"),"")</f>
        <v/>
      </c>
      <c r="CC13" s="236" t="str">
        <f>IFERROR(__xludf.DUMMYFUNCTION("if(countif(ecn.list,FC13),OFFSET(INDIRECT(CONCAT(""A"",to_text(match(FC13,ecn.list,0)))),0,1),"""")"),"N2 ")</f>
        <v>N2 </v>
      </c>
      <c r="CD13" s="236" t="str">
        <f>IFERROR(__xludf.DUMMYFUNCTION("if(countif(ecn.list,FD13),OFFSET(INDIRECT(CONCAT(""A"",to_text(match(FD13,ecn.list,0)))),0,1),"""")"),"")</f>
        <v/>
      </c>
      <c r="CE13" s="236" t="str">
        <f>IFERROR(__xludf.DUMMYFUNCTION("if(countif(ecn.list,FE13),OFFSET(INDIRECT(CONCAT(""A"",to_text(match(FE13,ecn.list,0)))),0,1),"""")"),"N4 ")</f>
        <v>N4 </v>
      </c>
      <c r="CF13" s="236" t="str">
        <f>IFERROR(__xludf.DUMMYFUNCTION("if(countif(ecn.list,FF13),OFFSET(INDIRECT(CONCAT(""A"",to_text(match(FF13,ecn.list,0)))),0,1),"""")"),"")</f>
        <v/>
      </c>
      <c r="CG13" s="236" t="str">
        <f>IFERROR(__xludf.DUMMYFUNCTION("if(countif(ecn.list,FG13),OFFSET(INDIRECT(CONCAT(""A"",to_text(match(FG13,ecn.list,0)))),0,1),"""")"),"")</f>
        <v/>
      </c>
      <c r="CH13" s="236" t="str">
        <f>IFERROR(__xludf.DUMMYFUNCTION("if(countif(ecn.list,FH13),OFFSET(INDIRECT(CONCAT(""A"",to_text(match(FH13,ecn.list,0)))),0,1),"""")"),"N7 ")</f>
        <v>N7 </v>
      </c>
      <c r="CI13" s="236" t="str">
        <f>IFERROR(__xludf.DUMMYFUNCTION("if(countif(ecn.list,FI13),OFFSET(INDIRECT(CONCAT(""A"",to_text(match(FI13,ecn.list,0)))),0,1),"""")"),"")</f>
        <v/>
      </c>
      <c r="CJ13" s="236" t="str">
        <f>IFERROR(__xludf.DUMMYFUNCTION("if(countif(ecn.list,FJ13),OFFSET(INDIRECT(CONCAT(""A"",to_text(match(FJ13,ecn.list,0)))),0,1),"""")"),"")</f>
        <v/>
      </c>
      <c r="CK13" s="236" t="str">
        <f>IFERROR(__xludf.DUMMYFUNCTION("if(countif(ecn.list,FK13),OFFSET(INDIRECT(CONCAT(""A"",to_text(match(FK13,ecn.list,0)))),0,1),"""")"),"NA ")</f>
        <v>NA </v>
      </c>
      <c r="CL13" s="236" t="str">
        <f>IFERROR(__xludf.DUMMYFUNCTION("if(countif(ecn.list,FL13),OFFSET(INDIRECT(CONCAT(""A"",to_text(match(FL13,ecn.list,0)))),0,1),"""")"),"")</f>
        <v/>
      </c>
      <c r="CM13" s="236" t="str">
        <f>IFERROR(__xludf.DUMMYFUNCTION("if(countif(ecn.list,FM13),OFFSET(INDIRECT(CONCAT(""A"",to_text(match(FM13,ecn.list,0)))),0,1),"""")"),"")</f>
        <v/>
      </c>
      <c r="CN13" s="198" t="s">
        <v>114</v>
      </c>
      <c r="CO13" s="198" t="s">
        <v>1447</v>
      </c>
      <c r="CP13" s="198" t="s">
        <v>1451</v>
      </c>
      <c r="CQ13" s="198" t="s">
        <v>1452</v>
      </c>
      <c r="CR13" s="198" t="s">
        <v>1453</v>
      </c>
      <c r="CS13" s="198" t="s">
        <v>1453</v>
      </c>
      <c r="CT13" s="198" t="s">
        <v>1454</v>
      </c>
      <c r="CU13" s="198" t="s">
        <v>1455</v>
      </c>
      <c r="CV13" s="198" t="s">
        <v>1456</v>
      </c>
      <c r="CW13" s="198" t="s">
        <v>1453</v>
      </c>
      <c r="CX13" s="198" t="s">
        <v>1453</v>
      </c>
      <c r="CY13" s="198" t="s">
        <v>1484</v>
      </c>
      <c r="CZ13" s="198" t="s">
        <v>1453</v>
      </c>
      <c r="DA13" s="198" t="s">
        <v>1457</v>
      </c>
      <c r="DB13" s="198" t="s">
        <v>1485</v>
      </c>
      <c r="DC13" s="198" t="s">
        <v>1453</v>
      </c>
      <c r="DD13" s="198" t="s">
        <v>1453</v>
      </c>
      <c r="DE13" s="198" t="s">
        <v>1459</v>
      </c>
      <c r="DF13" s="198" t="s">
        <v>1453</v>
      </c>
      <c r="DG13" s="198" t="s">
        <v>1453</v>
      </c>
      <c r="DH13" s="198" t="s">
        <v>1453</v>
      </c>
      <c r="DI13" s="198" t="s">
        <v>1453</v>
      </c>
      <c r="DJ13" s="198" t="s">
        <v>1460</v>
      </c>
      <c r="DK13" s="198" t="s">
        <v>1453</v>
      </c>
      <c r="DL13" s="198" t="s">
        <v>1461</v>
      </c>
      <c r="DM13" s="198" t="s">
        <v>1453</v>
      </c>
      <c r="DN13" s="198" t="s">
        <v>1463</v>
      </c>
      <c r="DO13" s="198" t="s">
        <v>1464</v>
      </c>
      <c r="DP13" s="198" t="s">
        <v>1453</v>
      </c>
      <c r="DQ13" s="198" t="s">
        <v>1466</v>
      </c>
      <c r="DR13" s="198" t="s">
        <v>1467</v>
      </c>
      <c r="DS13" s="198" t="s">
        <v>1453</v>
      </c>
      <c r="DT13" s="198" t="s">
        <v>1468</v>
      </c>
      <c r="DU13" s="198" t="s">
        <v>1453</v>
      </c>
      <c r="DV13" s="198" t="s">
        <v>1469</v>
      </c>
      <c r="DW13" s="198" t="s">
        <v>1453</v>
      </c>
      <c r="DX13" s="198" t="s">
        <v>1453</v>
      </c>
      <c r="DY13" s="198" t="s">
        <v>1453</v>
      </c>
      <c r="DZ13" s="198" t="s">
        <v>1453</v>
      </c>
      <c r="EA13" s="198" t="s">
        <v>1453</v>
      </c>
      <c r="EB13" s="198" t="s">
        <v>1453</v>
      </c>
      <c r="EC13" s="198" t="s">
        <v>1483</v>
      </c>
      <c r="ED13" s="198" t="s">
        <v>1453</v>
      </c>
      <c r="EE13" s="198" t="s">
        <v>1470</v>
      </c>
      <c r="EF13" s="198" t="s">
        <v>1453</v>
      </c>
      <c r="EG13" s="198" t="s">
        <v>1471</v>
      </c>
      <c r="EH13" s="198" t="s">
        <v>1492</v>
      </c>
      <c r="EI13" s="198" t="s">
        <v>1453</v>
      </c>
      <c r="EJ13" s="198" t="s">
        <v>1453</v>
      </c>
      <c r="EK13" s="198" t="s">
        <v>1487</v>
      </c>
      <c r="EL13" s="198" t="s">
        <v>1453</v>
      </c>
      <c r="EM13" s="198" t="s">
        <v>1493</v>
      </c>
      <c r="EN13" s="198" t="s">
        <v>1474</v>
      </c>
      <c r="EO13" s="198" t="s">
        <v>1453</v>
      </c>
      <c r="EP13" s="198" t="s">
        <v>1453</v>
      </c>
      <c r="EQ13" s="198" t="s">
        <v>1453</v>
      </c>
      <c r="ER13" s="198" t="s">
        <v>1453</v>
      </c>
      <c r="ES13" s="198" t="s">
        <v>1453</v>
      </c>
      <c r="ET13" s="198" t="s">
        <v>1453</v>
      </c>
      <c r="EU13" s="198" t="s">
        <v>1494</v>
      </c>
      <c r="EV13" s="198" t="s">
        <v>1453</v>
      </c>
      <c r="EW13" s="198" t="s">
        <v>1495</v>
      </c>
      <c r="EX13" s="198" t="s">
        <v>1488</v>
      </c>
      <c r="EY13" s="198" t="s">
        <v>1453</v>
      </c>
      <c r="EZ13" s="198" t="s">
        <v>1477</v>
      </c>
      <c r="FA13" s="198" t="s">
        <v>1453</v>
      </c>
      <c r="FB13" s="198" t="s">
        <v>1453</v>
      </c>
      <c r="FC13" s="198" t="s">
        <v>1478</v>
      </c>
      <c r="FD13" s="198" t="s">
        <v>1453</v>
      </c>
      <c r="FE13" s="198" t="s">
        <v>1489</v>
      </c>
      <c r="FF13" s="198" t="s">
        <v>1453</v>
      </c>
      <c r="FG13" s="198" t="s">
        <v>1453</v>
      </c>
      <c r="FH13" s="198" t="s">
        <v>1479</v>
      </c>
      <c r="FI13" s="198" t="s">
        <v>1453</v>
      </c>
      <c r="FJ13" s="198" t="s">
        <v>1453</v>
      </c>
      <c r="FK13" s="198" t="s">
        <v>1481</v>
      </c>
      <c r="FL13" s="198" t="s">
        <v>1482</v>
      </c>
      <c r="FM13" s="198" t="s">
        <v>1453</v>
      </c>
    </row>
    <row r="14">
      <c r="A14" s="236" t="s">
        <v>1457</v>
      </c>
      <c r="B14" s="198" t="str">
        <f t="shared" si="1"/>
        <v>JC </v>
      </c>
      <c r="C14" s="234" t="s">
        <v>1511</v>
      </c>
      <c r="D14" s="232" t="s">
        <v>770</v>
      </c>
      <c r="E14" s="232" t="s">
        <v>1448</v>
      </c>
      <c r="F14" s="232" t="s">
        <v>1449</v>
      </c>
      <c r="G14" s="232" t="s">
        <v>1450</v>
      </c>
      <c r="H14" s="232" t="s">
        <v>876</v>
      </c>
      <c r="I14" s="232" t="s">
        <v>882</v>
      </c>
      <c r="J14" s="232" t="s">
        <v>883</v>
      </c>
      <c r="K14" s="232" t="s">
        <v>894</v>
      </c>
      <c r="L14" s="188" t="s">
        <v>117</v>
      </c>
      <c r="M14" s="236" t="str">
        <f>IFERROR(__xludf.DUMMYFUNCTION("regexreplace(N14,"" "","", "")"),"J0, J1, J2, J5, J6, J7, JA, JC, JD, K0, K5, K7, K9, KA, KC, KD, KF, L1, L8, LA, LC, M0, M2, M3, MC, MD, MF, N2, N7, NA, ")</f>
        <v>J0, J1, J2, J5, J6, J7, JA, JC, JD, K0, K5, K7, K9, KA, KC, KD, KF, L1, L8, LA, LC, M0, M2, M3, MC, MD, MF, N2, N7, NA, </v>
      </c>
      <c r="N14" s="236" t="str">
        <f t="shared" si="2"/>
        <v>J0 J1 J2 J5 J6 J7 JA JC JD K0 K5 K7 K9 KA KC KD KF L1 L8 LA LC M0 M2 M3 MC MD MF N2 N7 NA </v>
      </c>
      <c r="O14" s="236" t="str">
        <f>IFERROR(__xludf.DUMMYFUNCTION("if(countif(ecn.list,CO14),OFFSET(INDIRECT(CONCAT(""A"",to_text(match(CO14,ecn.list,0)))),0,1),"""")"),"J0 ")</f>
        <v>J0 </v>
      </c>
      <c r="P14" s="236" t="str">
        <f>IFERROR(__xludf.DUMMYFUNCTION("if(countif(ecn.list,CP14),OFFSET(INDIRECT(CONCAT(""A"",to_text(match(CP14,ecn.list,0)))),0,1),"""")"),"J1 ")</f>
        <v>J1 </v>
      </c>
      <c r="Q14" s="236" t="str">
        <f>IFERROR(__xludf.DUMMYFUNCTION("if(countif(ecn.list,CQ14),OFFSET(INDIRECT(CONCAT(""A"",to_text(match(CQ14,ecn.list,0)))),0,1),"""")"),"J2 ")</f>
        <v>J2 </v>
      </c>
      <c r="R14" s="236" t="str">
        <f>IFERROR(__xludf.DUMMYFUNCTION("if(countif(ecn.list,CR14),OFFSET(INDIRECT(CONCAT(""A"",to_text(match(CR14,ecn.list,0)))),0,1),"""")"),"")</f>
        <v/>
      </c>
      <c r="S14" s="236" t="str">
        <f>IFERROR(__xludf.DUMMYFUNCTION("if(countif(ecn.list,CS14),OFFSET(INDIRECT(CONCAT(""A"",to_text(match(CS14,ecn.list,0)))),0,1),"""")"),"")</f>
        <v/>
      </c>
      <c r="T14" s="236" t="str">
        <f>IFERROR(__xludf.DUMMYFUNCTION("if(countif(ecn.list,CT14),OFFSET(INDIRECT(CONCAT(""A"",to_text(match(CT14,ecn.list,0)))),0,1),"""")"),"J5 ")</f>
        <v>J5 </v>
      </c>
      <c r="U14" s="236" t="str">
        <f>IFERROR(__xludf.DUMMYFUNCTION("if(countif(ecn.list,CU14),OFFSET(INDIRECT(CONCAT(""A"",to_text(match(CU14,ecn.list,0)))),0,1),"""")"),"J6 ")</f>
        <v>J6 </v>
      </c>
      <c r="V14" s="236" t="str">
        <f>IFERROR(__xludf.DUMMYFUNCTION("if(countif(ecn.list,CV14),OFFSET(INDIRECT(CONCAT(""A"",to_text(match(CV14,ecn.list,0)))),0,1),"""")"),"J7 ")</f>
        <v>J7 </v>
      </c>
      <c r="W14" s="236" t="str">
        <f>IFERROR(__xludf.DUMMYFUNCTION("if(countif(ecn.list,CW14),OFFSET(INDIRECT(CONCAT(""A"",to_text(match(CW14,ecn.list,0)))),0,1),"""")"),"")</f>
        <v/>
      </c>
      <c r="X14" s="236" t="str">
        <f>IFERROR(__xludf.DUMMYFUNCTION("if(countif(ecn.list,CX14),OFFSET(INDIRECT(CONCAT(""A"",to_text(match(CX14,ecn.list,0)))),0,1),"""")"),"")</f>
        <v/>
      </c>
      <c r="Y14" s="236" t="str">
        <f>IFERROR(__xludf.DUMMYFUNCTION("if(countif(ecn.list,CY14),OFFSET(INDIRECT(CONCAT(""A"",to_text(match(CY14,ecn.list,0)))),0,1),"""")"),"JA ")</f>
        <v>JA </v>
      </c>
      <c r="Z14" s="236" t="str">
        <f>IFERROR(__xludf.DUMMYFUNCTION("if(countif(ecn.list,CZ14),OFFSET(INDIRECT(CONCAT(""A"",to_text(match(CZ14,ecn.list,0)))),0,1),"""")"),"")</f>
        <v/>
      </c>
      <c r="AA14" s="236" t="str">
        <f>IFERROR(__xludf.DUMMYFUNCTION("if(countif(ecn.list,DA14),OFFSET(INDIRECT(CONCAT(""A"",to_text(match(DA14,ecn.list,0)))),0,1),"""")"),"JC ")</f>
        <v>JC </v>
      </c>
      <c r="AB14" s="236" t="str">
        <f>IFERROR(__xludf.DUMMYFUNCTION("if(countif(ecn.list,DB14),OFFSET(INDIRECT(CONCAT(""A"",to_text(match(DB14,ecn.list,0)))),0,1),"""")"),"JD ")</f>
        <v>JD </v>
      </c>
      <c r="AC14" s="236" t="str">
        <f>IFERROR(__xludf.DUMMYFUNCTION("if(countif(ecn.list,DC14),OFFSET(INDIRECT(CONCAT(""A"",to_text(match(DC14,ecn.list,0)))),0,1),"""")"),"")</f>
        <v/>
      </c>
      <c r="AD14" s="236" t="str">
        <f>IFERROR(__xludf.DUMMYFUNCTION("if(countif(ecn.list,DD14),OFFSET(INDIRECT(CONCAT(""A"",to_text(match(DD14,ecn.list,0)))),0,1),"""")"),"")</f>
        <v/>
      </c>
      <c r="AE14" s="236" t="str">
        <f>IFERROR(__xludf.DUMMYFUNCTION("if(countif(ecn.list,DE14),OFFSET(INDIRECT(CONCAT(""A"",to_text(match(DE14,ecn.list,0)))),0,1),"""")"),"K0 ")</f>
        <v>K0 </v>
      </c>
      <c r="AF14" s="236" t="str">
        <f>IFERROR(__xludf.DUMMYFUNCTION("if(countif(ecn.list,DF14),OFFSET(INDIRECT(CONCAT(""A"",to_text(match(DF14,ecn.list,0)))),0,1),"""")"),"")</f>
        <v/>
      </c>
      <c r="AG14" s="236" t="str">
        <f>IFERROR(__xludf.DUMMYFUNCTION("if(countif(ecn.list,DG14),OFFSET(INDIRECT(CONCAT(""A"",to_text(match(DG14,ecn.list,0)))),0,1),"""")"),"")</f>
        <v/>
      </c>
      <c r="AH14" s="236" t="str">
        <f>IFERROR(__xludf.DUMMYFUNCTION("if(countif(ecn.list,DH14),OFFSET(INDIRECT(CONCAT(""A"",to_text(match(DH14,ecn.list,0)))),0,1),"""")"),"")</f>
        <v/>
      </c>
      <c r="AI14" s="236" t="str">
        <f>IFERROR(__xludf.DUMMYFUNCTION("if(countif(ecn.list,DI14),OFFSET(INDIRECT(CONCAT(""A"",to_text(match(DI14,ecn.list,0)))),0,1),"""")"),"")</f>
        <v/>
      </c>
      <c r="AJ14" s="236" t="str">
        <f>IFERROR(__xludf.DUMMYFUNCTION("if(countif(ecn.list,DJ14),OFFSET(INDIRECT(CONCAT(""A"",to_text(match(DJ14,ecn.list,0)))),0,1),"""")"),"K5 ")</f>
        <v>K5 </v>
      </c>
      <c r="AK14" s="236" t="str">
        <f>IFERROR(__xludf.DUMMYFUNCTION("if(countif(ecn.list,DK14),OFFSET(INDIRECT(CONCAT(""A"",to_text(match(DK14,ecn.list,0)))),0,1),"""")"),"")</f>
        <v/>
      </c>
      <c r="AL14" s="236" t="str">
        <f>IFERROR(__xludf.DUMMYFUNCTION("if(countif(ecn.list,DL14),OFFSET(INDIRECT(CONCAT(""A"",to_text(match(DL14,ecn.list,0)))),0,1),"""")"),"K7 ")</f>
        <v>K7 </v>
      </c>
      <c r="AM14" s="236" t="str">
        <f>IFERROR(__xludf.DUMMYFUNCTION("if(countif(ecn.list,DM14),OFFSET(INDIRECT(CONCAT(""A"",to_text(match(DM14,ecn.list,0)))),0,1),"""")"),"")</f>
        <v/>
      </c>
      <c r="AN14" s="236" t="str">
        <f>IFERROR(__xludf.DUMMYFUNCTION("if(countif(ecn.list,DN14),OFFSET(INDIRECT(CONCAT(""A"",to_text(match(DN14,ecn.list,0)))),0,1),"""")"),"K9 ")</f>
        <v>K9 </v>
      </c>
      <c r="AO14" s="236" t="str">
        <f>IFERROR(__xludf.DUMMYFUNCTION("if(countif(ecn.list,DO14),OFFSET(INDIRECT(CONCAT(""A"",to_text(match(DO14,ecn.list,0)))),0,1),"""")"),"KA ")</f>
        <v>KA </v>
      </c>
      <c r="AP14" s="236" t="str">
        <f>IFERROR(__xludf.DUMMYFUNCTION("if(countif(ecn.list,DP14),OFFSET(INDIRECT(CONCAT(""A"",to_text(match(DP14,ecn.list,0)))),0,1),"""")"),"")</f>
        <v/>
      </c>
      <c r="AQ14" s="236" t="str">
        <f>IFERROR(__xludf.DUMMYFUNCTION("if(countif(ecn.list,DQ14),OFFSET(INDIRECT(CONCAT(""A"",to_text(match(DQ14,ecn.list,0)))),0,1),"""")"),"KC ")</f>
        <v>KC </v>
      </c>
      <c r="AR14" s="236" t="str">
        <f>IFERROR(__xludf.DUMMYFUNCTION("if(countif(ecn.list,DR14),OFFSET(INDIRECT(CONCAT(""A"",to_text(match(DR14,ecn.list,0)))),0,1),"""")"),"KD ")</f>
        <v>KD </v>
      </c>
      <c r="AS14" s="236" t="str">
        <f>IFERROR(__xludf.DUMMYFUNCTION("if(countif(ecn.list,DS14),OFFSET(INDIRECT(CONCAT(""A"",to_text(match(DS14,ecn.list,0)))),0,1),"""")"),"")</f>
        <v/>
      </c>
      <c r="AT14" s="236" t="str">
        <f>IFERROR(__xludf.DUMMYFUNCTION("if(countif(ecn.list,DT14),OFFSET(INDIRECT(CONCAT(""A"",to_text(match(DT14,ecn.list,0)))),0,1),"""")"),"KF ")</f>
        <v>KF </v>
      </c>
      <c r="AU14" s="236" t="str">
        <f>IFERROR(__xludf.DUMMYFUNCTION("if(countif(ecn.list,DU14),OFFSET(INDIRECT(CONCAT(""A"",to_text(match(DU14,ecn.list,0)))),0,1),"""")"),"")</f>
        <v/>
      </c>
      <c r="AV14" s="236" t="str">
        <f>IFERROR(__xludf.DUMMYFUNCTION("if(countif(ecn.list,DV14),OFFSET(INDIRECT(CONCAT(""A"",to_text(match(DV14,ecn.list,0)))),0,1),"""")"),"L1 ")</f>
        <v>L1 </v>
      </c>
      <c r="AW14" s="236" t="str">
        <f>IFERROR(__xludf.DUMMYFUNCTION("if(countif(ecn.list,DW14),OFFSET(INDIRECT(CONCAT(""A"",to_text(match(DW14,ecn.list,0)))),0,1),"""")"),"")</f>
        <v/>
      </c>
      <c r="AX14" s="236" t="str">
        <f>IFERROR(__xludf.DUMMYFUNCTION("if(countif(ecn.list,DX14),OFFSET(INDIRECT(CONCAT(""A"",to_text(match(DX14,ecn.list,0)))),0,1),"""")"),"")</f>
        <v/>
      </c>
      <c r="AY14" s="236" t="str">
        <f>IFERROR(__xludf.DUMMYFUNCTION("if(countif(ecn.list,DY14),OFFSET(INDIRECT(CONCAT(""A"",to_text(match(DY14,ecn.list,0)))),0,1),"""")"),"")</f>
        <v/>
      </c>
      <c r="AZ14" s="236" t="str">
        <f>IFERROR(__xludf.DUMMYFUNCTION("if(countif(ecn.list,DZ14),OFFSET(INDIRECT(CONCAT(""A"",to_text(match(DZ14,ecn.list,0)))),0,1),"""")"),"")</f>
        <v/>
      </c>
      <c r="BA14" s="236" t="str">
        <f>IFERROR(__xludf.DUMMYFUNCTION("if(countif(ecn.list,EA14),OFFSET(INDIRECT(CONCAT(""A"",to_text(match(EA14,ecn.list,0)))),0,1),"""")"),"")</f>
        <v/>
      </c>
      <c r="BB14" s="236" t="str">
        <f>IFERROR(__xludf.DUMMYFUNCTION("if(countif(ecn.list,EB14),OFFSET(INDIRECT(CONCAT(""A"",to_text(match(EB14,ecn.list,0)))),0,1),"""")"),"")</f>
        <v/>
      </c>
      <c r="BC14" s="236" t="str">
        <f>IFERROR(__xludf.DUMMYFUNCTION("if(countif(ecn.list,EC14),OFFSET(INDIRECT(CONCAT(""A"",to_text(match(EC14,ecn.list,0)))),0,1),"""")"),"L8 ")</f>
        <v>L8 </v>
      </c>
      <c r="BD14" s="236" t="str">
        <f>IFERROR(__xludf.DUMMYFUNCTION("if(countif(ecn.list,ED14),OFFSET(INDIRECT(CONCAT(""A"",to_text(match(ED14,ecn.list,0)))),0,1),"""")"),"")</f>
        <v/>
      </c>
      <c r="BE14" s="236" t="str">
        <f>IFERROR(__xludf.DUMMYFUNCTION("if(countif(ecn.list,EE14),OFFSET(INDIRECT(CONCAT(""A"",to_text(match(EE14,ecn.list,0)))),0,1),"""")"),"LA ")</f>
        <v>LA </v>
      </c>
      <c r="BF14" s="236" t="str">
        <f>IFERROR(__xludf.DUMMYFUNCTION("if(countif(ecn.list,EF14),OFFSET(INDIRECT(CONCAT(""A"",to_text(match(EF14,ecn.list,0)))),0,1),"""")"),"")</f>
        <v/>
      </c>
      <c r="BG14" s="236" t="str">
        <f>IFERROR(__xludf.DUMMYFUNCTION("if(countif(ecn.list,EG14),OFFSET(INDIRECT(CONCAT(""A"",to_text(match(EG14,ecn.list,0)))),0,1),"""")"),"LC ")</f>
        <v>LC </v>
      </c>
      <c r="BH14" s="236" t="str">
        <f>IFERROR(__xludf.DUMMYFUNCTION("if(countif(ecn.list,EH14),OFFSET(INDIRECT(CONCAT(""A"",to_text(match(EH14,ecn.list,0)))),0,1),"""")"),"")</f>
        <v/>
      </c>
      <c r="BI14" s="236" t="str">
        <f>IFERROR(__xludf.DUMMYFUNCTION("if(countif(ecn.list,EI14),OFFSET(INDIRECT(CONCAT(""A"",to_text(match(EI14,ecn.list,0)))),0,1),"""")"),"")</f>
        <v/>
      </c>
      <c r="BJ14" s="236" t="str">
        <f>IFERROR(__xludf.DUMMYFUNCTION("if(countif(ecn.list,EJ14),OFFSET(INDIRECT(CONCAT(""A"",to_text(match(EJ14,ecn.list,0)))),0,1),"""")"),"")</f>
        <v/>
      </c>
      <c r="BK14" s="236" t="str">
        <f>IFERROR(__xludf.DUMMYFUNCTION("if(countif(ecn.list,EK14),OFFSET(INDIRECT(CONCAT(""A"",to_text(match(EK14,ecn.list,0)))),0,1),"""")"),"M0 ")</f>
        <v>M0 </v>
      </c>
      <c r="BL14" s="236" t="str">
        <f>IFERROR(__xludf.DUMMYFUNCTION("if(countif(ecn.list,EL14),OFFSET(INDIRECT(CONCAT(""A"",to_text(match(EL14,ecn.list,0)))),0,1),"""")"),"")</f>
        <v/>
      </c>
      <c r="BM14" s="236" t="str">
        <f>IFERROR(__xludf.DUMMYFUNCTION("if(countif(ecn.list,EM14),OFFSET(INDIRECT(CONCAT(""A"",to_text(match(EM14,ecn.list,0)))),0,1),"""")"),"M2 ")</f>
        <v>M2 </v>
      </c>
      <c r="BN14" s="236" t="str">
        <f>IFERROR(__xludf.DUMMYFUNCTION("if(countif(ecn.list,EN14),OFFSET(INDIRECT(CONCAT(""A"",to_text(match(EN14,ecn.list,0)))),0,1),"""")"),"M3 ")</f>
        <v>M3 </v>
      </c>
      <c r="BO14" s="236" t="str">
        <f>IFERROR(__xludf.DUMMYFUNCTION("if(countif(ecn.list,EO14),OFFSET(INDIRECT(CONCAT(""A"",to_text(match(EO14,ecn.list,0)))),0,1),"""")"),"")</f>
        <v/>
      </c>
      <c r="BP14" s="236" t="str">
        <f>IFERROR(__xludf.DUMMYFUNCTION("if(countif(ecn.list,EP14),OFFSET(INDIRECT(CONCAT(""A"",to_text(match(EP14,ecn.list,0)))),0,1),"""")"),"")</f>
        <v/>
      </c>
      <c r="BQ14" s="236" t="str">
        <f>IFERROR(__xludf.DUMMYFUNCTION("if(countif(ecn.list,EQ14),OFFSET(INDIRECT(CONCAT(""A"",to_text(match(EQ14,ecn.list,0)))),0,1),"""")"),"")</f>
        <v/>
      </c>
      <c r="BR14" s="236" t="str">
        <f>IFERROR(__xludf.DUMMYFUNCTION("if(countif(ecn.list,ER14),OFFSET(INDIRECT(CONCAT(""A"",to_text(match(ER14,ecn.list,0)))),0,1),"""")"),"")</f>
        <v/>
      </c>
      <c r="BS14" s="236" t="str">
        <f>IFERROR(__xludf.DUMMYFUNCTION("if(countif(ecn.list,ES14),OFFSET(INDIRECT(CONCAT(""A"",to_text(match(ES14,ecn.list,0)))),0,1),"""")"),"")</f>
        <v/>
      </c>
      <c r="BT14" s="236" t="str">
        <f>IFERROR(__xludf.DUMMYFUNCTION("if(countif(ecn.list,ET14),OFFSET(INDIRECT(CONCAT(""A"",to_text(match(ET14,ecn.list,0)))),0,1),"""")"),"")</f>
        <v/>
      </c>
      <c r="BU14" s="236" t="str">
        <f>IFERROR(__xludf.DUMMYFUNCTION("if(countif(ecn.list,EU14),OFFSET(INDIRECT(CONCAT(""A"",to_text(match(EU14,ecn.list,0)))),0,1),"""")"),"")</f>
        <v/>
      </c>
      <c r="BV14" s="236" t="str">
        <f>IFERROR(__xludf.DUMMYFUNCTION("if(countif(ecn.list,EV14),OFFSET(INDIRECT(CONCAT(""A"",to_text(match(EV14,ecn.list,0)))),0,1),"""")"),"")</f>
        <v/>
      </c>
      <c r="BW14" s="236" t="str">
        <f>IFERROR(__xludf.DUMMYFUNCTION("if(countif(ecn.list,EW14),OFFSET(INDIRECT(CONCAT(""A"",to_text(match(EW14,ecn.list,0)))),0,1),"""")"),"MC ")</f>
        <v>MC </v>
      </c>
      <c r="BX14" s="236" t="str">
        <f>IFERROR(__xludf.DUMMYFUNCTION("if(countif(ecn.list,EX14),OFFSET(INDIRECT(CONCAT(""A"",to_text(match(EX14,ecn.list,0)))),0,1),"""")"),"MD ")</f>
        <v>MD </v>
      </c>
      <c r="BY14" s="236" t="str">
        <f>IFERROR(__xludf.DUMMYFUNCTION("if(countif(ecn.list,EY14),OFFSET(INDIRECT(CONCAT(""A"",to_text(match(EY14,ecn.list,0)))),0,1),"""")"),"")</f>
        <v/>
      </c>
      <c r="BZ14" s="236" t="str">
        <f>IFERROR(__xludf.DUMMYFUNCTION("if(countif(ecn.list,EZ14),OFFSET(INDIRECT(CONCAT(""A"",to_text(match(EZ14,ecn.list,0)))),0,1),"""")"),"MF ")</f>
        <v>MF </v>
      </c>
      <c r="CA14" s="236" t="str">
        <f>IFERROR(__xludf.DUMMYFUNCTION("if(countif(ecn.list,FA14),OFFSET(INDIRECT(CONCAT(""A"",to_text(match(FA14,ecn.list,0)))),0,1),"""")"),"")</f>
        <v/>
      </c>
      <c r="CB14" s="236" t="str">
        <f>IFERROR(__xludf.DUMMYFUNCTION("if(countif(ecn.list,FB14),OFFSET(INDIRECT(CONCAT(""A"",to_text(match(FB14,ecn.list,0)))),0,1),"""")"),"")</f>
        <v/>
      </c>
      <c r="CC14" s="236" t="str">
        <f>IFERROR(__xludf.DUMMYFUNCTION("if(countif(ecn.list,FC14),OFFSET(INDIRECT(CONCAT(""A"",to_text(match(FC14,ecn.list,0)))),0,1),"""")"),"N2 ")</f>
        <v>N2 </v>
      </c>
      <c r="CD14" s="236" t="str">
        <f>IFERROR(__xludf.DUMMYFUNCTION("if(countif(ecn.list,FD14),OFFSET(INDIRECT(CONCAT(""A"",to_text(match(FD14,ecn.list,0)))),0,1),"""")"),"")</f>
        <v/>
      </c>
      <c r="CE14" s="236" t="str">
        <f>IFERROR(__xludf.DUMMYFUNCTION("if(countif(ecn.list,FE14),OFFSET(INDIRECT(CONCAT(""A"",to_text(match(FE14,ecn.list,0)))),0,1),"""")"),"")</f>
        <v/>
      </c>
      <c r="CF14" s="236" t="str">
        <f>IFERROR(__xludf.DUMMYFUNCTION("if(countif(ecn.list,FF14),OFFSET(INDIRECT(CONCAT(""A"",to_text(match(FF14,ecn.list,0)))),0,1),"""")"),"")</f>
        <v/>
      </c>
      <c r="CG14" s="236" t="str">
        <f>IFERROR(__xludf.DUMMYFUNCTION("if(countif(ecn.list,FG14),OFFSET(INDIRECT(CONCAT(""A"",to_text(match(FG14,ecn.list,0)))),0,1),"""")"),"")</f>
        <v/>
      </c>
      <c r="CH14" s="236" t="str">
        <f>IFERROR(__xludf.DUMMYFUNCTION("if(countif(ecn.list,FH14),OFFSET(INDIRECT(CONCAT(""A"",to_text(match(FH14,ecn.list,0)))),0,1),"""")"),"N7 ")</f>
        <v>N7 </v>
      </c>
      <c r="CI14" s="236" t="str">
        <f>IFERROR(__xludf.DUMMYFUNCTION("if(countif(ecn.list,FI14),OFFSET(INDIRECT(CONCAT(""A"",to_text(match(FI14,ecn.list,0)))),0,1),"""")"),"")</f>
        <v/>
      </c>
      <c r="CJ14" s="236" t="str">
        <f>IFERROR(__xludf.DUMMYFUNCTION("if(countif(ecn.list,FJ14),OFFSET(INDIRECT(CONCAT(""A"",to_text(match(FJ14,ecn.list,0)))),0,1),"""")"),"")</f>
        <v/>
      </c>
      <c r="CK14" s="236" t="str">
        <f>IFERROR(__xludf.DUMMYFUNCTION("if(countif(ecn.list,FK14),OFFSET(INDIRECT(CONCAT(""A"",to_text(match(FK14,ecn.list,0)))),0,1),"""")"),"NA ")</f>
        <v>NA </v>
      </c>
      <c r="CL14" s="236" t="str">
        <f>IFERROR(__xludf.DUMMYFUNCTION("if(countif(ecn.list,FL14),OFFSET(INDIRECT(CONCAT(""A"",to_text(match(FL14,ecn.list,0)))),0,1),"""")"),"")</f>
        <v/>
      </c>
      <c r="CM14" s="236" t="str">
        <f>IFERROR(__xludf.DUMMYFUNCTION("if(countif(ecn.list,FM14),OFFSET(INDIRECT(CONCAT(""A"",to_text(match(FM14,ecn.list,0)))),0,1),"""")"),"")</f>
        <v/>
      </c>
      <c r="CN14" s="198" t="s">
        <v>117</v>
      </c>
      <c r="CO14" s="198" t="s">
        <v>1447</v>
      </c>
      <c r="CP14" s="198" t="s">
        <v>1451</v>
      </c>
      <c r="CQ14" s="198" t="s">
        <v>1452</v>
      </c>
      <c r="CR14" s="198" t="s">
        <v>1453</v>
      </c>
      <c r="CS14" s="198" t="s">
        <v>1453</v>
      </c>
      <c r="CT14" s="198" t="s">
        <v>1454</v>
      </c>
      <c r="CU14" s="198" t="s">
        <v>1455</v>
      </c>
      <c r="CV14" s="198" t="s">
        <v>1456</v>
      </c>
      <c r="CW14" s="198" t="s">
        <v>1453</v>
      </c>
      <c r="CX14" s="198" t="s">
        <v>1453</v>
      </c>
      <c r="CY14" s="198" t="s">
        <v>1484</v>
      </c>
      <c r="CZ14" s="198" t="s">
        <v>1453</v>
      </c>
      <c r="DA14" s="198" t="s">
        <v>1457</v>
      </c>
      <c r="DB14" s="198" t="s">
        <v>1485</v>
      </c>
      <c r="DC14" s="198" t="s">
        <v>1453</v>
      </c>
      <c r="DD14" s="198" t="s">
        <v>1453</v>
      </c>
      <c r="DE14" s="198" t="s">
        <v>1459</v>
      </c>
      <c r="DF14" s="198" t="s">
        <v>1453</v>
      </c>
      <c r="DG14" s="198" t="s">
        <v>1453</v>
      </c>
      <c r="DH14" s="198" t="s">
        <v>1453</v>
      </c>
      <c r="DI14" s="198" t="s">
        <v>1453</v>
      </c>
      <c r="DJ14" s="198" t="s">
        <v>1460</v>
      </c>
      <c r="DK14" s="198" t="s">
        <v>1453</v>
      </c>
      <c r="DL14" s="198" t="s">
        <v>1461</v>
      </c>
      <c r="DM14" s="198" t="s">
        <v>1453</v>
      </c>
      <c r="DN14" s="198" t="s">
        <v>1463</v>
      </c>
      <c r="DO14" s="198" t="s">
        <v>1464</v>
      </c>
      <c r="DP14" s="198" t="s">
        <v>1453</v>
      </c>
      <c r="DQ14" s="198" t="s">
        <v>1466</v>
      </c>
      <c r="DR14" s="198" t="s">
        <v>1467</v>
      </c>
      <c r="DS14" s="198" t="s">
        <v>1453</v>
      </c>
      <c r="DT14" s="198" t="s">
        <v>1468</v>
      </c>
      <c r="DU14" s="198" t="s">
        <v>1453</v>
      </c>
      <c r="DV14" s="198" t="s">
        <v>1469</v>
      </c>
      <c r="DW14" s="198" t="s">
        <v>1453</v>
      </c>
      <c r="DX14" s="198" t="s">
        <v>1453</v>
      </c>
      <c r="DY14" s="198" t="s">
        <v>1453</v>
      </c>
      <c r="DZ14" s="198" t="s">
        <v>1453</v>
      </c>
      <c r="EA14" s="198" t="s">
        <v>1453</v>
      </c>
      <c r="EB14" s="198" t="s">
        <v>1453</v>
      </c>
      <c r="EC14" s="198" t="s">
        <v>1483</v>
      </c>
      <c r="ED14" s="198" t="s">
        <v>1453</v>
      </c>
      <c r="EE14" s="198" t="s">
        <v>1470</v>
      </c>
      <c r="EF14" s="198" t="s">
        <v>1453</v>
      </c>
      <c r="EG14" s="198" t="s">
        <v>1471</v>
      </c>
      <c r="EH14" s="198" t="s">
        <v>1453</v>
      </c>
      <c r="EI14" s="198" t="s">
        <v>1453</v>
      </c>
      <c r="EJ14" s="198" t="s">
        <v>1453</v>
      </c>
      <c r="EK14" s="198" t="s">
        <v>1487</v>
      </c>
      <c r="EL14" s="198" t="s">
        <v>1453</v>
      </c>
      <c r="EM14" s="198" t="s">
        <v>1493</v>
      </c>
      <c r="EN14" s="198" t="s">
        <v>1474</v>
      </c>
      <c r="EO14" s="198" t="s">
        <v>1453</v>
      </c>
      <c r="EP14" s="198" t="s">
        <v>1453</v>
      </c>
      <c r="EQ14" s="198" t="s">
        <v>1453</v>
      </c>
      <c r="ER14" s="198" t="s">
        <v>1453</v>
      </c>
      <c r="ES14" s="198" t="s">
        <v>1453</v>
      </c>
      <c r="ET14" s="198" t="s">
        <v>1453</v>
      </c>
      <c r="EU14" s="198" t="s">
        <v>1453</v>
      </c>
      <c r="EV14" s="198" t="s">
        <v>1453</v>
      </c>
      <c r="EW14" s="198" t="s">
        <v>1495</v>
      </c>
      <c r="EX14" s="198" t="s">
        <v>1488</v>
      </c>
      <c r="EY14" s="198" t="s">
        <v>1453</v>
      </c>
      <c r="EZ14" s="198" t="s">
        <v>1477</v>
      </c>
      <c r="FA14" s="198" t="s">
        <v>1453</v>
      </c>
      <c r="FB14" s="198" t="s">
        <v>1453</v>
      </c>
      <c r="FC14" s="198" t="s">
        <v>1478</v>
      </c>
      <c r="FD14" s="198" t="s">
        <v>1453</v>
      </c>
      <c r="FE14" s="198" t="s">
        <v>1453</v>
      </c>
      <c r="FF14" s="198" t="s">
        <v>1453</v>
      </c>
      <c r="FG14" s="198" t="s">
        <v>1453</v>
      </c>
      <c r="FH14" s="198" t="s">
        <v>1479</v>
      </c>
      <c r="FI14" s="198" t="s">
        <v>1453</v>
      </c>
      <c r="FJ14" s="198" t="s">
        <v>1453</v>
      </c>
      <c r="FK14" s="198" t="s">
        <v>1481</v>
      </c>
      <c r="FL14" s="198" t="s">
        <v>1482</v>
      </c>
      <c r="FM14" s="198" t="s">
        <v>1453</v>
      </c>
    </row>
    <row r="15">
      <c r="A15" s="198" t="s">
        <v>1485</v>
      </c>
      <c r="B15" s="198" t="str">
        <f t="shared" si="1"/>
        <v>JD </v>
      </c>
      <c r="C15" s="234" t="s">
        <v>1512</v>
      </c>
      <c r="D15" s="232" t="s">
        <v>770</v>
      </c>
      <c r="E15" s="232" t="s">
        <v>1448</v>
      </c>
      <c r="F15" s="232" t="s">
        <v>1449</v>
      </c>
      <c r="G15" s="232" t="s">
        <v>1450</v>
      </c>
      <c r="H15" s="232" t="s">
        <v>876</v>
      </c>
      <c r="I15" s="232" t="s">
        <v>882</v>
      </c>
      <c r="J15" s="232" t="s">
        <v>883</v>
      </c>
      <c r="K15" s="232" t="s">
        <v>894</v>
      </c>
      <c r="L15" s="188" t="s">
        <v>120</v>
      </c>
      <c r="M15" s="236" t="str">
        <f>IFERROR(__xludf.DUMMYFUNCTION("regexreplace(N15,"" "","", "")"),"J0, J1, J2, J5, J6, J7, JA, JC, JD, K0, K5, K7, K9, KA, KC, KD, KF, L1, L8, LA, LC, LD, M0, M2, M3, MA, MC, MF, N2, N4, N7, NA, ")</f>
        <v>J0, J1, J2, J5, J6, J7, JA, JC, JD, K0, K5, K7, K9, KA, KC, KD, KF, L1, L8, LA, LC, LD, M0, M2, M3, MA, MC, MF, N2, N4, N7, NA, </v>
      </c>
      <c r="N15" s="236" t="str">
        <f t="shared" si="2"/>
        <v>J0 J1 J2 J5 J6 J7 JA JC JD K0 K5 K7 K9 KA KC KD KF L1 L8 LA LC LD M0 M2 M3 MA MC MF N2 N4 N7 NA </v>
      </c>
      <c r="O15" s="236" t="str">
        <f>IFERROR(__xludf.DUMMYFUNCTION("if(countif(ecn.list,CO15),OFFSET(INDIRECT(CONCAT(""A"",to_text(match(CO15,ecn.list,0)))),0,1),"""")"),"J0 ")</f>
        <v>J0 </v>
      </c>
      <c r="P15" s="236" t="str">
        <f>IFERROR(__xludf.DUMMYFUNCTION("if(countif(ecn.list,CP15),OFFSET(INDIRECT(CONCAT(""A"",to_text(match(CP15,ecn.list,0)))),0,1),"""")"),"J1 ")</f>
        <v>J1 </v>
      </c>
      <c r="Q15" s="236" t="str">
        <f>IFERROR(__xludf.DUMMYFUNCTION("if(countif(ecn.list,CQ15),OFFSET(INDIRECT(CONCAT(""A"",to_text(match(CQ15,ecn.list,0)))),0,1),"""")"),"J2 ")</f>
        <v>J2 </v>
      </c>
      <c r="R15" s="236" t="str">
        <f>IFERROR(__xludf.DUMMYFUNCTION("if(countif(ecn.list,CR15),OFFSET(INDIRECT(CONCAT(""A"",to_text(match(CR15,ecn.list,0)))),0,1),"""")"),"")</f>
        <v/>
      </c>
      <c r="S15" s="236" t="str">
        <f>IFERROR(__xludf.DUMMYFUNCTION("if(countif(ecn.list,CS15),OFFSET(INDIRECT(CONCAT(""A"",to_text(match(CS15,ecn.list,0)))),0,1),"""")"),"")</f>
        <v/>
      </c>
      <c r="T15" s="236" t="str">
        <f>IFERROR(__xludf.DUMMYFUNCTION("if(countif(ecn.list,CT15),OFFSET(INDIRECT(CONCAT(""A"",to_text(match(CT15,ecn.list,0)))),0,1),"""")"),"J5 ")</f>
        <v>J5 </v>
      </c>
      <c r="U15" s="236" t="str">
        <f>IFERROR(__xludf.DUMMYFUNCTION("if(countif(ecn.list,CU15),OFFSET(INDIRECT(CONCAT(""A"",to_text(match(CU15,ecn.list,0)))),0,1),"""")"),"J6 ")</f>
        <v>J6 </v>
      </c>
      <c r="V15" s="236" t="str">
        <f>IFERROR(__xludf.DUMMYFUNCTION("if(countif(ecn.list,CV15),OFFSET(INDIRECT(CONCAT(""A"",to_text(match(CV15,ecn.list,0)))),0,1),"""")"),"J7 ")</f>
        <v>J7 </v>
      </c>
      <c r="W15" s="236" t="str">
        <f>IFERROR(__xludf.DUMMYFUNCTION("if(countif(ecn.list,CW15),OFFSET(INDIRECT(CONCAT(""A"",to_text(match(CW15,ecn.list,0)))),0,1),"""")"),"")</f>
        <v/>
      </c>
      <c r="X15" s="236" t="str">
        <f>IFERROR(__xludf.DUMMYFUNCTION("if(countif(ecn.list,CX15),OFFSET(INDIRECT(CONCAT(""A"",to_text(match(CX15,ecn.list,0)))),0,1),"""")"),"")</f>
        <v/>
      </c>
      <c r="Y15" s="236" t="str">
        <f>IFERROR(__xludf.DUMMYFUNCTION("if(countif(ecn.list,CY15),OFFSET(INDIRECT(CONCAT(""A"",to_text(match(CY15,ecn.list,0)))),0,1),"""")"),"JA ")</f>
        <v>JA </v>
      </c>
      <c r="Z15" s="236" t="str">
        <f>IFERROR(__xludf.DUMMYFUNCTION("if(countif(ecn.list,CZ15),OFFSET(INDIRECT(CONCAT(""A"",to_text(match(CZ15,ecn.list,0)))),0,1),"""")"),"")</f>
        <v/>
      </c>
      <c r="AA15" s="236" t="str">
        <f>IFERROR(__xludf.DUMMYFUNCTION("if(countif(ecn.list,DA15),OFFSET(INDIRECT(CONCAT(""A"",to_text(match(DA15,ecn.list,0)))),0,1),"""")"),"JC ")</f>
        <v>JC </v>
      </c>
      <c r="AB15" s="236" t="str">
        <f>IFERROR(__xludf.DUMMYFUNCTION("if(countif(ecn.list,DB15),OFFSET(INDIRECT(CONCAT(""A"",to_text(match(DB15,ecn.list,0)))),0,1),"""")"),"JD ")</f>
        <v>JD </v>
      </c>
      <c r="AC15" s="236" t="str">
        <f>IFERROR(__xludf.DUMMYFUNCTION("if(countif(ecn.list,DC15),OFFSET(INDIRECT(CONCAT(""A"",to_text(match(DC15,ecn.list,0)))),0,1),"""")"),"")</f>
        <v/>
      </c>
      <c r="AD15" s="236" t="str">
        <f>IFERROR(__xludf.DUMMYFUNCTION("if(countif(ecn.list,DD15),OFFSET(INDIRECT(CONCAT(""A"",to_text(match(DD15,ecn.list,0)))),0,1),"""")"),"")</f>
        <v/>
      </c>
      <c r="AE15" s="236" t="str">
        <f>IFERROR(__xludf.DUMMYFUNCTION("if(countif(ecn.list,DE15),OFFSET(INDIRECT(CONCAT(""A"",to_text(match(DE15,ecn.list,0)))),0,1),"""")"),"K0 ")</f>
        <v>K0 </v>
      </c>
      <c r="AF15" s="236" t="str">
        <f>IFERROR(__xludf.DUMMYFUNCTION("if(countif(ecn.list,DF15),OFFSET(INDIRECT(CONCAT(""A"",to_text(match(DF15,ecn.list,0)))),0,1),"""")"),"")</f>
        <v/>
      </c>
      <c r="AG15" s="236" t="str">
        <f>IFERROR(__xludf.DUMMYFUNCTION("if(countif(ecn.list,DG15),OFFSET(INDIRECT(CONCAT(""A"",to_text(match(DG15,ecn.list,0)))),0,1),"""")"),"")</f>
        <v/>
      </c>
      <c r="AH15" s="236" t="str">
        <f>IFERROR(__xludf.DUMMYFUNCTION("if(countif(ecn.list,DH15),OFFSET(INDIRECT(CONCAT(""A"",to_text(match(DH15,ecn.list,0)))),0,1),"""")"),"")</f>
        <v/>
      </c>
      <c r="AI15" s="236" t="str">
        <f>IFERROR(__xludf.DUMMYFUNCTION("if(countif(ecn.list,DI15),OFFSET(INDIRECT(CONCAT(""A"",to_text(match(DI15,ecn.list,0)))),0,1),"""")"),"")</f>
        <v/>
      </c>
      <c r="AJ15" s="236" t="str">
        <f>IFERROR(__xludf.DUMMYFUNCTION("if(countif(ecn.list,DJ15),OFFSET(INDIRECT(CONCAT(""A"",to_text(match(DJ15,ecn.list,0)))),0,1),"""")"),"K5 ")</f>
        <v>K5 </v>
      </c>
      <c r="AK15" s="236" t="str">
        <f>IFERROR(__xludf.DUMMYFUNCTION("if(countif(ecn.list,DK15),OFFSET(INDIRECT(CONCAT(""A"",to_text(match(DK15,ecn.list,0)))),0,1),"""")"),"")</f>
        <v/>
      </c>
      <c r="AL15" s="236" t="str">
        <f>IFERROR(__xludf.DUMMYFUNCTION("if(countif(ecn.list,DL15),OFFSET(INDIRECT(CONCAT(""A"",to_text(match(DL15,ecn.list,0)))),0,1),"""")"),"K7 ")</f>
        <v>K7 </v>
      </c>
      <c r="AM15" s="236" t="str">
        <f>IFERROR(__xludf.DUMMYFUNCTION("if(countif(ecn.list,DM15),OFFSET(INDIRECT(CONCAT(""A"",to_text(match(DM15,ecn.list,0)))),0,1),"""")"),"")</f>
        <v/>
      </c>
      <c r="AN15" s="236" t="str">
        <f>IFERROR(__xludf.DUMMYFUNCTION("if(countif(ecn.list,DN15),OFFSET(INDIRECT(CONCAT(""A"",to_text(match(DN15,ecn.list,0)))),0,1),"""")"),"K9 ")</f>
        <v>K9 </v>
      </c>
      <c r="AO15" s="236" t="str">
        <f>IFERROR(__xludf.DUMMYFUNCTION("if(countif(ecn.list,DO15),OFFSET(INDIRECT(CONCAT(""A"",to_text(match(DO15,ecn.list,0)))),0,1),"""")"),"KA ")</f>
        <v>KA </v>
      </c>
      <c r="AP15" s="236" t="str">
        <f>IFERROR(__xludf.DUMMYFUNCTION("if(countif(ecn.list,DP15),OFFSET(INDIRECT(CONCAT(""A"",to_text(match(DP15,ecn.list,0)))),0,1),"""")"),"")</f>
        <v/>
      </c>
      <c r="AQ15" s="236" t="str">
        <f>IFERROR(__xludf.DUMMYFUNCTION("if(countif(ecn.list,DQ15),OFFSET(INDIRECT(CONCAT(""A"",to_text(match(DQ15,ecn.list,0)))),0,1),"""")"),"KC ")</f>
        <v>KC </v>
      </c>
      <c r="AR15" s="236" t="str">
        <f>IFERROR(__xludf.DUMMYFUNCTION("if(countif(ecn.list,DR15),OFFSET(INDIRECT(CONCAT(""A"",to_text(match(DR15,ecn.list,0)))),0,1),"""")"),"KD ")</f>
        <v>KD </v>
      </c>
      <c r="AS15" s="236" t="str">
        <f>IFERROR(__xludf.DUMMYFUNCTION("if(countif(ecn.list,DS15),OFFSET(INDIRECT(CONCAT(""A"",to_text(match(DS15,ecn.list,0)))),0,1),"""")"),"")</f>
        <v/>
      </c>
      <c r="AT15" s="236" t="str">
        <f>IFERROR(__xludf.DUMMYFUNCTION("if(countif(ecn.list,DT15),OFFSET(INDIRECT(CONCAT(""A"",to_text(match(DT15,ecn.list,0)))),0,1),"""")"),"KF ")</f>
        <v>KF </v>
      </c>
      <c r="AU15" s="236" t="str">
        <f>IFERROR(__xludf.DUMMYFUNCTION("if(countif(ecn.list,DU15),OFFSET(INDIRECT(CONCAT(""A"",to_text(match(DU15,ecn.list,0)))),0,1),"""")"),"")</f>
        <v/>
      </c>
      <c r="AV15" s="236" t="str">
        <f>IFERROR(__xludf.DUMMYFUNCTION("if(countif(ecn.list,DV15),OFFSET(INDIRECT(CONCAT(""A"",to_text(match(DV15,ecn.list,0)))),0,1),"""")"),"L1 ")</f>
        <v>L1 </v>
      </c>
      <c r="AW15" s="236" t="str">
        <f>IFERROR(__xludf.DUMMYFUNCTION("if(countif(ecn.list,DW15),OFFSET(INDIRECT(CONCAT(""A"",to_text(match(DW15,ecn.list,0)))),0,1),"""")"),"")</f>
        <v/>
      </c>
      <c r="AX15" s="236" t="str">
        <f>IFERROR(__xludf.DUMMYFUNCTION("if(countif(ecn.list,DX15),OFFSET(INDIRECT(CONCAT(""A"",to_text(match(DX15,ecn.list,0)))),0,1),"""")"),"")</f>
        <v/>
      </c>
      <c r="AY15" s="236" t="str">
        <f>IFERROR(__xludf.DUMMYFUNCTION("if(countif(ecn.list,DY15),OFFSET(INDIRECT(CONCAT(""A"",to_text(match(DY15,ecn.list,0)))),0,1),"""")"),"")</f>
        <v/>
      </c>
      <c r="AZ15" s="236" t="str">
        <f>IFERROR(__xludf.DUMMYFUNCTION("if(countif(ecn.list,DZ15),OFFSET(INDIRECT(CONCAT(""A"",to_text(match(DZ15,ecn.list,0)))),0,1),"""")"),"")</f>
        <v/>
      </c>
      <c r="BA15" s="236" t="str">
        <f>IFERROR(__xludf.DUMMYFUNCTION("if(countif(ecn.list,EA15),OFFSET(INDIRECT(CONCAT(""A"",to_text(match(EA15,ecn.list,0)))),0,1),"""")"),"")</f>
        <v/>
      </c>
      <c r="BB15" s="236" t="str">
        <f>IFERROR(__xludf.DUMMYFUNCTION("if(countif(ecn.list,EB15),OFFSET(INDIRECT(CONCAT(""A"",to_text(match(EB15,ecn.list,0)))),0,1),"""")"),"")</f>
        <v/>
      </c>
      <c r="BC15" s="236" t="str">
        <f>IFERROR(__xludf.DUMMYFUNCTION("if(countif(ecn.list,EC15),OFFSET(INDIRECT(CONCAT(""A"",to_text(match(EC15,ecn.list,0)))),0,1),"""")"),"L8 ")</f>
        <v>L8 </v>
      </c>
      <c r="BD15" s="236" t="str">
        <f>IFERROR(__xludf.DUMMYFUNCTION("if(countif(ecn.list,ED15),OFFSET(INDIRECT(CONCAT(""A"",to_text(match(ED15,ecn.list,0)))),0,1),"""")"),"")</f>
        <v/>
      </c>
      <c r="BE15" s="236" t="str">
        <f>IFERROR(__xludf.DUMMYFUNCTION("if(countif(ecn.list,EE15),OFFSET(INDIRECT(CONCAT(""A"",to_text(match(EE15,ecn.list,0)))),0,1),"""")"),"LA ")</f>
        <v>LA </v>
      </c>
      <c r="BF15" s="236" t="str">
        <f>IFERROR(__xludf.DUMMYFUNCTION("if(countif(ecn.list,EF15),OFFSET(INDIRECT(CONCAT(""A"",to_text(match(EF15,ecn.list,0)))),0,1),"""")"),"")</f>
        <v/>
      </c>
      <c r="BG15" s="236" t="str">
        <f>IFERROR(__xludf.DUMMYFUNCTION("if(countif(ecn.list,EG15),OFFSET(INDIRECT(CONCAT(""A"",to_text(match(EG15,ecn.list,0)))),0,1),"""")"),"LC ")</f>
        <v>LC </v>
      </c>
      <c r="BH15" s="236" t="str">
        <f>IFERROR(__xludf.DUMMYFUNCTION("if(countif(ecn.list,EH15),OFFSET(INDIRECT(CONCAT(""A"",to_text(match(EH15,ecn.list,0)))),0,1),"""")"),"LD ")</f>
        <v>LD </v>
      </c>
      <c r="BI15" s="236" t="str">
        <f>IFERROR(__xludf.DUMMYFUNCTION("if(countif(ecn.list,EI15),OFFSET(INDIRECT(CONCAT(""A"",to_text(match(EI15,ecn.list,0)))),0,1),"""")"),"")</f>
        <v/>
      </c>
      <c r="BJ15" s="236" t="str">
        <f>IFERROR(__xludf.DUMMYFUNCTION("if(countif(ecn.list,EJ15),OFFSET(INDIRECT(CONCAT(""A"",to_text(match(EJ15,ecn.list,0)))),0,1),"""")"),"")</f>
        <v/>
      </c>
      <c r="BK15" s="236" t="str">
        <f>IFERROR(__xludf.DUMMYFUNCTION("if(countif(ecn.list,EK15),OFFSET(INDIRECT(CONCAT(""A"",to_text(match(EK15,ecn.list,0)))),0,1),"""")"),"M0 ")</f>
        <v>M0 </v>
      </c>
      <c r="BL15" s="236" t="str">
        <f>IFERROR(__xludf.DUMMYFUNCTION("if(countif(ecn.list,EL15),OFFSET(INDIRECT(CONCAT(""A"",to_text(match(EL15,ecn.list,0)))),0,1),"""")"),"")</f>
        <v/>
      </c>
      <c r="BM15" s="236" t="str">
        <f>IFERROR(__xludf.DUMMYFUNCTION("if(countif(ecn.list,EM15),OFFSET(INDIRECT(CONCAT(""A"",to_text(match(EM15,ecn.list,0)))),0,1),"""")"),"M2 ")</f>
        <v>M2 </v>
      </c>
      <c r="BN15" s="236" t="str">
        <f>IFERROR(__xludf.DUMMYFUNCTION("if(countif(ecn.list,EN15),OFFSET(INDIRECT(CONCAT(""A"",to_text(match(EN15,ecn.list,0)))),0,1),"""")"),"M3 ")</f>
        <v>M3 </v>
      </c>
      <c r="BO15" s="236" t="str">
        <f>IFERROR(__xludf.DUMMYFUNCTION("if(countif(ecn.list,EO15),OFFSET(INDIRECT(CONCAT(""A"",to_text(match(EO15,ecn.list,0)))),0,1),"""")"),"")</f>
        <v/>
      </c>
      <c r="BP15" s="236" t="str">
        <f>IFERROR(__xludf.DUMMYFUNCTION("if(countif(ecn.list,EP15),OFFSET(INDIRECT(CONCAT(""A"",to_text(match(EP15,ecn.list,0)))),0,1),"""")"),"")</f>
        <v/>
      </c>
      <c r="BQ15" s="236" t="str">
        <f>IFERROR(__xludf.DUMMYFUNCTION("if(countif(ecn.list,EQ15),OFFSET(INDIRECT(CONCAT(""A"",to_text(match(EQ15,ecn.list,0)))),0,1),"""")"),"")</f>
        <v/>
      </c>
      <c r="BR15" s="236" t="str">
        <f>IFERROR(__xludf.DUMMYFUNCTION("if(countif(ecn.list,ER15),OFFSET(INDIRECT(CONCAT(""A"",to_text(match(ER15,ecn.list,0)))),0,1),"""")"),"")</f>
        <v/>
      </c>
      <c r="BS15" s="236" t="str">
        <f>IFERROR(__xludf.DUMMYFUNCTION("if(countif(ecn.list,ES15),OFFSET(INDIRECT(CONCAT(""A"",to_text(match(ES15,ecn.list,0)))),0,1),"""")"),"")</f>
        <v/>
      </c>
      <c r="BT15" s="236" t="str">
        <f>IFERROR(__xludf.DUMMYFUNCTION("if(countif(ecn.list,ET15),OFFSET(INDIRECT(CONCAT(""A"",to_text(match(ET15,ecn.list,0)))),0,1),"""")"),"")</f>
        <v/>
      </c>
      <c r="BU15" s="236" t="str">
        <f>IFERROR(__xludf.DUMMYFUNCTION("if(countif(ecn.list,EU15),OFFSET(INDIRECT(CONCAT(""A"",to_text(match(EU15,ecn.list,0)))),0,1),"""")"),"MA ")</f>
        <v>MA </v>
      </c>
      <c r="BV15" s="236" t="str">
        <f>IFERROR(__xludf.DUMMYFUNCTION("if(countif(ecn.list,EV15),OFFSET(INDIRECT(CONCAT(""A"",to_text(match(EV15,ecn.list,0)))),0,1),"""")"),"")</f>
        <v/>
      </c>
      <c r="BW15" s="236" t="str">
        <f>IFERROR(__xludf.DUMMYFUNCTION("if(countif(ecn.list,EW15),OFFSET(INDIRECT(CONCAT(""A"",to_text(match(EW15,ecn.list,0)))),0,1),"""")"),"MC ")</f>
        <v>MC </v>
      </c>
      <c r="BX15" s="236" t="str">
        <f>IFERROR(__xludf.DUMMYFUNCTION("if(countif(ecn.list,EX15),OFFSET(INDIRECT(CONCAT(""A"",to_text(match(EX15,ecn.list,0)))),0,1),"""")"),"")</f>
        <v/>
      </c>
      <c r="BY15" s="236" t="str">
        <f>IFERROR(__xludf.DUMMYFUNCTION("if(countif(ecn.list,EY15),OFFSET(INDIRECT(CONCAT(""A"",to_text(match(EY15,ecn.list,0)))),0,1),"""")"),"")</f>
        <v/>
      </c>
      <c r="BZ15" s="236" t="str">
        <f>IFERROR(__xludf.DUMMYFUNCTION("if(countif(ecn.list,EZ15),OFFSET(INDIRECT(CONCAT(""A"",to_text(match(EZ15,ecn.list,0)))),0,1),"""")"),"MF ")</f>
        <v>MF </v>
      </c>
      <c r="CA15" s="236" t="str">
        <f>IFERROR(__xludf.DUMMYFUNCTION("if(countif(ecn.list,FA15),OFFSET(INDIRECT(CONCAT(""A"",to_text(match(FA15,ecn.list,0)))),0,1),"""")"),"")</f>
        <v/>
      </c>
      <c r="CB15" s="236" t="str">
        <f>IFERROR(__xludf.DUMMYFUNCTION("if(countif(ecn.list,FB15),OFFSET(INDIRECT(CONCAT(""A"",to_text(match(FB15,ecn.list,0)))),0,1),"""")"),"")</f>
        <v/>
      </c>
      <c r="CC15" s="236" t="str">
        <f>IFERROR(__xludf.DUMMYFUNCTION("if(countif(ecn.list,FC15),OFFSET(INDIRECT(CONCAT(""A"",to_text(match(FC15,ecn.list,0)))),0,1),"""")"),"N2 ")</f>
        <v>N2 </v>
      </c>
      <c r="CD15" s="236" t="str">
        <f>IFERROR(__xludf.DUMMYFUNCTION("if(countif(ecn.list,FD15),OFFSET(INDIRECT(CONCAT(""A"",to_text(match(FD15,ecn.list,0)))),0,1),"""")"),"")</f>
        <v/>
      </c>
      <c r="CE15" s="236" t="str">
        <f>IFERROR(__xludf.DUMMYFUNCTION("if(countif(ecn.list,FE15),OFFSET(INDIRECT(CONCAT(""A"",to_text(match(FE15,ecn.list,0)))),0,1),"""")"),"N4 ")</f>
        <v>N4 </v>
      </c>
      <c r="CF15" s="236" t="str">
        <f>IFERROR(__xludf.DUMMYFUNCTION("if(countif(ecn.list,FF15),OFFSET(INDIRECT(CONCAT(""A"",to_text(match(FF15,ecn.list,0)))),0,1),"""")"),"")</f>
        <v/>
      </c>
      <c r="CG15" s="236" t="str">
        <f>IFERROR(__xludf.DUMMYFUNCTION("if(countif(ecn.list,FG15),OFFSET(INDIRECT(CONCAT(""A"",to_text(match(FG15,ecn.list,0)))),0,1),"""")"),"")</f>
        <v/>
      </c>
      <c r="CH15" s="236" t="str">
        <f>IFERROR(__xludf.DUMMYFUNCTION("if(countif(ecn.list,FH15),OFFSET(INDIRECT(CONCAT(""A"",to_text(match(FH15,ecn.list,0)))),0,1),"""")"),"N7 ")</f>
        <v>N7 </v>
      </c>
      <c r="CI15" s="236" t="str">
        <f>IFERROR(__xludf.DUMMYFUNCTION("if(countif(ecn.list,FI15),OFFSET(INDIRECT(CONCAT(""A"",to_text(match(FI15,ecn.list,0)))),0,1),"""")"),"")</f>
        <v/>
      </c>
      <c r="CJ15" s="236" t="str">
        <f>IFERROR(__xludf.DUMMYFUNCTION("if(countif(ecn.list,FJ15),OFFSET(INDIRECT(CONCAT(""A"",to_text(match(FJ15,ecn.list,0)))),0,1),"""")"),"")</f>
        <v/>
      </c>
      <c r="CK15" s="236" t="str">
        <f>IFERROR(__xludf.DUMMYFUNCTION("if(countif(ecn.list,FK15),OFFSET(INDIRECT(CONCAT(""A"",to_text(match(FK15,ecn.list,0)))),0,1),"""")"),"NA ")</f>
        <v>NA </v>
      </c>
      <c r="CL15" s="236" t="str">
        <f>IFERROR(__xludf.DUMMYFUNCTION("if(countif(ecn.list,FL15),OFFSET(INDIRECT(CONCAT(""A"",to_text(match(FL15,ecn.list,0)))),0,1),"""")"),"")</f>
        <v/>
      </c>
      <c r="CM15" s="236" t="str">
        <f>IFERROR(__xludf.DUMMYFUNCTION("if(countif(ecn.list,FM15),OFFSET(INDIRECT(CONCAT(""A"",to_text(match(FM15,ecn.list,0)))),0,1),"""")"),"")</f>
        <v/>
      </c>
      <c r="CN15" s="198" t="s">
        <v>120</v>
      </c>
      <c r="CO15" s="198" t="s">
        <v>1447</v>
      </c>
      <c r="CP15" s="198" t="s">
        <v>1451</v>
      </c>
      <c r="CQ15" s="198" t="s">
        <v>1452</v>
      </c>
      <c r="CR15" s="198" t="s">
        <v>1453</v>
      </c>
      <c r="CS15" s="198" t="s">
        <v>1453</v>
      </c>
      <c r="CT15" s="198" t="s">
        <v>1454</v>
      </c>
      <c r="CU15" s="198" t="s">
        <v>1455</v>
      </c>
      <c r="CV15" s="198" t="s">
        <v>1456</v>
      </c>
      <c r="CW15" s="198" t="s">
        <v>1453</v>
      </c>
      <c r="CX15" s="198" t="s">
        <v>1453</v>
      </c>
      <c r="CY15" s="198" t="s">
        <v>1484</v>
      </c>
      <c r="CZ15" s="198" t="s">
        <v>1453</v>
      </c>
      <c r="DA15" s="198" t="s">
        <v>1457</v>
      </c>
      <c r="DB15" s="198" t="s">
        <v>1485</v>
      </c>
      <c r="DC15" s="198" t="s">
        <v>1453</v>
      </c>
      <c r="DD15" s="198" t="s">
        <v>1453</v>
      </c>
      <c r="DE15" s="198" t="s">
        <v>1459</v>
      </c>
      <c r="DF15" s="198" t="s">
        <v>1453</v>
      </c>
      <c r="DG15" s="198" t="s">
        <v>1453</v>
      </c>
      <c r="DH15" s="198" t="s">
        <v>1453</v>
      </c>
      <c r="DI15" s="198" t="s">
        <v>1453</v>
      </c>
      <c r="DJ15" s="198" t="s">
        <v>1460</v>
      </c>
      <c r="DK15" s="198" t="s">
        <v>1453</v>
      </c>
      <c r="DL15" s="198" t="s">
        <v>1461</v>
      </c>
      <c r="DM15" s="198" t="s">
        <v>1453</v>
      </c>
      <c r="DN15" s="198" t="s">
        <v>1463</v>
      </c>
      <c r="DO15" s="198" t="s">
        <v>1464</v>
      </c>
      <c r="DP15" s="198" t="s">
        <v>1453</v>
      </c>
      <c r="DQ15" s="198" t="s">
        <v>1466</v>
      </c>
      <c r="DR15" s="198" t="s">
        <v>1467</v>
      </c>
      <c r="DS15" s="198" t="s">
        <v>1453</v>
      </c>
      <c r="DT15" s="198" t="s">
        <v>1468</v>
      </c>
      <c r="DU15" s="198" t="s">
        <v>1453</v>
      </c>
      <c r="DV15" s="198" t="s">
        <v>1469</v>
      </c>
      <c r="DW15" s="198" t="s">
        <v>1453</v>
      </c>
      <c r="DX15" s="198" t="s">
        <v>1453</v>
      </c>
      <c r="DY15" s="198" t="s">
        <v>1453</v>
      </c>
      <c r="DZ15" s="198" t="s">
        <v>1453</v>
      </c>
      <c r="EA15" s="198" t="s">
        <v>1453</v>
      </c>
      <c r="EB15" s="198" t="s">
        <v>1453</v>
      </c>
      <c r="EC15" s="198" t="s">
        <v>1483</v>
      </c>
      <c r="ED15" s="198" t="s">
        <v>1453</v>
      </c>
      <c r="EE15" s="198" t="s">
        <v>1470</v>
      </c>
      <c r="EF15" s="198" t="s">
        <v>1453</v>
      </c>
      <c r="EG15" s="198" t="s">
        <v>1471</v>
      </c>
      <c r="EH15" s="198" t="s">
        <v>1492</v>
      </c>
      <c r="EI15" s="198" t="s">
        <v>1453</v>
      </c>
      <c r="EJ15" s="198" t="s">
        <v>1453</v>
      </c>
      <c r="EK15" s="198" t="s">
        <v>1487</v>
      </c>
      <c r="EL15" s="198" t="s">
        <v>1453</v>
      </c>
      <c r="EM15" s="198" t="s">
        <v>1493</v>
      </c>
      <c r="EN15" s="198" t="s">
        <v>1474</v>
      </c>
      <c r="EO15" s="198" t="s">
        <v>1453</v>
      </c>
      <c r="EP15" s="198" t="s">
        <v>1453</v>
      </c>
      <c r="EQ15" s="198" t="s">
        <v>1453</v>
      </c>
      <c r="ER15" s="198" t="s">
        <v>1453</v>
      </c>
      <c r="ES15" s="198" t="s">
        <v>1453</v>
      </c>
      <c r="ET15" s="198" t="s">
        <v>1453</v>
      </c>
      <c r="EU15" s="198" t="s">
        <v>1494</v>
      </c>
      <c r="EV15" s="198" t="s">
        <v>1453</v>
      </c>
      <c r="EW15" s="198" t="s">
        <v>1495</v>
      </c>
      <c r="EX15" s="198" t="s">
        <v>1453</v>
      </c>
      <c r="EY15" s="198" t="s">
        <v>1453</v>
      </c>
      <c r="EZ15" s="198" t="s">
        <v>1477</v>
      </c>
      <c r="FA15" s="198" t="s">
        <v>1453</v>
      </c>
      <c r="FB15" s="198" t="s">
        <v>1453</v>
      </c>
      <c r="FC15" s="198" t="s">
        <v>1478</v>
      </c>
      <c r="FD15" s="198" t="s">
        <v>1453</v>
      </c>
      <c r="FE15" s="198" t="s">
        <v>1489</v>
      </c>
      <c r="FF15" s="198" t="s">
        <v>1453</v>
      </c>
      <c r="FG15" s="198" t="s">
        <v>1453</v>
      </c>
      <c r="FH15" s="198" t="s">
        <v>1479</v>
      </c>
      <c r="FI15" s="198" t="s">
        <v>1453</v>
      </c>
      <c r="FJ15" s="198" t="s">
        <v>1453</v>
      </c>
      <c r="FK15" s="198" t="s">
        <v>1481</v>
      </c>
      <c r="FL15" s="198" t="s">
        <v>1482</v>
      </c>
      <c r="FM15" s="198" t="s">
        <v>1453</v>
      </c>
    </row>
    <row r="16">
      <c r="A16" s="236" t="s">
        <v>1513</v>
      </c>
      <c r="B16" s="198" t="str">
        <f t="shared" si="1"/>
        <v>JE </v>
      </c>
      <c r="C16" s="234" t="s">
        <v>1514</v>
      </c>
      <c r="D16" s="232" t="s">
        <v>770</v>
      </c>
      <c r="E16" s="232" t="s">
        <v>1448</v>
      </c>
      <c r="F16" s="232" t="s">
        <v>1449</v>
      </c>
      <c r="G16" s="232" t="s">
        <v>1450</v>
      </c>
      <c r="H16" s="232" t="s">
        <v>876</v>
      </c>
      <c r="I16" s="232" t="s">
        <v>987</v>
      </c>
      <c r="J16" s="232" t="s">
        <v>1497</v>
      </c>
      <c r="K16" s="232" t="s">
        <v>992</v>
      </c>
      <c r="L16" s="188" t="s">
        <v>123</v>
      </c>
      <c r="M16" s="236" t="str">
        <f>IFERROR(__xludf.DUMMYFUNCTION("regexreplace(N16,"" "","", "")"),"J0, J1, J2, J3, J5, J6, J7, JA, JD, JF, K0, K1, K2, K3, K4, K5, K7, K8, K9, KA, KB, KC, KD, KE, KF, L1, L2, L3, L7, L8, L9, LA, LC, LF, M0, M1, M3, M4, M8, MB, MD, MF, N2, N6, N7, NA, ")</f>
        <v>J0, J1, J2, J3, J5, J6, J7, JA, JD, JF, K0, K1, K2, K3, K4, K5, K7, K8, K9, KA, KB, KC, KD, KE, KF, L1, L2, L3, L7, L8, L9, LA, LC, LF, M0, M1, M3, M4, M8, MB, MD, MF, N2, N6, N7, NA, </v>
      </c>
      <c r="N16" s="236" t="str">
        <f t="shared" si="2"/>
        <v>J0 J1 J2 J3 J5 J6 J7 JA JD JF K0 K1 K2 K3 K4 K5 K7 K8 K9 KA KB KC KD KE KF L1 L2 L3 L7 L8 L9 LA LC LF M0 M1 M3 M4 M8 MB MD MF N2 N6 N7 NA </v>
      </c>
      <c r="O16" s="236" t="str">
        <f>IFERROR(__xludf.DUMMYFUNCTION("if(countif(ecn.list,CO16),OFFSET(INDIRECT(CONCAT(""A"",to_text(match(CO16,ecn.list,0)))),0,1),"""")"),"J0 ")</f>
        <v>J0 </v>
      </c>
      <c r="P16" s="236" t="str">
        <f>IFERROR(__xludf.DUMMYFUNCTION("if(countif(ecn.list,CP16),OFFSET(INDIRECT(CONCAT(""A"",to_text(match(CP16,ecn.list,0)))),0,1),"""")"),"J1 ")</f>
        <v>J1 </v>
      </c>
      <c r="Q16" s="236" t="str">
        <f>IFERROR(__xludf.DUMMYFUNCTION("if(countif(ecn.list,CQ16),OFFSET(INDIRECT(CONCAT(""A"",to_text(match(CQ16,ecn.list,0)))),0,1),"""")"),"J2 ")</f>
        <v>J2 </v>
      </c>
      <c r="R16" s="236" t="str">
        <f>IFERROR(__xludf.DUMMYFUNCTION("if(countif(ecn.list,CR16),OFFSET(INDIRECT(CONCAT(""A"",to_text(match(CR16,ecn.list,0)))),0,1),"""")"),"J3 ")</f>
        <v>J3 </v>
      </c>
      <c r="S16" s="236" t="str">
        <f>IFERROR(__xludf.DUMMYFUNCTION("if(countif(ecn.list,CS16),OFFSET(INDIRECT(CONCAT(""A"",to_text(match(CS16,ecn.list,0)))),0,1),"""")"),"")</f>
        <v/>
      </c>
      <c r="T16" s="236" t="str">
        <f>IFERROR(__xludf.DUMMYFUNCTION("if(countif(ecn.list,CT16),OFFSET(INDIRECT(CONCAT(""A"",to_text(match(CT16,ecn.list,0)))),0,1),"""")"),"J5 ")</f>
        <v>J5 </v>
      </c>
      <c r="U16" s="236" t="str">
        <f>IFERROR(__xludf.DUMMYFUNCTION("if(countif(ecn.list,CU16),OFFSET(INDIRECT(CONCAT(""A"",to_text(match(CU16,ecn.list,0)))),0,1),"""")"),"J6 ")</f>
        <v>J6 </v>
      </c>
      <c r="V16" s="236" t="str">
        <f>IFERROR(__xludf.DUMMYFUNCTION("if(countif(ecn.list,CV16),OFFSET(INDIRECT(CONCAT(""A"",to_text(match(CV16,ecn.list,0)))),0,1),"""")"),"J7 ")</f>
        <v>J7 </v>
      </c>
      <c r="W16" s="236" t="str">
        <f>IFERROR(__xludf.DUMMYFUNCTION("if(countif(ecn.list,CW16),OFFSET(INDIRECT(CONCAT(""A"",to_text(match(CW16,ecn.list,0)))),0,1),"""")"),"")</f>
        <v/>
      </c>
      <c r="X16" s="236" t="str">
        <f>IFERROR(__xludf.DUMMYFUNCTION("if(countif(ecn.list,CX16),OFFSET(INDIRECT(CONCAT(""A"",to_text(match(CX16,ecn.list,0)))),0,1),"""")"),"")</f>
        <v/>
      </c>
      <c r="Y16" s="236" t="str">
        <f>IFERROR(__xludf.DUMMYFUNCTION("if(countif(ecn.list,CY16),OFFSET(INDIRECT(CONCAT(""A"",to_text(match(CY16,ecn.list,0)))),0,1),"""")"),"JA ")</f>
        <v>JA </v>
      </c>
      <c r="Z16" s="236" t="str">
        <f>IFERROR(__xludf.DUMMYFUNCTION("if(countif(ecn.list,CZ16),OFFSET(INDIRECT(CONCAT(""A"",to_text(match(CZ16,ecn.list,0)))),0,1),"""")"),"")</f>
        <v/>
      </c>
      <c r="AA16" s="236" t="str">
        <f>IFERROR(__xludf.DUMMYFUNCTION("if(countif(ecn.list,DA16),OFFSET(INDIRECT(CONCAT(""A"",to_text(match(DA16,ecn.list,0)))),0,1),"""")"),"")</f>
        <v/>
      </c>
      <c r="AB16" s="236" t="str">
        <f>IFERROR(__xludf.DUMMYFUNCTION("if(countif(ecn.list,DB16),OFFSET(INDIRECT(CONCAT(""A"",to_text(match(DB16,ecn.list,0)))),0,1),"""")"),"JD ")</f>
        <v>JD </v>
      </c>
      <c r="AC16" s="236" t="str">
        <f>IFERROR(__xludf.DUMMYFUNCTION("if(countif(ecn.list,DC16),OFFSET(INDIRECT(CONCAT(""A"",to_text(match(DC16,ecn.list,0)))),0,1),"""")"),"")</f>
        <v/>
      </c>
      <c r="AD16" s="236" t="str">
        <f>IFERROR(__xludf.DUMMYFUNCTION("if(countif(ecn.list,DD16),OFFSET(INDIRECT(CONCAT(""A"",to_text(match(DD16,ecn.list,0)))),0,1),"""")"),"JF ")</f>
        <v>JF </v>
      </c>
      <c r="AE16" s="236" t="str">
        <f>IFERROR(__xludf.DUMMYFUNCTION("if(countif(ecn.list,DE16),OFFSET(INDIRECT(CONCAT(""A"",to_text(match(DE16,ecn.list,0)))),0,1),"""")"),"K0 ")</f>
        <v>K0 </v>
      </c>
      <c r="AF16" s="236" t="str">
        <f>IFERROR(__xludf.DUMMYFUNCTION("if(countif(ecn.list,DF16),OFFSET(INDIRECT(CONCAT(""A"",to_text(match(DF16,ecn.list,0)))),0,1),"""")"),"K1 ")</f>
        <v>K1 </v>
      </c>
      <c r="AG16" s="236" t="str">
        <f>IFERROR(__xludf.DUMMYFUNCTION("if(countif(ecn.list,DG16),OFFSET(INDIRECT(CONCAT(""A"",to_text(match(DG16,ecn.list,0)))),0,1),"""")"),"K2 ")</f>
        <v>K2 </v>
      </c>
      <c r="AH16" s="236" t="str">
        <f>IFERROR(__xludf.DUMMYFUNCTION("if(countif(ecn.list,DH16),OFFSET(INDIRECT(CONCAT(""A"",to_text(match(DH16,ecn.list,0)))),0,1),"""")"),"K3 ")</f>
        <v>K3 </v>
      </c>
      <c r="AI16" s="236" t="str">
        <f>IFERROR(__xludf.DUMMYFUNCTION("if(countif(ecn.list,DI16),OFFSET(INDIRECT(CONCAT(""A"",to_text(match(DI16,ecn.list,0)))),0,1),"""")"),"K4 ")</f>
        <v>K4 </v>
      </c>
      <c r="AJ16" s="236" t="str">
        <f>IFERROR(__xludf.DUMMYFUNCTION("if(countif(ecn.list,DJ16),OFFSET(INDIRECT(CONCAT(""A"",to_text(match(DJ16,ecn.list,0)))),0,1),"""")"),"K5 ")</f>
        <v>K5 </v>
      </c>
      <c r="AK16" s="236" t="str">
        <f>IFERROR(__xludf.DUMMYFUNCTION("if(countif(ecn.list,DK16),OFFSET(INDIRECT(CONCAT(""A"",to_text(match(DK16,ecn.list,0)))),0,1),"""")"),"")</f>
        <v/>
      </c>
      <c r="AL16" s="236" t="str">
        <f>IFERROR(__xludf.DUMMYFUNCTION("if(countif(ecn.list,DL16),OFFSET(INDIRECT(CONCAT(""A"",to_text(match(DL16,ecn.list,0)))),0,1),"""")"),"K7 ")</f>
        <v>K7 </v>
      </c>
      <c r="AM16" s="236" t="str">
        <f>IFERROR(__xludf.DUMMYFUNCTION("if(countif(ecn.list,DM16),OFFSET(INDIRECT(CONCAT(""A"",to_text(match(DM16,ecn.list,0)))),0,1),"""")"),"K8 ")</f>
        <v>K8 </v>
      </c>
      <c r="AN16" s="236" t="str">
        <f>IFERROR(__xludf.DUMMYFUNCTION("if(countif(ecn.list,DN16),OFFSET(INDIRECT(CONCAT(""A"",to_text(match(DN16,ecn.list,0)))),0,1),"""")"),"K9 ")</f>
        <v>K9 </v>
      </c>
      <c r="AO16" s="236" t="str">
        <f>IFERROR(__xludf.DUMMYFUNCTION("if(countif(ecn.list,DO16),OFFSET(INDIRECT(CONCAT(""A"",to_text(match(DO16,ecn.list,0)))),0,1),"""")"),"KA ")</f>
        <v>KA </v>
      </c>
      <c r="AP16" s="236" t="str">
        <f>IFERROR(__xludf.DUMMYFUNCTION("if(countif(ecn.list,DP16),OFFSET(INDIRECT(CONCAT(""A"",to_text(match(DP16,ecn.list,0)))),0,1),"""")"),"KB ")</f>
        <v>KB </v>
      </c>
      <c r="AQ16" s="236" t="str">
        <f>IFERROR(__xludf.DUMMYFUNCTION("if(countif(ecn.list,DQ16),OFFSET(INDIRECT(CONCAT(""A"",to_text(match(DQ16,ecn.list,0)))),0,1),"""")"),"KC ")</f>
        <v>KC </v>
      </c>
      <c r="AR16" s="236" t="str">
        <f>IFERROR(__xludf.DUMMYFUNCTION("if(countif(ecn.list,DR16),OFFSET(INDIRECT(CONCAT(""A"",to_text(match(DR16,ecn.list,0)))),0,1),"""")"),"KD ")</f>
        <v>KD </v>
      </c>
      <c r="AS16" s="236" t="str">
        <f>IFERROR(__xludf.DUMMYFUNCTION("if(countif(ecn.list,DS16),OFFSET(INDIRECT(CONCAT(""A"",to_text(match(DS16,ecn.list,0)))),0,1),"""")"),"KE ")</f>
        <v>KE </v>
      </c>
      <c r="AT16" s="236" t="str">
        <f>IFERROR(__xludf.DUMMYFUNCTION("if(countif(ecn.list,DT16),OFFSET(INDIRECT(CONCAT(""A"",to_text(match(DT16,ecn.list,0)))),0,1),"""")"),"KF ")</f>
        <v>KF </v>
      </c>
      <c r="AU16" s="236" t="str">
        <f>IFERROR(__xludf.DUMMYFUNCTION("if(countif(ecn.list,DU16),OFFSET(INDIRECT(CONCAT(""A"",to_text(match(DU16,ecn.list,0)))),0,1),"""")"),"")</f>
        <v/>
      </c>
      <c r="AV16" s="236" t="str">
        <f>IFERROR(__xludf.DUMMYFUNCTION("if(countif(ecn.list,DV16),OFFSET(INDIRECT(CONCAT(""A"",to_text(match(DV16,ecn.list,0)))),0,1),"""")"),"L1 ")</f>
        <v>L1 </v>
      </c>
      <c r="AW16" s="236" t="str">
        <f>IFERROR(__xludf.DUMMYFUNCTION("if(countif(ecn.list,DW16),OFFSET(INDIRECT(CONCAT(""A"",to_text(match(DW16,ecn.list,0)))),0,1),"""")"),"L2 ")</f>
        <v>L2 </v>
      </c>
      <c r="AX16" s="236" t="str">
        <f>IFERROR(__xludf.DUMMYFUNCTION("if(countif(ecn.list,DX16),OFFSET(INDIRECT(CONCAT(""A"",to_text(match(DX16,ecn.list,0)))),0,1),"""")"),"L3 ")</f>
        <v>L3 </v>
      </c>
      <c r="AY16" s="236" t="str">
        <f>IFERROR(__xludf.DUMMYFUNCTION("if(countif(ecn.list,DY16),OFFSET(INDIRECT(CONCAT(""A"",to_text(match(DY16,ecn.list,0)))),0,1),"""")"),"")</f>
        <v/>
      </c>
      <c r="AZ16" s="236" t="str">
        <f>IFERROR(__xludf.DUMMYFUNCTION("if(countif(ecn.list,DZ16),OFFSET(INDIRECT(CONCAT(""A"",to_text(match(DZ16,ecn.list,0)))),0,1),"""")"),"")</f>
        <v/>
      </c>
      <c r="BA16" s="236" t="str">
        <f>IFERROR(__xludf.DUMMYFUNCTION("if(countif(ecn.list,EA16),OFFSET(INDIRECT(CONCAT(""A"",to_text(match(EA16,ecn.list,0)))),0,1),"""")"),"")</f>
        <v/>
      </c>
      <c r="BB16" s="236" t="str">
        <f>IFERROR(__xludf.DUMMYFUNCTION("if(countif(ecn.list,EB16),OFFSET(INDIRECT(CONCAT(""A"",to_text(match(EB16,ecn.list,0)))),0,1),"""")"),"L7 ")</f>
        <v>L7 </v>
      </c>
      <c r="BC16" s="236" t="str">
        <f>IFERROR(__xludf.DUMMYFUNCTION("if(countif(ecn.list,EC16),OFFSET(INDIRECT(CONCAT(""A"",to_text(match(EC16,ecn.list,0)))),0,1),"""")"),"L8 ")</f>
        <v>L8 </v>
      </c>
      <c r="BD16" s="236" t="str">
        <f>IFERROR(__xludf.DUMMYFUNCTION("if(countif(ecn.list,ED16),OFFSET(INDIRECT(CONCAT(""A"",to_text(match(ED16,ecn.list,0)))),0,1),"""")"),"L9 ")</f>
        <v>L9 </v>
      </c>
      <c r="BE16" s="236" t="str">
        <f>IFERROR(__xludf.DUMMYFUNCTION("if(countif(ecn.list,EE16),OFFSET(INDIRECT(CONCAT(""A"",to_text(match(EE16,ecn.list,0)))),0,1),"""")"),"LA ")</f>
        <v>LA </v>
      </c>
      <c r="BF16" s="236" t="str">
        <f>IFERROR(__xludf.DUMMYFUNCTION("if(countif(ecn.list,EF16),OFFSET(INDIRECT(CONCAT(""A"",to_text(match(EF16,ecn.list,0)))),0,1),"""")"),"")</f>
        <v/>
      </c>
      <c r="BG16" s="236" t="str">
        <f>IFERROR(__xludf.DUMMYFUNCTION("if(countif(ecn.list,EG16),OFFSET(INDIRECT(CONCAT(""A"",to_text(match(EG16,ecn.list,0)))),0,1),"""")"),"LC ")</f>
        <v>LC </v>
      </c>
      <c r="BH16" s="236" t="str">
        <f>IFERROR(__xludf.DUMMYFUNCTION("if(countif(ecn.list,EH16),OFFSET(INDIRECT(CONCAT(""A"",to_text(match(EH16,ecn.list,0)))),0,1),"""")"),"")</f>
        <v/>
      </c>
      <c r="BI16" s="236" t="str">
        <f>IFERROR(__xludf.DUMMYFUNCTION("if(countif(ecn.list,EI16),OFFSET(INDIRECT(CONCAT(""A"",to_text(match(EI16,ecn.list,0)))),0,1),"""")"),"")</f>
        <v/>
      </c>
      <c r="BJ16" s="236" t="str">
        <f>IFERROR(__xludf.DUMMYFUNCTION("if(countif(ecn.list,EJ16),OFFSET(INDIRECT(CONCAT(""A"",to_text(match(EJ16,ecn.list,0)))),0,1),"""")"),"LF ")</f>
        <v>LF </v>
      </c>
      <c r="BK16" s="236" t="str">
        <f>IFERROR(__xludf.DUMMYFUNCTION("if(countif(ecn.list,EK16),OFFSET(INDIRECT(CONCAT(""A"",to_text(match(EK16,ecn.list,0)))),0,1),"""")"),"M0 ")</f>
        <v>M0 </v>
      </c>
      <c r="BL16" s="236" t="str">
        <f>IFERROR(__xludf.DUMMYFUNCTION("if(countif(ecn.list,EL16),OFFSET(INDIRECT(CONCAT(""A"",to_text(match(EL16,ecn.list,0)))),0,1),"""")"),"M1 ")</f>
        <v>M1 </v>
      </c>
      <c r="BM16" s="236" t="str">
        <f>IFERROR(__xludf.DUMMYFUNCTION("if(countif(ecn.list,EM16),OFFSET(INDIRECT(CONCAT(""A"",to_text(match(EM16,ecn.list,0)))),0,1),"""")"),"")</f>
        <v/>
      </c>
      <c r="BN16" s="236" t="str">
        <f>IFERROR(__xludf.DUMMYFUNCTION("if(countif(ecn.list,EN16),OFFSET(INDIRECT(CONCAT(""A"",to_text(match(EN16,ecn.list,0)))),0,1),"""")"),"M3 ")</f>
        <v>M3 </v>
      </c>
      <c r="BO16" s="236" t="str">
        <f>IFERROR(__xludf.DUMMYFUNCTION("if(countif(ecn.list,EO16),OFFSET(INDIRECT(CONCAT(""A"",to_text(match(EO16,ecn.list,0)))),0,1),"""")"),"M4 ")</f>
        <v>M4 </v>
      </c>
      <c r="BP16" s="236" t="str">
        <f>IFERROR(__xludf.DUMMYFUNCTION("if(countif(ecn.list,EP16),OFFSET(INDIRECT(CONCAT(""A"",to_text(match(EP16,ecn.list,0)))),0,1),"""")"),"")</f>
        <v/>
      </c>
      <c r="BQ16" s="236" t="str">
        <f>IFERROR(__xludf.DUMMYFUNCTION("if(countif(ecn.list,EQ16),OFFSET(INDIRECT(CONCAT(""A"",to_text(match(EQ16,ecn.list,0)))),0,1),"""")"),"")</f>
        <v/>
      </c>
      <c r="BR16" s="236" t="str">
        <f>IFERROR(__xludf.DUMMYFUNCTION("if(countif(ecn.list,ER16),OFFSET(INDIRECT(CONCAT(""A"",to_text(match(ER16,ecn.list,0)))),0,1),"""")"),"")</f>
        <v/>
      </c>
      <c r="BS16" s="236" t="str">
        <f>IFERROR(__xludf.DUMMYFUNCTION("if(countif(ecn.list,ES16),OFFSET(INDIRECT(CONCAT(""A"",to_text(match(ES16,ecn.list,0)))),0,1),"""")"),"M8 ")</f>
        <v>M8 </v>
      </c>
      <c r="BT16" s="236" t="str">
        <f>IFERROR(__xludf.DUMMYFUNCTION("if(countif(ecn.list,ET16),OFFSET(INDIRECT(CONCAT(""A"",to_text(match(ET16,ecn.list,0)))),0,1),"""")"),"")</f>
        <v/>
      </c>
      <c r="BU16" s="236" t="str">
        <f>IFERROR(__xludf.DUMMYFUNCTION("if(countif(ecn.list,EU16),OFFSET(INDIRECT(CONCAT(""A"",to_text(match(EU16,ecn.list,0)))),0,1),"""")"),"")</f>
        <v/>
      </c>
      <c r="BV16" s="236" t="str">
        <f>IFERROR(__xludf.DUMMYFUNCTION("if(countif(ecn.list,EV16),OFFSET(INDIRECT(CONCAT(""A"",to_text(match(EV16,ecn.list,0)))),0,1),"""")"),"MB ")</f>
        <v>MB </v>
      </c>
      <c r="BW16" s="236" t="str">
        <f>IFERROR(__xludf.DUMMYFUNCTION("if(countif(ecn.list,EW16),OFFSET(INDIRECT(CONCAT(""A"",to_text(match(EW16,ecn.list,0)))),0,1),"""")"),"")</f>
        <v/>
      </c>
      <c r="BX16" s="236" t="str">
        <f>IFERROR(__xludf.DUMMYFUNCTION("if(countif(ecn.list,EX16),OFFSET(INDIRECT(CONCAT(""A"",to_text(match(EX16,ecn.list,0)))),0,1),"""")"),"MD ")</f>
        <v>MD </v>
      </c>
      <c r="BY16" s="236" t="str">
        <f>IFERROR(__xludf.DUMMYFUNCTION("if(countif(ecn.list,EY16),OFFSET(INDIRECT(CONCAT(""A"",to_text(match(EY16,ecn.list,0)))),0,1),"""")"),"")</f>
        <v/>
      </c>
      <c r="BZ16" s="236" t="str">
        <f>IFERROR(__xludf.DUMMYFUNCTION("if(countif(ecn.list,EZ16),OFFSET(INDIRECT(CONCAT(""A"",to_text(match(EZ16,ecn.list,0)))),0,1),"""")"),"MF ")</f>
        <v>MF </v>
      </c>
      <c r="CA16" s="236" t="str">
        <f>IFERROR(__xludf.DUMMYFUNCTION("if(countif(ecn.list,FA16),OFFSET(INDIRECT(CONCAT(""A"",to_text(match(FA16,ecn.list,0)))),0,1),"""")"),"")</f>
        <v/>
      </c>
      <c r="CB16" s="236" t="str">
        <f>IFERROR(__xludf.DUMMYFUNCTION("if(countif(ecn.list,FB16),OFFSET(INDIRECT(CONCAT(""A"",to_text(match(FB16,ecn.list,0)))),0,1),"""")"),"")</f>
        <v/>
      </c>
      <c r="CC16" s="236" t="str">
        <f>IFERROR(__xludf.DUMMYFUNCTION("if(countif(ecn.list,FC16),OFFSET(INDIRECT(CONCAT(""A"",to_text(match(FC16,ecn.list,0)))),0,1),"""")"),"N2 ")</f>
        <v>N2 </v>
      </c>
      <c r="CD16" s="236" t="str">
        <f>IFERROR(__xludf.DUMMYFUNCTION("if(countif(ecn.list,FD16),OFFSET(INDIRECT(CONCAT(""A"",to_text(match(FD16,ecn.list,0)))),0,1),"""")"),"")</f>
        <v/>
      </c>
      <c r="CE16" s="236" t="str">
        <f>IFERROR(__xludf.DUMMYFUNCTION("if(countif(ecn.list,FE16),OFFSET(INDIRECT(CONCAT(""A"",to_text(match(FE16,ecn.list,0)))),0,1),"""")"),"")</f>
        <v/>
      </c>
      <c r="CF16" s="236" t="str">
        <f>IFERROR(__xludf.DUMMYFUNCTION("if(countif(ecn.list,FF16),OFFSET(INDIRECT(CONCAT(""A"",to_text(match(FF16,ecn.list,0)))),0,1),"""")"),"")</f>
        <v/>
      </c>
      <c r="CG16" s="236" t="str">
        <f>IFERROR(__xludf.DUMMYFUNCTION("if(countif(ecn.list,FG16),OFFSET(INDIRECT(CONCAT(""A"",to_text(match(FG16,ecn.list,0)))),0,1),"""")"),"N6 ")</f>
        <v>N6 </v>
      </c>
      <c r="CH16" s="236" t="str">
        <f>IFERROR(__xludf.DUMMYFUNCTION("if(countif(ecn.list,FH16),OFFSET(INDIRECT(CONCAT(""A"",to_text(match(FH16,ecn.list,0)))),0,1),"""")"),"N7 ")</f>
        <v>N7 </v>
      </c>
      <c r="CI16" s="236" t="str">
        <f>IFERROR(__xludf.DUMMYFUNCTION("if(countif(ecn.list,FI16),OFFSET(INDIRECT(CONCAT(""A"",to_text(match(FI16,ecn.list,0)))),0,1),"""")"),"")</f>
        <v/>
      </c>
      <c r="CJ16" s="236" t="str">
        <f>IFERROR(__xludf.DUMMYFUNCTION("if(countif(ecn.list,FJ16),OFFSET(INDIRECT(CONCAT(""A"",to_text(match(FJ16,ecn.list,0)))),0,1),"""")"),"")</f>
        <v/>
      </c>
      <c r="CK16" s="236" t="str">
        <f>IFERROR(__xludf.DUMMYFUNCTION("if(countif(ecn.list,FK16),OFFSET(INDIRECT(CONCAT(""A"",to_text(match(FK16,ecn.list,0)))),0,1),"""")"),"NA ")</f>
        <v>NA </v>
      </c>
      <c r="CL16" s="236" t="str">
        <f>IFERROR(__xludf.DUMMYFUNCTION("if(countif(ecn.list,FL16),OFFSET(INDIRECT(CONCAT(""A"",to_text(match(FL16,ecn.list,0)))),0,1),"""")"),"")</f>
        <v/>
      </c>
      <c r="CM16" s="236" t="str">
        <f>IFERROR(__xludf.DUMMYFUNCTION("if(countif(ecn.list,FM16),OFFSET(INDIRECT(CONCAT(""A"",to_text(match(FM16,ecn.list,0)))),0,1),"""")"),"")</f>
        <v/>
      </c>
      <c r="CN16" s="198" t="s">
        <v>123</v>
      </c>
      <c r="CO16" s="198" t="s">
        <v>1447</v>
      </c>
      <c r="CP16" s="198" t="s">
        <v>1451</v>
      </c>
      <c r="CQ16" s="198" t="s">
        <v>1452</v>
      </c>
      <c r="CR16" s="198" t="s">
        <v>1490</v>
      </c>
      <c r="CS16" s="198" t="s">
        <v>1453</v>
      </c>
      <c r="CT16" s="198" t="s">
        <v>1454</v>
      </c>
      <c r="CU16" s="198" t="s">
        <v>1455</v>
      </c>
      <c r="CV16" s="198" t="s">
        <v>1456</v>
      </c>
      <c r="CW16" s="198" t="s">
        <v>1453</v>
      </c>
      <c r="CX16" s="198" t="s">
        <v>1453</v>
      </c>
      <c r="CY16" s="198" t="s">
        <v>1484</v>
      </c>
      <c r="CZ16" s="198" t="s">
        <v>1453</v>
      </c>
      <c r="DA16" s="198" t="s">
        <v>1453</v>
      </c>
      <c r="DB16" s="198" t="s">
        <v>1485</v>
      </c>
      <c r="DC16" s="198" t="s">
        <v>1453</v>
      </c>
      <c r="DD16" s="198" t="s">
        <v>1458</v>
      </c>
      <c r="DE16" s="198" t="s">
        <v>1459</v>
      </c>
      <c r="DF16" s="198" t="s">
        <v>1498</v>
      </c>
      <c r="DG16" s="198" t="s">
        <v>1499</v>
      </c>
      <c r="DH16" s="198" t="s">
        <v>1500</v>
      </c>
      <c r="DI16" s="198" t="s">
        <v>1501</v>
      </c>
      <c r="DJ16" s="198" t="s">
        <v>1460</v>
      </c>
      <c r="DK16" s="198" t="s">
        <v>1453</v>
      </c>
      <c r="DL16" s="198" t="s">
        <v>1461</v>
      </c>
      <c r="DM16" s="198" t="s">
        <v>1462</v>
      </c>
      <c r="DN16" s="198" t="s">
        <v>1463</v>
      </c>
      <c r="DO16" s="198" t="s">
        <v>1464</v>
      </c>
      <c r="DP16" s="198" t="s">
        <v>1465</v>
      </c>
      <c r="DQ16" s="198" t="s">
        <v>1466</v>
      </c>
      <c r="DR16" s="198" t="s">
        <v>1467</v>
      </c>
      <c r="DS16" s="198" t="s">
        <v>1515</v>
      </c>
      <c r="DT16" s="198" t="s">
        <v>1468</v>
      </c>
      <c r="DU16" s="198" t="s">
        <v>1453</v>
      </c>
      <c r="DV16" s="198" t="s">
        <v>1469</v>
      </c>
      <c r="DW16" s="198" t="s">
        <v>1502</v>
      </c>
      <c r="DX16" s="198" t="s">
        <v>1503</v>
      </c>
      <c r="DY16" s="198" t="s">
        <v>1453</v>
      </c>
      <c r="DZ16" s="198" t="s">
        <v>1453</v>
      </c>
      <c r="EA16" s="198" t="s">
        <v>1453</v>
      </c>
      <c r="EB16" s="198" t="s">
        <v>1504</v>
      </c>
      <c r="EC16" s="198" t="s">
        <v>1483</v>
      </c>
      <c r="ED16" s="198" t="s">
        <v>1516</v>
      </c>
      <c r="EE16" s="198" t="s">
        <v>1470</v>
      </c>
      <c r="EF16" s="198" t="s">
        <v>1453</v>
      </c>
      <c r="EG16" s="198" t="s">
        <v>1471</v>
      </c>
      <c r="EH16" s="198" t="s">
        <v>1453</v>
      </c>
      <c r="EI16" s="198" t="s">
        <v>1453</v>
      </c>
      <c r="EJ16" s="198" t="s">
        <v>1472</v>
      </c>
      <c r="EK16" s="198" t="s">
        <v>1487</v>
      </c>
      <c r="EL16" s="198" t="s">
        <v>1473</v>
      </c>
      <c r="EM16" s="198" t="s">
        <v>1453</v>
      </c>
      <c r="EN16" s="198" t="s">
        <v>1474</v>
      </c>
      <c r="EO16" s="198" t="s">
        <v>1475</v>
      </c>
      <c r="EP16" s="198" t="s">
        <v>1453</v>
      </c>
      <c r="EQ16" s="198" t="s">
        <v>1453</v>
      </c>
      <c r="ER16" s="198" t="s">
        <v>1453</v>
      </c>
      <c r="ES16" s="198" t="s">
        <v>1505</v>
      </c>
      <c r="ET16" s="198" t="s">
        <v>1453</v>
      </c>
      <c r="EU16" s="198" t="s">
        <v>1453</v>
      </c>
      <c r="EV16" s="198" t="s">
        <v>1476</v>
      </c>
      <c r="EW16" s="198" t="s">
        <v>1453</v>
      </c>
      <c r="EX16" s="198" t="s">
        <v>1488</v>
      </c>
      <c r="EY16" s="198" t="s">
        <v>1453</v>
      </c>
      <c r="EZ16" s="198" t="s">
        <v>1477</v>
      </c>
      <c r="FA16" s="198" t="s">
        <v>1453</v>
      </c>
      <c r="FB16" s="198" t="s">
        <v>1453</v>
      </c>
      <c r="FC16" s="198" t="s">
        <v>1478</v>
      </c>
      <c r="FD16" s="198" t="s">
        <v>1453</v>
      </c>
      <c r="FE16" s="198" t="s">
        <v>1453</v>
      </c>
      <c r="FF16" s="198" t="s">
        <v>1453</v>
      </c>
      <c r="FG16" s="198" t="s">
        <v>1517</v>
      </c>
      <c r="FH16" s="198" t="s">
        <v>1479</v>
      </c>
      <c r="FI16" s="198" t="s">
        <v>1453</v>
      </c>
      <c r="FJ16" s="198" t="s">
        <v>1453</v>
      </c>
      <c r="FK16" s="198" t="s">
        <v>1481</v>
      </c>
      <c r="FL16" s="198" t="s">
        <v>1482</v>
      </c>
      <c r="FM16" s="198" t="s">
        <v>1453</v>
      </c>
    </row>
    <row r="17">
      <c r="A17" s="198" t="s">
        <v>1458</v>
      </c>
      <c r="B17" s="198" t="str">
        <f t="shared" si="1"/>
        <v>JF </v>
      </c>
      <c r="C17" s="234" t="s">
        <v>1518</v>
      </c>
      <c r="D17" s="232" t="s">
        <v>770</v>
      </c>
      <c r="E17" s="232" t="s">
        <v>1448</v>
      </c>
      <c r="F17" s="232" t="s">
        <v>1449</v>
      </c>
      <c r="G17" s="232" t="s">
        <v>1450</v>
      </c>
      <c r="H17" s="232" t="s">
        <v>876</v>
      </c>
      <c r="I17" s="232" t="s">
        <v>882</v>
      </c>
      <c r="J17" s="232" t="s">
        <v>883</v>
      </c>
      <c r="K17" s="232" t="s">
        <v>902</v>
      </c>
      <c r="L17" s="188" t="s">
        <v>126</v>
      </c>
      <c r="M17" s="236" t="str">
        <f>IFERROR(__xludf.DUMMYFUNCTION("regexreplace(N17,"" "","", "")"),"J0, J1, J2, J5, J6, J7, JA, JC, JD, K0, K5, K7, K9, KA, KC, KD, KF, L0, L1, L8, LA, LC, LF, M0, M2, M3, MC, MD, MF, N2, N7, NA, ")</f>
        <v>J0, J1, J2, J5, J6, J7, JA, JC, JD, K0, K5, K7, K9, KA, KC, KD, KF, L0, L1, L8, LA, LC, LF, M0, M2, M3, MC, MD, MF, N2, N7, NA, </v>
      </c>
      <c r="N17" s="236" t="str">
        <f t="shared" si="2"/>
        <v>J0 J1 J2 J5 J6 J7 JA JC JD K0 K5 K7 K9 KA KC KD KF L0 L1 L8 LA LC LF M0 M2 M3 MC MD MF N2 N7 NA </v>
      </c>
      <c r="O17" s="236" t="str">
        <f>IFERROR(__xludf.DUMMYFUNCTION("if(countif(ecn.list,CO17),OFFSET(INDIRECT(CONCAT(""A"",to_text(match(CO17,ecn.list,0)))),0,1),"""")"),"J0 ")</f>
        <v>J0 </v>
      </c>
      <c r="P17" s="236" t="str">
        <f>IFERROR(__xludf.DUMMYFUNCTION("if(countif(ecn.list,CP17),OFFSET(INDIRECT(CONCAT(""A"",to_text(match(CP17,ecn.list,0)))),0,1),"""")"),"J1 ")</f>
        <v>J1 </v>
      </c>
      <c r="Q17" s="236" t="str">
        <f>IFERROR(__xludf.DUMMYFUNCTION("if(countif(ecn.list,CQ17),OFFSET(INDIRECT(CONCAT(""A"",to_text(match(CQ17,ecn.list,0)))),0,1),"""")"),"J2 ")</f>
        <v>J2 </v>
      </c>
      <c r="R17" s="236" t="str">
        <f>IFERROR(__xludf.DUMMYFUNCTION("if(countif(ecn.list,CR17),OFFSET(INDIRECT(CONCAT(""A"",to_text(match(CR17,ecn.list,0)))),0,1),"""")"),"")</f>
        <v/>
      </c>
      <c r="S17" s="236" t="str">
        <f>IFERROR(__xludf.DUMMYFUNCTION("if(countif(ecn.list,CS17),OFFSET(INDIRECT(CONCAT(""A"",to_text(match(CS17,ecn.list,0)))),0,1),"""")"),"")</f>
        <v/>
      </c>
      <c r="T17" s="236" t="str">
        <f>IFERROR(__xludf.DUMMYFUNCTION("if(countif(ecn.list,CT17),OFFSET(INDIRECT(CONCAT(""A"",to_text(match(CT17,ecn.list,0)))),0,1),"""")"),"J5 ")</f>
        <v>J5 </v>
      </c>
      <c r="U17" s="236" t="str">
        <f>IFERROR(__xludf.DUMMYFUNCTION("if(countif(ecn.list,CU17),OFFSET(INDIRECT(CONCAT(""A"",to_text(match(CU17,ecn.list,0)))),0,1),"""")"),"J6 ")</f>
        <v>J6 </v>
      </c>
      <c r="V17" s="236" t="str">
        <f>IFERROR(__xludf.DUMMYFUNCTION("if(countif(ecn.list,CV17),OFFSET(INDIRECT(CONCAT(""A"",to_text(match(CV17,ecn.list,0)))),0,1),"""")"),"J7 ")</f>
        <v>J7 </v>
      </c>
      <c r="W17" s="236" t="str">
        <f>IFERROR(__xludf.DUMMYFUNCTION("if(countif(ecn.list,CW17),OFFSET(INDIRECT(CONCAT(""A"",to_text(match(CW17,ecn.list,0)))),0,1),"""")"),"")</f>
        <v/>
      </c>
      <c r="X17" s="236" t="str">
        <f>IFERROR(__xludf.DUMMYFUNCTION("if(countif(ecn.list,CX17),OFFSET(INDIRECT(CONCAT(""A"",to_text(match(CX17,ecn.list,0)))),0,1),"""")"),"")</f>
        <v/>
      </c>
      <c r="Y17" s="236" t="str">
        <f>IFERROR(__xludf.DUMMYFUNCTION("if(countif(ecn.list,CY17),OFFSET(INDIRECT(CONCAT(""A"",to_text(match(CY17,ecn.list,0)))),0,1),"""")"),"JA ")</f>
        <v>JA </v>
      </c>
      <c r="Z17" s="236" t="str">
        <f>IFERROR(__xludf.DUMMYFUNCTION("if(countif(ecn.list,CZ17),OFFSET(INDIRECT(CONCAT(""A"",to_text(match(CZ17,ecn.list,0)))),0,1),"""")"),"")</f>
        <v/>
      </c>
      <c r="AA17" s="236" t="str">
        <f>IFERROR(__xludf.DUMMYFUNCTION("if(countif(ecn.list,DA17),OFFSET(INDIRECT(CONCAT(""A"",to_text(match(DA17,ecn.list,0)))),0,1),"""")"),"JC ")</f>
        <v>JC </v>
      </c>
      <c r="AB17" s="236" t="str">
        <f>IFERROR(__xludf.DUMMYFUNCTION("if(countif(ecn.list,DB17),OFFSET(INDIRECT(CONCAT(""A"",to_text(match(DB17,ecn.list,0)))),0,1),"""")"),"JD ")</f>
        <v>JD </v>
      </c>
      <c r="AC17" s="236" t="str">
        <f>IFERROR(__xludf.DUMMYFUNCTION("if(countif(ecn.list,DC17),OFFSET(INDIRECT(CONCAT(""A"",to_text(match(DC17,ecn.list,0)))),0,1),"""")"),"")</f>
        <v/>
      </c>
      <c r="AD17" s="236" t="str">
        <f>IFERROR(__xludf.DUMMYFUNCTION("if(countif(ecn.list,DD17),OFFSET(INDIRECT(CONCAT(""A"",to_text(match(DD17,ecn.list,0)))),0,1),"""")"),"")</f>
        <v/>
      </c>
      <c r="AE17" s="236" t="str">
        <f>IFERROR(__xludf.DUMMYFUNCTION("if(countif(ecn.list,DE17),OFFSET(INDIRECT(CONCAT(""A"",to_text(match(DE17,ecn.list,0)))),0,1),"""")"),"K0 ")</f>
        <v>K0 </v>
      </c>
      <c r="AF17" s="236" t="str">
        <f>IFERROR(__xludf.DUMMYFUNCTION("if(countif(ecn.list,DF17),OFFSET(INDIRECT(CONCAT(""A"",to_text(match(DF17,ecn.list,0)))),0,1),"""")"),"")</f>
        <v/>
      </c>
      <c r="AG17" s="236" t="str">
        <f>IFERROR(__xludf.DUMMYFUNCTION("if(countif(ecn.list,DG17),OFFSET(INDIRECT(CONCAT(""A"",to_text(match(DG17,ecn.list,0)))),0,1),"""")"),"")</f>
        <v/>
      </c>
      <c r="AH17" s="236" t="str">
        <f>IFERROR(__xludf.DUMMYFUNCTION("if(countif(ecn.list,DH17),OFFSET(INDIRECT(CONCAT(""A"",to_text(match(DH17,ecn.list,0)))),0,1),"""")"),"")</f>
        <v/>
      </c>
      <c r="AI17" s="236" t="str">
        <f>IFERROR(__xludf.DUMMYFUNCTION("if(countif(ecn.list,DI17),OFFSET(INDIRECT(CONCAT(""A"",to_text(match(DI17,ecn.list,0)))),0,1),"""")"),"")</f>
        <v/>
      </c>
      <c r="AJ17" s="236" t="str">
        <f>IFERROR(__xludf.DUMMYFUNCTION("if(countif(ecn.list,DJ17),OFFSET(INDIRECT(CONCAT(""A"",to_text(match(DJ17,ecn.list,0)))),0,1),"""")"),"K5 ")</f>
        <v>K5 </v>
      </c>
      <c r="AK17" s="236" t="str">
        <f>IFERROR(__xludf.DUMMYFUNCTION("if(countif(ecn.list,DK17),OFFSET(INDIRECT(CONCAT(""A"",to_text(match(DK17,ecn.list,0)))),0,1),"""")"),"")</f>
        <v/>
      </c>
      <c r="AL17" s="236" t="str">
        <f>IFERROR(__xludf.DUMMYFUNCTION("if(countif(ecn.list,DL17),OFFSET(INDIRECT(CONCAT(""A"",to_text(match(DL17,ecn.list,0)))),0,1),"""")"),"K7 ")</f>
        <v>K7 </v>
      </c>
      <c r="AM17" s="236" t="str">
        <f>IFERROR(__xludf.DUMMYFUNCTION("if(countif(ecn.list,DM17),OFFSET(INDIRECT(CONCAT(""A"",to_text(match(DM17,ecn.list,0)))),0,1),"""")"),"")</f>
        <v/>
      </c>
      <c r="AN17" s="236" t="str">
        <f>IFERROR(__xludf.DUMMYFUNCTION("if(countif(ecn.list,DN17),OFFSET(INDIRECT(CONCAT(""A"",to_text(match(DN17,ecn.list,0)))),0,1),"""")"),"K9 ")</f>
        <v>K9 </v>
      </c>
      <c r="AO17" s="236" t="str">
        <f>IFERROR(__xludf.DUMMYFUNCTION("if(countif(ecn.list,DO17),OFFSET(INDIRECT(CONCAT(""A"",to_text(match(DO17,ecn.list,0)))),0,1),"""")"),"KA ")</f>
        <v>KA </v>
      </c>
      <c r="AP17" s="236" t="str">
        <f>IFERROR(__xludf.DUMMYFUNCTION("if(countif(ecn.list,DP17),OFFSET(INDIRECT(CONCAT(""A"",to_text(match(DP17,ecn.list,0)))),0,1),"""")"),"")</f>
        <v/>
      </c>
      <c r="AQ17" s="236" t="str">
        <f>IFERROR(__xludf.DUMMYFUNCTION("if(countif(ecn.list,DQ17),OFFSET(INDIRECT(CONCAT(""A"",to_text(match(DQ17,ecn.list,0)))),0,1),"""")"),"KC ")</f>
        <v>KC </v>
      </c>
      <c r="AR17" s="236" t="str">
        <f>IFERROR(__xludf.DUMMYFUNCTION("if(countif(ecn.list,DR17),OFFSET(INDIRECT(CONCAT(""A"",to_text(match(DR17,ecn.list,0)))),0,1),"""")"),"KD ")</f>
        <v>KD </v>
      </c>
      <c r="AS17" s="236" t="str">
        <f>IFERROR(__xludf.DUMMYFUNCTION("if(countif(ecn.list,DS17),OFFSET(INDIRECT(CONCAT(""A"",to_text(match(DS17,ecn.list,0)))),0,1),"""")"),"")</f>
        <v/>
      </c>
      <c r="AT17" s="236" t="str">
        <f>IFERROR(__xludf.DUMMYFUNCTION("if(countif(ecn.list,DT17),OFFSET(INDIRECT(CONCAT(""A"",to_text(match(DT17,ecn.list,0)))),0,1),"""")"),"KF ")</f>
        <v>KF </v>
      </c>
      <c r="AU17" s="236" t="str">
        <f>IFERROR(__xludf.DUMMYFUNCTION("if(countif(ecn.list,DU17),OFFSET(INDIRECT(CONCAT(""A"",to_text(match(DU17,ecn.list,0)))),0,1),"""")"),"L0 ")</f>
        <v>L0 </v>
      </c>
      <c r="AV17" s="236" t="str">
        <f>IFERROR(__xludf.DUMMYFUNCTION("if(countif(ecn.list,DV17),OFFSET(INDIRECT(CONCAT(""A"",to_text(match(DV17,ecn.list,0)))),0,1),"""")"),"L1 ")</f>
        <v>L1 </v>
      </c>
      <c r="AW17" s="236" t="str">
        <f>IFERROR(__xludf.DUMMYFUNCTION("if(countif(ecn.list,DW17),OFFSET(INDIRECT(CONCAT(""A"",to_text(match(DW17,ecn.list,0)))),0,1),"""")"),"")</f>
        <v/>
      </c>
      <c r="AX17" s="236" t="str">
        <f>IFERROR(__xludf.DUMMYFUNCTION("if(countif(ecn.list,DX17),OFFSET(INDIRECT(CONCAT(""A"",to_text(match(DX17,ecn.list,0)))),0,1),"""")"),"")</f>
        <v/>
      </c>
      <c r="AY17" s="236" t="str">
        <f>IFERROR(__xludf.DUMMYFUNCTION("if(countif(ecn.list,DY17),OFFSET(INDIRECT(CONCAT(""A"",to_text(match(DY17,ecn.list,0)))),0,1),"""")"),"")</f>
        <v/>
      </c>
      <c r="AZ17" s="236" t="str">
        <f>IFERROR(__xludf.DUMMYFUNCTION("if(countif(ecn.list,DZ17),OFFSET(INDIRECT(CONCAT(""A"",to_text(match(DZ17,ecn.list,0)))),0,1),"""")"),"")</f>
        <v/>
      </c>
      <c r="BA17" s="236" t="str">
        <f>IFERROR(__xludf.DUMMYFUNCTION("if(countif(ecn.list,EA17),OFFSET(INDIRECT(CONCAT(""A"",to_text(match(EA17,ecn.list,0)))),0,1),"""")"),"")</f>
        <v/>
      </c>
      <c r="BB17" s="236" t="str">
        <f>IFERROR(__xludf.DUMMYFUNCTION("if(countif(ecn.list,EB17),OFFSET(INDIRECT(CONCAT(""A"",to_text(match(EB17,ecn.list,0)))),0,1),"""")"),"")</f>
        <v/>
      </c>
      <c r="BC17" s="236" t="str">
        <f>IFERROR(__xludf.DUMMYFUNCTION("if(countif(ecn.list,EC17),OFFSET(INDIRECT(CONCAT(""A"",to_text(match(EC17,ecn.list,0)))),0,1),"""")"),"L8 ")</f>
        <v>L8 </v>
      </c>
      <c r="BD17" s="236" t="str">
        <f>IFERROR(__xludf.DUMMYFUNCTION("if(countif(ecn.list,ED17),OFFSET(INDIRECT(CONCAT(""A"",to_text(match(ED17,ecn.list,0)))),0,1),"""")"),"")</f>
        <v/>
      </c>
      <c r="BE17" s="236" t="str">
        <f>IFERROR(__xludf.DUMMYFUNCTION("if(countif(ecn.list,EE17),OFFSET(INDIRECT(CONCAT(""A"",to_text(match(EE17,ecn.list,0)))),0,1),"""")"),"LA ")</f>
        <v>LA </v>
      </c>
      <c r="BF17" s="236" t="str">
        <f>IFERROR(__xludf.DUMMYFUNCTION("if(countif(ecn.list,EF17),OFFSET(INDIRECT(CONCAT(""A"",to_text(match(EF17,ecn.list,0)))),0,1),"""")"),"")</f>
        <v/>
      </c>
      <c r="BG17" s="236" t="str">
        <f>IFERROR(__xludf.DUMMYFUNCTION("if(countif(ecn.list,EG17),OFFSET(INDIRECT(CONCAT(""A"",to_text(match(EG17,ecn.list,0)))),0,1),"""")"),"LC ")</f>
        <v>LC </v>
      </c>
      <c r="BH17" s="236" t="str">
        <f>IFERROR(__xludf.DUMMYFUNCTION("if(countif(ecn.list,EH17),OFFSET(INDIRECT(CONCAT(""A"",to_text(match(EH17,ecn.list,0)))),0,1),"""")"),"")</f>
        <v/>
      </c>
      <c r="BI17" s="236" t="str">
        <f>IFERROR(__xludf.DUMMYFUNCTION("if(countif(ecn.list,EI17),OFFSET(INDIRECT(CONCAT(""A"",to_text(match(EI17,ecn.list,0)))),0,1),"""")"),"")</f>
        <v/>
      </c>
      <c r="BJ17" s="236" t="str">
        <f>IFERROR(__xludf.DUMMYFUNCTION("if(countif(ecn.list,EJ17),OFFSET(INDIRECT(CONCAT(""A"",to_text(match(EJ17,ecn.list,0)))),0,1),"""")"),"LF ")</f>
        <v>LF </v>
      </c>
      <c r="BK17" s="236" t="str">
        <f>IFERROR(__xludf.DUMMYFUNCTION("if(countif(ecn.list,EK17),OFFSET(INDIRECT(CONCAT(""A"",to_text(match(EK17,ecn.list,0)))),0,1),"""")"),"M0 ")</f>
        <v>M0 </v>
      </c>
      <c r="BL17" s="236" t="str">
        <f>IFERROR(__xludf.DUMMYFUNCTION("if(countif(ecn.list,EL17),OFFSET(INDIRECT(CONCAT(""A"",to_text(match(EL17,ecn.list,0)))),0,1),"""")"),"")</f>
        <v/>
      </c>
      <c r="BM17" s="236" t="str">
        <f>IFERROR(__xludf.DUMMYFUNCTION("if(countif(ecn.list,EM17),OFFSET(INDIRECT(CONCAT(""A"",to_text(match(EM17,ecn.list,0)))),0,1),"""")"),"M2 ")</f>
        <v>M2 </v>
      </c>
      <c r="BN17" s="236" t="str">
        <f>IFERROR(__xludf.DUMMYFUNCTION("if(countif(ecn.list,EN17),OFFSET(INDIRECT(CONCAT(""A"",to_text(match(EN17,ecn.list,0)))),0,1),"""")"),"M3 ")</f>
        <v>M3 </v>
      </c>
      <c r="BO17" s="236" t="str">
        <f>IFERROR(__xludf.DUMMYFUNCTION("if(countif(ecn.list,EO17),OFFSET(INDIRECT(CONCAT(""A"",to_text(match(EO17,ecn.list,0)))),0,1),"""")"),"")</f>
        <v/>
      </c>
      <c r="BP17" s="236" t="str">
        <f>IFERROR(__xludf.DUMMYFUNCTION("if(countif(ecn.list,EP17),OFFSET(INDIRECT(CONCAT(""A"",to_text(match(EP17,ecn.list,0)))),0,1),"""")"),"")</f>
        <v/>
      </c>
      <c r="BQ17" s="236" t="str">
        <f>IFERROR(__xludf.DUMMYFUNCTION("if(countif(ecn.list,EQ17),OFFSET(INDIRECT(CONCAT(""A"",to_text(match(EQ17,ecn.list,0)))),0,1),"""")"),"")</f>
        <v/>
      </c>
      <c r="BR17" s="236" t="str">
        <f>IFERROR(__xludf.DUMMYFUNCTION("if(countif(ecn.list,ER17),OFFSET(INDIRECT(CONCAT(""A"",to_text(match(ER17,ecn.list,0)))),0,1),"""")"),"")</f>
        <v/>
      </c>
      <c r="BS17" s="236" t="str">
        <f>IFERROR(__xludf.DUMMYFUNCTION("if(countif(ecn.list,ES17),OFFSET(INDIRECT(CONCAT(""A"",to_text(match(ES17,ecn.list,0)))),0,1),"""")"),"")</f>
        <v/>
      </c>
      <c r="BT17" s="236" t="str">
        <f>IFERROR(__xludf.DUMMYFUNCTION("if(countif(ecn.list,ET17),OFFSET(INDIRECT(CONCAT(""A"",to_text(match(ET17,ecn.list,0)))),0,1),"""")"),"")</f>
        <v/>
      </c>
      <c r="BU17" s="236" t="str">
        <f>IFERROR(__xludf.DUMMYFUNCTION("if(countif(ecn.list,EU17),OFFSET(INDIRECT(CONCAT(""A"",to_text(match(EU17,ecn.list,0)))),0,1),"""")"),"")</f>
        <v/>
      </c>
      <c r="BV17" s="236" t="str">
        <f>IFERROR(__xludf.DUMMYFUNCTION("if(countif(ecn.list,EV17),OFFSET(INDIRECT(CONCAT(""A"",to_text(match(EV17,ecn.list,0)))),0,1),"""")"),"")</f>
        <v/>
      </c>
      <c r="BW17" s="236" t="str">
        <f>IFERROR(__xludf.DUMMYFUNCTION("if(countif(ecn.list,EW17),OFFSET(INDIRECT(CONCAT(""A"",to_text(match(EW17,ecn.list,0)))),0,1),"""")"),"MC ")</f>
        <v>MC </v>
      </c>
      <c r="BX17" s="236" t="str">
        <f>IFERROR(__xludf.DUMMYFUNCTION("if(countif(ecn.list,EX17),OFFSET(INDIRECT(CONCAT(""A"",to_text(match(EX17,ecn.list,0)))),0,1),"""")"),"MD ")</f>
        <v>MD </v>
      </c>
      <c r="BY17" s="236" t="str">
        <f>IFERROR(__xludf.DUMMYFUNCTION("if(countif(ecn.list,EY17),OFFSET(INDIRECT(CONCAT(""A"",to_text(match(EY17,ecn.list,0)))),0,1),"""")"),"")</f>
        <v/>
      </c>
      <c r="BZ17" s="236" t="str">
        <f>IFERROR(__xludf.DUMMYFUNCTION("if(countif(ecn.list,EZ17),OFFSET(INDIRECT(CONCAT(""A"",to_text(match(EZ17,ecn.list,0)))),0,1),"""")"),"MF ")</f>
        <v>MF </v>
      </c>
      <c r="CA17" s="236" t="str">
        <f>IFERROR(__xludf.DUMMYFUNCTION("if(countif(ecn.list,FA17),OFFSET(INDIRECT(CONCAT(""A"",to_text(match(FA17,ecn.list,0)))),0,1),"""")"),"")</f>
        <v/>
      </c>
      <c r="CB17" s="236" t="str">
        <f>IFERROR(__xludf.DUMMYFUNCTION("if(countif(ecn.list,FB17),OFFSET(INDIRECT(CONCAT(""A"",to_text(match(FB17,ecn.list,0)))),0,1),"""")"),"")</f>
        <v/>
      </c>
      <c r="CC17" s="236" t="str">
        <f>IFERROR(__xludf.DUMMYFUNCTION("if(countif(ecn.list,FC17),OFFSET(INDIRECT(CONCAT(""A"",to_text(match(FC17,ecn.list,0)))),0,1),"""")"),"N2 ")</f>
        <v>N2 </v>
      </c>
      <c r="CD17" s="236" t="str">
        <f>IFERROR(__xludf.DUMMYFUNCTION("if(countif(ecn.list,FD17),OFFSET(INDIRECT(CONCAT(""A"",to_text(match(FD17,ecn.list,0)))),0,1),"""")"),"")</f>
        <v/>
      </c>
      <c r="CE17" s="236" t="str">
        <f>IFERROR(__xludf.DUMMYFUNCTION("if(countif(ecn.list,FE17),OFFSET(INDIRECT(CONCAT(""A"",to_text(match(FE17,ecn.list,0)))),0,1),"""")"),"")</f>
        <v/>
      </c>
      <c r="CF17" s="236" t="str">
        <f>IFERROR(__xludf.DUMMYFUNCTION("if(countif(ecn.list,FF17),OFFSET(INDIRECT(CONCAT(""A"",to_text(match(FF17,ecn.list,0)))),0,1),"""")"),"")</f>
        <v/>
      </c>
      <c r="CG17" s="236" t="str">
        <f>IFERROR(__xludf.DUMMYFUNCTION("if(countif(ecn.list,FG17),OFFSET(INDIRECT(CONCAT(""A"",to_text(match(FG17,ecn.list,0)))),0,1),"""")"),"")</f>
        <v/>
      </c>
      <c r="CH17" s="236" t="str">
        <f>IFERROR(__xludf.DUMMYFUNCTION("if(countif(ecn.list,FH17),OFFSET(INDIRECT(CONCAT(""A"",to_text(match(FH17,ecn.list,0)))),0,1),"""")"),"N7 ")</f>
        <v>N7 </v>
      </c>
      <c r="CI17" s="236" t="str">
        <f>IFERROR(__xludf.DUMMYFUNCTION("if(countif(ecn.list,FI17),OFFSET(INDIRECT(CONCAT(""A"",to_text(match(FI17,ecn.list,0)))),0,1),"""")"),"")</f>
        <v/>
      </c>
      <c r="CJ17" s="236" t="str">
        <f>IFERROR(__xludf.DUMMYFUNCTION("if(countif(ecn.list,FJ17),OFFSET(INDIRECT(CONCAT(""A"",to_text(match(FJ17,ecn.list,0)))),0,1),"""")"),"")</f>
        <v/>
      </c>
      <c r="CK17" s="236" t="str">
        <f>IFERROR(__xludf.DUMMYFUNCTION("if(countif(ecn.list,FK17),OFFSET(INDIRECT(CONCAT(""A"",to_text(match(FK17,ecn.list,0)))),0,1),"""")"),"NA ")</f>
        <v>NA </v>
      </c>
      <c r="CL17" s="236" t="str">
        <f>IFERROR(__xludf.DUMMYFUNCTION("if(countif(ecn.list,FL17),OFFSET(INDIRECT(CONCAT(""A"",to_text(match(FL17,ecn.list,0)))),0,1),"""")"),"")</f>
        <v/>
      </c>
      <c r="CM17" s="236" t="str">
        <f>IFERROR(__xludf.DUMMYFUNCTION("if(countif(ecn.list,FM17),OFFSET(INDIRECT(CONCAT(""A"",to_text(match(FM17,ecn.list,0)))),0,1),"""")"),"")</f>
        <v/>
      </c>
      <c r="CN17" s="198" t="s">
        <v>126</v>
      </c>
      <c r="CO17" s="198" t="s">
        <v>1447</v>
      </c>
      <c r="CP17" s="198" t="s">
        <v>1451</v>
      </c>
      <c r="CQ17" s="198" t="s">
        <v>1452</v>
      </c>
      <c r="CR17" s="198" t="s">
        <v>1453</v>
      </c>
      <c r="CS17" s="198" t="s">
        <v>1453</v>
      </c>
      <c r="CT17" s="198" t="s">
        <v>1454</v>
      </c>
      <c r="CU17" s="198" t="s">
        <v>1455</v>
      </c>
      <c r="CV17" s="198" t="s">
        <v>1456</v>
      </c>
      <c r="CW17" s="198" t="s">
        <v>1453</v>
      </c>
      <c r="CX17" s="198" t="s">
        <v>1453</v>
      </c>
      <c r="CY17" s="198" t="s">
        <v>1484</v>
      </c>
      <c r="CZ17" s="198" t="s">
        <v>1453</v>
      </c>
      <c r="DA17" s="198" t="s">
        <v>1457</v>
      </c>
      <c r="DB17" s="198" t="s">
        <v>1485</v>
      </c>
      <c r="DC17" s="198" t="s">
        <v>1453</v>
      </c>
      <c r="DD17" s="198" t="s">
        <v>1453</v>
      </c>
      <c r="DE17" s="198" t="s">
        <v>1459</v>
      </c>
      <c r="DF17" s="198" t="s">
        <v>1453</v>
      </c>
      <c r="DG17" s="198" t="s">
        <v>1453</v>
      </c>
      <c r="DH17" s="198" t="s">
        <v>1453</v>
      </c>
      <c r="DI17" s="198" t="s">
        <v>1453</v>
      </c>
      <c r="DJ17" s="198" t="s">
        <v>1460</v>
      </c>
      <c r="DK17" s="198" t="s">
        <v>1453</v>
      </c>
      <c r="DL17" s="198" t="s">
        <v>1461</v>
      </c>
      <c r="DM17" s="198" t="s">
        <v>1453</v>
      </c>
      <c r="DN17" s="198" t="s">
        <v>1463</v>
      </c>
      <c r="DO17" s="198" t="s">
        <v>1464</v>
      </c>
      <c r="DP17" s="198" t="s">
        <v>1453</v>
      </c>
      <c r="DQ17" s="198" t="s">
        <v>1466</v>
      </c>
      <c r="DR17" s="198" t="s">
        <v>1467</v>
      </c>
      <c r="DS17" s="198" t="s">
        <v>1453</v>
      </c>
      <c r="DT17" s="198" t="s">
        <v>1468</v>
      </c>
      <c r="DU17" s="198" t="s">
        <v>1491</v>
      </c>
      <c r="DV17" s="198" t="s">
        <v>1469</v>
      </c>
      <c r="DW17" s="198" t="s">
        <v>1453</v>
      </c>
      <c r="DX17" s="198" t="s">
        <v>1453</v>
      </c>
      <c r="DY17" s="198" t="s">
        <v>1453</v>
      </c>
      <c r="DZ17" s="198" t="s">
        <v>1453</v>
      </c>
      <c r="EA17" s="198" t="s">
        <v>1453</v>
      </c>
      <c r="EB17" s="198" t="s">
        <v>1453</v>
      </c>
      <c r="EC17" s="198" t="s">
        <v>1483</v>
      </c>
      <c r="ED17" s="198" t="s">
        <v>1453</v>
      </c>
      <c r="EE17" s="198" t="s">
        <v>1470</v>
      </c>
      <c r="EF17" s="198" t="s">
        <v>1453</v>
      </c>
      <c r="EG17" s="198" t="s">
        <v>1471</v>
      </c>
      <c r="EH17" s="198" t="s">
        <v>1453</v>
      </c>
      <c r="EI17" s="198" t="s">
        <v>1453</v>
      </c>
      <c r="EJ17" s="198" t="s">
        <v>1472</v>
      </c>
      <c r="EK17" s="198" t="s">
        <v>1487</v>
      </c>
      <c r="EL17" s="198" t="s">
        <v>1453</v>
      </c>
      <c r="EM17" s="198" t="s">
        <v>1493</v>
      </c>
      <c r="EN17" s="198" t="s">
        <v>1474</v>
      </c>
      <c r="EO17" s="198" t="s">
        <v>1453</v>
      </c>
      <c r="EP17" s="198" t="s">
        <v>1453</v>
      </c>
      <c r="EQ17" s="198" t="s">
        <v>1453</v>
      </c>
      <c r="ER17" s="198" t="s">
        <v>1453</v>
      </c>
      <c r="ES17" s="198" t="s">
        <v>1453</v>
      </c>
      <c r="ET17" s="198" t="s">
        <v>1453</v>
      </c>
      <c r="EU17" s="198" t="s">
        <v>1453</v>
      </c>
      <c r="EV17" s="198" t="s">
        <v>1453</v>
      </c>
      <c r="EW17" s="198" t="s">
        <v>1495</v>
      </c>
      <c r="EX17" s="198" t="s">
        <v>1488</v>
      </c>
      <c r="EY17" s="198" t="s">
        <v>1453</v>
      </c>
      <c r="EZ17" s="198" t="s">
        <v>1477</v>
      </c>
      <c r="FA17" s="198" t="s">
        <v>1453</v>
      </c>
      <c r="FB17" s="198" t="s">
        <v>1453</v>
      </c>
      <c r="FC17" s="198" t="s">
        <v>1478</v>
      </c>
      <c r="FD17" s="198" t="s">
        <v>1453</v>
      </c>
      <c r="FE17" s="198" t="s">
        <v>1453</v>
      </c>
      <c r="FF17" s="198" t="s">
        <v>1453</v>
      </c>
      <c r="FG17" s="198" t="s">
        <v>1453</v>
      </c>
      <c r="FH17" s="198" t="s">
        <v>1479</v>
      </c>
      <c r="FI17" s="198" t="s">
        <v>1453</v>
      </c>
      <c r="FJ17" s="198" t="s">
        <v>1453</v>
      </c>
      <c r="FK17" s="198" t="s">
        <v>1481</v>
      </c>
      <c r="FL17" s="198" t="s">
        <v>1482</v>
      </c>
      <c r="FM17" s="198" t="s">
        <v>1453</v>
      </c>
    </row>
    <row r="18">
      <c r="A18" s="236" t="s">
        <v>1459</v>
      </c>
      <c r="B18" s="198" t="str">
        <f t="shared" ref="B18:B33" si="3">concatenate("K",C18," ")</f>
        <v>K0 </v>
      </c>
      <c r="C18" s="234">
        <v>0.0</v>
      </c>
      <c r="D18" s="232" t="s">
        <v>770</v>
      </c>
      <c r="E18" s="232" t="s">
        <v>1448</v>
      </c>
      <c r="F18" s="232" t="s">
        <v>1449</v>
      </c>
      <c r="G18" s="232" t="s">
        <v>1450</v>
      </c>
      <c r="H18" s="232" t="s">
        <v>876</v>
      </c>
      <c r="I18" s="232" t="s">
        <v>882</v>
      </c>
      <c r="J18" s="232" t="s">
        <v>883</v>
      </c>
      <c r="K18" s="232" t="s">
        <v>908</v>
      </c>
      <c r="L18" s="188" t="s">
        <v>129</v>
      </c>
      <c r="M18" s="236" t="str">
        <f>IFERROR(__xludf.DUMMYFUNCTION("regexreplace(N18,"" "","", "")"),"J0, J1, J2, J5, J6, J7, JA, JC, JD, K0, K5, K7, K9, KA, KC, KD, KF, L1, L8, LA, LD, M0, M2, MA, MC, MD, MF, N2, N4, N7, NA, ")</f>
        <v>J0, J1, J2, J5, J6, J7, JA, JC, JD, K0, K5, K7, K9, KA, KC, KD, KF, L1, L8, LA, LD, M0, M2, MA, MC, MD, MF, N2, N4, N7, NA, </v>
      </c>
      <c r="N18" s="236" t="str">
        <f t="shared" si="2"/>
        <v>J0 J1 J2 J5 J6 J7 JA JC JD K0 K5 K7 K9 KA KC KD KF L1 L8 LA LD M0 M2 MA MC MD MF N2 N4 N7 NA </v>
      </c>
      <c r="O18" s="236" t="str">
        <f>IFERROR(__xludf.DUMMYFUNCTION("if(countif(ecn.list,CO18),OFFSET(INDIRECT(CONCAT(""A"",to_text(match(CO18,ecn.list,0)))),0,1),"""")"),"J0 ")</f>
        <v>J0 </v>
      </c>
      <c r="P18" s="236" t="str">
        <f>IFERROR(__xludf.DUMMYFUNCTION("if(countif(ecn.list,CP18),OFFSET(INDIRECT(CONCAT(""A"",to_text(match(CP18,ecn.list,0)))),0,1),"""")"),"J1 ")</f>
        <v>J1 </v>
      </c>
      <c r="Q18" s="236" t="str">
        <f>IFERROR(__xludf.DUMMYFUNCTION("if(countif(ecn.list,CQ18),OFFSET(INDIRECT(CONCAT(""A"",to_text(match(CQ18,ecn.list,0)))),0,1),"""")"),"J2 ")</f>
        <v>J2 </v>
      </c>
      <c r="R18" s="236" t="str">
        <f>IFERROR(__xludf.DUMMYFUNCTION("if(countif(ecn.list,CR18),OFFSET(INDIRECT(CONCAT(""A"",to_text(match(CR18,ecn.list,0)))),0,1),"""")"),"")</f>
        <v/>
      </c>
      <c r="S18" s="236" t="str">
        <f>IFERROR(__xludf.DUMMYFUNCTION("if(countif(ecn.list,CS18),OFFSET(INDIRECT(CONCAT(""A"",to_text(match(CS18,ecn.list,0)))),0,1),"""")"),"")</f>
        <v/>
      </c>
      <c r="T18" s="236" t="str">
        <f>IFERROR(__xludf.DUMMYFUNCTION("if(countif(ecn.list,CT18),OFFSET(INDIRECT(CONCAT(""A"",to_text(match(CT18,ecn.list,0)))),0,1),"""")"),"J5 ")</f>
        <v>J5 </v>
      </c>
      <c r="U18" s="236" t="str">
        <f>IFERROR(__xludf.DUMMYFUNCTION("if(countif(ecn.list,CU18),OFFSET(INDIRECT(CONCAT(""A"",to_text(match(CU18,ecn.list,0)))),0,1),"""")"),"J6 ")</f>
        <v>J6 </v>
      </c>
      <c r="V18" s="236" t="str">
        <f>IFERROR(__xludf.DUMMYFUNCTION("if(countif(ecn.list,CV18),OFFSET(INDIRECT(CONCAT(""A"",to_text(match(CV18,ecn.list,0)))),0,1),"""")"),"J7 ")</f>
        <v>J7 </v>
      </c>
      <c r="W18" s="236" t="str">
        <f>IFERROR(__xludf.DUMMYFUNCTION("if(countif(ecn.list,CW18),OFFSET(INDIRECT(CONCAT(""A"",to_text(match(CW18,ecn.list,0)))),0,1),"""")"),"")</f>
        <v/>
      </c>
      <c r="X18" s="236" t="str">
        <f>IFERROR(__xludf.DUMMYFUNCTION("if(countif(ecn.list,CX18),OFFSET(INDIRECT(CONCAT(""A"",to_text(match(CX18,ecn.list,0)))),0,1),"""")"),"")</f>
        <v/>
      </c>
      <c r="Y18" s="236" t="str">
        <f>IFERROR(__xludf.DUMMYFUNCTION("if(countif(ecn.list,CY18),OFFSET(INDIRECT(CONCAT(""A"",to_text(match(CY18,ecn.list,0)))),0,1),"""")"),"JA ")</f>
        <v>JA </v>
      </c>
      <c r="Z18" s="236" t="str">
        <f>IFERROR(__xludf.DUMMYFUNCTION("if(countif(ecn.list,CZ18),OFFSET(INDIRECT(CONCAT(""A"",to_text(match(CZ18,ecn.list,0)))),0,1),"""")"),"")</f>
        <v/>
      </c>
      <c r="AA18" s="236" t="str">
        <f>IFERROR(__xludf.DUMMYFUNCTION("if(countif(ecn.list,DA18),OFFSET(INDIRECT(CONCAT(""A"",to_text(match(DA18,ecn.list,0)))),0,1),"""")"),"JC ")</f>
        <v>JC </v>
      </c>
      <c r="AB18" s="236" t="str">
        <f>IFERROR(__xludf.DUMMYFUNCTION("if(countif(ecn.list,DB18),OFFSET(INDIRECT(CONCAT(""A"",to_text(match(DB18,ecn.list,0)))),0,1),"""")"),"JD ")</f>
        <v>JD </v>
      </c>
      <c r="AC18" s="236" t="str">
        <f>IFERROR(__xludf.DUMMYFUNCTION("if(countif(ecn.list,DC18),OFFSET(INDIRECT(CONCAT(""A"",to_text(match(DC18,ecn.list,0)))),0,1),"""")"),"")</f>
        <v/>
      </c>
      <c r="AD18" s="236" t="str">
        <f>IFERROR(__xludf.DUMMYFUNCTION("if(countif(ecn.list,DD18),OFFSET(INDIRECT(CONCAT(""A"",to_text(match(DD18,ecn.list,0)))),0,1),"""")"),"")</f>
        <v/>
      </c>
      <c r="AE18" s="236" t="str">
        <f>IFERROR(__xludf.DUMMYFUNCTION("if(countif(ecn.list,DE18),OFFSET(INDIRECT(CONCAT(""A"",to_text(match(DE18,ecn.list,0)))),0,1),"""")"),"K0 ")</f>
        <v>K0 </v>
      </c>
      <c r="AF18" s="236" t="str">
        <f>IFERROR(__xludf.DUMMYFUNCTION("if(countif(ecn.list,DF18),OFFSET(INDIRECT(CONCAT(""A"",to_text(match(DF18,ecn.list,0)))),0,1),"""")"),"")</f>
        <v/>
      </c>
      <c r="AG18" s="236" t="str">
        <f>IFERROR(__xludf.DUMMYFUNCTION("if(countif(ecn.list,DG18),OFFSET(INDIRECT(CONCAT(""A"",to_text(match(DG18,ecn.list,0)))),0,1),"""")"),"")</f>
        <v/>
      </c>
      <c r="AH18" s="236" t="str">
        <f>IFERROR(__xludf.DUMMYFUNCTION("if(countif(ecn.list,DH18),OFFSET(INDIRECT(CONCAT(""A"",to_text(match(DH18,ecn.list,0)))),0,1),"""")"),"")</f>
        <v/>
      </c>
      <c r="AI18" s="236" t="str">
        <f>IFERROR(__xludf.DUMMYFUNCTION("if(countif(ecn.list,DI18),OFFSET(INDIRECT(CONCAT(""A"",to_text(match(DI18,ecn.list,0)))),0,1),"""")"),"")</f>
        <v/>
      </c>
      <c r="AJ18" s="236" t="str">
        <f>IFERROR(__xludf.DUMMYFUNCTION("if(countif(ecn.list,DJ18),OFFSET(INDIRECT(CONCAT(""A"",to_text(match(DJ18,ecn.list,0)))),0,1),"""")"),"K5 ")</f>
        <v>K5 </v>
      </c>
      <c r="AK18" s="236" t="str">
        <f>IFERROR(__xludf.DUMMYFUNCTION("if(countif(ecn.list,DK18),OFFSET(INDIRECT(CONCAT(""A"",to_text(match(DK18,ecn.list,0)))),0,1),"""")"),"")</f>
        <v/>
      </c>
      <c r="AL18" s="236" t="str">
        <f>IFERROR(__xludf.DUMMYFUNCTION("if(countif(ecn.list,DL18),OFFSET(INDIRECT(CONCAT(""A"",to_text(match(DL18,ecn.list,0)))),0,1),"""")"),"K7 ")</f>
        <v>K7 </v>
      </c>
      <c r="AM18" s="236" t="str">
        <f>IFERROR(__xludf.DUMMYFUNCTION("if(countif(ecn.list,DM18),OFFSET(INDIRECT(CONCAT(""A"",to_text(match(DM18,ecn.list,0)))),0,1),"""")"),"")</f>
        <v/>
      </c>
      <c r="AN18" s="236" t="str">
        <f>IFERROR(__xludf.DUMMYFUNCTION("if(countif(ecn.list,DN18),OFFSET(INDIRECT(CONCAT(""A"",to_text(match(DN18,ecn.list,0)))),0,1),"""")"),"K9 ")</f>
        <v>K9 </v>
      </c>
      <c r="AO18" s="236" t="str">
        <f>IFERROR(__xludf.DUMMYFUNCTION("if(countif(ecn.list,DO18),OFFSET(INDIRECT(CONCAT(""A"",to_text(match(DO18,ecn.list,0)))),0,1),"""")"),"KA ")</f>
        <v>KA </v>
      </c>
      <c r="AP18" s="236" t="str">
        <f>IFERROR(__xludf.DUMMYFUNCTION("if(countif(ecn.list,DP18),OFFSET(INDIRECT(CONCAT(""A"",to_text(match(DP18,ecn.list,0)))),0,1),"""")"),"")</f>
        <v/>
      </c>
      <c r="AQ18" s="236" t="str">
        <f>IFERROR(__xludf.DUMMYFUNCTION("if(countif(ecn.list,DQ18),OFFSET(INDIRECT(CONCAT(""A"",to_text(match(DQ18,ecn.list,0)))),0,1),"""")"),"KC ")</f>
        <v>KC </v>
      </c>
      <c r="AR18" s="236" t="str">
        <f>IFERROR(__xludf.DUMMYFUNCTION("if(countif(ecn.list,DR18),OFFSET(INDIRECT(CONCAT(""A"",to_text(match(DR18,ecn.list,0)))),0,1),"""")"),"KD ")</f>
        <v>KD </v>
      </c>
      <c r="AS18" s="236" t="str">
        <f>IFERROR(__xludf.DUMMYFUNCTION("if(countif(ecn.list,DS18),OFFSET(INDIRECT(CONCAT(""A"",to_text(match(DS18,ecn.list,0)))),0,1),"""")"),"")</f>
        <v/>
      </c>
      <c r="AT18" s="236" t="str">
        <f>IFERROR(__xludf.DUMMYFUNCTION("if(countif(ecn.list,DT18),OFFSET(INDIRECT(CONCAT(""A"",to_text(match(DT18,ecn.list,0)))),0,1),"""")"),"KF ")</f>
        <v>KF </v>
      </c>
      <c r="AU18" s="236" t="str">
        <f>IFERROR(__xludf.DUMMYFUNCTION("if(countif(ecn.list,DU18),OFFSET(INDIRECT(CONCAT(""A"",to_text(match(DU18,ecn.list,0)))),0,1),"""")"),"")</f>
        <v/>
      </c>
      <c r="AV18" s="236" t="str">
        <f>IFERROR(__xludf.DUMMYFUNCTION("if(countif(ecn.list,DV18),OFFSET(INDIRECT(CONCAT(""A"",to_text(match(DV18,ecn.list,0)))),0,1),"""")"),"L1 ")</f>
        <v>L1 </v>
      </c>
      <c r="AW18" s="236" t="str">
        <f>IFERROR(__xludf.DUMMYFUNCTION("if(countif(ecn.list,DW18),OFFSET(INDIRECT(CONCAT(""A"",to_text(match(DW18,ecn.list,0)))),0,1),"""")"),"")</f>
        <v/>
      </c>
      <c r="AX18" s="236" t="str">
        <f>IFERROR(__xludf.DUMMYFUNCTION("if(countif(ecn.list,DX18),OFFSET(INDIRECT(CONCAT(""A"",to_text(match(DX18,ecn.list,0)))),0,1),"""")"),"")</f>
        <v/>
      </c>
      <c r="AY18" s="236" t="str">
        <f>IFERROR(__xludf.DUMMYFUNCTION("if(countif(ecn.list,DY18),OFFSET(INDIRECT(CONCAT(""A"",to_text(match(DY18,ecn.list,0)))),0,1),"""")"),"")</f>
        <v/>
      </c>
      <c r="AZ18" s="236" t="str">
        <f>IFERROR(__xludf.DUMMYFUNCTION("if(countif(ecn.list,DZ18),OFFSET(INDIRECT(CONCAT(""A"",to_text(match(DZ18,ecn.list,0)))),0,1),"""")"),"")</f>
        <v/>
      </c>
      <c r="BA18" s="236" t="str">
        <f>IFERROR(__xludf.DUMMYFUNCTION("if(countif(ecn.list,EA18),OFFSET(INDIRECT(CONCAT(""A"",to_text(match(EA18,ecn.list,0)))),0,1),"""")"),"")</f>
        <v/>
      </c>
      <c r="BB18" s="236" t="str">
        <f>IFERROR(__xludf.DUMMYFUNCTION("if(countif(ecn.list,EB18),OFFSET(INDIRECT(CONCAT(""A"",to_text(match(EB18,ecn.list,0)))),0,1),"""")"),"")</f>
        <v/>
      </c>
      <c r="BC18" s="236" t="str">
        <f>IFERROR(__xludf.DUMMYFUNCTION("if(countif(ecn.list,EC18),OFFSET(INDIRECT(CONCAT(""A"",to_text(match(EC18,ecn.list,0)))),0,1),"""")"),"L8 ")</f>
        <v>L8 </v>
      </c>
      <c r="BD18" s="236" t="str">
        <f>IFERROR(__xludf.DUMMYFUNCTION("if(countif(ecn.list,ED18),OFFSET(INDIRECT(CONCAT(""A"",to_text(match(ED18,ecn.list,0)))),0,1),"""")"),"")</f>
        <v/>
      </c>
      <c r="BE18" s="236" t="str">
        <f>IFERROR(__xludf.DUMMYFUNCTION("if(countif(ecn.list,EE18),OFFSET(INDIRECT(CONCAT(""A"",to_text(match(EE18,ecn.list,0)))),0,1),"""")"),"LA ")</f>
        <v>LA </v>
      </c>
      <c r="BF18" s="236" t="str">
        <f>IFERROR(__xludf.DUMMYFUNCTION("if(countif(ecn.list,EF18),OFFSET(INDIRECT(CONCAT(""A"",to_text(match(EF18,ecn.list,0)))),0,1),"""")"),"")</f>
        <v/>
      </c>
      <c r="BG18" s="236" t="str">
        <f>IFERROR(__xludf.DUMMYFUNCTION("if(countif(ecn.list,EG18),OFFSET(INDIRECT(CONCAT(""A"",to_text(match(EG18,ecn.list,0)))),0,1),"""")"),"")</f>
        <v/>
      </c>
      <c r="BH18" s="236" t="str">
        <f>IFERROR(__xludf.DUMMYFUNCTION("if(countif(ecn.list,EH18),OFFSET(INDIRECT(CONCAT(""A"",to_text(match(EH18,ecn.list,0)))),0,1),"""")"),"LD ")</f>
        <v>LD </v>
      </c>
      <c r="BI18" s="236" t="str">
        <f>IFERROR(__xludf.DUMMYFUNCTION("if(countif(ecn.list,EI18),OFFSET(INDIRECT(CONCAT(""A"",to_text(match(EI18,ecn.list,0)))),0,1),"""")"),"")</f>
        <v/>
      </c>
      <c r="BJ18" s="236" t="str">
        <f>IFERROR(__xludf.DUMMYFUNCTION("if(countif(ecn.list,EJ18),OFFSET(INDIRECT(CONCAT(""A"",to_text(match(EJ18,ecn.list,0)))),0,1),"""")"),"")</f>
        <v/>
      </c>
      <c r="BK18" s="236" t="str">
        <f>IFERROR(__xludf.DUMMYFUNCTION("if(countif(ecn.list,EK18),OFFSET(INDIRECT(CONCAT(""A"",to_text(match(EK18,ecn.list,0)))),0,1),"""")"),"M0 ")</f>
        <v>M0 </v>
      </c>
      <c r="BL18" s="236" t="str">
        <f>IFERROR(__xludf.DUMMYFUNCTION("if(countif(ecn.list,EL18),OFFSET(INDIRECT(CONCAT(""A"",to_text(match(EL18,ecn.list,0)))),0,1),"""")"),"")</f>
        <v/>
      </c>
      <c r="BM18" s="236" t="str">
        <f>IFERROR(__xludf.DUMMYFUNCTION("if(countif(ecn.list,EM18),OFFSET(INDIRECT(CONCAT(""A"",to_text(match(EM18,ecn.list,0)))),0,1),"""")"),"M2 ")</f>
        <v>M2 </v>
      </c>
      <c r="BN18" s="236" t="str">
        <f>IFERROR(__xludf.DUMMYFUNCTION("if(countif(ecn.list,EN18),OFFSET(INDIRECT(CONCAT(""A"",to_text(match(EN18,ecn.list,0)))),0,1),"""")"),"")</f>
        <v/>
      </c>
      <c r="BO18" s="236" t="str">
        <f>IFERROR(__xludf.DUMMYFUNCTION("if(countif(ecn.list,EO18),OFFSET(INDIRECT(CONCAT(""A"",to_text(match(EO18,ecn.list,0)))),0,1),"""")"),"")</f>
        <v/>
      </c>
      <c r="BP18" s="236" t="str">
        <f>IFERROR(__xludf.DUMMYFUNCTION("if(countif(ecn.list,EP18),OFFSET(INDIRECT(CONCAT(""A"",to_text(match(EP18,ecn.list,0)))),0,1),"""")"),"")</f>
        <v/>
      </c>
      <c r="BQ18" s="236" t="str">
        <f>IFERROR(__xludf.DUMMYFUNCTION("if(countif(ecn.list,EQ18),OFFSET(INDIRECT(CONCAT(""A"",to_text(match(EQ18,ecn.list,0)))),0,1),"""")"),"")</f>
        <v/>
      </c>
      <c r="BR18" s="236" t="str">
        <f>IFERROR(__xludf.DUMMYFUNCTION("if(countif(ecn.list,ER18),OFFSET(INDIRECT(CONCAT(""A"",to_text(match(ER18,ecn.list,0)))),0,1),"""")"),"")</f>
        <v/>
      </c>
      <c r="BS18" s="236" t="str">
        <f>IFERROR(__xludf.DUMMYFUNCTION("if(countif(ecn.list,ES18),OFFSET(INDIRECT(CONCAT(""A"",to_text(match(ES18,ecn.list,0)))),0,1),"""")"),"")</f>
        <v/>
      </c>
      <c r="BT18" s="236" t="str">
        <f>IFERROR(__xludf.DUMMYFUNCTION("if(countif(ecn.list,ET18),OFFSET(INDIRECT(CONCAT(""A"",to_text(match(ET18,ecn.list,0)))),0,1),"""")"),"")</f>
        <v/>
      </c>
      <c r="BU18" s="236" t="str">
        <f>IFERROR(__xludf.DUMMYFUNCTION("if(countif(ecn.list,EU18),OFFSET(INDIRECT(CONCAT(""A"",to_text(match(EU18,ecn.list,0)))),0,1),"""")"),"MA ")</f>
        <v>MA </v>
      </c>
      <c r="BV18" s="236" t="str">
        <f>IFERROR(__xludf.DUMMYFUNCTION("if(countif(ecn.list,EV18),OFFSET(INDIRECT(CONCAT(""A"",to_text(match(EV18,ecn.list,0)))),0,1),"""")"),"")</f>
        <v/>
      </c>
      <c r="BW18" s="236" t="str">
        <f>IFERROR(__xludf.DUMMYFUNCTION("if(countif(ecn.list,EW18),OFFSET(INDIRECT(CONCAT(""A"",to_text(match(EW18,ecn.list,0)))),0,1),"""")"),"MC ")</f>
        <v>MC </v>
      </c>
      <c r="BX18" s="236" t="str">
        <f>IFERROR(__xludf.DUMMYFUNCTION("if(countif(ecn.list,EX18),OFFSET(INDIRECT(CONCAT(""A"",to_text(match(EX18,ecn.list,0)))),0,1),"""")"),"MD ")</f>
        <v>MD </v>
      </c>
      <c r="BY18" s="236" t="str">
        <f>IFERROR(__xludf.DUMMYFUNCTION("if(countif(ecn.list,EY18),OFFSET(INDIRECT(CONCAT(""A"",to_text(match(EY18,ecn.list,0)))),0,1),"""")"),"")</f>
        <v/>
      </c>
      <c r="BZ18" s="236" t="str">
        <f>IFERROR(__xludf.DUMMYFUNCTION("if(countif(ecn.list,EZ18),OFFSET(INDIRECT(CONCAT(""A"",to_text(match(EZ18,ecn.list,0)))),0,1),"""")"),"MF ")</f>
        <v>MF </v>
      </c>
      <c r="CA18" s="236" t="str">
        <f>IFERROR(__xludf.DUMMYFUNCTION("if(countif(ecn.list,FA18),OFFSET(INDIRECT(CONCAT(""A"",to_text(match(FA18,ecn.list,0)))),0,1),"""")"),"")</f>
        <v/>
      </c>
      <c r="CB18" s="236" t="str">
        <f>IFERROR(__xludf.DUMMYFUNCTION("if(countif(ecn.list,FB18),OFFSET(INDIRECT(CONCAT(""A"",to_text(match(FB18,ecn.list,0)))),0,1),"""")"),"")</f>
        <v/>
      </c>
      <c r="CC18" s="236" t="str">
        <f>IFERROR(__xludf.DUMMYFUNCTION("if(countif(ecn.list,FC18),OFFSET(INDIRECT(CONCAT(""A"",to_text(match(FC18,ecn.list,0)))),0,1),"""")"),"N2 ")</f>
        <v>N2 </v>
      </c>
      <c r="CD18" s="236" t="str">
        <f>IFERROR(__xludf.DUMMYFUNCTION("if(countif(ecn.list,FD18),OFFSET(INDIRECT(CONCAT(""A"",to_text(match(FD18,ecn.list,0)))),0,1),"""")"),"")</f>
        <v/>
      </c>
      <c r="CE18" s="236" t="str">
        <f>IFERROR(__xludf.DUMMYFUNCTION("if(countif(ecn.list,FE18),OFFSET(INDIRECT(CONCAT(""A"",to_text(match(FE18,ecn.list,0)))),0,1),"""")"),"N4 ")</f>
        <v>N4 </v>
      </c>
      <c r="CF18" s="236" t="str">
        <f>IFERROR(__xludf.DUMMYFUNCTION("if(countif(ecn.list,FF18),OFFSET(INDIRECT(CONCAT(""A"",to_text(match(FF18,ecn.list,0)))),0,1),"""")"),"")</f>
        <v/>
      </c>
      <c r="CG18" s="236" t="str">
        <f>IFERROR(__xludf.DUMMYFUNCTION("if(countif(ecn.list,FG18),OFFSET(INDIRECT(CONCAT(""A"",to_text(match(FG18,ecn.list,0)))),0,1),"""")"),"")</f>
        <v/>
      </c>
      <c r="CH18" s="236" t="str">
        <f>IFERROR(__xludf.DUMMYFUNCTION("if(countif(ecn.list,FH18),OFFSET(INDIRECT(CONCAT(""A"",to_text(match(FH18,ecn.list,0)))),0,1),"""")"),"N7 ")</f>
        <v>N7 </v>
      </c>
      <c r="CI18" s="236" t="str">
        <f>IFERROR(__xludf.DUMMYFUNCTION("if(countif(ecn.list,FI18),OFFSET(INDIRECT(CONCAT(""A"",to_text(match(FI18,ecn.list,0)))),0,1),"""")"),"")</f>
        <v/>
      </c>
      <c r="CJ18" s="236" t="str">
        <f>IFERROR(__xludf.DUMMYFUNCTION("if(countif(ecn.list,FJ18),OFFSET(INDIRECT(CONCAT(""A"",to_text(match(FJ18,ecn.list,0)))),0,1),"""")"),"")</f>
        <v/>
      </c>
      <c r="CK18" s="236" t="str">
        <f>IFERROR(__xludf.DUMMYFUNCTION("if(countif(ecn.list,FK18),OFFSET(INDIRECT(CONCAT(""A"",to_text(match(FK18,ecn.list,0)))),0,1),"""")"),"NA ")</f>
        <v>NA </v>
      </c>
      <c r="CL18" s="236" t="str">
        <f>IFERROR(__xludf.DUMMYFUNCTION("if(countif(ecn.list,FL18),OFFSET(INDIRECT(CONCAT(""A"",to_text(match(FL18,ecn.list,0)))),0,1),"""")"),"")</f>
        <v/>
      </c>
      <c r="CM18" s="236" t="str">
        <f>IFERROR(__xludf.DUMMYFUNCTION("if(countif(ecn.list,FM18),OFFSET(INDIRECT(CONCAT(""A"",to_text(match(FM18,ecn.list,0)))),0,1),"""")"),"")</f>
        <v/>
      </c>
      <c r="CN18" s="198" t="s">
        <v>129</v>
      </c>
      <c r="CO18" s="198" t="s">
        <v>1447</v>
      </c>
      <c r="CP18" s="198" t="s">
        <v>1451</v>
      </c>
      <c r="CQ18" s="198" t="s">
        <v>1452</v>
      </c>
      <c r="CR18" s="198" t="s">
        <v>1453</v>
      </c>
      <c r="CS18" s="198" t="s">
        <v>1453</v>
      </c>
      <c r="CT18" s="198" t="s">
        <v>1454</v>
      </c>
      <c r="CU18" s="198" t="s">
        <v>1455</v>
      </c>
      <c r="CV18" s="198" t="s">
        <v>1456</v>
      </c>
      <c r="CW18" s="198" t="s">
        <v>1453</v>
      </c>
      <c r="CX18" s="198" t="s">
        <v>1453</v>
      </c>
      <c r="CY18" s="198" t="s">
        <v>1484</v>
      </c>
      <c r="CZ18" s="198" t="s">
        <v>1453</v>
      </c>
      <c r="DA18" s="198" t="s">
        <v>1457</v>
      </c>
      <c r="DB18" s="198" t="s">
        <v>1485</v>
      </c>
      <c r="DC18" s="198" t="s">
        <v>1453</v>
      </c>
      <c r="DD18" s="198" t="s">
        <v>1453</v>
      </c>
      <c r="DE18" s="198" t="s">
        <v>1459</v>
      </c>
      <c r="DF18" s="198" t="s">
        <v>1453</v>
      </c>
      <c r="DG18" s="198" t="s">
        <v>1453</v>
      </c>
      <c r="DH18" s="198" t="s">
        <v>1453</v>
      </c>
      <c r="DI18" s="198" t="s">
        <v>1453</v>
      </c>
      <c r="DJ18" s="198" t="s">
        <v>1460</v>
      </c>
      <c r="DK18" s="198" t="s">
        <v>1453</v>
      </c>
      <c r="DL18" s="198" t="s">
        <v>1461</v>
      </c>
      <c r="DM18" s="198" t="s">
        <v>1453</v>
      </c>
      <c r="DN18" s="198" t="s">
        <v>1463</v>
      </c>
      <c r="DO18" s="198" t="s">
        <v>1464</v>
      </c>
      <c r="DP18" s="198" t="s">
        <v>1453</v>
      </c>
      <c r="DQ18" s="198" t="s">
        <v>1466</v>
      </c>
      <c r="DR18" s="198" t="s">
        <v>1467</v>
      </c>
      <c r="DS18" s="198" t="s">
        <v>1453</v>
      </c>
      <c r="DT18" s="198" t="s">
        <v>1468</v>
      </c>
      <c r="DU18" s="198" t="s">
        <v>1453</v>
      </c>
      <c r="DV18" s="198" t="s">
        <v>1469</v>
      </c>
      <c r="DW18" s="198" t="s">
        <v>1453</v>
      </c>
      <c r="DX18" s="198" t="s">
        <v>1453</v>
      </c>
      <c r="DY18" s="198" t="s">
        <v>1453</v>
      </c>
      <c r="DZ18" s="198" t="s">
        <v>1453</v>
      </c>
      <c r="EA18" s="198" t="s">
        <v>1453</v>
      </c>
      <c r="EB18" s="198" t="s">
        <v>1453</v>
      </c>
      <c r="EC18" s="198" t="s">
        <v>1483</v>
      </c>
      <c r="ED18" s="198" t="s">
        <v>1453</v>
      </c>
      <c r="EE18" s="198" t="s">
        <v>1470</v>
      </c>
      <c r="EF18" s="198" t="s">
        <v>1453</v>
      </c>
      <c r="EG18" s="198" t="s">
        <v>1453</v>
      </c>
      <c r="EH18" s="198" t="s">
        <v>1492</v>
      </c>
      <c r="EI18" s="198" t="s">
        <v>1453</v>
      </c>
      <c r="EJ18" s="198" t="s">
        <v>1453</v>
      </c>
      <c r="EK18" s="198" t="s">
        <v>1487</v>
      </c>
      <c r="EL18" s="198" t="s">
        <v>1453</v>
      </c>
      <c r="EM18" s="198" t="s">
        <v>1493</v>
      </c>
      <c r="EN18" s="198" t="s">
        <v>1453</v>
      </c>
      <c r="EO18" s="198" t="s">
        <v>1453</v>
      </c>
      <c r="EP18" s="198" t="s">
        <v>1453</v>
      </c>
      <c r="EQ18" s="198" t="s">
        <v>1453</v>
      </c>
      <c r="ER18" s="198" t="s">
        <v>1453</v>
      </c>
      <c r="ES18" s="198" t="s">
        <v>1453</v>
      </c>
      <c r="ET18" s="198" t="s">
        <v>1453</v>
      </c>
      <c r="EU18" s="198" t="s">
        <v>1494</v>
      </c>
      <c r="EV18" s="198" t="s">
        <v>1453</v>
      </c>
      <c r="EW18" s="198" t="s">
        <v>1495</v>
      </c>
      <c r="EX18" s="198" t="s">
        <v>1488</v>
      </c>
      <c r="EY18" s="198" t="s">
        <v>1453</v>
      </c>
      <c r="EZ18" s="198" t="s">
        <v>1477</v>
      </c>
      <c r="FA18" s="198" t="s">
        <v>1453</v>
      </c>
      <c r="FB18" s="198" t="s">
        <v>1453</v>
      </c>
      <c r="FC18" s="198" t="s">
        <v>1478</v>
      </c>
      <c r="FD18" s="198" t="s">
        <v>1453</v>
      </c>
      <c r="FE18" s="198" t="s">
        <v>1489</v>
      </c>
      <c r="FF18" s="198" t="s">
        <v>1453</v>
      </c>
      <c r="FG18" s="198" t="s">
        <v>1453</v>
      </c>
      <c r="FH18" s="198" t="s">
        <v>1479</v>
      </c>
      <c r="FI18" s="198" t="s">
        <v>1453</v>
      </c>
      <c r="FJ18" s="198" t="s">
        <v>1453</v>
      </c>
      <c r="FK18" s="198" t="s">
        <v>1481</v>
      </c>
      <c r="FL18" s="198" t="s">
        <v>1482</v>
      </c>
      <c r="FM18" s="198" t="s">
        <v>1453</v>
      </c>
    </row>
    <row r="19">
      <c r="A19" s="198" t="s">
        <v>1498</v>
      </c>
      <c r="B19" s="198" t="str">
        <f t="shared" si="3"/>
        <v>K1 </v>
      </c>
      <c r="C19" s="234">
        <v>1.0</v>
      </c>
      <c r="D19" s="232" t="s">
        <v>770</v>
      </c>
      <c r="E19" s="232" t="s">
        <v>1448</v>
      </c>
      <c r="F19" s="232" t="s">
        <v>1449</v>
      </c>
      <c r="G19" s="232" t="s">
        <v>1450</v>
      </c>
      <c r="H19" s="232" t="s">
        <v>804</v>
      </c>
      <c r="I19" s="232" t="s">
        <v>941</v>
      </c>
      <c r="J19" s="232" t="s">
        <v>897</v>
      </c>
      <c r="K19" s="232" t="s">
        <v>1140</v>
      </c>
      <c r="L19" s="188" t="s">
        <v>132</v>
      </c>
      <c r="M19" s="236" t="str">
        <f>IFERROR(__xludf.DUMMYFUNCTION("regexreplace(N19,"" "","", "")"),"J0, J1, J2, J5, J6, J7, JA, JC, JF, K0, K3, K4, K5, K7, K9, KA, KC, KD, L1, L8, LA, LC, LF, M0, M1, M3, M4, MD, MF, N2, N7, NA, ")</f>
        <v>J0, J1, J2, J5, J6, J7, JA, JC, JF, K0, K3, K4, K5, K7, K9, KA, KC, KD, L1, L8, LA, LC, LF, M0, M1, M3, M4, MD, MF, N2, N7, NA, </v>
      </c>
      <c r="N19" s="236" t="str">
        <f t="shared" si="2"/>
        <v>J0 J1 J2 J5 J6 J7 JA JC JF K0 K3 K4 K5 K7 K9 KA KC KD L1 L8 LA LC LF M0 M1 M3 M4 MD MF N2 N7 NA </v>
      </c>
      <c r="O19" s="236" t="str">
        <f>IFERROR(__xludf.DUMMYFUNCTION("if(countif(ecn.list,CO19),OFFSET(INDIRECT(CONCAT(""A"",to_text(match(CO19,ecn.list,0)))),0,1),"""")"),"J0 ")</f>
        <v>J0 </v>
      </c>
      <c r="P19" s="236" t="str">
        <f>IFERROR(__xludf.DUMMYFUNCTION("if(countif(ecn.list,CP19),OFFSET(INDIRECT(CONCAT(""A"",to_text(match(CP19,ecn.list,0)))),0,1),"""")"),"J1 ")</f>
        <v>J1 </v>
      </c>
      <c r="Q19" s="236" t="str">
        <f>IFERROR(__xludf.DUMMYFUNCTION("if(countif(ecn.list,CQ19),OFFSET(INDIRECT(CONCAT(""A"",to_text(match(CQ19,ecn.list,0)))),0,1),"""")"),"J2 ")</f>
        <v>J2 </v>
      </c>
      <c r="R19" s="236" t="str">
        <f>IFERROR(__xludf.DUMMYFUNCTION("if(countif(ecn.list,CR19),OFFSET(INDIRECT(CONCAT(""A"",to_text(match(CR19,ecn.list,0)))),0,1),"""")"),"")</f>
        <v/>
      </c>
      <c r="S19" s="236" t="str">
        <f>IFERROR(__xludf.DUMMYFUNCTION("if(countif(ecn.list,CS19),OFFSET(INDIRECT(CONCAT(""A"",to_text(match(CS19,ecn.list,0)))),0,1),"""")"),"")</f>
        <v/>
      </c>
      <c r="T19" s="236" t="str">
        <f>IFERROR(__xludf.DUMMYFUNCTION("if(countif(ecn.list,CT19),OFFSET(INDIRECT(CONCAT(""A"",to_text(match(CT19,ecn.list,0)))),0,1),"""")"),"J5 ")</f>
        <v>J5 </v>
      </c>
      <c r="U19" s="236" t="str">
        <f>IFERROR(__xludf.DUMMYFUNCTION("if(countif(ecn.list,CU19),OFFSET(INDIRECT(CONCAT(""A"",to_text(match(CU19,ecn.list,0)))),0,1),"""")"),"J6 ")</f>
        <v>J6 </v>
      </c>
      <c r="V19" s="236" t="str">
        <f>IFERROR(__xludf.DUMMYFUNCTION("if(countif(ecn.list,CV19),OFFSET(INDIRECT(CONCAT(""A"",to_text(match(CV19,ecn.list,0)))),0,1),"""")"),"J7 ")</f>
        <v>J7 </v>
      </c>
      <c r="W19" s="236" t="str">
        <f>IFERROR(__xludf.DUMMYFUNCTION("if(countif(ecn.list,CW19),OFFSET(INDIRECT(CONCAT(""A"",to_text(match(CW19,ecn.list,0)))),0,1),"""")"),"")</f>
        <v/>
      </c>
      <c r="X19" s="236" t="str">
        <f>IFERROR(__xludf.DUMMYFUNCTION("if(countif(ecn.list,CX19),OFFSET(INDIRECT(CONCAT(""A"",to_text(match(CX19,ecn.list,0)))),0,1),"""")"),"")</f>
        <v/>
      </c>
      <c r="Y19" s="236" t="str">
        <f>IFERROR(__xludf.DUMMYFUNCTION("if(countif(ecn.list,CY19),OFFSET(INDIRECT(CONCAT(""A"",to_text(match(CY19,ecn.list,0)))),0,1),"""")"),"JA ")</f>
        <v>JA </v>
      </c>
      <c r="Z19" s="236" t="str">
        <f>IFERROR(__xludf.DUMMYFUNCTION("if(countif(ecn.list,CZ19),OFFSET(INDIRECT(CONCAT(""A"",to_text(match(CZ19,ecn.list,0)))),0,1),"""")"),"")</f>
        <v/>
      </c>
      <c r="AA19" s="236" t="str">
        <f>IFERROR(__xludf.DUMMYFUNCTION("if(countif(ecn.list,DA19),OFFSET(INDIRECT(CONCAT(""A"",to_text(match(DA19,ecn.list,0)))),0,1),"""")"),"JC ")</f>
        <v>JC </v>
      </c>
      <c r="AB19" s="236" t="str">
        <f>IFERROR(__xludf.DUMMYFUNCTION("if(countif(ecn.list,DB19),OFFSET(INDIRECT(CONCAT(""A"",to_text(match(DB19,ecn.list,0)))),0,1),"""")"),"")</f>
        <v/>
      </c>
      <c r="AC19" s="236" t="str">
        <f>IFERROR(__xludf.DUMMYFUNCTION("if(countif(ecn.list,DC19),OFFSET(INDIRECT(CONCAT(""A"",to_text(match(DC19,ecn.list,0)))),0,1),"""")"),"")</f>
        <v/>
      </c>
      <c r="AD19" s="236" t="str">
        <f>IFERROR(__xludf.DUMMYFUNCTION("if(countif(ecn.list,DD19),OFFSET(INDIRECT(CONCAT(""A"",to_text(match(DD19,ecn.list,0)))),0,1),"""")"),"JF ")</f>
        <v>JF </v>
      </c>
      <c r="AE19" s="236" t="str">
        <f>IFERROR(__xludf.DUMMYFUNCTION("if(countif(ecn.list,DE19),OFFSET(INDIRECT(CONCAT(""A"",to_text(match(DE19,ecn.list,0)))),0,1),"""")"),"K0 ")</f>
        <v>K0 </v>
      </c>
      <c r="AF19" s="236" t="str">
        <f>IFERROR(__xludf.DUMMYFUNCTION("if(countif(ecn.list,DF19),OFFSET(INDIRECT(CONCAT(""A"",to_text(match(DF19,ecn.list,0)))),0,1),"""")"),"")</f>
        <v/>
      </c>
      <c r="AG19" s="236" t="str">
        <f>IFERROR(__xludf.DUMMYFUNCTION("if(countif(ecn.list,DG19),OFFSET(INDIRECT(CONCAT(""A"",to_text(match(DG19,ecn.list,0)))),0,1),"""")"),"")</f>
        <v/>
      </c>
      <c r="AH19" s="236" t="str">
        <f>IFERROR(__xludf.DUMMYFUNCTION("if(countif(ecn.list,DH19),OFFSET(INDIRECT(CONCAT(""A"",to_text(match(DH19,ecn.list,0)))),0,1),"""")"),"K3 ")</f>
        <v>K3 </v>
      </c>
      <c r="AI19" s="236" t="str">
        <f>IFERROR(__xludf.DUMMYFUNCTION("if(countif(ecn.list,DI19),OFFSET(INDIRECT(CONCAT(""A"",to_text(match(DI19,ecn.list,0)))),0,1),"""")"),"K4 ")</f>
        <v>K4 </v>
      </c>
      <c r="AJ19" s="236" t="str">
        <f>IFERROR(__xludf.DUMMYFUNCTION("if(countif(ecn.list,DJ19),OFFSET(INDIRECT(CONCAT(""A"",to_text(match(DJ19,ecn.list,0)))),0,1),"""")"),"K5 ")</f>
        <v>K5 </v>
      </c>
      <c r="AK19" s="236" t="str">
        <f>IFERROR(__xludf.DUMMYFUNCTION("if(countif(ecn.list,DK19),OFFSET(INDIRECT(CONCAT(""A"",to_text(match(DK19,ecn.list,0)))),0,1),"""")"),"")</f>
        <v/>
      </c>
      <c r="AL19" s="236" t="str">
        <f>IFERROR(__xludf.DUMMYFUNCTION("if(countif(ecn.list,DL19),OFFSET(INDIRECT(CONCAT(""A"",to_text(match(DL19,ecn.list,0)))),0,1),"""")"),"K7 ")</f>
        <v>K7 </v>
      </c>
      <c r="AM19" s="236" t="str">
        <f>IFERROR(__xludf.DUMMYFUNCTION("if(countif(ecn.list,DM19),OFFSET(INDIRECT(CONCAT(""A"",to_text(match(DM19,ecn.list,0)))),0,1),"""")"),"")</f>
        <v/>
      </c>
      <c r="AN19" s="236" t="str">
        <f>IFERROR(__xludf.DUMMYFUNCTION("if(countif(ecn.list,DN19),OFFSET(INDIRECT(CONCAT(""A"",to_text(match(DN19,ecn.list,0)))),0,1),"""")"),"K9 ")</f>
        <v>K9 </v>
      </c>
      <c r="AO19" s="236" t="str">
        <f>IFERROR(__xludf.DUMMYFUNCTION("if(countif(ecn.list,DO19),OFFSET(INDIRECT(CONCAT(""A"",to_text(match(DO19,ecn.list,0)))),0,1),"""")"),"KA ")</f>
        <v>KA </v>
      </c>
      <c r="AP19" s="236" t="str">
        <f>IFERROR(__xludf.DUMMYFUNCTION("if(countif(ecn.list,DP19),OFFSET(INDIRECT(CONCAT(""A"",to_text(match(DP19,ecn.list,0)))),0,1),"""")"),"")</f>
        <v/>
      </c>
      <c r="AQ19" s="236" t="str">
        <f>IFERROR(__xludf.DUMMYFUNCTION("if(countif(ecn.list,DQ19),OFFSET(INDIRECT(CONCAT(""A"",to_text(match(DQ19,ecn.list,0)))),0,1),"""")"),"KC ")</f>
        <v>KC </v>
      </c>
      <c r="AR19" s="236" t="str">
        <f>IFERROR(__xludf.DUMMYFUNCTION("if(countif(ecn.list,DR19),OFFSET(INDIRECT(CONCAT(""A"",to_text(match(DR19,ecn.list,0)))),0,1),"""")"),"KD ")</f>
        <v>KD </v>
      </c>
      <c r="AS19" s="236" t="str">
        <f>IFERROR(__xludf.DUMMYFUNCTION("if(countif(ecn.list,DS19),OFFSET(INDIRECT(CONCAT(""A"",to_text(match(DS19,ecn.list,0)))),0,1),"""")"),"")</f>
        <v/>
      </c>
      <c r="AT19" s="236" t="str">
        <f>IFERROR(__xludf.DUMMYFUNCTION("if(countif(ecn.list,DT19),OFFSET(INDIRECT(CONCAT(""A"",to_text(match(DT19,ecn.list,0)))),0,1),"""")"),"")</f>
        <v/>
      </c>
      <c r="AU19" s="236" t="str">
        <f>IFERROR(__xludf.DUMMYFUNCTION("if(countif(ecn.list,DU19),OFFSET(INDIRECT(CONCAT(""A"",to_text(match(DU19,ecn.list,0)))),0,1),"""")"),"")</f>
        <v/>
      </c>
      <c r="AV19" s="236" t="str">
        <f>IFERROR(__xludf.DUMMYFUNCTION("if(countif(ecn.list,DV19),OFFSET(INDIRECT(CONCAT(""A"",to_text(match(DV19,ecn.list,0)))),0,1),"""")"),"L1 ")</f>
        <v>L1 </v>
      </c>
      <c r="AW19" s="236" t="str">
        <f>IFERROR(__xludf.DUMMYFUNCTION("if(countif(ecn.list,DW19),OFFSET(INDIRECT(CONCAT(""A"",to_text(match(DW19,ecn.list,0)))),0,1),"""")"),"")</f>
        <v/>
      </c>
      <c r="AX19" s="236" t="str">
        <f>IFERROR(__xludf.DUMMYFUNCTION("if(countif(ecn.list,DX19),OFFSET(INDIRECT(CONCAT(""A"",to_text(match(DX19,ecn.list,0)))),0,1),"""")"),"")</f>
        <v/>
      </c>
      <c r="AY19" s="236" t="str">
        <f>IFERROR(__xludf.DUMMYFUNCTION("if(countif(ecn.list,DY19),OFFSET(INDIRECT(CONCAT(""A"",to_text(match(DY19,ecn.list,0)))),0,1),"""")"),"")</f>
        <v/>
      </c>
      <c r="AZ19" s="236" t="str">
        <f>IFERROR(__xludf.DUMMYFUNCTION("if(countif(ecn.list,DZ19),OFFSET(INDIRECT(CONCAT(""A"",to_text(match(DZ19,ecn.list,0)))),0,1),"""")"),"")</f>
        <v/>
      </c>
      <c r="BA19" s="236" t="str">
        <f>IFERROR(__xludf.DUMMYFUNCTION("if(countif(ecn.list,EA19),OFFSET(INDIRECT(CONCAT(""A"",to_text(match(EA19,ecn.list,0)))),0,1),"""")"),"")</f>
        <v/>
      </c>
      <c r="BB19" s="236" t="str">
        <f>IFERROR(__xludf.DUMMYFUNCTION("if(countif(ecn.list,EB19),OFFSET(INDIRECT(CONCAT(""A"",to_text(match(EB19,ecn.list,0)))),0,1),"""")"),"")</f>
        <v/>
      </c>
      <c r="BC19" s="236" t="str">
        <f>IFERROR(__xludf.DUMMYFUNCTION("if(countif(ecn.list,EC19),OFFSET(INDIRECT(CONCAT(""A"",to_text(match(EC19,ecn.list,0)))),0,1),"""")"),"L8 ")</f>
        <v>L8 </v>
      </c>
      <c r="BD19" s="236" t="str">
        <f>IFERROR(__xludf.DUMMYFUNCTION("if(countif(ecn.list,ED19),OFFSET(INDIRECT(CONCAT(""A"",to_text(match(ED19,ecn.list,0)))),0,1),"""")"),"")</f>
        <v/>
      </c>
      <c r="BE19" s="236" t="str">
        <f>IFERROR(__xludf.DUMMYFUNCTION("if(countif(ecn.list,EE19),OFFSET(INDIRECT(CONCAT(""A"",to_text(match(EE19,ecn.list,0)))),0,1),"""")"),"LA ")</f>
        <v>LA </v>
      </c>
      <c r="BF19" s="236" t="str">
        <f>IFERROR(__xludf.DUMMYFUNCTION("if(countif(ecn.list,EF19),OFFSET(INDIRECT(CONCAT(""A"",to_text(match(EF19,ecn.list,0)))),0,1),"""")"),"")</f>
        <v/>
      </c>
      <c r="BG19" s="236" t="str">
        <f>IFERROR(__xludf.DUMMYFUNCTION("if(countif(ecn.list,EG19),OFFSET(INDIRECT(CONCAT(""A"",to_text(match(EG19,ecn.list,0)))),0,1),"""")"),"LC ")</f>
        <v>LC </v>
      </c>
      <c r="BH19" s="236" t="str">
        <f>IFERROR(__xludf.DUMMYFUNCTION("if(countif(ecn.list,EH19),OFFSET(INDIRECT(CONCAT(""A"",to_text(match(EH19,ecn.list,0)))),0,1),"""")"),"")</f>
        <v/>
      </c>
      <c r="BI19" s="236" t="str">
        <f>IFERROR(__xludf.DUMMYFUNCTION("if(countif(ecn.list,EI19),OFFSET(INDIRECT(CONCAT(""A"",to_text(match(EI19,ecn.list,0)))),0,1),"""")"),"")</f>
        <v/>
      </c>
      <c r="BJ19" s="236" t="str">
        <f>IFERROR(__xludf.DUMMYFUNCTION("if(countif(ecn.list,EJ19),OFFSET(INDIRECT(CONCAT(""A"",to_text(match(EJ19,ecn.list,0)))),0,1),"""")"),"LF ")</f>
        <v>LF </v>
      </c>
      <c r="BK19" s="236" t="str">
        <f>IFERROR(__xludf.DUMMYFUNCTION("if(countif(ecn.list,EK19),OFFSET(INDIRECT(CONCAT(""A"",to_text(match(EK19,ecn.list,0)))),0,1),"""")"),"M0 ")</f>
        <v>M0 </v>
      </c>
      <c r="BL19" s="236" t="str">
        <f>IFERROR(__xludf.DUMMYFUNCTION("if(countif(ecn.list,EL19),OFFSET(INDIRECT(CONCAT(""A"",to_text(match(EL19,ecn.list,0)))),0,1),"""")"),"M1 ")</f>
        <v>M1 </v>
      </c>
      <c r="BM19" s="236" t="str">
        <f>IFERROR(__xludf.DUMMYFUNCTION("if(countif(ecn.list,EM19),OFFSET(INDIRECT(CONCAT(""A"",to_text(match(EM19,ecn.list,0)))),0,1),"""")"),"")</f>
        <v/>
      </c>
      <c r="BN19" s="236" t="str">
        <f>IFERROR(__xludf.DUMMYFUNCTION("if(countif(ecn.list,EN19),OFFSET(INDIRECT(CONCAT(""A"",to_text(match(EN19,ecn.list,0)))),0,1),"""")"),"M3 ")</f>
        <v>M3 </v>
      </c>
      <c r="BO19" s="236" t="str">
        <f>IFERROR(__xludf.DUMMYFUNCTION("if(countif(ecn.list,EO19),OFFSET(INDIRECT(CONCAT(""A"",to_text(match(EO19,ecn.list,0)))),0,1),"""")"),"M4 ")</f>
        <v>M4 </v>
      </c>
      <c r="BP19" s="236" t="str">
        <f>IFERROR(__xludf.DUMMYFUNCTION("if(countif(ecn.list,EP19),OFFSET(INDIRECT(CONCAT(""A"",to_text(match(EP19,ecn.list,0)))),0,1),"""")"),"")</f>
        <v/>
      </c>
      <c r="BQ19" s="236" t="str">
        <f>IFERROR(__xludf.DUMMYFUNCTION("if(countif(ecn.list,EQ19),OFFSET(INDIRECT(CONCAT(""A"",to_text(match(EQ19,ecn.list,0)))),0,1),"""")"),"")</f>
        <v/>
      </c>
      <c r="BR19" s="236" t="str">
        <f>IFERROR(__xludf.DUMMYFUNCTION("if(countif(ecn.list,ER19),OFFSET(INDIRECT(CONCAT(""A"",to_text(match(ER19,ecn.list,0)))),0,1),"""")"),"")</f>
        <v/>
      </c>
      <c r="BS19" s="236" t="str">
        <f>IFERROR(__xludf.DUMMYFUNCTION("if(countif(ecn.list,ES19),OFFSET(INDIRECT(CONCAT(""A"",to_text(match(ES19,ecn.list,0)))),0,1),"""")"),"")</f>
        <v/>
      </c>
      <c r="BT19" s="236" t="str">
        <f>IFERROR(__xludf.DUMMYFUNCTION("if(countif(ecn.list,ET19),OFFSET(INDIRECT(CONCAT(""A"",to_text(match(ET19,ecn.list,0)))),0,1),"""")"),"")</f>
        <v/>
      </c>
      <c r="BU19" s="236" t="str">
        <f>IFERROR(__xludf.DUMMYFUNCTION("if(countif(ecn.list,EU19),OFFSET(INDIRECT(CONCAT(""A"",to_text(match(EU19,ecn.list,0)))),0,1),"""")"),"")</f>
        <v/>
      </c>
      <c r="BV19" s="236" t="str">
        <f>IFERROR(__xludf.DUMMYFUNCTION("if(countif(ecn.list,EV19),OFFSET(INDIRECT(CONCAT(""A"",to_text(match(EV19,ecn.list,0)))),0,1),"""")"),"")</f>
        <v/>
      </c>
      <c r="BW19" s="236" t="str">
        <f>IFERROR(__xludf.DUMMYFUNCTION("if(countif(ecn.list,EW19),OFFSET(INDIRECT(CONCAT(""A"",to_text(match(EW19,ecn.list,0)))),0,1),"""")"),"")</f>
        <v/>
      </c>
      <c r="BX19" s="236" t="str">
        <f>IFERROR(__xludf.DUMMYFUNCTION("if(countif(ecn.list,EX19),OFFSET(INDIRECT(CONCAT(""A"",to_text(match(EX19,ecn.list,0)))),0,1),"""")"),"MD ")</f>
        <v>MD </v>
      </c>
      <c r="BY19" s="236" t="str">
        <f>IFERROR(__xludf.DUMMYFUNCTION("if(countif(ecn.list,EY19),OFFSET(INDIRECT(CONCAT(""A"",to_text(match(EY19,ecn.list,0)))),0,1),"""")"),"")</f>
        <v/>
      </c>
      <c r="BZ19" s="236" t="str">
        <f>IFERROR(__xludf.DUMMYFUNCTION("if(countif(ecn.list,EZ19),OFFSET(INDIRECT(CONCAT(""A"",to_text(match(EZ19,ecn.list,0)))),0,1),"""")"),"MF ")</f>
        <v>MF </v>
      </c>
      <c r="CA19" s="236" t="str">
        <f>IFERROR(__xludf.DUMMYFUNCTION("if(countif(ecn.list,FA19),OFFSET(INDIRECT(CONCAT(""A"",to_text(match(FA19,ecn.list,0)))),0,1),"""")"),"")</f>
        <v/>
      </c>
      <c r="CB19" s="236" t="str">
        <f>IFERROR(__xludf.DUMMYFUNCTION("if(countif(ecn.list,FB19),OFFSET(INDIRECT(CONCAT(""A"",to_text(match(FB19,ecn.list,0)))),0,1),"""")"),"")</f>
        <v/>
      </c>
      <c r="CC19" s="236" t="str">
        <f>IFERROR(__xludf.DUMMYFUNCTION("if(countif(ecn.list,FC19),OFFSET(INDIRECT(CONCAT(""A"",to_text(match(FC19,ecn.list,0)))),0,1),"""")"),"N2 ")</f>
        <v>N2 </v>
      </c>
      <c r="CD19" s="236" t="str">
        <f>IFERROR(__xludf.DUMMYFUNCTION("if(countif(ecn.list,FD19),OFFSET(INDIRECT(CONCAT(""A"",to_text(match(FD19,ecn.list,0)))),0,1),"""")"),"")</f>
        <v/>
      </c>
      <c r="CE19" s="236" t="str">
        <f>IFERROR(__xludf.DUMMYFUNCTION("if(countif(ecn.list,FE19),OFFSET(INDIRECT(CONCAT(""A"",to_text(match(FE19,ecn.list,0)))),0,1),"""")"),"")</f>
        <v/>
      </c>
      <c r="CF19" s="236" t="str">
        <f>IFERROR(__xludf.DUMMYFUNCTION("if(countif(ecn.list,FF19),OFFSET(INDIRECT(CONCAT(""A"",to_text(match(FF19,ecn.list,0)))),0,1),"""")"),"")</f>
        <v/>
      </c>
      <c r="CG19" s="236" t="str">
        <f>IFERROR(__xludf.DUMMYFUNCTION("if(countif(ecn.list,FG19),OFFSET(INDIRECT(CONCAT(""A"",to_text(match(FG19,ecn.list,0)))),0,1),"""")"),"")</f>
        <v/>
      </c>
      <c r="CH19" s="236" t="str">
        <f>IFERROR(__xludf.DUMMYFUNCTION("if(countif(ecn.list,FH19),OFFSET(INDIRECT(CONCAT(""A"",to_text(match(FH19,ecn.list,0)))),0,1),"""")"),"N7 ")</f>
        <v>N7 </v>
      </c>
      <c r="CI19" s="236" t="str">
        <f>IFERROR(__xludf.DUMMYFUNCTION("if(countif(ecn.list,FI19),OFFSET(INDIRECT(CONCAT(""A"",to_text(match(FI19,ecn.list,0)))),0,1),"""")"),"")</f>
        <v/>
      </c>
      <c r="CJ19" s="236" t="str">
        <f>IFERROR(__xludf.DUMMYFUNCTION("if(countif(ecn.list,FJ19),OFFSET(INDIRECT(CONCAT(""A"",to_text(match(FJ19,ecn.list,0)))),0,1),"""")"),"")</f>
        <v/>
      </c>
      <c r="CK19" s="236" t="str">
        <f>IFERROR(__xludf.DUMMYFUNCTION("if(countif(ecn.list,FK19),OFFSET(INDIRECT(CONCAT(""A"",to_text(match(FK19,ecn.list,0)))),0,1),"""")"),"NA ")</f>
        <v>NA </v>
      </c>
      <c r="CL19" s="236" t="str">
        <f>IFERROR(__xludf.DUMMYFUNCTION("if(countif(ecn.list,FL19),OFFSET(INDIRECT(CONCAT(""A"",to_text(match(FL19,ecn.list,0)))),0,1),"""")"),"")</f>
        <v/>
      </c>
      <c r="CM19" s="236" t="str">
        <f>IFERROR(__xludf.DUMMYFUNCTION("if(countif(ecn.list,FM19),OFFSET(INDIRECT(CONCAT(""A"",to_text(match(FM19,ecn.list,0)))),0,1),"""")"),"")</f>
        <v/>
      </c>
      <c r="CN19" s="198" t="s">
        <v>132</v>
      </c>
      <c r="CO19" s="198" t="s">
        <v>1447</v>
      </c>
      <c r="CP19" s="198" t="s">
        <v>1451</v>
      </c>
      <c r="CQ19" s="198" t="s">
        <v>1452</v>
      </c>
      <c r="CR19" s="198" t="s">
        <v>1453</v>
      </c>
      <c r="CS19" s="198" t="s">
        <v>1453</v>
      </c>
      <c r="CT19" s="198" t="s">
        <v>1454</v>
      </c>
      <c r="CU19" s="198" t="s">
        <v>1455</v>
      </c>
      <c r="CV19" s="198" t="s">
        <v>1456</v>
      </c>
      <c r="CW19" s="198" t="s">
        <v>1453</v>
      </c>
      <c r="CX19" s="198" t="s">
        <v>1453</v>
      </c>
      <c r="CY19" s="198" t="s">
        <v>1484</v>
      </c>
      <c r="CZ19" s="198" t="s">
        <v>1453</v>
      </c>
      <c r="DA19" s="198" t="s">
        <v>1457</v>
      </c>
      <c r="DB19" s="198" t="s">
        <v>1453</v>
      </c>
      <c r="DC19" s="198" t="s">
        <v>1453</v>
      </c>
      <c r="DD19" s="198" t="s">
        <v>1458</v>
      </c>
      <c r="DE19" s="198" t="s">
        <v>1459</v>
      </c>
      <c r="DF19" s="198" t="s">
        <v>1453</v>
      </c>
      <c r="DG19" s="198" t="s">
        <v>1453</v>
      </c>
      <c r="DH19" s="198" t="s">
        <v>1500</v>
      </c>
      <c r="DI19" s="198" t="s">
        <v>1501</v>
      </c>
      <c r="DJ19" s="198" t="s">
        <v>1460</v>
      </c>
      <c r="DK19" s="198" t="s">
        <v>1453</v>
      </c>
      <c r="DL19" s="198" t="s">
        <v>1461</v>
      </c>
      <c r="DM19" s="198" t="s">
        <v>1453</v>
      </c>
      <c r="DN19" s="198" t="s">
        <v>1463</v>
      </c>
      <c r="DO19" s="198" t="s">
        <v>1464</v>
      </c>
      <c r="DP19" s="198" t="s">
        <v>1453</v>
      </c>
      <c r="DQ19" s="198" t="s">
        <v>1466</v>
      </c>
      <c r="DR19" s="198" t="s">
        <v>1467</v>
      </c>
      <c r="DS19" s="198" t="s">
        <v>1453</v>
      </c>
      <c r="DT19" s="198" t="s">
        <v>1453</v>
      </c>
      <c r="DU19" s="198" t="s">
        <v>1453</v>
      </c>
      <c r="DV19" s="198" t="s">
        <v>1469</v>
      </c>
      <c r="DW19" s="198" t="s">
        <v>1453</v>
      </c>
      <c r="DX19" s="198" t="s">
        <v>1453</v>
      </c>
      <c r="DY19" s="198" t="s">
        <v>1453</v>
      </c>
      <c r="DZ19" s="198" t="s">
        <v>1453</v>
      </c>
      <c r="EA19" s="198" t="s">
        <v>1453</v>
      </c>
      <c r="EB19" s="198" t="s">
        <v>1453</v>
      </c>
      <c r="EC19" s="198" t="s">
        <v>1483</v>
      </c>
      <c r="ED19" s="198" t="s">
        <v>1453</v>
      </c>
      <c r="EE19" s="198" t="s">
        <v>1470</v>
      </c>
      <c r="EF19" s="198" t="s">
        <v>1453</v>
      </c>
      <c r="EG19" s="198" t="s">
        <v>1471</v>
      </c>
      <c r="EH19" s="198" t="s">
        <v>1453</v>
      </c>
      <c r="EI19" s="198" t="s">
        <v>1453</v>
      </c>
      <c r="EJ19" s="198" t="s">
        <v>1472</v>
      </c>
      <c r="EK19" s="198" t="s">
        <v>1487</v>
      </c>
      <c r="EL19" s="198" t="s">
        <v>1473</v>
      </c>
      <c r="EM19" s="198" t="s">
        <v>1453</v>
      </c>
      <c r="EN19" s="198" t="s">
        <v>1474</v>
      </c>
      <c r="EO19" s="198" t="s">
        <v>1475</v>
      </c>
      <c r="EP19" s="198" t="s">
        <v>1453</v>
      </c>
      <c r="EQ19" s="198" t="s">
        <v>1453</v>
      </c>
      <c r="ER19" s="198" t="s">
        <v>1453</v>
      </c>
      <c r="ES19" s="198" t="s">
        <v>1453</v>
      </c>
      <c r="ET19" s="198" t="s">
        <v>1453</v>
      </c>
      <c r="EU19" s="198" t="s">
        <v>1453</v>
      </c>
      <c r="EV19" s="198" t="s">
        <v>1453</v>
      </c>
      <c r="EW19" s="198" t="s">
        <v>1453</v>
      </c>
      <c r="EX19" s="198" t="s">
        <v>1488</v>
      </c>
      <c r="EY19" s="198" t="s">
        <v>1453</v>
      </c>
      <c r="EZ19" s="198" t="s">
        <v>1477</v>
      </c>
      <c r="FA19" s="198" t="s">
        <v>1453</v>
      </c>
      <c r="FB19" s="198" t="s">
        <v>1453</v>
      </c>
      <c r="FC19" s="198" t="s">
        <v>1478</v>
      </c>
      <c r="FD19" s="198" t="s">
        <v>1453</v>
      </c>
      <c r="FE19" s="198" t="s">
        <v>1453</v>
      </c>
      <c r="FF19" s="198" t="s">
        <v>1453</v>
      </c>
      <c r="FG19" s="198" t="s">
        <v>1453</v>
      </c>
      <c r="FH19" s="198" t="s">
        <v>1479</v>
      </c>
      <c r="FI19" s="198" t="s">
        <v>1453</v>
      </c>
      <c r="FJ19" s="198" t="s">
        <v>1453</v>
      </c>
      <c r="FK19" s="198" t="s">
        <v>1481</v>
      </c>
      <c r="FL19" s="198" t="s">
        <v>1482</v>
      </c>
      <c r="FM19" s="198" t="s">
        <v>1453</v>
      </c>
    </row>
    <row r="20">
      <c r="A20" s="198" t="s">
        <v>1499</v>
      </c>
      <c r="B20" s="198" t="str">
        <f t="shared" si="3"/>
        <v>K2 </v>
      </c>
      <c r="C20" s="234">
        <v>2.0</v>
      </c>
      <c r="D20" s="232" t="s">
        <v>770</v>
      </c>
      <c r="E20" s="232" t="s">
        <v>1448</v>
      </c>
      <c r="F20" s="232" t="s">
        <v>1449</v>
      </c>
      <c r="G20" s="232" t="s">
        <v>1450</v>
      </c>
      <c r="H20" s="232" t="s">
        <v>876</v>
      </c>
      <c r="I20" s="232" t="s">
        <v>882</v>
      </c>
      <c r="J20" s="232" t="s">
        <v>870</v>
      </c>
      <c r="K20" s="232" t="s">
        <v>914</v>
      </c>
      <c r="L20" s="188" t="s">
        <v>135</v>
      </c>
      <c r="M20" s="236" t="str">
        <f>IFERROR(__xludf.DUMMYFUNCTION("regexreplace(N20,"" "","", "")"),"J0, J1, J2, J5, J6, J7, JA, JC, JF, K0, K3, K4, K5, K7, K9, KA, KB, KC, KD, KF, L1, L8, LA, LC, LF, M0, M3, M4, MF, N2, N7, NA, ")</f>
        <v>J0, J1, J2, J5, J6, J7, JA, JC, JF, K0, K3, K4, K5, K7, K9, KA, KB, KC, KD, KF, L1, L8, LA, LC, LF, M0, M3, M4, MF, N2, N7, NA, </v>
      </c>
      <c r="N20" s="236" t="str">
        <f t="shared" si="2"/>
        <v>J0 J1 J2 J5 J6 J7 JA JC JF K0 K3 K4 K5 K7 K9 KA KB KC KD KF L1 L8 LA LC LF M0 M3 M4 MF N2 N7 NA </v>
      </c>
      <c r="O20" s="236" t="str">
        <f>IFERROR(__xludf.DUMMYFUNCTION("if(countif(ecn.list,CO20),OFFSET(INDIRECT(CONCAT(""A"",to_text(match(CO20,ecn.list,0)))),0,1),"""")"),"J0 ")</f>
        <v>J0 </v>
      </c>
      <c r="P20" s="236" t="str">
        <f>IFERROR(__xludf.DUMMYFUNCTION("if(countif(ecn.list,CP20),OFFSET(INDIRECT(CONCAT(""A"",to_text(match(CP20,ecn.list,0)))),0,1),"""")"),"J1 ")</f>
        <v>J1 </v>
      </c>
      <c r="Q20" s="236" t="str">
        <f>IFERROR(__xludf.DUMMYFUNCTION("if(countif(ecn.list,CQ20),OFFSET(INDIRECT(CONCAT(""A"",to_text(match(CQ20,ecn.list,0)))),0,1),"""")"),"J2 ")</f>
        <v>J2 </v>
      </c>
      <c r="R20" s="236" t="str">
        <f>IFERROR(__xludf.DUMMYFUNCTION("if(countif(ecn.list,CR20),OFFSET(INDIRECT(CONCAT(""A"",to_text(match(CR20,ecn.list,0)))),0,1),"""")"),"")</f>
        <v/>
      </c>
      <c r="S20" s="236" t="str">
        <f>IFERROR(__xludf.DUMMYFUNCTION("if(countif(ecn.list,CS20),OFFSET(INDIRECT(CONCAT(""A"",to_text(match(CS20,ecn.list,0)))),0,1),"""")"),"")</f>
        <v/>
      </c>
      <c r="T20" s="236" t="str">
        <f>IFERROR(__xludf.DUMMYFUNCTION("if(countif(ecn.list,CT20),OFFSET(INDIRECT(CONCAT(""A"",to_text(match(CT20,ecn.list,0)))),0,1),"""")"),"J5 ")</f>
        <v>J5 </v>
      </c>
      <c r="U20" s="236" t="str">
        <f>IFERROR(__xludf.DUMMYFUNCTION("if(countif(ecn.list,CU20),OFFSET(INDIRECT(CONCAT(""A"",to_text(match(CU20,ecn.list,0)))),0,1),"""")"),"J6 ")</f>
        <v>J6 </v>
      </c>
      <c r="V20" s="236" t="str">
        <f>IFERROR(__xludf.DUMMYFUNCTION("if(countif(ecn.list,CV20),OFFSET(INDIRECT(CONCAT(""A"",to_text(match(CV20,ecn.list,0)))),0,1),"""")"),"J7 ")</f>
        <v>J7 </v>
      </c>
      <c r="W20" s="236" t="str">
        <f>IFERROR(__xludf.DUMMYFUNCTION("if(countif(ecn.list,CW20),OFFSET(INDIRECT(CONCAT(""A"",to_text(match(CW20,ecn.list,0)))),0,1),"""")"),"")</f>
        <v/>
      </c>
      <c r="X20" s="236" t="str">
        <f>IFERROR(__xludf.DUMMYFUNCTION("if(countif(ecn.list,CX20),OFFSET(INDIRECT(CONCAT(""A"",to_text(match(CX20,ecn.list,0)))),0,1),"""")"),"")</f>
        <v/>
      </c>
      <c r="Y20" s="236" t="str">
        <f>IFERROR(__xludf.DUMMYFUNCTION("if(countif(ecn.list,CY20),OFFSET(INDIRECT(CONCAT(""A"",to_text(match(CY20,ecn.list,0)))),0,1),"""")"),"JA ")</f>
        <v>JA </v>
      </c>
      <c r="Z20" s="236" t="str">
        <f>IFERROR(__xludf.DUMMYFUNCTION("if(countif(ecn.list,CZ20),OFFSET(INDIRECT(CONCAT(""A"",to_text(match(CZ20,ecn.list,0)))),0,1),"""")"),"")</f>
        <v/>
      </c>
      <c r="AA20" s="236" t="str">
        <f>IFERROR(__xludf.DUMMYFUNCTION("if(countif(ecn.list,DA20),OFFSET(INDIRECT(CONCAT(""A"",to_text(match(DA20,ecn.list,0)))),0,1),"""")"),"JC ")</f>
        <v>JC </v>
      </c>
      <c r="AB20" s="236" t="str">
        <f>IFERROR(__xludf.DUMMYFUNCTION("if(countif(ecn.list,DB20),OFFSET(INDIRECT(CONCAT(""A"",to_text(match(DB20,ecn.list,0)))),0,1),"""")"),"")</f>
        <v/>
      </c>
      <c r="AC20" s="236" t="str">
        <f>IFERROR(__xludf.DUMMYFUNCTION("if(countif(ecn.list,DC20),OFFSET(INDIRECT(CONCAT(""A"",to_text(match(DC20,ecn.list,0)))),0,1),"""")"),"")</f>
        <v/>
      </c>
      <c r="AD20" s="236" t="str">
        <f>IFERROR(__xludf.DUMMYFUNCTION("if(countif(ecn.list,DD20),OFFSET(INDIRECT(CONCAT(""A"",to_text(match(DD20,ecn.list,0)))),0,1),"""")"),"JF ")</f>
        <v>JF </v>
      </c>
      <c r="AE20" s="236" t="str">
        <f>IFERROR(__xludf.DUMMYFUNCTION("if(countif(ecn.list,DE20),OFFSET(INDIRECT(CONCAT(""A"",to_text(match(DE20,ecn.list,0)))),0,1),"""")"),"K0 ")</f>
        <v>K0 </v>
      </c>
      <c r="AF20" s="236" t="str">
        <f>IFERROR(__xludf.DUMMYFUNCTION("if(countif(ecn.list,DF20),OFFSET(INDIRECT(CONCAT(""A"",to_text(match(DF20,ecn.list,0)))),0,1),"""")"),"")</f>
        <v/>
      </c>
      <c r="AG20" s="236" t="str">
        <f>IFERROR(__xludf.DUMMYFUNCTION("if(countif(ecn.list,DG20),OFFSET(INDIRECT(CONCAT(""A"",to_text(match(DG20,ecn.list,0)))),0,1),"""")"),"")</f>
        <v/>
      </c>
      <c r="AH20" s="236" t="str">
        <f>IFERROR(__xludf.DUMMYFUNCTION("if(countif(ecn.list,DH20),OFFSET(INDIRECT(CONCAT(""A"",to_text(match(DH20,ecn.list,0)))),0,1),"""")"),"K3 ")</f>
        <v>K3 </v>
      </c>
      <c r="AI20" s="236" t="str">
        <f>IFERROR(__xludf.DUMMYFUNCTION("if(countif(ecn.list,DI20),OFFSET(INDIRECT(CONCAT(""A"",to_text(match(DI20,ecn.list,0)))),0,1),"""")"),"K4 ")</f>
        <v>K4 </v>
      </c>
      <c r="AJ20" s="236" t="str">
        <f>IFERROR(__xludf.DUMMYFUNCTION("if(countif(ecn.list,DJ20),OFFSET(INDIRECT(CONCAT(""A"",to_text(match(DJ20,ecn.list,0)))),0,1),"""")"),"K5 ")</f>
        <v>K5 </v>
      </c>
      <c r="AK20" s="236" t="str">
        <f>IFERROR(__xludf.DUMMYFUNCTION("if(countif(ecn.list,DK20),OFFSET(INDIRECT(CONCAT(""A"",to_text(match(DK20,ecn.list,0)))),0,1),"""")"),"")</f>
        <v/>
      </c>
      <c r="AL20" s="236" t="str">
        <f>IFERROR(__xludf.DUMMYFUNCTION("if(countif(ecn.list,DL20),OFFSET(INDIRECT(CONCAT(""A"",to_text(match(DL20,ecn.list,0)))),0,1),"""")"),"K7 ")</f>
        <v>K7 </v>
      </c>
      <c r="AM20" s="236" t="str">
        <f>IFERROR(__xludf.DUMMYFUNCTION("if(countif(ecn.list,DM20),OFFSET(INDIRECT(CONCAT(""A"",to_text(match(DM20,ecn.list,0)))),0,1),"""")"),"")</f>
        <v/>
      </c>
      <c r="AN20" s="236" t="str">
        <f>IFERROR(__xludf.DUMMYFUNCTION("if(countif(ecn.list,DN20),OFFSET(INDIRECT(CONCAT(""A"",to_text(match(DN20,ecn.list,0)))),0,1),"""")"),"K9 ")</f>
        <v>K9 </v>
      </c>
      <c r="AO20" s="236" t="str">
        <f>IFERROR(__xludf.DUMMYFUNCTION("if(countif(ecn.list,DO20),OFFSET(INDIRECT(CONCAT(""A"",to_text(match(DO20,ecn.list,0)))),0,1),"""")"),"KA ")</f>
        <v>KA </v>
      </c>
      <c r="AP20" s="236" t="str">
        <f>IFERROR(__xludf.DUMMYFUNCTION("if(countif(ecn.list,DP20),OFFSET(INDIRECT(CONCAT(""A"",to_text(match(DP20,ecn.list,0)))),0,1),"""")"),"KB ")</f>
        <v>KB </v>
      </c>
      <c r="AQ20" s="236" t="str">
        <f>IFERROR(__xludf.DUMMYFUNCTION("if(countif(ecn.list,DQ20),OFFSET(INDIRECT(CONCAT(""A"",to_text(match(DQ20,ecn.list,0)))),0,1),"""")"),"KC ")</f>
        <v>KC </v>
      </c>
      <c r="AR20" s="236" t="str">
        <f>IFERROR(__xludf.DUMMYFUNCTION("if(countif(ecn.list,DR20),OFFSET(INDIRECT(CONCAT(""A"",to_text(match(DR20,ecn.list,0)))),0,1),"""")"),"KD ")</f>
        <v>KD </v>
      </c>
      <c r="AS20" s="236" t="str">
        <f>IFERROR(__xludf.DUMMYFUNCTION("if(countif(ecn.list,DS20),OFFSET(INDIRECT(CONCAT(""A"",to_text(match(DS20,ecn.list,0)))),0,1),"""")"),"")</f>
        <v/>
      </c>
      <c r="AT20" s="236" t="str">
        <f>IFERROR(__xludf.DUMMYFUNCTION("if(countif(ecn.list,DT20),OFFSET(INDIRECT(CONCAT(""A"",to_text(match(DT20,ecn.list,0)))),0,1),"""")"),"KF ")</f>
        <v>KF </v>
      </c>
      <c r="AU20" s="236" t="str">
        <f>IFERROR(__xludf.DUMMYFUNCTION("if(countif(ecn.list,DU20),OFFSET(INDIRECT(CONCAT(""A"",to_text(match(DU20,ecn.list,0)))),0,1),"""")"),"")</f>
        <v/>
      </c>
      <c r="AV20" s="236" t="str">
        <f>IFERROR(__xludf.DUMMYFUNCTION("if(countif(ecn.list,DV20),OFFSET(INDIRECT(CONCAT(""A"",to_text(match(DV20,ecn.list,0)))),0,1),"""")"),"L1 ")</f>
        <v>L1 </v>
      </c>
      <c r="AW20" s="236" t="str">
        <f>IFERROR(__xludf.DUMMYFUNCTION("if(countif(ecn.list,DW20),OFFSET(INDIRECT(CONCAT(""A"",to_text(match(DW20,ecn.list,0)))),0,1),"""")"),"")</f>
        <v/>
      </c>
      <c r="AX20" s="236" t="str">
        <f>IFERROR(__xludf.DUMMYFUNCTION("if(countif(ecn.list,DX20),OFFSET(INDIRECT(CONCAT(""A"",to_text(match(DX20,ecn.list,0)))),0,1),"""")"),"")</f>
        <v/>
      </c>
      <c r="AY20" s="236" t="str">
        <f>IFERROR(__xludf.DUMMYFUNCTION("if(countif(ecn.list,DY20),OFFSET(INDIRECT(CONCAT(""A"",to_text(match(DY20,ecn.list,0)))),0,1),"""")"),"")</f>
        <v/>
      </c>
      <c r="AZ20" s="236" t="str">
        <f>IFERROR(__xludf.DUMMYFUNCTION("if(countif(ecn.list,DZ20),OFFSET(INDIRECT(CONCAT(""A"",to_text(match(DZ20,ecn.list,0)))),0,1),"""")"),"")</f>
        <v/>
      </c>
      <c r="BA20" s="236" t="str">
        <f>IFERROR(__xludf.DUMMYFUNCTION("if(countif(ecn.list,EA20),OFFSET(INDIRECT(CONCAT(""A"",to_text(match(EA20,ecn.list,0)))),0,1),"""")"),"")</f>
        <v/>
      </c>
      <c r="BB20" s="236" t="str">
        <f>IFERROR(__xludf.DUMMYFUNCTION("if(countif(ecn.list,EB20),OFFSET(INDIRECT(CONCAT(""A"",to_text(match(EB20,ecn.list,0)))),0,1),"""")"),"")</f>
        <v/>
      </c>
      <c r="BC20" s="236" t="str">
        <f>IFERROR(__xludf.DUMMYFUNCTION("if(countif(ecn.list,EC20),OFFSET(INDIRECT(CONCAT(""A"",to_text(match(EC20,ecn.list,0)))),0,1),"""")"),"L8 ")</f>
        <v>L8 </v>
      </c>
      <c r="BD20" s="236" t="str">
        <f>IFERROR(__xludf.DUMMYFUNCTION("if(countif(ecn.list,ED20),OFFSET(INDIRECT(CONCAT(""A"",to_text(match(ED20,ecn.list,0)))),0,1),"""")"),"")</f>
        <v/>
      </c>
      <c r="BE20" s="236" t="str">
        <f>IFERROR(__xludf.DUMMYFUNCTION("if(countif(ecn.list,EE20),OFFSET(INDIRECT(CONCAT(""A"",to_text(match(EE20,ecn.list,0)))),0,1),"""")"),"LA ")</f>
        <v>LA </v>
      </c>
      <c r="BF20" s="236" t="str">
        <f>IFERROR(__xludf.DUMMYFUNCTION("if(countif(ecn.list,EF20),OFFSET(INDIRECT(CONCAT(""A"",to_text(match(EF20,ecn.list,0)))),0,1),"""")"),"")</f>
        <v/>
      </c>
      <c r="BG20" s="236" t="str">
        <f>IFERROR(__xludf.DUMMYFUNCTION("if(countif(ecn.list,EG20),OFFSET(INDIRECT(CONCAT(""A"",to_text(match(EG20,ecn.list,0)))),0,1),"""")"),"LC ")</f>
        <v>LC </v>
      </c>
      <c r="BH20" s="236" t="str">
        <f>IFERROR(__xludf.DUMMYFUNCTION("if(countif(ecn.list,EH20),OFFSET(INDIRECT(CONCAT(""A"",to_text(match(EH20,ecn.list,0)))),0,1),"""")"),"")</f>
        <v/>
      </c>
      <c r="BI20" s="236" t="str">
        <f>IFERROR(__xludf.DUMMYFUNCTION("if(countif(ecn.list,EI20),OFFSET(INDIRECT(CONCAT(""A"",to_text(match(EI20,ecn.list,0)))),0,1),"""")"),"")</f>
        <v/>
      </c>
      <c r="BJ20" s="236" t="str">
        <f>IFERROR(__xludf.DUMMYFUNCTION("if(countif(ecn.list,EJ20),OFFSET(INDIRECT(CONCAT(""A"",to_text(match(EJ20,ecn.list,0)))),0,1),"""")"),"LF ")</f>
        <v>LF </v>
      </c>
      <c r="BK20" s="236" t="str">
        <f>IFERROR(__xludf.DUMMYFUNCTION("if(countif(ecn.list,EK20),OFFSET(INDIRECT(CONCAT(""A"",to_text(match(EK20,ecn.list,0)))),0,1),"""")"),"M0 ")</f>
        <v>M0 </v>
      </c>
      <c r="BL20" s="236" t="str">
        <f>IFERROR(__xludf.DUMMYFUNCTION("if(countif(ecn.list,EL20),OFFSET(INDIRECT(CONCAT(""A"",to_text(match(EL20,ecn.list,0)))),0,1),"""")"),"")</f>
        <v/>
      </c>
      <c r="BM20" s="236" t="str">
        <f>IFERROR(__xludf.DUMMYFUNCTION("if(countif(ecn.list,EM20),OFFSET(INDIRECT(CONCAT(""A"",to_text(match(EM20,ecn.list,0)))),0,1),"""")"),"")</f>
        <v/>
      </c>
      <c r="BN20" s="236" t="str">
        <f>IFERROR(__xludf.DUMMYFUNCTION("if(countif(ecn.list,EN20),OFFSET(INDIRECT(CONCAT(""A"",to_text(match(EN20,ecn.list,0)))),0,1),"""")"),"M3 ")</f>
        <v>M3 </v>
      </c>
      <c r="BO20" s="236" t="str">
        <f>IFERROR(__xludf.DUMMYFUNCTION("if(countif(ecn.list,EO20),OFFSET(INDIRECT(CONCAT(""A"",to_text(match(EO20,ecn.list,0)))),0,1),"""")"),"M4 ")</f>
        <v>M4 </v>
      </c>
      <c r="BP20" s="236" t="str">
        <f>IFERROR(__xludf.DUMMYFUNCTION("if(countif(ecn.list,EP20),OFFSET(INDIRECT(CONCAT(""A"",to_text(match(EP20,ecn.list,0)))),0,1),"""")"),"")</f>
        <v/>
      </c>
      <c r="BQ20" s="236" t="str">
        <f>IFERROR(__xludf.DUMMYFUNCTION("if(countif(ecn.list,EQ20),OFFSET(INDIRECT(CONCAT(""A"",to_text(match(EQ20,ecn.list,0)))),0,1),"""")"),"")</f>
        <v/>
      </c>
      <c r="BR20" s="236" t="str">
        <f>IFERROR(__xludf.DUMMYFUNCTION("if(countif(ecn.list,ER20),OFFSET(INDIRECT(CONCAT(""A"",to_text(match(ER20,ecn.list,0)))),0,1),"""")"),"")</f>
        <v/>
      </c>
      <c r="BS20" s="236" t="str">
        <f>IFERROR(__xludf.DUMMYFUNCTION("if(countif(ecn.list,ES20),OFFSET(INDIRECT(CONCAT(""A"",to_text(match(ES20,ecn.list,0)))),0,1),"""")"),"")</f>
        <v/>
      </c>
      <c r="BT20" s="236" t="str">
        <f>IFERROR(__xludf.DUMMYFUNCTION("if(countif(ecn.list,ET20),OFFSET(INDIRECT(CONCAT(""A"",to_text(match(ET20,ecn.list,0)))),0,1),"""")"),"")</f>
        <v/>
      </c>
      <c r="BU20" s="236" t="str">
        <f>IFERROR(__xludf.DUMMYFUNCTION("if(countif(ecn.list,EU20),OFFSET(INDIRECT(CONCAT(""A"",to_text(match(EU20,ecn.list,0)))),0,1),"""")"),"")</f>
        <v/>
      </c>
      <c r="BV20" s="236" t="str">
        <f>IFERROR(__xludf.DUMMYFUNCTION("if(countif(ecn.list,EV20),OFFSET(INDIRECT(CONCAT(""A"",to_text(match(EV20,ecn.list,0)))),0,1),"""")"),"")</f>
        <v/>
      </c>
      <c r="BW20" s="236" t="str">
        <f>IFERROR(__xludf.DUMMYFUNCTION("if(countif(ecn.list,EW20),OFFSET(INDIRECT(CONCAT(""A"",to_text(match(EW20,ecn.list,0)))),0,1),"""")"),"")</f>
        <v/>
      </c>
      <c r="BX20" s="236" t="str">
        <f>IFERROR(__xludf.DUMMYFUNCTION("if(countif(ecn.list,EX20),OFFSET(INDIRECT(CONCAT(""A"",to_text(match(EX20,ecn.list,0)))),0,1),"""")"),"")</f>
        <v/>
      </c>
      <c r="BY20" s="236" t="str">
        <f>IFERROR(__xludf.DUMMYFUNCTION("if(countif(ecn.list,EY20),OFFSET(INDIRECT(CONCAT(""A"",to_text(match(EY20,ecn.list,0)))),0,1),"""")"),"")</f>
        <v/>
      </c>
      <c r="BZ20" s="236" t="str">
        <f>IFERROR(__xludf.DUMMYFUNCTION("if(countif(ecn.list,EZ20),OFFSET(INDIRECT(CONCAT(""A"",to_text(match(EZ20,ecn.list,0)))),0,1),"""")"),"MF ")</f>
        <v>MF </v>
      </c>
      <c r="CA20" s="236" t="str">
        <f>IFERROR(__xludf.DUMMYFUNCTION("if(countif(ecn.list,FA20),OFFSET(INDIRECT(CONCAT(""A"",to_text(match(FA20,ecn.list,0)))),0,1),"""")"),"")</f>
        <v/>
      </c>
      <c r="CB20" s="236" t="str">
        <f>IFERROR(__xludf.DUMMYFUNCTION("if(countif(ecn.list,FB20),OFFSET(INDIRECT(CONCAT(""A"",to_text(match(FB20,ecn.list,0)))),0,1),"""")"),"")</f>
        <v/>
      </c>
      <c r="CC20" s="236" t="str">
        <f>IFERROR(__xludf.DUMMYFUNCTION("if(countif(ecn.list,FC20),OFFSET(INDIRECT(CONCAT(""A"",to_text(match(FC20,ecn.list,0)))),0,1),"""")"),"N2 ")</f>
        <v>N2 </v>
      </c>
      <c r="CD20" s="236" t="str">
        <f>IFERROR(__xludf.DUMMYFUNCTION("if(countif(ecn.list,FD20),OFFSET(INDIRECT(CONCAT(""A"",to_text(match(FD20,ecn.list,0)))),0,1),"""")"),"")</f>
        <v/>
      </c>
      <c r="CE20" s="236" t="str">
        <f>IFERROR(__xludf.DUMMYFUNCTION("if(countif(ecn.list,FE20),OFFSET(INDIRECT(CONCAT(""A"",to_text(match(FE20,ecn.list,0)))),0,1),"""")"),"")</f>
        <v/>
      </c>
      <c r="CF20" s="236" t="str">
        <f>IFERROR(__xludf.DUMMYFUNCTION("if(countif(ecn.list,FF20),OFFSET(INDIRECT(CONCAT(""A"",to_text(match(FF20,ecn.list,0)))),0,1),"""")"),"")</f>
        <v/>
      </c>
      <c r="CG20" s="236" t="str">
        <f>IFERROR(__xludf.DUMMYFUNCTION("if(countif(ecn.list,FG20),OFFSET(INDIRECT(CONCAT(""A"",to_text(match(FG20,ecn.list,0)))),0,1),"""")"),"")</f>
        <v/>
      </c>
      <c r="CH20" s="236" t="str">
        <f>IFERROR(__xludf.DUMMYFUNCTION("if(countif(ecn.list,FH20),OFFSET(INDIRECT(CONCAT(""A"",to_text(match(FH20,ecn.list,0)))),0,1),"""")"),"N7 ")</f>
        <v>N7 </v>
      </c>
      <c r="CI20" s="236" t="str">
        <f>IFERROR(__xludf.DUMMYFUNCTION("if(countif(ecn.list,FI20),OFFSET(INDIRECT(CONCAT(""A"",to_text(match(FI20,ecn.list,0)))),0,1),"""")"),"")</f>
        <v/>
      </c>
      <c r="CJ20" s="236" t="str">
        <f>IFERROR(__xludf.DUMMYFUNCTION("if(countif(ecn.list,FJ20),OFFSET(INDIRECT(CONCAT(""A"",to_text(match(FJ20,ecn.list,0)))),0,1),"""")"),"")</f>
        <v/>
      </c>
      <c r="CK20" s="236" t="str">
        <f>IFERROR(__xludf.DUMMYFUNCTION("if(countif(ecn.list,FK20),OFFSET(INDIRECT(CONCAT(""A"",to_text(match(FK20,ecn.list,0)))),0,1),"""")"),"NA ")</f>
        <v>NA </v>
      </c>
      <c r="CL20" s="236" t="str">
        <f>IFERROR(__xludf.DUMMYFUNCTION("if(countif(ecn.list,FL20),OFFSET(INDIRECT(CONCAT(""A"",to_text(match(FL20,ecn.list,0)))),0,1),"""")"),"")</f>
        <v/>
      </c>
      <c r="CM20" s="236" t="str">
        <f>IFERROR(__xludf.DUMMYFUNCTION("if(countif(ecn.list,FM20),OFFSET(INDIRECT(CONCAT(""A"",to_text(match(FM20,ecn.list,0)))),0,1),"""")"),"")</f>
        <v/>
      </c>
      <c r="CN20" s="198" t="s">
        <v>135</v>
      </c>
      <c r="CO20" s="198" t="s">
        <v>1447</v>
      </c>
      <c r="CP20" s="198" t="s">
        <v>1451</v>
      </c>
      <c r="CQ20" s="198" t="s">
        <v>1452</v>
      </c>
      <c r="CR20" s="198" t="s">
        <v>1453</v>
      </c>
      <c r="CS20" s="198" t="s">
        <v>1453</v>
      </c>
      <c r="CT20" s="198" t="s">
        <v>1454</v>
      </c>
      <c r="CU20" s="198" t="s">
        <v>1455</v>
      </c>
      <c r="CV20" s="198" t="s">
        <v>1456</v>
      </c>
      <c r="CW20" s="198" t="s">
        <v>1453</v>
      </c>
      <c r="CX20" s="198" t="s">
        <v>1453</v>
      </c>
      <c r="CY20" s="198" t="s">
        <v>1484</v>
      </c>
      <c r="CZ20" s="198" t="s">
        <v>1453</v>
      </c>
      <c r="DA20" s="198" t="s">
        <v>1457</v>
      </c>
      <c r="DB20" s="198" t="s">
        <v>1453</v>
      </c>
      <c r="DC20" s="198" t="s">
        <v>1453</v>
      </c>
      <c r="DD20" s="198" t="s">
        <v>1458</v>
      </c>
      <c r="DE20" s="198" t="s">
        <v>1459</v>
      </c>
      <c r="DF20" s="198" t="s">
        <v>1453</v>
      </c>
      <c r="DG20" s="198" t="s">
        <v>1453</v>
      </c>
      <c r="DH20" s="198" t="s">
        <v>1500</v>
      </c>
      <c r="DI20" s="198" t="s">
        <v>1501</v>
      </c>
      <c r="DJ20" s="198" t="s">
        <v>1460</v>
      </c>
      <c r="DK20" s="198" t="s">
        <v>1453</v>
      </c>
      <c r="DL20" s="198" t="s">
        <v>1461</v>
      </c>
      <c r="DM20" s="198" t="s">
        <v>1453</v>
      </c>
      <c r="DN20" s="198" t="s">
        <v>1463</v>
      </c>
      <c r="DO20" s="198" t="s">
        <v>1464</v>
      </c>
      <c r="DP20" s="198" t="s">
        <v>1465</v>
      </c>
      <c r="DQ20" s="198" t="s">
        <v>1466</v>
      </c>
      <c r="DR20" s="198" t="s">
        <v>1467</v>
      </c>
      <c r="DS20" s="198" t="s">
        <v>1453</v>
      </c>
      <c r="DT20" s="198" t="s">
        <v>1468</v>
      </c>
      <c r="DU20" s="198" t="s">
        <v>1453</v>
      </c>
      <c r="DV20" s="198" t="s">
        <v>1469</v>
      </c>
      <c r="DW20" s="198" t="s">
        <v>1453</v>
      </c>
      <c r="DX20" s="198" t="s">
        <v>1453</v>
      </c>
      <c r="DY20" s="198" t="s">
        <v>1453</v>
      </c>
      <c r="DZ20" s="198" t="s">
        <v>1453</v>
      </c>
      <c r="EA20" s="198" t="s">
        <v>1453</v>
      </c>
      <c r="EB20" s="198" t="s">
        <v>1453</v>
      </c>
      <c r="EC20" s="198" t="s">
        <v>1483</v>
      </c>
      <c r="ED20" s="198" t="s">
        <v>1453</v>
      </c>
      <c r="EE20" s="198" t="s">
        <v>1470</v>
      </c>
      <c r="EF20" s="198" t="s">
        <v>1453</v>
      </c>
      <c r="EG20" s="198" t="s">
        <v>1471</v>
      </c>
      <c r="EH20" s="198" t="s">
        <v>1453</v>
      </c>
      <c r="EI20" s="198" t="s">
        <v>1453</v>
      </c>
      <c r="EJ20" s="198" t="s">
        <v>1472</v>
      </c>
      <c r="EK20" s="198" t="s">
        <v>1487</v>
      </c>
      <c r="EL20" s="198" t="s">
        <v>1453</v>
      </c>
      <c r="EM20" s="198" t="s">
        <v>1453</v>
      </c>
      <c r="EN20" s="198" t="s">
        <v>1474</v>
      </c>
      <c r="EO20" s="198" t="s">
        <v>1475</v>
      </c>
      <c r="EP20" s="198" t="s">
        <v>1453</v>
      </c>
      <c r="EQ20" s="198" t="s">
        <v>1453</v>
      </c>
      <c r="ER20" s="198" t="s">
        <v>1453</v>
      </c>
      <c r="ES20" s="198" t="s">
        <v>1453</v>
      </c>
      <c r="ET20" s="198" t="s">
        <v>1453</v>
      </c>
      <c r="EU20" s="198" t="s">
        <v>1453</v>
      </c>
      <c r="EV20" s="198" t="s">
        <v>1453</v>
      </c>
      <c r="EW20" s="198" t="s">
        <v>1453</v>
      </c>
      <c r="EX20" s="198" t="s">
        <v>1453</v>
      </c>
      <c r="EY20" s="198" t="s">
        <v>1453</v>
      </c>
      <c r="EZ20" s="198" t="s">
        <v>1477</v>
      </c>
      <c r="FA20" s="198" t="s">
        <v>1453</v>
      </c>
      <c r="FB20" s="198" t="s">
        <v>1453</v>
      </c>
      <c r="FC20" s="198" t="s">
        <v>1478</v>
      </c>
      <c r="FD20" s="198" t="s">
        <v>1453</v>
      </c>
      <c r="FE20" s="198" t="s">
        <v>1453</v>
      </c>
      <c r="FF20" s="198" t="s">
        <v>1453</v>
      </c>
      <c r="FG20" s="198" t="s">
        <v>1453</v>
      </c>
      <c r="FH20" s="198" t="s">
        <v>1479</v>
      </c>
      <c r="FI20" s="198" t="s">
        <v>1453</v>
      </c>
      <c r="FJ20" s="198" t="s">
        <v>1453</v>
      </c>
      <c r="FK20" s="198" t="s">
        <v>1481</v>
      </c>
      <c r="FL20" s="198" t="s">
        <v>1482</v>
      </c>
      <c r="FM20" s="198" t="s">
        <v>1453</v>
      </c>
    </row>
    <row r="21" ht="15.75" customHeight="1">
      <c r="A21" s="236" t="s">
        <v>1500</v>
      </c>
      <c r="B21" s="198" t="str">
        <f t="shared" si="3"/>
        <v>K3 </v>
      </c>
      <c r="C21" s="234">
        <v>3.0</v>
      </c>
      <c r="D21" s="232" t="s">
        <v>770</v>
      </c>
      <c r="E21" s="232" t="s">
        <v>1448</v>
      </c>
      <c r="F21" s="232" t="s">
        <v>1449</v>
      </c>
      <c r="G21" s="232" t="s">
        <v>1450</v>
      </c>
      <c r="H21" s="232" t="s">
        <v>788</v>
      </c>
      <c r="I21" s="232" t="s">
        <v>778</v>
      </c>
      <c r="J21" s="232" t="s">
        <v>873</v>
      </c>
      <c r="K21" s="232" t="s">
        <v>917</v>
      </c>
      <c r="L21" s="188" t="s">
        <v>138</v>
      </c>
      <c r="M21" s="236" t="str">
        <f>IFERROR(__xludf.DUMMYFUNCTION("regexreplace(N21,"" "","", "")"),"J0, J1, J2, J5, J6, J7, JA, JC, K0, K5, K7, K9, KA, KB, KC, KD, KF, L1, L8, LA, LC, LF, M0, M1, M3, M4, M8, MB, MD, MF, N2, N7, NA, ")</f>
        <v>J0, J1, J2, J5, J6, J7, JA, JC, K0, K5, K7, K9, KA, KB, KC, KD, KF, L1, L8, LA, LC, LF, M0, M1, M3, M4, M8, MB, MD, MF, N2, N7, NA, </v>
      </c>
      <c r="N21" s="236" t="str">
        <f t="shared" si="2"/>
        <v>J0 J1 J2 J5 J6 J7 JA JC K0 K5 K7 K9 KA KB KC KD KF L1 L8 LA LC LF M0 M1 M3 M4 M8 MB MD MF N2 N7 NA </v>
      </c>
      <c r="O21" s="236" t="str">
        <f>IFERROR(__xludf.DUMMYFUNCTION("if(countif(ecn.list,CO21),OFFSET(INDIRECT(CONCAT(""A"",to_text(match(CO21,ecn.list,0)))),0,1),"""")"),"J0 ")</f>
        <v>J0 </v>
      </c>
      <c r="P21" s="236" t="str">
        <f>IFERROR(__xludf.DUMMYFUNCTION("if(countif(ecn.list,CP21),OFFSET(INDIRECT(CONCAT(""A"",to_text(match(CP21,ecn.list,0)))),0,1),"""")"),"J1 ")</f>
        <v>J1 </v>
      </c>
      <c r="Q21" s="236" t="str">
        <f>IFERROR(__xludf.DUMMYFUNCTION("if(countif(ecn.list,CQ21),OFFSET(INDIRECT(CONCAT(""A"",to_text(match(CQ21,ecn.list,0)))),0,1),"""")"),"J2 ")</f>
        <v>J2 </v>
      </c>
      <c r="R21" s="236" t="str">
        <f>IFERROR(__xludf.DUMMYFUNCTION("if(countif(ecn.list,CR21),OFFSET(INDIRECT(CONCAT(""A"",to_text(match(CR21,ecn.list,0)))),0,1),"""")"),"")</f>
        <v/>
      </c>
      <c r="S21" s="236" t="str">
        <f>IFERROR(__xludf.DUMMYFUNCTION("if(countif(ecn.list,CS21),OFFSET(INDIRECT(CONCAT(""A"",to_text(match(CS21,ecn.list,0)))),0,1),"""")"),"")</f>
        <v/>
      </c>
      <c r="T21" s="236" t="str">
        <f>IFERROR(__xludf.DUMMYFUNCTION("if(countif(ecn.list,CT21),OFFSET(INDIRECT(CONCAT(""A"",to_text(match(CT21,ecn.list,0)))),0,1),"""")"),"J5 ")</f>
        <v>J5 </v>
      </c>
      <c r="U21" s="236" t="str">
        <f>IFERROR(__xludf.DUMMYFUNCTION("if(countif(ecn.list,CU21),OFFSET(INDIRECT(CONCAT(""A"",to_text(match(CU21,ecn.list,0)))),0,1),"""")"),"J6 ")</f>
        <v>J6 </v>
      </c>
      <c r="V21" s="236" t="str">
        <f>IFERROR(__xludf.DUMMYFUNCTION("if(countif(ecn.list,CV21),OFFSET(INDIRECT(CONCAT(""A"",to_text(match(CV21,ecn.list,0)))),0,1),"""")"),"J7 ")</f>
        <v>J7 </v>
      </c>
      <c r="W21" s="236" t="str">
        <f>IFERROR(__xludf.DUMMYFUNCTION("if(countif(ecn.list,CW21),OFFSET(INDIRECT(CONCAT(""A"",to_text(match(CW21,ecn.list,0)))),0,1),"""")"),"")</f>
        <v/>
      </c>
      <c r="X21" s="236" t="str">
        <f>IFERROR(__xludf.DUMMYFUNCTION("if(countif(ecn.list,CX21),OFFSET(INDIRECT(CONCAT(""A"",to_text(match(CX21,ecn.list,0)))),0,1),"""")"),"")</f>
        <v/>
      </c>
      <c r="Y21" s="236" t="str">
        <f>IFERROR(__xludf.DUMMYFUNCTION("if(countif(ecn.list,CY21),OFFSET(INDIRECT(CONCAT(""A"",to_text(match(CY21,ecn.list,0)))),0,1),"""")"),"JA ")</f>
        <v>JA </v>
      </c>
      <c r="Z21" s="236" t="str">
        <f>IFERROR(__xludf.DUMMYFUNCTION("if(countif(ecn.list,CZ21),OFFSET(INDIRECT(CONCAT(""A"",to_text(match(CZ21,ecn.list,0)))),0,1),"""")"),"")</f>
        <v/>
      </c>
      <c r="AA21" s="236" t="str">
        <f>IFERROR(__xludf.DUMMYFUNCTION("if(countif(ecn.list,DA21),OFFSET(INDIRECT(CONCAT(""A"",to_text(match(DA21,ecn.list,0)))),0,1),"""")"),"JC ")</f>
        <v>JC </v>
      </c>
      <c r="AB21" s="236" t="str">
        <f>IFERROR(__xludf.DUMMYFUNCTION("if(countif(ecn.list,DB21),OFFSET(INDIRECT(CONCAT(""A"",to_text(match(DB21,ecn.list,0)))),0,1),"""")"),"")</f>
        <v/>
      </c>
      <c r="AC21" s="236" t="str">
        <f>IFERROR(__xludf.DUMMYFUNCTION("if(countif(ecn.list,DC21),OFFSET(INDIRECT(CONCAT(""A"",to_text(match(DC21,ecn.list,0)))),0,1),"""")"),"")</f>
        <v/>
      </c>
      <c r="AD21" s="236" t="str">
        <f>IFERROR(__xludf.DUMMYFUNCTION("if(countif(ecn.list,DD21),OFFSET(INDIRECT(CONCAT(""A"",to_text(match(DD21,ecn.list,0)))),0,1),"""")"),"")</f>
        <v/>
      </c>
      <c r="AE21" s="236" t="str">
        <f>IFERROR(__xludf.DUMMYFUNCTION("if(countif(ecn.list,DE21),OFFSET(INDIRECT(CONCAT(""A"",to_text(match(DE21,ecn.list,0)))),0,1),"""")"),"K0 ")</f>
        <v>K0 </v>
      </c>
      <c r="AF21" s="236" t="str">
        <f>IFERROR(__xludf.DUMMYFUNCTION("if(countif(ecn.list,DF21),OFFSET(INDIRECT(CONCAT(""A"",to_text(match(DF21,ecn.list,0)))),0,1),"""")"),"")</f>
        <v/>
      </c>
      <c r="AG21" s="236" t="str">
        <f>IFERROR(__xludf.DUMMYFUNCTION("if(countif(ecn.list,DG21),OFFSET(INDIRECT(CONCAT(""A"",to_text(match(DG21,ecn.list,0)))),0,1),"""")"),"")</f>
        <v/>
      </c>
      <c r="AH21" s="236" t="str">
        <f>IFERROR(__xludf.DUMMYFUNCTION("if(countif(ecn.list,DH21),OFFSET(INDIRECT(CONCAT(""A"",to_text(match(DH21,ecn.list,0)))),0,1),"""")"),"")</f>
        <v/>
      </c>
      <c r="AI21" s="236" t="str">
        <f>IFERROR(__xludf.DUMMYFUNCTION("if(countif(ecn.list,DI21),OFFSET(INDIRECT(CONCAT(""A"",to_text(match(DI21,ecn.list,0)))),0,1),"""")"),"")</f>
        <v/>
      </c>
      <c r="AJ21" s="236" t="str">
        <f>IFERROR(__xludf.DUMMYFUNCTION("if(countif(ecn.list,DJ21),OFFSET(INDIRECT(CONCAT(""A"",to_text(match(DJ21,ecn.list,0)))),0,1),"""")"),"K5 ")</f>
        <v>K5 </v>
      </c>
      <c r="AK21" s="236" t="str">
        <f>IFERROR(__xludf.DUMMYFUNCTION("if(countif(ecn.list,DK21),OFFSET(INDIRECT(CONCAT(""A"",to_text(match(DK21,ecn.list,0)))),0,1),"""")"),"")</f>
        <v/>
      </c>
      <c r="AL21" s="236" t="str">
        <f>IFERROR(__xludf.DUMMYFUNCTION("if(countif(ecn.list,DL21),OFFSET(INDIRECT(CONCAT(""A"",to_text(match(DL21,ecn.list,0)))),0,1),"""")"),"K7 ")</f>
        <v>K7 </v>
      </c>
      <c r="AM21" s="236" t="str">
        <f>IFERROR(__xludf.DUMMYFUNCTION("if(countif(ecn.list,DM21),OFFSET(INDIRECT(CONCAT(""A"",to_text(match(DM21,ecn.list,0)))),0,1),"""")"),"")</f>
        <v/>
      </c>
      <c r="AN21" s="236" t="str">
        <f>IFERROR(__xludf.DUMMYFUNCTION("if(countif(ecn.list,DN21),OFFSET(INDIRECT(CONCAT(""A"",to_text(match(DN21,ecn.list,0)))),0,1),"""")"),"K9 ")</f>
        <v>K9 </v>
      </c>
      <c r="AO21" s="236" t="str">
        <f>IFERROR(__xludf.DUMMYFUNCTION("if(countif(ecn.list,DO21),OFFSET(INDIRECT(CONCAT(""A"",to_text(match(DO21,ecn.list,0)))),0,1),"""")"),"KA ")</f>
        <v>KA </v>
      </c>
      <c r="AP21" s="236" t="str">
        <f>IFERROR(__xludf.DUMMYFUNCTION("if(countif(ecn.list,DP21),OFFSET(INDIRECT(CONCAT(""A"",to_text(match(DP21,ecn.list,0)))),0,1),"""")"),"KB ")</f>
        <v>KB </v>
      </c>
      <c r="AQ21" s="236" t="str">
        <f>IFERROR(__xludf.DUMMYFUNCTION("if(countif(ecn.list,DQ21),OFFSET(INDIRECT(CONCAT(""A"",to_text(match(DQ21,ecn.list,0)))),0,1),"""")"),"KC ")</f>
        <v>KC </v>
      </c>
      <c r="AR21" s="236" t="str">
        <f>IFERROR(__xludf.DUMMYFUNCTION("if(countif(ecn.list,DR21),OFFSET(INDIRECT(CONCAT(""A"",to_text(match(DR21,ecn.list,0)))),0,1),"""")"),"KD ")</f>
        <v>KD </v>
      </c>
      <c r="AS21" s="236" t="str">
        <f>IFERROR(__xludf.DUMMYFUNCTION("if(countif(ecn.list,DS21),OFFSET(INDIRECT(CONCAT(""A"",to_text(match(DS21,ecn.list,0)))),0,1),"""")"),"")</f>
        <v/>
      </c>
      <c r="AT21" s="236" t="str">
        <f>IFERROR(__xludf.DUMMYFUNCTION("if(countif(ecn.list,DT21),OFFSET(INDIRECT(CONCAT(""A"",to_text(match(DT21,ecn.list,0)))),0,1),"""")"),"KF ")</f>
        <v>KF </v>
      </c>
      <c r="AU21" s="236" t="str">
        <f>IFERROR(__xludf.DUMMYFUNCTION("if(countif(ecn.list,DU21),OFFSET(INDIRECT(CONCAT(""A"",to_text(match(DU21,ecn.list,0)))),0,1),"""")"),"")</f>
        <v/>
      </c>
      <c r="AV21" s="236" t="str">
        <f>IFERROR(__xludf.DUMMYFUNCTION("if(countif(ecn.list,DV21),OFFSET(INDIRECT(CONCAT(""A"",to_text(match(DV21,ecn.list,0)))),0,1),"""")"),"L1 ")</f>
        <v>L1 </v>
      </c>
      <c r="AW21" s="236" t="str">
        <f>IFERROR(__xludf.DUMMYFUNCTION("if(countif(ecn.list,DW21),OFFSET(INDIRECT(CONCAT(""A"",to_text(match(DW21,ecn.list,0)))),0,1),"""")"),"")</f>
        <v/>
      </c>
      <c r="AX21" s="236" t="str">
        <f>IFERROR(__xludf.DUMMYFUNCTION("if(countif(ecn.list,DX21),OFFSET(INDIRECT(CONCAT(""A"",to_text(match(DX21,ecn.list,0)))),0,1),"""")"),"")</f>
        <v/>
      </c>
      <c r="AY21" s="236" t="str">
        <f>IFERROR(__xludf.DUMMYFUNCTION("if(countif(ecn.list,DY21),OFFSET(INDIRECT(CONCAT(""A"",to_text(match(DY21,ecn.list,0)))),0,1),"""")"),"")</f>
        <v/>
      </c>
      <c r="AZ21" s="236" t="str">
        <f>IFERROR(__xludf.DUMMYFUNCTION("if(countif(ecn.list,DZ21),OFFSET(INDIRECT(CONCAT(""A"",to_text(match(DZ21,ecn.list,0)))),0,1),"""")"),"")</f>
        <v/>
      </c>
      <c r="BA21" s="236" t="str">
        <f>IFERROR(__xludf.DUMMYFUNCTION("if(countif(ecn.list,EA21),OFFSET(INDIRECT(CONCAT(""A"",to_text(match(EA21,ecn.list,0)))),0,1),"""")"),"")</f>
        <v/>
      </c>
      <c r="BB21" s="236" t="str">
        <f>IFERROR(__xludf.DUMMYFUNCTION("if(countif(ecn.list,EB21),OFFSET(INDIRECT(CONCAT(""A"",to_text(match(EB21,ecn.list,0)))),0,1),"""")"),"")</f>
        <v/>
      </c>
      <c r="BC21" s="236" t="str">
        <f>IFERROR(__xludf.DUMMYFUNCTION("if(countif(ecn.list,EC21),OFFSET(INDIRECT(CONCAT(""A"",to_text(match(EC21,ecn.list,0)))),0,1),"""")"),"L8 ")</f>
        <v>L8 </v>
      </c>
      <c r="BD21" s="236" t="str">
        <f>IFERROR(__xludf.DUMMYFUNCTION("if(countif(ecn.list,ED21),OFFSET(INDIRECT(CONCAT(""A"",to_text(match(ED21,ecn.list,0)))),0,1),"""")"),"")</f>
        <v/>
      </c>
      <c r="BE21" s="236" t="str">
        <f>IFERROR(__xludf.DUMMYFUNCTION("if(countif(ecn.list,EE21),OFFSET(INDIRECT(CONCAT(""A"",to_text(match(EE21,ecn.list,0)))),0,1),"""")"),"LA ")</f>
        <v>LA </v>
      </c>
      <c r="BF21" s="236" t="str">
        <f>IFERROR(__xludf.DUMMYFUNCTION("if(countif(ecn.list,EF21),OFFSET(INDIRECT(CONCAT(""A"",to_text(match(EF21,ecn.list,0)))),0,1),"""")"),"")</f>
        <v/>
      </c>
      <c r="BG21" s="236" t="str">
        <f>IFERROR(__xludf.DUMMYFUNCTION("if(countif(ecn.list,EG21),OFFSET(INDIRECT(CONCAT(""A"",to_text(match(EG21,ecn.list,0)))),0,1),"""")"),"LC ")</f>
        <v>LC </v>
      </c>
      <c r="BH21" s="236" t="str">
        <f>IFERROR(__xludf.DUMMYFUNCTION("if(countif(ecn.list,EH21),OFFSET(INDIRECT(CONCAT(""A"",to_text(match(EH21,ecn.list,0)))),0,1),"""")"),"")</f>
        <v/>
      </c>
      <c r="BI21" s="236" t="str">
        <f>IFERROR(__xludf.DUMMYFUNCTION("if(countif(ecn.list,EI21),OFFSET(INDIRECT(CONCAT(""A"",to_text(match(EI21,ecn.list,0)))),0,1),"""")"),"")</f>
        <v/>
      </c>
      <c r="BJ21" s="236" t="str">
        <f>IFERROR(__xludf.DUMMYFUNCTION("if(countif(ecn.list,EJ21),OFFSET(INDIRECT(CONCAT(""A"",to_text(match(EJ21,ecn.list,0)))),0,1),"""")"),"LF ")</f>
        <v>LF </v>
      </c>
      <c r="BK21" s="236" t="str">
        <f>IFERROR(__xludf.DUMMYFUNCTION("if(countif(ecn.list,EK21),OFFSET(INDIRECT(CONCAT(""A"",to_text(match(EK21,ecn.list,0)))),0,1),"""")"),"M0 ")</f>
        <v>M0 </v>
      </c>
      <c r="BL21" s="236" t="str">
        <f>IFERROR(__xludf.DUMMYFUNCTION("if(countif(ecn.list,EL21),OFFSET(INDIRECT(CONCAT(""A"",to_text(match(EL21,ecn.list,0)))),0,1),"""")"),"M1 ")</f>
        <v>M1 </v>
      </c>
      <c r="BM21" s="236" t="str">
        <f>IFERROR(__xludf.DUMMYFUNCTION("if(countif(ecn.list,EM21),OFFSET(INDIRECT(CONCAT(""A"",to_text(match(EM21,ecn.list,0)))),0,1),"""")"),"")</f>
        <v/>
      </c>
      <c r="BN21" s="236" t="str">
        <f>IFERROR(__xludf.DUMMYFUNCTION("if(countif(ecn.list,EN21),OFFSET(INDIRECT(CONCAT(""A"",to_text(match(EN21,ecn.list,0)))),0,1),"""")"),"M3 ")</f>
        <v>M3 </v>
      </c>
      <c r="BO21" s="236" t="str">
        <f>IFERROR(__xludf.DUMMYFUNCTION("if(countif(ecn.list,EO21),OFFSET(INDIRECT(CONCAT(""A"",to_text(match(EO21,ecn.list,0)))),0,1),"""")"),"M4 ")</f>
        <v>M4 </v>
      </c>
      <c r="BP21" s="236" t="str">
        <f>IFERROR(__xludf.DUMMYFUNCTION("if(countif(ecn.list,EP21),OFFSET(INDIRECT(CONCAT(""A"",to_text(match(EP21,ecn.list,0)))),0,1),"""")"),"")</f>
        <v/>
      </c>
      <c r="BQ21" s="236" t="str">
        <f>IFERROR(__xludf.DUMMYFUNCTION("if(countif(ecn.list,EQ21),OFFSET(INDIRECT(CONCAT(""A"",to_text(match(EQ21,ecn.list,0)))),0,1),"""")"),"")</f>
        <v/>
      </c>
      <c r="BR21" s="236" t="str">
        <f>IFERROR(__xludf.DUMMYFUNCTION("if(countif(ecn.list,ER21),OFFSET(INDIRECT(CONCAT(""A"",to_text(match(ER21,ecn.list,0)))),0,1),"""")"),"")</f>
        <v/>
      </c>
      <c r="BS21" s="236" t="str">
        <f>IFERROR(__xludf.DUMMYFUNCTION("if(countif(ecn.list,ES21),OFFSET(INDIRECT(CONCAT(""A"",to_text(match(ES21,ecn.list,0)))),0,1),"""")"),"M8 ")</f>
        <v>M8 </v>
      </c>
      <c r="BT21" s="236" t="str">
        <f>IFERROR(__xludf.DUMMYFUNCTION("if(countif(ecn.list,ET21),OFFSET(INDIRECT(CONCAT(""A"",to_text(match(ET21,ecn.list,0)))),0,1),"""")"),"")</f>
        <v/>
      </c>
      <c r="BU21" s="236" t="str">
        <f>IFERROR(__xludf.DUMMYFUNCTION("if(countif(ecn.list,EU21),OFFSET(INDIRECT(CONCAT(""A"",to_text(match(EU21,ecn.list,0)))),0,1),"""")"),"")</f>
        <v/>
      </c>
      <c r="BV21" s="236" t="str">
        <f>IFERROR(__xludf.DUMMYFUNCTION("if(countif(ecn.list,EV21),OFFSET(INDIRECT(CONCAT(""A"",to_text(match(EV21,ecn.list,0)))),0,1),"""")"),"MB ")</f>
        <v>MB </v>
      </c>
      <c r="BW21" s="236" t="str">
        <f>IFERROR(__xludf.DUMMYFUNCTION("if(countif(ecn.list,EW21),OFFSET(INDIRECT(CONCAT(""A"",to_text(match(EW21,ecn.list,0)))),0,1),"""")"),"")</f>
        <v/>
      </c>
      <c r="BX21" s="236" t="str">
        <f>IFERROR(__xludf.DUMMYFUNCTION("if(countif(ecn.list,EX21),OFFSET(INDIRECT(CONCAT(""A"",to_text(match(EX21,ecn.list,0)))),0,1),"""")"),"MD ")</f>
        <v>MD </v>
      </c>
      <c r="BY21" s="236" t="str">
        <f>IFERROR(__xludf.DUMMYFUNCTION("if(countif(ecn.list,EY21),OFFSET(INDIRECT(CONCAT(""A"",to_text(match(EY21,ecn.list,0)))),0,1),"""")"),"")</f>
        <v/>
      </c>
      <c r="BZ21" s="236" t="str">
        <f>IFERROR(__xludf.DUMMYFUNCTION("if(countif(ecn.list,EZ21),OFFSET(INDIRECT(CONCAT(""A"",to_text(match(EZ21,ecn.list,0)))),0,1),"""")"),"MF ")</f>
        <v>MF </v>
      </c>
      <c r="CA21" s="236" t="str">
        <f>IFERROR(__xludf.DUMMYFUNCTION("if(countif(ecn.list,FA21),OFFSET(INDIRECT(CONCAT(""A"",to_text(match(FA21,ecn.list,0)))),0,1),"""")"),"")</f>
        <v/>
      </c>
      <c r="CB21" s="236" t="str">
        <f>IFERROR(__xludf.DUMMYFUNCTION("if(countif(ecn.list,FB21),OFFSET(INDIRECT(CONCAT(""A"",to_text(match(FB21,ecn.list,0)))),0,1),"""")"),"")</f>
        <v/>
      </c>
      <c r="CC21" s="236" t="str">
        <f>IFERROR(__xludf.DUMMYFUNCTION("if(countif(ecn.list,FC21),OFFSET(INDIRECT(CONCAT(""A"",to_text(match(FC21,ecn.list,0)))),0,1),"""")"),"N2 ")</f>
        <v>N2 </v>
      </c>
      <c r="CD21" s="236" t="str">
        <f>IFERROR(__xludf.DUMMYFUNCTION("if(countif(ecn.list,FD21),OFFSET(INDIRECT(CONCAT(""A"",to_text(match(FD21,ecn.list,0)))),0,1),"""")"),"")</f>
        <v/>
      </c>
      <c r="CE21" s="236" t="str">
        <f>IFERROR(__xludf.DUMMYFUNCTION("if(countif(ecn.list,FE21),OFFSET(INDIRECT(CONCAT(""A"",to_text(match(FE21,ecn.list,0)))),0,1),"""")"),"")</f>
        <v/>
      </c>
      <c r="CF21" s="236" t="str">
        <f>IFERROR(__xludf.DUMMYFUNCTION("if(countif(ecn.list,FF21),OFFSET(INDIRECT(CONCAT(""A"",to_text(match(FF21,ecn.list,0)))),0,1),"""")"),"")</f>
        <v/>
      </c>
      <c r="CG21" s="236" t="str">
        <f>IFERROR(__xludf.DUMMYFUNCTION("if(countif(ecn.list,FG21),OFFSET(INDIRECT(CONCAT(""A"",to_text(match(FG21,ecn.list,0)))),0,1),"""")"),"")</f>
        <v/>
      </c>
      <c r="CH21" s="236" t="str">
        <f>IFERROR(__xludf.DUMMYFUNCTION("if(countif(ecn.list,FH21),OFFSET(INDIRECT(CONCAT(""A"",to_text(match(FH21,ecn.list,0)))),0,1),"""")"),"N7 ")</f>
        <v>N7 </v>
      </c>
      <c r="CI21" s="236" t="str">
        <f>IFERROR(__xludf.DUMMYFUNCTION("if(countif(ecn.list,FI21),OFFSET(INDIRECT(CONCAT(""A"",to_text(match(FI21,ecn.list,0)))),0,1),"""")"),"")</f>
        <v/>
      </c>
      <c r="CJ21" s="236" t="str">
        <f>IFERROR(__xludf.DUMMYFUNCTION("if(countif(ecn.list,FJ21),OFFSET(INDIRECT(CONCAT(""A"",to_text(match(FJ21,ecn.list,0)))),0,1),"""")"),"")</f>
        <v/>
      </c>
      <c r="CK21" s="236" t="str">
        <f>IFERROR(__xludf.DUMMYFUNCTION("if(countif(ecn.list,FK21),OFFSET(INDIRECT(CONCAT(""A"",to_text(match(FK21,ecn.list,0)))),0,1),"""")"),"NA ")</f>
        <v>NA </v>
      </c>
      <c r="CL21" s="236" t="str">
        <f>IFERROR(__xludf.DUMMYFUNCTION("if(countif(ecn.list,FL21),OFFSET(INDIRECT(CONCAT(""A"",to_text(match(FL21,ecn.list,0)))),0,1),"""")"),"")</f>
        <v/>
      </c>
      <c r="CM21" s="236" t="str">
        <f>IFERROR(__xludf.DUMMYFUNCTION("if(countif(ecn.list,FM21),OFFSET(INDIRECT(CONCAT(""A"",to_text(match(FM21,ecn.list,0)))),0,1),"""")"),"")</f>
        <v/>
      </c>
      <c r="CN21" s="198" t="s">
        <v>138</v>
      </c>
      <c r="CO21" s="198" t="s">
        <v>1447</v>
      </c>
      <c r="CP21" s="198" t="s">
        <v>1451</v>
      </c>
      <c r="CQ21" s="198" t="s">
        <v>1452</v>
      </c>
      <c r="CR21" s="198" t="s">
        <v>1453</v>
      </c>
      <c r="CS21" s="198" t="s">
        <v>1453</v>
      </c>
      <c r="CT21" s="198" t="s">
        <v>1454</v>
      </c>
      <c r="CU21" s="198" t="s">
        <v>1455</v>
      </c>
      <c r="CV21" s="198" t="s">
        <v>1456</v>
      </c>
      <c r="CW21" s="198" t="s">
        <v>1453</v>
      </c>
      <c r="CX21" s="198" t="s">
        <v>1453</v>
      </c>
      <c r="CY21" s="198" t="s">
        <v>1484</v>
      </c>
      <c r="CZ21" s="198" t="s">
        <v>1453</v>
      </c>
      <c r="DA21" s="198" t="s">
        <v>1457</v>
      </c>
      <c r="DB21" s="198" t="s">
        <v>1453</v>
      </c>
      <c r="DC21" s="198" t="s">
        <v>1453</v>
      </c>
      <c r="DD21" s="198" t="s">
        <v>1453</v>
      </c>
      <c r="DE21" s="198" t="s">
        <v>1459</v>
      </c>
      <c r="DF21" s="198" t="s">
        <v>1453</v>
      </c>
      <c r="DG21" s="198" t="s">
        <v>1453</v>
      </c>
      <c r="DH21" s="198" t="s">
        <v>1453</v>
      </c>
      <c r="DI21" s="198" t="s">
        <v>1453</v>
      </c>
      <c r="DJ21" s="198" t="s">
        <v>1460</v>
      </c>
      <c r="DK21" s="198" t="s">
        <v>1453</v>
      </c>
      <c r="DL21" s="198" t="s">
        <v>1461</v>
      </c>
      <c r="DM21" s="198" t="s">
        <v>1453</v>
      </c>
      <c r="DN21" s="198" t="s">
        <v>1463</v>
      </c>
      <c r="DO21" s="198" t="s">
        <v>1464</v>
      </c>
      <c r="DP21" s="198" t="s">
        <v>1465</v>
      </c>
      <c r="DQ21" s="198" t="s">
        <v>1466</v>
      </c>
      <c r="DR21" s="198" t="s">
        <v>1467</v>
      </c>
      <c r="DS21" s="198" t="s">
        <v>1453</v>
      </c>
      <c r="DT21" s="198" t="s">
        <v>1468</v>
      </c>
      <c r="DU21" s="198" t="s">
        <v>1453</v>
      </c>
      <c r="DV21" s="198" t="s">
        <v>1469</v>
      </c>
      <c r="DW21" s="198" t="s">
        <v>1453</v>
      </c>
      <c r="DX21" s="198" t="s">
        <v>1453</v>
      </c>
      <c r="DY21" s="198" t="s">
        <v>1453</v>
      </c>
      <c r="DZ21" s="198" t="s">
        <v>1453</v>
      </c>
      <c r="EA21" s="198" t="s">
        <v>1453</v>
      </c>
      <c r="EB21" s="198" t="s">
        <v>1453</v>
      </c>
      <c r="EC21" s="198" t="s">
        <v>1483</v>
      </c>
      <c r="ED21" s="198" t="s">
        <v>1453</v>
      </c>
      <c r="EE21" s="198" t="s">
        <v>1470</v>
      </c>
      <c r="EF21" s="198" t="s">
        <v>1453</v>
      </c>
      <c r="EG21" s="198" t="s">
        <v>1471</v>
      </c>
      <c r="EH21" s="198" t="s">
        <v>1453</v>
      </c>
      <c r="EI21" s="198" t="s">
        <v>1453</v>
      </c>
      <c r="EJ21" s="198" t="s">
        <v>1472</v>
      </c>
      <c r="EK21" s="198" t="s">
        <v>1487</v>
      </c>
      <c r="EL21" s="198" t="s">
        <v>1473</v>
      </c>
      <c r="EM21" s="198" t="s">
        <v>1453</v>
      </c>
      <c r="EN21" s="198" t="s">
        <v>1474</v>
      </c>
      <c r="EO21" s="198" t="s">
        <v>1475</v>
      </c>
      <c r="EP21" s="198" t="s">
        <v>1453</v>
      </c>
      <c r="EQ21" s="198" t="s">
        <v>1453</v>
      </c>
      <c r="ER21" s="198" t="s">
        <v>1453</v>
      </c>
      <c r="ES21" s="198" t="s">
        <v>1505</v>
      </c>
      <c r="ET21" s="198" t="s">
        <v>1453</v>
      </c>
      <c r="EU21" s="198" t="s">
        <v>1453</v>
      </c>
      <c r="EV21" s="198" t="s">
        <v>1476</v>
      </c>
      <c r="EW21" s="198" t="s">
        <v>1453</v>
      </c>
      <c r="EX21" s="198" t="s">
        <v>1488</v>
      </c>
      <c r="EY21" s="198" t="s">
        <v>1453</v>
      </c>
      <c r="EZ21" s="198" t="s">
        <v>1477</v>
      </c>
      <c r="FA21" s="198" t="s">
        <v>1453</v>
      </c>
      <c r="FB21" s="198" t="s">
        <v>1453</v>
      </c>
      <c r="FC21" s="198" t="s">
        <v>1478</v>
      </c>
      <c r="FD21" s="198" t="s">
        <v>1453</v>
      </c>
      <c r="FE21" s="198" t="s">
        <v>1453</v>
      </c>
      <c r="FF21" s="198" t="s">
        <v>1453</v>
      </c>
      <c r="FG21" s="198" t="s">
        <v>1453</v>
      </c>
      <c r="FH21" s="198" t="s">
        <v>1479</v>
      </c>
      <c r="FI21" s="198" t="s">
        <v>1453</v>
      </c>
      <c r="FJ21" s="198" t="s">
        <v>1453</v>
      </c>
      <c r="FK21" s="198" t="s">
        <v>1481</v>
      </c>
      <c r="FL21" s="198" t="s">
        <v>1482</v>
      </c>
      <c r="FM21" s="198" t="s">
        <v>1453</v>
      </c>
    </row>
    <row r="22" ht="15.75" customHeight="1">
      <c r="A22" s="236" t="s">
        <v>1501</v>
      </c>
      <c r="B22" s="198" t="str">
        <f t="shared" si="3"/>
        <v>K4 </v>
      </c>
      <c r="C22" s="234">
        <v>4.0</v>
      </c>
      <c r="D22" s="232" t="s">
        <v>860</v>
      </c>
      <c r="E22" s="232" t="s">
        <v>785</v>
      </c>
      <c r="F22" s="232" t="s">
        <v>786</v>
      </c>
      <c r="G22" s="232" t="s">
        <v>921</v>
      </c>
      <c r="H22" s="232" t="s">
        <v>775</v>
      </c>
      <c r="I22" s="232" t="s">
        <v>922</v>
      </c>
      <c r="J22" s="232" t="s">
        <v>875</v>
      </c>
      <c r="K22" s="232" t="s">
        <v>923</v>
      </c>
      <c r="L22" s="188" t="s">
        <v>141</v>
      </c>
      <c r="M22" s="236" t="str">
        <f>IFERROR(__xludf.DUMMYFUNCTION("regexreplace(N22,"" "","", "")"),"")</f>
        <v/>
      </c>
      <c r="N22" s="236" t="str">
        <f t="shared" si="2"/>
        <v/>
      </c>
      <c r="O22" s="236" t="str">
        <f>IFERROR(__xludf.DUMMYFUNCTION("if(countif(ecn.list,CO22),OFFSET(INDIRECT(CONCAT(""A"",to_text(match(CO22,ecn.list,0)))),0,1),"""")"),"")</f>
        <v/>
      </c>
      <c r="P22" s="236" t="str">
        <f>IFERROR(__xludf.DUMMYFUNCTION("if(countif(ecn.list,CP22),OFFSET(INDIRECT(CONCAT(""A"",to_text(match(CP22,ecn.list,0)))),0,1),"""")"),"")</f>
        <v/>
      </c>
      <c r="Q22" s="236" t="str">
        <f>IFERROR(__xludf.DUMMYFUNCTION("if(countif(ecn.list,CQ22),OFFSET(INDIRECT(CONCAT(""A"",to_text(match(CQ22,ecn.list,0)))),0,1),"""")"),"")</f>
        <v/>
      </c>
      <c r="R22" s="236" t="str">
        <f>IFERROR(__xludf.DUMMYFUNCTION("if(countif(ecn.list,CR22),OFFSET(INDIRECT(CONCAT(""A"",to_text(match(CR22,ecn.list,0)))),0,1),"""")"),"")</f>
        <v/>
      </c>
      <c r="S22" s="236" t="str">
        <f>IFERROR(__xludf.DUMMYFUNCTION("if(countif(ecn.list,CS22),OFFSET(INDIRECT(CONCAT(""A"",to_text(match(CS22,ecn.list,0)))),0,1),"""")"),"")</f>
        <v/>
      </c>
      <c r="T22" s="236" t="str">
        <f>IFERROR(__xludf.DUMMYFUNCTION("if(countif(ecn.list,CT22),OFFSET(INDIRECT(CONCAT(""A"",to_text(match(CT22,ecn.list,0)))),0,1),"""")"),"")</f>
        <v/>
      </c>
      <c r="U22" s="236" t="str">
        <f>IFERROR(__xludf.DUMMYFUNCTION("if(countif(ecn.list,CU22),OFFSET(INDIRECT(CONCAT(""A"",to_text(match(CU22,ecn.list,0)))),0,1),"""")"),"")</f>
        <v/>
      </c>
      <c r="V22" s="236" t="str">
        <f>IFERROR(__xludf.DUMMYFUNCTION("if(countif(ecn.list,CV22),OFFSET(INDIRECT(CONCAT(""A"",to_text(match(CV22,ecn.list,0)))),0,1),"""")"),"")</f>
        <v/>
      </c>
      <c r="W22" s="236" t="str">
        <f>IFERROR(__xludf.DUMMYFUNCTION("if(countif(ecn.list,CW22),OFFSET(INDIRECT(CONCAT(""A"",to_text(match(CW22,ecn.list,0)))),0,1),"""")"),"")</f>
        <v/>
      </c>
      <c r="X22" s="236" t="str">
        <f>IFERROR(__xludf.DUMMYFUNCTION("if(countif(ecn.list,CX22),OFFSET(INDIRECT(CONCAT(""A"",to_text(match(CX22,ecn.list,0)))),0,1),"""")"),"")</f>
        <v/>
      </c>
      <c r="Y22" s="236" t="str">
        <f>IFERROR(__xludf.DUMMYFUNCTION("if(countif(ecn.list,CY22),OFFSET(INDIRECT(CONCAT(""A"",to_text(match(CY22,ecn.list,0)))),0,1),"""")"),"")</f>
        <v/>
      </c>
      <c r="Z22" s="236" t="str">
        <f>IFERROR(__xludf.DUMMYFUNCTION("if(countif(ecn.list,CZ22),OFFSET(INDIRECT(CONCAT(""A"",to_text(match(CZ22,ecn.list,0)))),0,1),"""")"),"")</f>
        <v/>
      </c>
      <c r="AA22" s="236" t="str">
        <f>IFERROR(__xludf.DUMMYFUNCTION("if(countif(ecn.list,DA22),OFFSET(INDIRECT(CONCAT(""A"",to_text(match(DA22,ecn.list,0)))),0,1),"""")"),"")</f>
        <v/>
      </c>
      <c r="AB22" s="236" t="str">
        <f>IFERROR(__xludf.DUMMYFUNCTION("if(countif(ecn.list,DB22),OFFSET(INDIRECT(CONCAT(""A"",to_text(match(DB22,ecn.list,0)))),0,1),"""")"),"")</f>
        <v/>
      </c>
      <c r="AC22" s="236" t="str">
        <f>IFERROR(__xludf.DUMMYFUNCTION("if(countif(ecn.list,DC22),OFFSET(INDIRECT(CONCAT(""A"",to_text(match(DC22,ecn.list,0)))),0,1),"""")"),"")</f>
        <v/>
      </c>
      <c r="AD22" s="236" t="str">
        <f>IFERROR(__xludf.DUMMYFUNCTION("if(countif(ecn.list,DD22),OFFSET(INDIRECT(CONCAT(""A"",to_text(match(DD22,ecn.list,0)))),0,1),"""")"),"")</f>
        <v/>
      </c>
      <c r="AE22" s="236" t="str">
        <f>IFERROR(__xludf.DUMMYFUNCTION("if(countif(ecn.list,DE22),OFFSET(INDIRECT(CONCAT(""A"",to_text(match(DE22,ecn.list,0)))),0,1),"""")"),"")</f>
        <v/>
      </c>
      <c r="AF22" s="236" t="str">
        <f>IFERROR(__xludf.DUMMYFUNCTION("if(countif(ecn.list,DF22),OFFSET(INDIRECT(CONCAT(""A"",to_text(match(DF22,ecn.list,0)))),0,1),"""")"),"")</f>
        <v/>
      </c>
      <c r="AG22" s="236" t="str">
        <f>IFERROR(__xludf.DUMMYFUNCTION("if(countif(ecn.list,DG22),OFFSET(INDIRECT(CONCAT(""A"",to_text(match(DG22,ecn.list,0)))),0,1),"""")"),"")</f>
        <v/>
      </c>
      <c r="AH22" s="236" t="str">
        <f>IFERROR(__xludf.DUMMYFUNCTION("if(countif(ecn.list,DH22),OFFSET(INDIRECT(CONCAT(""A"",to_text(match(DH22,ecn.list,0)))),0,1),"""")"),"")</f>
        <v/>
      </c>
      <c r="AI22" s="236" t="str">
        <f>IFERROR(__xludf.DUMMYFUNCTION("if(countif(ecn.list,DI22),OFFSET(INDIRECT(CONCAT(""A"",to_text(match(DI22,ecn.list,0)))),0,1),"""")"),"")</f>
        <v/>
      </c>
      <c r="AJ22" s="236" t="str">
        <f>IFERROR(__xludf.DUMMYFUNCTION("if(countif(ecn.list,DJ22),OFFSET(INDIRECT(CONCAT(""A"",to_text(match(DJ22,ecn.list,0)))),0,1),"""")"),"")</f>
        <v/>
      </c>
      <c r="AK22" s="236" t="str">
        <f>IFERROR(__xludf.DUMMYFUNCTION("if(countif(ecn.list,DK22),OFFSET(INDIRECT(CONCAT(""A"",to_text(match(DK22,ecn.list,0)))),0,1),"""")"),"")</f>
        <v/>
      </c>
      <c r="AL22" s="236" t="str">
        <f>IFERROR(__xludf.DUMMYFUNCTION("if(countif(ecn.list,DL22),OFFSET(INDIRECT(CONCAT(""A"",to_text(match(DL22,ecn.list,0)))),0,1),"""")"),"")</f>
        <v/>
      </c>
      <c r="AM22" s="236" t="str">
        <f>IFERROR(__xludf.DUMMYFUNCTION("if(countif(ecn.list,DM22),OFFSET(INDIRECT(CONCAT(""A"",to_text(match(DM22,ecn.list,0)))),0,1),"""")"),"")</f>
        <v/>
      </c>
      <c r="AN22" s="236" t="str">
        <f>IFERROR(__xludf.DUMMYFUNCTION("if(countif(ecn.list,DN22),OFFSET(INDIRECT(CONCAT(""A"",to_text(match(DN22,ecn.list,0)))),0,1),"""")"),"")</f>
        <v/>
      </c>
      <c r="AO22" s="236" t="str">
        <f>IFERROR(__xludf.DUMMYFUNCTION("if(countif(ecn.list,DO22),OFFSET(INDIRECT(CONCAT(""A"",to_text(match(DO22,ecn.list,0)))),0,1),"""")"),"")</f>
        <v/>
      </c>
      <c r="AP22" s="236" t="str">
        <f>IFERROR(__xludf.DUMMYFUNCTION("if(countif(ecn.list,DP22),OFFSET(INDIRECT(CONCAT(""A"",to_text(match(DP22,ecn.list,0)))),0,1),"""")"),"")</f>
        <v/>
      </c>
      <c r="AQ22" s="236" t="str">
        <f>IFERROR(__xludf.DUMMYFUNCTION("if(countif(ecn.list,DQ22),OFFSET(INDIRECT(CONCAT(""A"",to_text(match(DQ22,ecn.list,0)))),0,1),"""")"),"")</f>
        <v/>
      </c>
      <c r="AR22" s="236" t="str">
        <f>IFERROR(__xludf.DUMMYFUNCTION("if(countif(ecn.list,DR22),OFFSET(INDIRECT(CONCAT(""A"",to_text(match(DR22,ecn.list,0)))),0,1),"""")"),"")</f>
        <v/>
      </c>
      <c r="AS22" s="236" t="str">
        <f>IFERROR(__xludf.DUMMYFUNCTION("if(countif(ecn.list,DS22),OFFSET(INDIRECT(CONCAT(""A"",to_text(match(DS22,ecn.list,0)))),0,1),"""")"),"")</f>
        <v/>
      </c>
      <c r="AT22" s="236" t="str">
        <f>IFERROR(__xludf.DUMMYFUNCTION("if(countif(ecn.list,DT22),OFFSET(INDIRECT(CONCAT(""A"",to_text(match(DT22,ecn.list,0)))),0,1),"""")"),"")</f>
        <v/>
      </c>
      <c r="AU22" s="236" t="str">
        <f>IFERROR(__xludf.DUMMYFUNCTION("if(countif(ecn.list,DU22),OFFSET(INDIRECT(CONCAT(""A"",to_text(match(DU22,ecn.list,0)))),0,1),"""")"),"")</f>
        <v/>
      </c>
      <c r="AV22" s="236" t="str">
        <f>IFERROR(__xludf.DUMMYFUNCTION("if(countif(ecn.list,DV22),OFFSET(INDIRECT(CONCAT(""A"",to_text(match(DV22,ecn.list,0)))),0,1),"""")"),"")</f>
        <v/>
      </c>
      <c r="AW22" s="236" t="str">
        <f>IFERROR(__xludf.DUMMYFUNCTION("if(countif(ecn.list,DW22),OFFSET(INDIRECT(CONCAT(""A"",to_text(match(DW22,ecn.list,0)))),0,1),"""")"),"")</f>
        <v/>
      </c>
      <c r="AX22" s="236" t="str">
        <f>IFERROR(__xludf.DUMMYFUNCTION("if(countif(ecn.list,DX22),OFFSET(INDIRECT(CONCAT(""A"",to_text(match(DX22,ecn.list,0)))),0,1),"""")"),"")</f>
        <v/>
      </c>
      <c r="AY22" s="236" t="str">
        <f>IFERROR(__xludf.DUMMYFUNCTION("if(countif(ecn.list,DY22),OFFSET(INDIRECT(CONCAT(""A"",to_text(match(DY22,ecn.list,0)))),0,1),"""")"),"")</f>
        <v/>
      </c>
      <c r="AZ22" s="236" t="str">
        <f>IFERROR(__xludf.DUMMYFUNCTION("if(countif(ecn.list,DZ22),OFFSET(INDIRECT(CONCAT(""A"",to_text(match(DZ22,ecn.list,0)))),0,1),"""")"),"")</f>
        <v/>
      </c>
      <c r="BA22" s="236" t="str">
        <f>IFERROR(__xludf.DUMMYFUNCTION("if(countif(ecn.list,EA22),OFFSET(INDIRECT(CONCAT(""A"",to_text(match(EA22,ecn.list,0)))),0,1),"""")"),"")</f>
        <v/>
      </c>
      <c r="BB22" s="236" t="str">
        <f>IFERROR(__xludf.DUMMYFUNCTION("if(countif(ecn.list,EB22),OFFSET(INDIRECT(CONCAT(""A"",to_text(match(EB22,ecn.list,0)))),0,1),"""")"),"")</f>
        <v/>
      </c>
      <c r="BC22" s="236" t="str">
        <f>IFERROR(__xludf.DUMMYFUNCTION("if(countif(ecn.list,EC22),OFFSET(INDIRECT(CONCAT(""A"",to_text(match(EC22,ecn.list,0)))),0,1),"""")"),"")</f>
        <v/>
      </c>
      <c r="BD22" s="236" t="str">
        <f>IFERROR(__xludf.DUMMYFUNCTION("if(countif(ecn.list,ED22),OFFSET(INDIRECT(CONCAT(""A"",to_text(match(ED22,ecn.list,0)))),0,1),"""")"),"")</f>
        <v/>
      </c>
      <c r="BE22" s="236" t="str">
        <f>IFERROR(__xludf.DUMMYFUNCTION("if(countif(ecn.list,EE22),OFFSET(INDIRECT(CONCAT(""A"",to_text(match(EE22,ecn.list,0)))),0,1),"""")"),"")</f>
        <v/>
      </c>
      <c r="BF22" s="236" t="str">
        <f>IFERROR(__xludf.DUMMYFUNCTION("if(countif(ecn.list,EF22),OFFSET(INDIRECT(CONCAT(""A"",to_text(match(EF22,ecn.list,0)))),0,1),"""")"),"")</f>
        <v/>
      </c>
      <c r="BG22" s="236" t="str">
        <f>IFERROR(__xludf.DUMMYFUNCTION("if(countif(ecn.list,EG22),OFFSET(INDIRECT(CONCAT(""A"",to_text(match(EG22,ecn.list,0)))),0,1),"""")"),"")</f>
        <v/>
      </c>
      <c r="BH22" s="236" t="str">
        <f>IFERROR(__xludf.DUMMYFUNCTION("if(countif(ecn.list,EH22),OFFSET(INDIRECT(CONCAT(""A"",to_text(match(EH22,ecn.list,0)))),0,1),"""")"),"")</f>
        <v/>
      </c>
      <c r="BI22" s="236" t="str">
        <f>IFERROR(__xludf.DUMMYFUNCTION("if(countif(ecn.list,EI22),OFFSET(INDIRECT(CONCAT(""A"",to_text(match(EI22,ecn.list,0)))),0,1),"""")"),"")</f>
        <v/>
      </c>
      <c r="BJ22" s="236" t="str">
        <f>IFERROR(__xludf.DUMMYFUNCTION("if(countif(ecn.list,EJ22),OFFSET(INDIRECT(CONCAT(""A"",to_text(match(EJ22,ecn.list,0)))),0,1),"""")"),"")</f>
        <v/>
      </c>
      <c r="BK22" s="236" t="str">
        <f>IFERROR(__xludf.DUMMYFUNCTION("if(countif(ecn.list,EK22),OFFSET(INDIRECT(CONCAT(""A"",to_text(match(EK22,ecn.list,0)))),0,1),"""")"),"")</f>
        <v/>
      </c>
      <c r="BL22" s="236" t="str">
        <f>IFERROR(__xludf.DUMMYFUNCTION("if(countif(ecn.list,EL22),OFFSET(INDIRECT(CONCAT(""A"",to_text(match(EL22,ecn.list,0)))),0,1),"""")"),"")</f>
        <v/>
      </c>
      <c r="BM22" s="236" t="str">
        <f>IFERROR(__xludf.DUMMYFUNCTION("if(countif(ecn.list,EM22),OFFSET(INDIRECT(CONCAT(""A"",to_text(match(EM22,ecn.list,0)))),0,1),"""")"),"")</f>
        <v/>
      </c>
      <c r="BN22" s="236" t="str">
        <f>IFERROR(__xludf.DUMMYFUNCTION("if(countif(ecn.list,EN22),OFFSET(INDIRECT(CONCAT(""A"",to_text(match(EN22,ecn.list,0)))),0,1),"""")"),"")</f>
        <v/>
      </c>
      <c r="BO22" s="236" t="str">
        <f>IFERROR(__xludf.DUMMYFUNCTION("if(countif(ecn.list,EO22),OFFSET(INDIRECT(CONCAT(""A"",to_text(match(EO22,ecn.list,0)))),0,1),"""")"),"")</f>
        <v/>
      </c>
      <c r="BP22" s="236" t="str">
        <f>IFERROR(__xludf.DUMMYFUNCTION("if(countif(ecn.list,EP22),OFFSET(INDIRECT(CONCAT(""A"",to_text(match(EP22,ecn.list,0)))),0,1),"""")"),"")</f>
        <v/>
      </c>
      <c r="BQ22" s="236" t="str">
        <f>IFERROR(__xludf.DUMMYFUNCTION("if(countif(ecn.list,EQ22),OFFSET(INDIRECT(CONCAT(""A"",to_text(match(EQ22,ecn.list,0)))),0,1),"""")"),"")</f>
        <v/>
      </c>
      <c r="BR22" s="236" t="str">
        <f>IFERROR(__xludf.DUMMYFUNCTION("if(countif(ecn.list,ER22),OFFSET(INDIRECT(CONCAT(""A"",to_text(match(ER22,ecn.list,0)))),0,1),"""")"),"")</f>
        <v/>
      </c>
      <c r="BS22" s="236" t="str">
        <f>IFERROR(__xludf.DUMMYFUNCTION("if(countif(ecn.list,ES22),OFFSET(INDIRECT(CONCAT(""A"",to_text(match(ES22,ecn.list,0)))),0,1),"""")"),"")</f>
        <v/>
      </c>
      <c r="BT22" s="236" t="str">
        <f>IFERROR(__xludf.DUMMYFUNCTION("if(countif(ecn.list,ET22),OFFSET(INDIRECT(CONCAT(""A"",to_text(match(ET22,ecn.list,0)))),0,1),"""")"),"")</f>
        <v/>
      </c>
      <c r="BU22" s="236" t="str">
        <f>IFERROR(__xludf.DUMMYFUNCTION("if(countif(ecn.list,EU22),OFFSET(INDIRECT(CONCAT(""A"",to_text(match(EU22,ecn.list,0)))),0,1),"""")"),"")</f>
        <v/>
      </c>
      <c r="BV22" s="236" t="str">
        <f>IFERROR(__xludf.DUMMYFUNCTION("if(countif(ecn.list,EV22),OFFSET(INDIRECT(CONCAT(""A"",to_text(match(EV22,ecn.list,0)))),0,1),"""")"),"")</f>
        <v/>
      </c>
      <c r="BW22" s="236" t="str">
        <f>IFERROR(__xludf.DUMMYFUNCTION("if(countif(ecn.list,EW22),OFFSET(INDIRECT(CONCAT(""A"",to_text(match(EW22,ecn.list,0)))),0,1),"""")"),"")</f>
        <v/>
      </c>
      <c r="BX22" s="236" t="str">
        <f>IFERROR(__xludf.DUMMYFUNCTION("if(countif(ecn.list,EX22),OFFSET(INDIRECT(CONCAT(""A"",to_text(match(EX22,ecn.list,0)))),0,1),"""")"),"")</f>
        <v/>
      </c>
      <c r="BY22" s="236" t="str">
        <f>IFERROR(__xludf.DUMMYFUNCTION("if(countif(ecn.list,EY22),OFFSET(INDIRECT(CONCAT(""A"",to_text(match(EY22,ecn.list,0)))),0,1),"""")"),"")</f>
        <v/>
      </c>
      <c r="BZ22" s="236" t="str">
        <f>IFERROR(__xludf.DUMMYFUNCTION("if(countif(ecn.list,EZ22),OFFSET(INDIRECT(CONCAT(""A"",to_text(match(EZ22,ecn.list,0)))),0,1),"""")"),"")</f>
        <v/>
      </c>
      <c r="CA22" s="236" t="str">
        <f>IFERROR(__xludf.DUMMYFUNCTION("if(countif(ecn.list,FA22),OFFSET(INDIRECT(CONCAT(""A"",to_text(match(FA22,ecn.list,0)))),0,1),"""")"),"")</f>
        <v/>
      </c>
      <c r="CB22" s="236" t="str">
        <f>IFERROR(__xludf.DUMMYFUNCTION("if(countif(ecn.list,FB22),OFFSET(INDIRECT(CONCAT(""A"",to_text(match(FB22,ecn.list,0)))),0,1),"""")"),"")</f>
        <v/>
      </c>
      <c r="CC22" s="236" t="str">
        <f>IFERROR(__xludf.DUMMYFUNCTION("if(countif(ecn.list,FC22),OFFSET(INDIRECT(CONCAT(""A"",to_text(match(FC22,ecn.list,0)))),0,1),"""")"),"")</f>
        <v/>
      </c>
      <c r="CD22" s="236" t="str">
        <f>IFERROR(__xludf.DUMMYFUNCTION("if(countif(ecn.list,FD22),OFFSET(INDIRECT(CONCAT(""A"",to_text(match(FD22,ecn.list,0)))),0,1),"""")"),"")</f>
        <v/>
      </c>
      <c r="CE22" s="236" t="str">
        <f>IFERROR(__xludf.DUMMYFUNCTION("if(countif(ecn.list,FE22),OFFSET(INDIRECT(CONCAT(""A"",to_text(match(FE22,ecn.list,0)))),0,1),"""")"),"")</f>
        <v/>
      </c>
      <c r="CF22" s="236" t="str">
        <f>IFERROR(__xludf.DUMMYFUNCTION("if(countif(ecn.list,FF22),OFFSET(INDIRECT(CONCAT(""A"",to_text(match(FF22,ecn.list,0)))),0,1),"""")"),"")</f>
        <v/>
      </c>
      <c r="CG22" s="236" t="str">
        <f>IFERROR(__xludf.DUMMYFUNCTION("if(countif(ecn.list,FG22),OFFSET(INDIRECT(CONCAT(""A"",to_text(match(FG22,ecn.list,0)))),0,1),"""")"),"")</f>
        <v/>
      </c>
      <c r="CH22" s="236" t="str">
        <f>IFERROR(__xludf.DUMMYFUNCTION("if(countif(ecn.list,FH22),OFFSET(INDIRECT(CONCAT(""A"",to_text(match(FH22,ecn.list,0)))),0,1),"""")"),"")</f>
        <v/>
      </c>
      <c r="CI22" s="236" t="str">
        <f>IFERROR(__xludf.DUMMYFUNCTION("if(countif(ecn.list,FI22),OFFSET(INDIRECT(CONCAT(""A"",to_text(match(FI22,ecn.list,0)))),0,1),"""")"),"")</f>
        <v/>
      </c>
      <c r="CJ22" s="236" t="str">
        <f>IFERROR(__xludf.DUMMYFUNCTION("if(countif(ecn.list,FJ22),OFFSET(INDIRECT(CONCAT(""A"",to_text(match(FJ22,ecn.list,0)))),0,1),"""")"),"")</f>
        <v/>
      </c>
      <c r="CK22" s="236" t="str">
        <f>IFERROR(__xludf.DUMMYFUNCTION("if(countif(ecn.list,FK22),OFFSET(INDIRECT(CONCAT(""A"",to_text(match(FK22,ecn.list,0)))),0,1),"""")"),"")</f>
        <v/>
      </c>
      <c r="CL22" s="236" t="str">
        <f>IFERROR(__xludf.DUMMYFUNCTION("if(countif(ecn.list,FL22),OFFSET(INDIRECT(CONCAT(""A"",to_text(match(FL22,ecn.list,0)))),0,1),"""")"),"")</f>
        <v/>
      </c>
      <c r="CM22" s="236" t="str">
        <f>IFERROR(__xludf.DUMMYFUNCTION("if(countif(ecn.list,FM22),OFFSET(INDIRECT(CONCAT(""A"",to_text(match(FM22,ecn.list,0)))),0,1),"""")"),"")</f>
        <v/>
      </c>
      <c r="CN22" s="198" t="s">
        <v>141</v>
      </c>
      <c r="CO22" s="198" t="s">
        <v>1453</v>
      </c>
      <c r="CP22" s="198" t="s">
        <v>1453</v>
      </c>
      <c r="CQ22" s="198" t="s">
        <v>1453</v>
      </c>
      <c r="CR22" s="198" t="s">
        <v>1453</v>
      </c>
      <c r="CS22" s="198" t="s">
        <v>1453</v>
      </c>
      <c r="CT22" s="198" t="s">
        <v>1453</v>
      </c>
      <c r="CU22" s="198" t="s">
        <v>1453</v>
      </c>
      <c r="CV22" s="198" t="s">
        <v>1453</v>
      </c>
      <c r="CW22" s="198" t="s">
        <v>1453</v>
      </c>
      <c r="CX22" s="198" t="s">
        <v>1453</v>
      </c>
      <c r="CY22" s="198" t="s">
        <v>1453</v>
      </c>
      <c r="CZ22" s="198" t="s">
        <v>1453</v>
      </c>
      <c r="DA22" s="198" t="s">
        <v>1453</v>
      </c>
      <c r="DB22" s="198" t="s">
        <v>1453</v>
      </c>
      <c r="DC22" s="198" t="s">
        <v>1453</v>
      </c>
      <c r="DD22" s="198" t="s">
        <v>1453</v>
      </c>
      <c r="DE22" s="198" t="s">
        <v>1453</v>
      </c>
      <c r="DF22" s="198" t="s">
        <v>1453</v>
      </c>
      <c r="DG22" s="198" t="s">
        <v>1453</v>
      </c>
      <c r="DH22" s="198" t="s">
        <v>1453</v>
      </c>
      <c r="DI22" s="198" t="s">
        <v>1453</v>
      </c>
      <c r="DJ22" s="198" t="s">
        <v>1453</v>
      </c>
      <c r="DK22" s="198" t="s">
        <v>1453</v>
      </c>
      <c r="DL22" s="198" t="s">
        <v>1453</v>
      </c>
      <c r="DM22" s="198" t="s">
        <v>1453</v>
      </c>
      <c r="DN22" s="198" t="s">
        <v>1453</v>
      </c>
      <c r="DO22" s="198" t="s">
        <v>1453</v>
      </c>
      <c r="DP22" s="198" t="s">
        <v>1453</v>
      </c>
      <c r="DQ22" s="198" t="s">
        <v>1453</v>
      </c>
      <c r="DR22" s="198" t="s">
        <v>1453</v>
      </c>
      <c r="DS22" s="198" t="s">
        <v>1453</v>
      </c>
      <c r="DT22" s="198" t="s">
        <v>1453</v>
      </c>
      <c r="DU22" s="198" t="s">
        <v>1453</v>
      </c>
      <c r="DV22" s="198" t="s">
        <v>1453</v>
      </c>
      <c r="DW22" s="198" t="s">
        <v>1453</v>
      </c>
      <c r="DX22" s="198" t="s">
        <v>1453</v>
      </c>
      <c r="DY22" s="198" t="s">
        <v>1453</v>
      </c>
      <c r="DZ22" s="198" t="s">
        <v>1453</v>
      </c>
      <c r="EA22" s="198" t="s">
        <v>1453</v>
      </c>
      <c r="EB22" s="198" t="s">
        <v>1453</v>
      </c>
      <c r="EC22" s="198" t="s">
        <v>1453</v>
      </c>
      <c r="ED22" s="198" t="s">
        <v>1453</v>
      </c>
      <c r="EE22" s="198" t="s">
        <v>1453</v>
      </c>
      <c r="EF22" s="198" t="s">
        <v>1453</v>
      </c>
      <c r="EG22" s="198" t="s">
        <v>1453</v>
      </c>
      <c r="EH22" s="198" t="s">
        <v>1453</v>
      </c>
      <c r="EI22" s="198" t="s">
        <v>1453</v>
      </c>
      <c r="EJ22" s="198" t="s">
        <v>1453</v>
      </c>
      <c r="EK22" s="198" t="s">
        <v>1453</v>
      </c>
      <c r="EL22" s="198" t="s">
        <v>1453</v>
      </c>
      <c r="EM22" s="198" t="s">
        <v>1453</v>
      </c>
      <c r="EN22" s="198" t="s">
        <v>1453</v>
      </c>
      <c r="EO22" s="198" t="s">
        <v>1453</v>
      </c>
      <c r="EP22" s="198" t="s">
        <v>1453</v>
      </c>
      <c r="EQ22" s="198" t="s">
        <v>1453</v>
      </c>
      <c r="ER22" s="198" t="s">
        <v>1453</v>
      </c>
      <c r="ES22" s="198" t="s">
        <v>1453</v>
      </c>
      <c r="ET22" s="198" t="s">
        <v>1453</v>
      </c>
      <c r="EU22" s="198" t="s">
        <v>1453</v>
      </c>
      <c r="EV22" s="198" t="s">
        <v>1453</v>
      </c>
      <c r="EW22" s="198" t="s">
        <v>1453</v>
      </c>
      <c r="EX22" s="198" t="s">
        <v>1453</v>
      </c>
      <c r="EY22" s="198" t="s">
        <v>1453</v>
      </c>
      <c r="EZ22" s="198" t="s">
        <v>1453</v>
      </c>
      <c r="FA22" s="198" t="s">
        <v>1453</v>
      </c>
      <c r="FB22" s="198" t="s">
        <v>1453</v>
      </c>
      <c r="FC22" s="198" t="s">
        <v>1453</v>
      </c>
      <c r="FD22" s="198" t="s">
        <v>1453</v>
      </c>
      <c r="FE22" s="198" t="s">
        <v>1453</v>
      </c>
      <c r="FF22" s="198" t="s">
        <v>1453</v>
      </c>
      <c r="FG22" s="198" t="s">
        <v>1453</v>
      </c>
      <c r="FH22" s="198" t="s">
        <v>1453</v>
      </c>
      <c r="FI22" s="198" t="s">
        <v>1453</v>
      </c>
      <c r="FJ22" s="198" t="s">
        <v>1453</v>
      </c>
      <c r="FK22" s="198" t="s">
        <v>1453</v>
      </c>
      <c r="FL22" s="198" t="s">
        <v>1453</v>
      </c>
      <c r="FM22" s="198" t="s">
        <v>1453</v>
      </c>
    </row>
    <row r="23" ht="15.75" customHeight="1">
      <c r="A23" s="236" t="s">
        <v>1460</v>
      </c>
      <c r="B23" s="198" t="str">
        <f t="shared" si="3"/>
        <v>K5 </v>
      </c>
      <c r="C23" s="234">
        <v>5.0</v>
      </c>
      <c r="D23" s="232" t="s">
        <v>860</v>
      </c>
      <c r="E23" s="232" t="s">
        <v>785</v>
      </c>
      <c r="F23" s="232" t="s">
        <v>786</v>
      </c>
      <c r="G23" s="232" t="s">
        <v>846</v>
      </c>
      <c r="H23" s="232" t="s">
        <v>775</v>
      </c>
      <c r="I23" s="232" t="s">
        <v>925</v>
      </c>
      <c r="J23" s="232" t="s">
        <v>926</v>
      </c>
      <c r="K23" s="232" t="s">
        <v>931</v>
      </c>
      <c r="L23" s="188" t="s">
        <v>144</v>
      </c>
      <c r="M23" s="236" t="str">
        <f>IFERROR(__xludf.DUMMYFUNCTION("regexreplace(N23,"" "","", "")"),"J5, J6, MF, N2, ")</f>
        <v>J5, J6, MF, N2, </v>
      </c>
      <c r="N23" s="236" t="str">
        <f t="shared" si="2"/>
        <v>J5 J6 MF N2 </v>
      </c>
      <c r="O23" s="236" t="str">
        <f>IFERROR(__xludf.DUMMYFUNCTION("if(countif(ecn.list,CO23),OFFSET(INDIRECT(CONCAT(""A"",to_text(match(CO23,ecn.list,0)))),0,1),"""")"),"")</f>
        <v/>
      </c>
      <c r="P23" s="236" t="str">
        <f>IFERROR(__xludf.DUMMYFUNCTION("if(countif(ecn.list,CP23),OFFSET(INDIRECT(CONCAT(""A"",to_text(match(CP23,ecn.list,0)))),0,1),"""")"),"")</f>
        <v/>
      </c>
      <c r="Q23" s="236" t="str">
        <f>IFERROR(__xludf.DUMMYFUNCTION("if(countif(ecn.list,CQ23),OFFSET(INDIRECT(CONCAT(""A"",to_text(match(CQ23,ecn.list,0)))),0,1),"""")"),"")</f>
        <v/>
      </c>
      <c r="R23" s="236" t="str">
        <f>IFERROR(__xludf.DUMMYFUNCTION("if(countif(ecn.list,CR23),OFFSET(INDIRECT(CONCAT(""A"",to_text(match(CR23,ecn.list,0)))),0,1),"""")"),"")</f>
        <v/>
      </c>
      <c r="S23" s="236" t="str">
        <f>IFERROR(__xludf.DUMMYFUNCTION("if(countif(ecn.list,CS23),OFFSET(INDIRECT(CONCAT(""A"",to_text(match(CS23,ecn.list,0)))),0,1),"""")"),"")</f>
        <v/>
      </c>
      <c r="T23" s="236" t="str">
        <f>IFERROR(__xludf.DUMMYFUNCTION("if(countif(ecn.list,CT23),OFFSET(INDIRECT(CONCAT(""A"",to_text(match(CT23,ecn.list,0)))),0,1),"""")"),"J5 ")</f>
        <v>J5 </v>
      </c>
      <c r="U23" s="236" t="str">
        <f>IFERROR(__xludf.DUMMYFUNCTION("if(countif(ecn.list,CU23),OFFSET(INDIRECT(CONCAT(""A"",to_text(match(CU23,ecn.list,0)))),0,1),"""")"),"J6 ")</f>
        <v>J6 </v>
      </c>
      <c r="V23" s="236" t="str">
        <f>IFERROR(__xludf.DUMMYFUNCTION("if(countif(ecn.list,CV23),OFFSET(INDIRECT(CONCAT(""A"",to_text(match(CV23,ecn.list,0)))),0,1),"""")"),"")</f>
        <v/>
      </c>
      <c r="W23" s="236" t="str">
        <f>IFERROR(__xludf.DUMMYFUNCTION("if(countif(ecn.list,CW23),OFFSET(INDIRECT(CONCAT(""A"",to_text(match(CW23,ecn.list,0)))),0,1),"""")"),"")</f>
        <v/>
      </c>
      <c r="X23" s="236" t="str">
        <f>IFERROR(__xludf.DUMMYFUNCTION("if(countif(ecn.list,CX23),OFFSET(INDIRECT(CONCAT(""A"",to_text(match(CX23,ecn.list,0)))),0,1),"""")"),"")</f>
        <v/>
      </c>
      <c r="Y23" s="236" t="str">
        <f>IFERROR(__xludf.DUMMYFUNCTION("if(countif(ecn.list,CY23),OFFSET(INDIRECT(CONCAT(""A"",to_text(match(CY23,ecn.list,0)))),0,1),"""")"),"")</f>
        <v/>
      </c>
      <c r="Z23" s="236" t="str">
        <f>IFERROR(__xludf.DUMMYFUNCTION("if(countif(ecn.list,CZ23),OFFSET(INDIRECT(CONCAT(""A"",to_text(match(CZ23,ecn.list,0)))),0,1),"""")"),"")</f>
        <v/>
      </c>
      <c r="AA23" s="236" t="str">
        <f>IFERROR(__xludf.DUMMYFUNCTION("if(countif(ecn.list,DA23),OFFSET(INDIRECT(CONCAT(""A"",to_text(match(DA23,ecn.list,0)))),0,1),"""")"),"")</f>
        <v/>
      </c>
      <c r="AB23" s="236" t="str">
        <f>IFERROR(__xludf.DUMMYFUNCTION("if(countif(ecn.list,DB23),OFFSET(INDIRECT(CONCAT(""A"",to_text(match(DB23,ecn.list,0)))),0,1),"""")"),"")</f>
        <v/>
      </c>
      <c r="AC23" s="236" t="str">
        <f>IFERROR(__xludf.DUMMYFUNCTION("if(countif(ecn.list,DC23),OFFSET(INDIRECT(CONCAT(""A"",to_text(match(DC23,ecn.list,0)))),0,1),"""")"),"")</f>
        <v/>
      </c>
      <c r="AD23" s="236" t="str">
        <f>IFERROR(__xludf.DUMMYFUNCTION("if(countif(ecn.list,DD23),OFFSET(INDIRECT(CONCAT(""A"",to_text(match(DD23,ecn.list,0)))),0,1),"""")"),"")</f>
        <v/>
      </c>
      <c r="AE23" s="236" t="str">
        <f>IFERROR(__xludf.DUMMYFUNCTION("if(countif(ecn.list,DE23),OFFSET(INDIRECT(CONCAT(""A"",to_text(match(DE23,ecn.list,0)))),0,1),"""")"),"")</f>
        <v/>
      </c>
      <c r="AF23" s="236" t="str">
        <f>IFERROR(__xludf.DUMMYFUNCTION("if(countif(ecn.list,DF23),OFFSET(INDIRECT(CONCAT(""A"",to_text(match(DF23,ecn.list,0)))),0,1),"""")"),"")</f>
        <v/>
      </c>
      <c r="AG23" s="236" t="str">
        <f>IFERROR(__xludf.DUMMYFUNCTION("if(countif(ecn.list,DG23),OFFSET(INDIRECT(CONCAT(""A"",to_text(match(DG23,ecn.list,0)))),0,1),"""")"),"")</f>
        <v/>
      </c>
      <c r="AH23" s="236" t="str">
        <f>IFERROR(__xludf.DUMMYFUNCTION("if(countif(ecn.list,DH23),OFFSET(INDIRECT(CONCAT(""A"",to_text(match(DH23,ecn.list,0)))),0,1),"""")"),"")</f>
        <v/>
      </c>
      <c r="AI23" s="236" t="str">
        <f>IFERROR(__xludf.DUMMYFUNCTION("if(countif(ecn.list,DI23),OFFSET(INDIRECT(CONCAT(""A"",to_text(match(DI23,ecn.list,0)))),0,1),"""")"),"")</f>
        <v/>
      </c>
      <c r="AJ23" s="236" t="str">
        <f>IFERROR(__xludf.DUMMYFUNCTION("if(countif(ecn.list,DJ23),OFFSET(INDIRECT(CONCAT(""A"",to_text(match(DJ23,ecn.list,0)))),0,1),"""")"),"")</f>
        <v/>
      </c>
      <c r="AK23" s="236" t="str">
        <f>IFERROR(__xludf.DUMMYFUNCTION("if(countif(ecn.list,DK23),OFFSET(INDIRECT(CONCAT(""A"",to_text(match(DK23,ecn.list,0)))),0,1),"""")"),"")</f>
        <v/>
      </c>
      <c r="AL23" s="236" t="str">
        <f>IFERROR(__xludf.DUMMYFUNCTION("if(countif(ecn.list,DL23),OFFSET(INDIRECT(CONCAT(""A"",to_text(match(DL23,ecn.list,0)))),0,1),"""")"),"")</f>
        <v/>
      </c>
      <c r="AM23" s="236" t="str">
        <f>IFERROR(__xludf.DUMMYFUNCTION("if(countif(ecn.list,DM23),OFFSET(INDIRECT(CONCAT(""A"",to_text(match(DM23,ecn.list,0)))),0,1),"""")"),"")</f>
        <v/>
      </c>
      <c r="AN23" s="236" t="str">
        <f>IFERROR(__xludf.DUMMYFUNCTION("if(countif(ecn.list,DN23),OFFSET(INDIRECT(CONCAT(""A"",to_text(match(DN23,ecn.list,0)))),0,1),"""")"),"")</f>
        <v/>
      </c>
      <c r="AO23" s="236" t="str">
        <f>IFERROR(__xludf.DUMMYFUNCTION("if(countif(ecn.list,DO23),OFFSET(INDIRECT(CONCAT(""A"",to_text(match(DO23,ecn.list,0)))),0,1),"""")"),"")</f>
        <v/>
      </c>
      <c r="AP23" s="236" t="str">
        <f>IFERROR(__xludf.DUMMYFUNCTION("if(countif(ecn.list,DP23),OFFSET(INDIRECT(CONCAT(""A"",to_text(match(DP23,ecn.list,0)))),0,1),"""")"),"")</f>
        <v/>
      </c>
      <c r="AQ23" s="236" t="str">
        <f>IFERROR(__xludf.DUMMYFUNCTION("if(countif(ecn.list,DQ23),OFFSET(INDIRECT(CONCAT(""A"",to_text(match(DQ23,ecn.list,0)))),0,1),"""")"),"")</f>
        <v/>
      </c>
      <c r="AR23" s="236" t="str">
        <f>IFERROR(__xludf.DUMMYFUNCTION("if(countif(ecn.list,DR23),OFFSET(INDIRECT(CONCAT(""A"",to_text(match(DR23,ecn.list,0)))),0,1),"""")"),"")</f>
        <v/>
      </c>
      <c r="AS23" s="236" t="str">
        <f>IFERROR(__xludf.DUMMYFUNCTION("if(countif(ecn.list,DS23),OFFSET(INDIRECT(CONCAT(""A"",to_text(match(DS23,ecn.list,0)))),0,1),"""")"),"")</f>
        <v/>
      </c>
      <c r="AT23" s="236" t="str">
        <f>IFERROR(__xludf.DUMMYFUNCTION("if(countif(ecn.list,DT23),OFFSET(INDIRECT(CONCAT(""A"",to_text(match(DT23,ecn.list,0)))),0,1),"""")"),"")</f>
        <v/>
      </c>
      <c r="AU23" s="236" t="str">
        <f>IFERROR(__xludf.DUMMYFUNCTION("if(countif(ecn.list,DU23),OFFSET(INDIRECT(CONCAT(""A"",to_text(match(DU23,ecn.list,0)))),0,1),"""")"),"")</f>
        <v/>
      </c>
      <c r="AV23" s="236" t="str">
        <f>IFERROR(__xludf.DUMMYFUNCTION("if(countif(ecn.list,DV23),OFFSET(INDIRECT(CONCAT(""A"",to_text(match(DV23,ecn.list,0)))),0,1),"""")"),"")</f>
        <v/>
      </c>
      <c r="AW23" s="236" t="str">
        <f>IFERROR(__xludf.DUMMYFUNCTION("if(countif(ecn.list,DW23),OFFSET(INDIRECT(CONCAT(""A"",to_text(match(DW23,ecn.list,0)))),0,1),"""")"),"")</f>
        <v/>
      </c>
      <c r="AX23" s="236" t="str">
        <f>IFERROR(__xludf.DUMMYFUNCTION("if(countif(ecn.list,DX23),OFFSET(INDIRECT(CONCAT(""A"",to_text(match(DX23,ecn.list,0)))),0,1),"""")"),"")</f>
        <v/>
      </c>
      <c r="AY23" s="236" t="str">
        <f>IFERROR(__xludf.DUMMYFUNCTION("if(countif(ecn.list,DY23),OFFSET(INDIRECT(CONCAT(""A"",to_text(match(DY23,ecn.list,0)))),0,1),"""")"),"")</f>
        <v/>
      </c>
      <c r="AZ23" s="236" t="str">
        <f>IFERROR(__xludf.DUMMYFUNCTION("if(countif(ecn.list,DZ23),OFFSET(INDIRECT(CONCAT(""A"",to_text(match(DZ23,ecn.list,0)))),0,1),"""")"),"")</f>
        <v/>
      </c>
      <c r="BA23" s="236" t="str">
        <f>IFERROR(__xludf.DUMMYFUNCTION("if(countif(ecn.list,EA23),OFFSET(INDIRECT(CONCAT(""A"",to_text(match(EA23,ecn.list,0)))),0,1),"""")"),"")</f>
        <v/>
      </c>
      <c r="BB23" s="236" t="str">
        <f>IFERROR(__xludf.DUMMYFUNCTION("if(countif(ecn.list,EB23),OFFSET(INDIRECT(CONCAT(""A"",to_text(match(EB23,ecn.list,0)))),0,1),"""")"),"")</f>
        <v/>
      </c>
      <c r="BC23" s="236" t="str">
        <f>IFERROR(__xludf.DUMMYFUNCTION("if(countif(ecn.list,EC23),OFFSET(INDIRECT(CONCAT(""A"",to_text(match(EC23,ecn.list,0)))),0,1),"""")"),"")</f>
        <v/>
      </c>
      <c r="BD23" s="236" t="str">
        <f>IFERROR(__xludf.DUMMYFUNCTION("if(countif(ecn.list,ED23),OFFSET(INDIRECT(CONCAT(""A"",to_text(match(ED23,ecn.list,0)))),0,1),"""")"),"")</f>
        <v/>
      </c>
      <c r="BE23" s="236" t="str">
        <f>IFERROR(__xludf.DUMMYFUNCTION("if(countif(ecn.list,EE23),OFFSET(INDIRECT(CONCAT(""A"",to_text(match(EE23,ecn.list,0)))),0,1),"""")"),"")</f>
        <v/>
      </c>
      <c r="BF23" s="236" t="str">
        <f>IFERROR(__xludf.DUMMYFUNCTION("if(countif(ecn.list,EF23),OFFSET(INDIRECT(CONCAT(""A"",to_text(match(EF23,ecn.list,0)))),0,1),"""")"),"")</f>
        <v/>
      </c>
      <c r="BG23" s="236" t="str">
        <f>IFERROR(__xludf.DUMMYFUNCTION("if(countif(ecn.list,EG23),OFFSET(INDIRECT(CONCAT(""A"",to_text(match(EG23,ecn.list,0)))),0,1),"""")"),"")</f>
        <v/>
      </c>
      <c r="BH23" s="236" t="str">
        <f>IFERROR(__xludf.DUMMYFUNCTION("if(countif(ecn.list,EH23),OFFSET(INDIRECT(CONCAT(""A"",to_text(match(EH23,ecn.list,0)))),0,1),"""")"),"")</f>
        <v/>
      </c>
      <c r="BI23" s="236" t="str">
        <f>IFERROR(__xludf.DUMMYFUNCTION("if(countif(ecn.list,EI23),OFFSET(INDIRECT(CONCAT(""A"",to_text(match(EI23,ecn.list,0)))),0,1),"""")"),"")</f>
        <v/>
      </c>
      <c r="BJ23" s="236" t="str">
        <f>IFERROR(__xludf.DUMMYFUNCTION("if(countif(ecn.list,EJ23),OFFSET(INDIRECT(CONCAT(""A"",to_text(match(EJ23,ecn.list,0)))),0,1),"""")"),"")</f>
        <v/>
      </c>
      <c r="BK23" s="236" t="str">
        <f>IFERROR(__xludf.DUMMYFUNCTION("if(countif(ecn.list,EK23),OFFSET(INDIRECT(CONCAT(""A"",to_text(match(EK23,ecn.list,0)))),0,1),"""")"),"")</f>
        <v/>
      </c>
      <c r="BL23" s="236" t="str">
        <f>IFERROR(__xludf.DUMMYFUNCTION("if(countif(ecn.list,EL23),OFFSET(INDIRECT(CONCAT(""A"",to_text(match(EL23,ecn.list,0)))),0,1),"""")"),"")</f>
        <v/>
      </c>
      <c r="BM23" s="236" t="str">
        <f>IFERROR(__xludf.DUMMYFUNCTION("if(countif(ecn.list,EM23),OFFSET(INDIRECT(CONCAT(""A"",to_text(match(EM23,ecn.list,0)))),0,1),"""")"),"")</f>
        <v/>
      </c>
      <c r="BN23" s="236" t="str">
        <f>IFERROR(__xludf.DUMMYFUNCTION("if(countif(ecn.list,EN23),OFFSET(INDIRECT(CONCAT(""A"",to_text(match(EN23,ecn.list,0)))),0,1),"""")"),"")</f>
        <v/>
      </c>
      <c r="BO23" s="236" t="str">
        <f>IFERROR(__xludf.DUMMYFUNCTION("if(countif(ecn.list,EO23),OFFSET(INDIRECT(CONCAT(""A"",to_text(match(EO23,ecn.list,0)))),0,1),"""")"),"")</f>
        <v/>
      </c>
      <c r="BP23" s="236" t="str">
        <f>IFERROR(__xludf.DUMMYFUNCTION("if(countif(ecn.list,EP23),OFFSET(INDIRECT(CONCAT(""A"",to_text(match(EP23,ecn.list,0)))),0,1),"""")"),"")</f>
        <v/>
      </c>
      <c r="BQ23" s="236" t="str">
        <f>IFERROR(__xludf.DUMMYFUNCTION("if(countif(ecn.list,EQ23),OFFSET(INDIRECT(CONCAT(""A"",to_text(match(EQ23,ecn.list,0)))),0,1),"""")"),"")</f>
        <v/>
      </c>
      <c r="BR23" s="236" t="str">
        <f>IFERROR(__xludf.DUMMYFUNCTION("if(countif(ecn.list,ER23),OFFSET(INDIRECT(CONCAT(""A"",to_text(match(ER23,ecn.list,0)))),0,1),"""")"),"")</f>
        <v/>
      </c>
      <c r="BS23" s="236" t="str">
        <f>IFERROR(__xludf.DUMMYFUNCTION("if(countif(ecn.list,ES23),OFFSET(INDIRECT(CONCAT(""A"",to_text(match(ES23,ecn.list,0)))),0,1),"""")"),"")</f>
        <v/>
      </c>
      <c r="BT23" s="236" t="str">
        <f>IFERROR(__xludf.DUMMYFUNCTION("if(countif(ecn.list,ET23),OFFSET(INDIRECT(CONCAT(""A"",to_text(match(ET23,ecn.list,0)))),0,1),"""")"),"")</f>
        <v/>
      </c>
      <c r="BU23" s="236" t="str">
        <f>IFERROR(__xludf.DUMMYFUNCTION("if(countif(ecn.list,EU23),OFFSET(INDIRECT(CONCAT(""A"",to_text(match(EU23,ecn.list,0)))),0,1),"""")"),"")</f>
        <v/>
      </c>
      <c r="BV23" s="236" t="str">
        <f>IFERROR(__xludf.DUMMYFUNCTION("if(countif(ecn.list,EV23),OFFSET(INDIRECT(CONCAT(""A"",to_text(match(EV23,ecn.list,0)))),0,1),"""")"),"")</f>
        <v/>
      </c>
      <c r="BW23" s="236" t="str">
        <f>IFERROR(__xludf.DUMMYFUNCTION("if(countif(ecn.list,EW23),OFFSET(INDIRECT(CONCAT(""A"",to_text(match(EW23,ecn.list,0)))),0,1),"""")"),"")</f>
        <v/>
      </c>
      <c r="BX23" s="236" t="str">
        <f>IFERROR(__xludf.DUMMYFUNCTION("if(countif(ecn.list,EX23),OFFSET(INDIRECT(CONCAT(""A"",to_text(match(EX23,ecn.list,0)))),0,1),"""")"),"")</f>
        <v/>
      </c>
      <c r="BY23" s="236" t="str">
        <f>IFERROR(__xludf.DUMMYFUNCTION("if(countif(ecn.list,EY23),OFFSET(INDIRECT(CONCAT(""A"",to_text(match(EY23,ecn.list,0)))),0,1),"""")"),"")</f>
        <v/>
      </c>
      <c r="BZ23" s="236" t="str">
        <f>IFERROR(__xludf.DUMMYFUNCTION("if(countif(ecn.list,EZ23),OFFSET(INDIRECT(CONCAT(""A"",to_text(match(EZ23,ecn.list,0)))),0,1),"""")"),"MF ")</f>
        <v>MF </v>
      </c>
      <c r="CA23" s="236" t="str">
        <f>IFERROR(__xludf.DUMMYFUNCTION("if(countif(ecn.list,FA23),OFFSET(INDIRECT(CONCAT(""A"",to_text(match(FA23,ecn.list,0)))),0,1),"""")"),"")</f>
        <v/>
      </c>
      <c r="CB23" s="236" t="str">
        <f>IFERROR(__xludf.DUMMYFUNCTION("if(countif(ecn.list,FB23),OFFSET(INDIRECT(CONCAT(""A"",to_text(match(FB23,ecn.list,0)))),0,1),"""")"),"")</f>
        <v/>
      </c>
      <c r="CC23" s="236" t="str">
        <f>IFERROR(__xludf.DUMMYFUNCTION("if(countif(ecn.list,FC23),OFFSET(INDIRECT(CONCAT(""A"",to_text(match(FC23,ecn.list,0)))),0,1),"""")"),"N2 ")</f>
        <v>N2 </v>
      </c>
      <c r="CD23" s="236" t="str">
        <f>IFERROR(__xludf.DUMMYFUNCTION("if(countif(ecn.list,FD23),OFFSET(INDIRECT(CONCAT(""A"",to_text(match(FD23,ecn.list,0)))),0,1),"""")"),"")</f>
        <v/>
      </c>
      <c r="CE23" s="236" t="str">
        <f>IFERROR(__xludf.DUMMYFUNCTION("if(countif(ecn.list,FE23),OFFSET(INDIRECT(CONCAT(""A"",to_text(match(FE23,ecn.list,0)))),0,1),"""")"),"")</f>
        <v/>
      </c>
      <c r="CF23" s="236" t="str">
        <f>IFERROR(__xludf.DUMMYFUNCTION("if(countif(ecn.list,FF23),OFFSET(INDIRECT(CONCAT(""A"",to_text(match(FF23,ecn.list,0)))),0,1),"""")"),"")</f>
        <v/>
      </c>
      <c r="CG23" s="236" t="str">
        <f>IFERROR(__xludf.DUMMYFUNCTION("if(countif(ecn.list,FG23),OFFSET(INDIRECT(CONCAT(""A"",to_text(match(FG23,ecn.list,0)))),0,1),"""")"),"")</f>
        <v/>
      </c>
      <c r="CH23" s="236" t="str">
        <f>IFERROR(__xludf.DUMMYFUNCTION("if(countif(ecn.list,FH23),OFFSET(INDIRECT(CONCAT(""A"",to_text(match(FH23,ecn.list,0)))),0,1),"""")"),"")</f>
        <v/>
      </c>
      <c r="CI23" s="236" t="str">
        <f>IFERROR(__xludf.DUMMYFUNCTION("if(countif(ecn.list,FI23),OFFSET(INDIRECT(CONCAT(""A"",to_text(match(FI23,ecn.list,0)))),0,1),"""")"),"")</f>
        <v/>
      </c>
      <c r="CJ23" s="236" t="str">
        <f>IFERROR(__xludf.DUMMYFUNCTION("if(countif(ecn.list,FJ23),OFFSET(INDIRECT(CONCAT(""A"",to_text(match(FJ23,ecn.list,0)))),0,1),"""")"),"")</f>
        <v/>
      </c>
      <c r="CK23" s="236" t="str">
        <f>IFERROR(__xludf.DUMMYFUNCTION("if(countif(ecn.list,FK23),OFFSET(INDIRECT(CONCAT(""A"",to_text(match(FK23,ecn.list,0)))),0,1),"""")"),"")</f>
        <v/>
      </c>
      <c r="CL23" s="236" t="str">
        <f>IFERROR(__xludf.DUMMYFUNCTION("if(countif(ecn.list,FL23),OFFSET(INDIRECT(CONCAT(""A"",to_text(match(FL23,ecn.list,0)))),0,1),"""")"),"")</f>
        <v/>
      </c>
      <c r="CM23" s="236" t="str">
        <f>IFERROR(__xludf.DUMMYFUNCTION("if(countif(ecn.list,FM23),OFFSET(INDIRECT(CONCAT(""A"",to_text(match(FM23,ecn.list,0)))),0,1),"""")"),"")</f>
        <v/>
      </c>
      <c r="CN23" s="198" t="s">
        <v>144</v>
      </c>
      <c r="CO23" s="198" t="s">
        <v>1453</v>
      </c>
      <c r="CP23" s="198" t="s">
        <v>1453</v>
      </c>
      <c r="CQ23" s="198" t="s">
        <v>1453</v>
      </c>
      <c r="CR23" s="198" t="s">
        <v>1453</v>
      </c>
      <c r="CS23" s="198" t="s">
        <v>1453</v>
      </c>
      <c r="CT23" s="198" t="s">
        <v>1454</v>
      </c>
      <c r="CU23" s="198" t="s">
        <v>1455</v>
      </c>
      <c r="CV23" s="198" t="s">
        <v>1453</v>
      </c>
      <c r="CW23" s="198" t="s">
        <v>1453</v>
      </c>
      <c r="CX23" s="198" t="s">
        <v>1453</v>
      </c>
      <c r="CY23" s="198" t="s">
        <v>1453</v>
      </c>
      <c r="CZ23" s="198" t="s">
        <v>1453</v>
      </c>
      <c r="DA23" s="198" t="s">
        <v>1453</v>
      </c>
      <c r="DB23" s="198" t="s">
        <v>1453</v>
      </c>
      <c r="DC23" s="198" t="s">
        <v>1453</v>
      </c>
      <c r="DD23" s="198" t="s">
        <v>1453</v>
      </c>
      <c r="DE23" s="198" t="s">
        <v>1453</v>
      </c>
      <c r="DF23" s="198" t="s">
        <v>1453</v>
      </c>
      <c r="DG23" s="198" t="s">
        <v>1453</v>
      </c>
      <c r="DH23" s="198" t="s">
        <v>1453</v>
      </c>
      <c r="DI23" s="198" t="s">
        <v>1453</v>
      </c>
      <c r="DJ23" s="198" t="s">
        <v>1453</v>
      </c>
      <c r="DK23" s="198" t="s">
        <v>1453</v>
      </c>
      <c r="DL23" s="198" t="s">
        <v>1453</v>
      </c>
      <c r="DM23" s="198" t="s">
        <v>1453</v>
      </c>
      <c r="DN23" s="198" t="s">
        <v>1453</v>
      </c>
      <c r="DO23" s="198" t="s">
        <v>1453</v>
      </c>
      <c r="DP23" s="198" t="s">
        <v>1453</v>
      </c>
      <c r="DQ23" s="198" t="s">
        <v>1453</v>
      </c>
      <c r="DR23" s="198" t="s">
        <v>1453</v>
      </c>
      <c r="DS23" s="198" t="s">
        <v>1453</v>
      </c>
      <c r="DT23" s="198" t="s">
        <v>1453</v>
      </c>
      <c r="DU23" s="198" t="s">
        <v>1453</v>
      </c>
      <c r="DV23" s="198" t="s">
        <v>1453</v>
      </c>
      <c r="DW23" s="198" t="s">
        <v>1453</v>
      </c>
      <c r="DX23" s="198" t="s">
        <v>1453</v>
      </c>
      <c r="DY23" s="198" t="s">
        <v>1453</v>
      </c>
      <c r="DZ23" s="198" t="s">
        <v>1453</v>
      </c>
      <c r="EA23" s="198" t="s">
        <v>1453</v>
      </c>
      <c r="EB23" s="198" t="s">
        <v>1453</v>
      </c>
      <c r="EC23" s="198" t="s">
        <v>1453</v>
      </c>
      <c r="ED23" s="198" t="s">
        <v>1453</v>
      </c>
      <c r="EE23" s="198" t="s">
        <v>1453</v>
      </c>
      <c r="EF23" s="198" t="s">
        <v>1453</v>
      </c>
      <c r="EG23" s="198" t="s">
        <v>1453</v>
      </c>
      <c r="EH23" s="198" t="s">
        <v>1453</v>
      </c>
      <c r="EI23" s="198" t="s">
        <v>1453</v>
      </c>
      <c r="EJ23" s="198" t="s">
        <v>1453</v>
      </c>
      <c r="EK23" s="198" t="s">
        <v>1453</v>
      </c>
      <c r="EL23" s="198" t="s">
        <v>1453</v>
      </c>
      <c r="EM23" s="198" t="s">
        <v>1453</v>
      </c>
      <c r="EN23" s="198" t="s">
        <v>1453</v>
      </c>
      <c r="EO23" s="198" t="s">
        <v>1453</v>
      </c>
      <c r="EP23" s="198" t="s">
        <v>1453</v>
      </c>
      <c r="EQ23" s="198" t="s">
        <v>1453</v>
      </c>
      <c r="ER23" s="198" t="s">
        <v>1453</v>
      </c>
      <c r="ES23" s="198" t="s">
        <v>1453</v>
      </c>
      <c r="ET23" s="198" t="s">
        <v>1453</v>
      </c>
      <c r="EU23" s="198" t="s">
        <v>1453</v>
      </c>
      <c r="EV23" s="198" t="s">
        <v>1453</v>
      </c>
      <c r="EW23" s="198" t="s">
        <v>1453</v>
      </c>
      <c r="EX23" s="198" t="s">
        <v>1453</v>
      </c>
      <c r="EY23" s="198" t="s">
        <v>1453</v>
      </c>
      <c r="EZ23" s="198" t="s">
        <v>1477</v>
      </c>
      <c r="FA23" s="198" t="s">
        <v>1453</v>
      </c>
      <c r="FB23" s="198" t="s">
        <v>1453</v>
      </c>
      <c r="FC23" s="198" t="s">
        <v>1478</v>
      </c>
      <c r="FD23" s="198" t="s">
        <v>1453</v>
      </c>
      <c r="FE23" s="198" t="s">
        <v>1453</v>
      </c>
      <c r="FF23" s="198" t="s">
        <v>1453</v>
      </c>
      <c r="FG23" s="198" t="s">
        <v>1453</v>
      </c>
      <c r="FH23" s="198" t="s">
        <v>1453</v>
      </c>
      <c r="FI23" s="198" t="s">
        <v>1453</v>
      </c>
      <c r="FJ23" s="198" t="s">
        <v>1453</v>
      </c>
      <c r="FK23" s="198" t="s">
        <v>1453</v>
      </c>
      <c r="FL23" s="198" t="s">
        <v>1453</v>
      </c>
      <c r="FM23" s="198" t="s">
        <v>1453</v>
      </c>
    </row>
    <row r="24" ht="15.75" customHeight="1">
      <c r="A24" s="236" t="s">
        <v>1519</v>
      </c>
      <c r="B24" s="198" t="str">
        <f t="shared" si="3"/>
        <v>K6 </v>
      </c>
      <c r="C24" s="234">
        <v>6.0</v>
      </c>
      <c r="D24" s="232" t="s">
        <v>961</v>
      </c>
      <c r="E24" s="232" t="s">
        <v>962</v>
      </c>
      <c r="F24" s="232" t="s">
        <v>963</v>
      </c>
      <c r="G24" s="232" t="s">
        <v>852</v>
      </c>
      <c r="H24" s="232" t="s">
        <v>775</v>
      </c>
      <c r="I24" s="232" t="s">
        <v>1032</v>
      </c>
      <c r="J24" s="232" t="s">
        <v>1033</v>
      </c>
      <c r="K24" s="232" t="s">
        <v>1034</v>
      </c>
      <c r="L24" s="188" t="s">
        <v>147</v>
      </c>
      <c r="M24" s="236" t="str">
        <f>IFERROR(__xludf.DUMMYFUNCTION("regexreplace(N24,"" "","", "")"),"J5, J6, MF, ")</f>
        <v>J5, J6, MF, </v>
      </c>
      <c r="N24" s="236" t="str">
        <f t="shared" si="2"/>
        <v>J5 J6 MF </v>
      </c>
      <c r="O24" s="236" t="str">
        <f>IFERROR(__xludf.DUMMYFUNCTION("if(countif(ecn.list,CO24),OFFSET(INDIRECT(CONCAT(""A"",to_text(match(CO24,ecn.list,0)))),0,1),"""")"),"")</f>
        <v/>
      </c>
      <c r="P24" s="236" t="str">
        <f>IFERROR(__xludf.DUMMYFUNCTION("if(countif(ecn.list,CP24),OFFSET(INDIRECT(CONCAT(""A"",to_text(match(CP24,ecn.list,0)))),0,1),"""")"),"")</f>
        <v/>
      </c>
      <c r="Q24" s="236" t="str">
        <f>IFERROR(__xludf.DUMMYFUNCTION("if(countif(ecn.list,CQ24),OFFSET(INDIRECT(CONCAT(""A"",to_text(match(CQ24,ecn.list,0)))),0,1),"""")"),"")</f>
        <v/>
      </c>
      <c r="R24" s="236" t="str">
        <f>IFERROR(__xludf.DUMMYFUNCTION("if(countif(ecn.list,CR24),OFFSET(INDIRECT(CONCAT(""A"",to_text(match(CR24,ecn.list,0)))),0,1),"""")"),"")</f>
        <v/>
      </c>
      <c r="S24" s="236" t="str">
        <f>IFERROR(__xludf.DUMMYFUNCTION("if(countif(ecn.list,CS24),OFFSET(INDIRECT(CONCAT(""A"",to_text(match(CS24,ecn.list,0)))),0,1),"""")"),"")</f>
        <v/>
      </c>
      <c r="T24" s="236" t="str">
        <f>IFERROR(__xludf.DUMMYFUNCTION("if(countif(ecn.list,CT24),OFFSET(INDIRECT(CONCAT(""A"",to_text(match(CT24,ecn.list,0)))),0,1),"""")"),"J5 ")</f>
        <v>J5 </v>
      </c>
      <c r="U24" s="236" t="str">
        <f>IFERROR(__xludf.DUMMYFUNCTION("if(countif(ecn.list,CU24),OFFSET(INDIRECT(CONCAT(""A"",to_text(match(CU24,ecn.list,0)))),0,1),"""")"),"J6 ")</f>
        <v>J6 </v>
      </c>
      <c r="V24" s="236" t="str">
        <f>IFERROR(__xludf.DUMMYFUNCTION("if(countif(ecn.list,CV24),OFFSET(INDIRECT(CONCAT(""A"",to_text(match(CV24,ecn.list,0)))),0,1),"""")"),"")</f>
        <v/>
      </c>
      <c r="W24" s="236" t="str">
        <f>IFERROR(__xludf.DUMMYFUNCTION("if(countif(ecn.list,CW24),OFFSET(INDIRECT(CONCAT(""A"",to_text(match(CW24,ecn.list,0)))),0,1),"""")"),"")</f>
        <v/>
      </c>
      <c r="X24" s="236" t="str">
        <f>IFERROR(__xludf.DUMMYFUNCTION("if(countif(ecn.list,CX24),OFFSET(INDIRECT(CONCAT(""A"",to_text(match(CX24,ecn.list,0)))),0,1),"""")"),"")</f>
        <v/>
      </c>
      <c r="Y24" s="236" t="str">
        <f>IFERROR(__xludf.DUMMYFUNCTION("if(countif(ecn.list,CY24),OFFSET(INDIRECT(CONCAT(""A"",to_text(match(CY24,ecn.list,0)))),0,1),"""")"),"")</f>
        <v/>
      </c>
      <c r="Z24" s="236" t="str">
        <f>IFERROR(__xludf.DUMMYFUNCTION("if(countif(ecn.list,CZ24),OFFSET(INDIRECT(CONCAT(""A"",to_text(match(CZ24,ecn.list,0)))),0,1),"""")"),"")</f>
        <v/>
      </c>
      <c r="AA24" s="236" t="str">
        <f>IFERROR(__xludf.DUMMYFUNCTION("if(countif(ecn.list,DA24),OFFSET(INDIRECT(CONCAT(""A"",to_text(match(DA24,ecn.list,0)))),0,1),"""")"),"")</f>
        <v/>
      </c>
      <c r="AB24" s="236" t="str">
        <f>IFERROR(__xludf.DUMMYFUNCTION("if(countif(ecn.list,DB24),OFFSET(INDIRECT(CONCAT(""A"",to_text(match(DB24,ecn.list,0)))),0,1),"""")"),"")</f>
        <v/>
      </c>
      <c r="AC24" s="236" t="str">
        <f>IFERROR(__xludf.DUMMYFUNCTION("if(countif(ecn.list,DC24),OFFSET(INDIRECT(CONCAT(""A"",to_text(match(DC24,ecn.list,0)))),0,1),"""")"),"")</f>
        <v/>
      </c>
      <c r="AD24" s="236" t="str">
        <f>IFERROR(__xludf.DUMMYFUNCTION("if(countif(ecn.list,DD24),OFFSET(INDIRECT(CONCAT(""A"",to_text(match(DD24,ecn.list,0)))),0,1),"""")"),"")</f>
        <v/>
      </c>
      <c r="AE24" s="236" t="str">
        <f>IFERROR(__xludf.DUMMYFUNCTION("if(countif(ecn.list,DE24),OFFSET(INDIRECT(CONCAT(""A"",to_text(match(DE24,ecn.list,0)))),0,1),"""")"),"")</f>
        <v/>
      </c>
      <c r="AF24" s="236" t="str">
        <f>IFERROR(__xludf.DUMMYFUNCTION("if(countif(ecn.list,DF24),OFFSET(INDIRECT(CONCAT(""A"",to_text(match(DF24,ecn.list,0)))),0,1),"""")"),"")</f>
        <v/>
      </c>
      <c r="AG24" s="236" t="str">
        <f>IFERROR(__xludf.DUMMYFUNCTION("if(countif(ecn.list,DG24),OFFSET(INDIRECT(CONCAT(""A"",to_text(match(DG24,ecn.list,0)))),0,1),"""")"),"")</f>
        <v/>
      </c>
      <c r="AH24" s="236" t="str">
        <f>IFERROR(__xludf.DUMMYFUNCTION("if(countif(ecn.list,DH24),OFFSET(INDIRECT(CONCAT(""A"",to_text(match(DH24,ecn.list,0)))),0,1),"""")"),"")</f>
        <v/>
      </c>
      <c r="AI24" s="236" t="str">
        <f>IFERROR(__xludf.DUMMYFUNCTION("if(countif(ecn.list,DI24),OFFSET(INDIRECT(CONCAT(""A"",to_text(match(DI24,ecn.list,0)))),0,1),"""")"),"")</f>
        <v/>
      </c>
      <c r="AJ24" s="236" t="str">
        <f>IFERROR(__xludf.DUMMYFUNCTION("if(countif(ecn.list,DJ24),OFFSET(INDIRECT(CONCAT(""A"",to_text(match(DJ24,ecn.list,0)))),0,1),"""")"),"")</f>
        <v/>
      </c>
      <c r="AK24" s="236" t="str">
        <f>IFERROR(__xludf.DUMMYFUNCTION("if(countif(ecn.list,DK24),OFFSET(INDIRECT(CONCAT(""A"",to_text(match(DK24,ecn.list,0)))),0,1),"""")"),"")</f>
        <v/>
      </c>
      <c r="AL24" s="236" t="str">
        <f>IFERROR(__xludf.DUMMYFUNCTION("if(countif(ecn.list,DL24),OFFSET(INDIRECT(CONCAT(""A"",to_text(match(DL24,ecn.list,0)))),0,1),"""")"),"")</f>
        <v/>
      </c>
      <c r="AM24" s="236" t="str">
        <f>IFERROR(__xludf.DUMMYFUNCTION("if(countif(ecn.list,DM24),OFFSET(INDIRECT(CONCAT(""A"",to_text(match(DM24,ecn.list,0)))),0,1),"""")"),"")</f>
        <v/>
      </c>
      <c r="AN24" s="236" t="str">
        <f>IFERROR(__xludf.DUMMYFUNCTION("if(countif(ecn.list,DN24),OFFSET(INDIRECT(CONCAT(""A"",to_text(match(DN24,ecn.list,0)))),0,1),"""")"),"")</f>
        <v/>
      </c>
      <c r="AO24" s="236" t="str">
        <f>IFERROR(__xludf.DUMMYFUNCTION("if(countif(ecn.list,DO24),OFFSET(INDIRECT(CONCAT(""A"",to_text(match(DO24,ecn.list,0)))),0,1),"""")"),"")</f>
        <v/>
      </c>
      <c r="AP24" s="236" t="str">
        <f>IFERROR(__xludf.DUMMYFUNCTION("if(countif(ecn.list,DP24),OFFSET(INDIRECT(CONCAT(""A"",to_text(match(DP24,ecn.list,0)))),0,1),"""")"),"")</f>
        <v/>
      </c>
      <c r="AQ24" s="236" t="str">
        <f>IFERROR(__xludf.DUMMYFUNCTION("if(countif(ecn.list,DQ24),OFFSET(INDIRECT(CONCAT(""A"",to_text(match(DQ24,ecn.list,0)))),0,1),"""")"),"")</f>
        <v/>
      </c>
      <c r="AR24" s="236" t="str">
        <f>IFERROR(__xludf.DUMMYFUNCTION("if(countif(ecn.list,DR24),OFFSET(INDIRECT(CONCAT(""A"",to_text(match(DR24,ecn.list,0)))),0,1),"""")"),"")</f>
        <v/>
      </c>
      <c r="AS24" s="236" t="str">
        <f>IFERROR(__xludf.DUMMYFUNCTION("if(countif(ecn.list,DS24),OFFSET(INDIRECT(CONCAT(""A"",to_text(match(DS24,ecn.list,0)))),0,1),"""")"),"")</f>
        <v/>
      </c>
      <c r="AT24" s="236" t="str">
        <f>IFERROR(__xludf.DUMMYFUNCTION("if(countif(ecn.list,DT24),OFFSET(INDIRECT(CONCAT(""A"",to_text(match(DT24,ecn.list,0)))),0,1),"""")"),"")</f>
        <v/>
      </c>
      <c r="AU24" s="236" t="str">
        <f>IFERROR(__xludf.DUMMYFUNCTION("if(countif(ecn.list,DU24),OFFSET(INDIRECT(CONCAT(""A"",to_text(match(DU24,ecn.list,0)))),0,1),"""")"),"")</f>
        <v/>
      </c>
      <c r="AV24" s="236" t="str">
        <f>IFERROR(__xludf.DUMMYFUNCTION("if(countif(ecn.list,DV24),OFFSET(INDIRECT(CONCAT(""A"",to_text(match(DV24,ecn.list,0)))),0,1),"""")"),"")</f>
        <v/>
      </c>
      <c r="AW24" s="236" t="str">
        <f>IFERROR(__xludf.DUMMYFUNCTION("if(countif(ecn.list,DW24),OFFSET(INDIRECT(CONCAT(""A"",to_text(match(DW24,ecn.list,0)))),0,1),"""")"),"")</f>
        <v/>
      </c>
      <c r="AX24" s="236" t="str">
        <f>IFERROR(__xludf.DUMMYFUNCTION("if(countif(ecn.list,DX24),OFFSET(INDIRECT(CONCAT(""A"",to_text(match(DX24,ecn.list,0)))),0,1),"""")"),"")</f>
        <v/>
      </c>
      <c r="AY24" s="236" t="str">
        <f>IFERROR(__xludf.DUMMYFUNCTION("if(countif(ecn.list,DY24),OFFSET(INDIRECT(CONCAT(""A"",to_text(match(DY24,ecn.list,0)))),0,1),"""")"),"")</f>
        <v/>
      </c>
      <c r="AZ24" s="236" t="str">
        <f>IFERROR(__xludf.DUMMYFUNCTION("if(countif(ecn.list,DZ24),OFFSET(INDIRECT(CONCAT(""A"",to_text(match(DZ24,ecn.list,0)))),0,1),"""")"),"")</f>
        <v/>
      </c>
      <c r="BA24" s="236" t="str">
        <f>IFERROR(__xludf.DUMMYFUNCTION("if(countif(ecn.list,EA24),OFFSET(INDIRECT(CONCAT(""A"",to_text(match(EA24,ecn.list,0)))),0,1),"""")"),"")</f>
        <v/>
      </c>
      <c r="BB24" s="236" t="str">
        <f>IFERROR(__xludf.DUMMYFUNCTION("if(countif(ecn.list,EB24),OFFSET(INDIRECT(CONCAT(""A"",to_text(match(EB24,ecn.list,0)))),0,1),"""")"),"")</f>
        <v/>
      </c>
      <c r="BC24" s="236" t="str">
        <f>IFERROR(__xludf.DUMMYFUNCTION("if(countif(ecn.list,EC24),OFFSET(INDIRECT(CONCAT(""A"",to_text(match(EC24,ecn.list,0)))),0,1),"""")"),"")</f>
        <v/>
      </c>
      <c r="BD24" s="236" t="str">
        <f>IFERROR(__xludf.DUMMYFUNCTION("if(countif(ecn.list,ED24),OFFSET(INDIRECT(CONCAT(""A"",to_text(match(ED24,ecn.list,0)))),0,1),"""")"),"")</f>
        <v/>
      </c>
      <c r="BE24" s="236" t="str">
        <f>IFERROR(__xludf.DUMMYFUNCTION("if(countif(ecn.list,EE24),OFFSET(INDIRECT(CONCAT(""A"",to_text(match(EE24,ecn.list,0)))),0,1),"""")"),"")</f>
        <v/>
      </c>
      <c r="BF24" s="236" t="str">
        <f>IFERROR(__xludf.DUMMYFUNCTION("if(countif(ecn.list,EF24),OFFSET(INDIRECT(CONCAT(""A"",to_text(match(EF24,ecn.list,0)))),0,1),"""")"),"")</f>
        <v/>
      </c>
      <c r="BG24" s="236" t="str">
        <f>IFERROR(__xludf.DUMMYFUNCTION("if(countif(ecn.list,EG24),OFFSET(INDIRECT(CONCAT(""A"",to_text(match(EG24,ecn.list,0)))),0,1),"""")"),"")</f>
        <v/>
      </c>
      <c r="BH24" s="236" t="str">
        <f>IFERROR(__xludf.DUMMYFUNCTION("if(countif(ecn.list,EH24),OFFSET(INDIRECT(CONCAT(""A"",to_text(match(EH24,ecn.list,0)))),0,1),"""")"),"")</f>
        <v/>
      </c>
      <c r="BI24" s="236" t="str">
        <f>IFERROR(__xludf.DUMMYFUNCTION("if(countif(ecn.list,EI24),OFFSET(INDIRECT(CONCAT(""A"",to_text(match(EI24,ecn.list,0)))),0,1),"""")"),"")</f>
        <v/>
      </c>
      <c r="BJ24" s="236" t="str">
        <f>IFERROR(__xludf.DUMMYFUNCTION("if(countif(ecn.list,EJ24),OFFSET(INDIRECT(CONCAT(""A"",to_text(match(EJ24,ecn.list,0)))),0,1),"""")"),"")</f>
        <v/>
      </c>
      <c r="BK24" s="236" t="str">
        <f>IFERROR(__xludf.DUMMYFUNCTION("if(countif(ecn.list,EK24),OFFSET(INDIRECT(CONCAT(""A"",to_text(match(EK24,ecn.list,0)))),0,1),"""")"),"")</f>
        <v/>
      </c>
      <c r="BL24" s="236" t="str">
        <f>IFERROR(__xludf.DUMMYFUNCTION("if(countif(ecn.list,EL24),OFFSET(INDIRECT(CONCAT(""A"",to_text(match(EL24,ecn.list,0)))),0,1),"""")"),"")</f>
        <v/>
      </c>
      <c r="BM24" s="236" t="str">
        <f>IFERROR(__xludf.DUMMYFUNCTION("if(countif(ecn.list,EM24),OFFSET(INDIRECT(CONCAT(""A"",to_text(match(EM24,ecn.list,0)))),0,1),"""")"),"")</f>
        <v/>
      </c>
      <c r="BN24" s="236" t="str">
        <f>IFERROR(__xludf.DUMMYFUNCTION("if(countif(ecn.list,EN24),OFFSET(INDIRECT(CONCAT(""A"",to_text(match(EN24,ecn.list,0)))),0,1),"""")"),"")</f>
        <v/>
      </c>
      <c r="BO24" s="236" t="str">
        <f>IFERROR(__xludf.DUMMYFUNCTION("if(countif(ecn.list,EO24),OFFSET(INDIRECT(CONCAT(""A"",to_text(match(EO24,ecn.list,0)))),0,1),"""")"),"")</f>
        <v/>
      </c>
      <c r="BP24" s="236" t="str">
        <f>IFERROR(__xludf.DUMMYFUNCTION("if(countif(ecn.list,EP24),OFFSET(INDIRECT(CONCAT(""A"",to_text(match(EP24,ecn.list,0)))),0,1),"""")"),"")</f>
        <v/>
      </c>
      <c r="BQ24" s="236" t="str">
        <f>IFERROR(__xludf.DUMMYFUNCTION("if(countif(ecn.list,EQ24),OFFSET(INDIRECT(CONCAT(""A"",to_text(match(EQ24,ecn.list,0)))),0,1),"""")"),"")</f>
        <v/>
      </c>
      <c r="BR24" s="236" t="str">
        <f>IFERROR(__xludf.DUMMYFUNCTION("if(countif(ecn.list,ER24),OFFSET(INDIRECT(CONCAT(""A"",to_text(match(ER24,ecn.list,0)))),0,1),"""")"),"")</f>
        <v/>
      </c>
      <c r="BS24" s="236" t="str">
        <f>IFERROR(__xludf.DUMMYFUNCTION("if(countif(ecn.list,ES24),OFFSET(INDIRECT(CONCAT(""A"",to_text(match(ES24,ecn.list,0)))),0,1),"""")"),"")</f>
        <v/>
      </c>
      <c r="BT24" s="236" t="str">
        <f>IFERROR(__xludf.DUMMYFUNCTION("if(countif(ecn.list,ET24),OFFSET(INDIRECT(CONCAT(""A"",to_text(match(ET24,ecn.list,0)))),0,1),"""")"),"")</f>
        <v/>
      </c>
      <c r="BU24" s="236" t="str">
        <f>IFERROR(__xludf.DUMMYFUNCTION("if(countif(ecn.list,EU24),OFFSET(INDIRECT(CONCAT(""A"",to_text(match(EU24,ecn.list,0)))),0,1),"""")"),"")</f>
        <v/>
      </c>
      <c r="BV24" s="236" t="str">
        <f>IFERROR(__xludf.DUMMYFUNCTION("if(countif(ecn.list,EV24),OFFSET(INDIRECT(CONCAT(""A"",to_text(match(EV24,ecn.list,0)))),0,1),"""")"),"")</f>
        <v/>
      </c>
      <c r="BW24" s="236" t="str">
        <f>IFERROR(__xludf.DUMMYFUNCTION("if(countif(ecn.list,EW24),OFFSET(INDIRECT(CONCAT(""A"",to_text(match(EW24,ecn.list,0)))),0,1),"""")"),"")</f>
        <v/>
      </c>
      <c r="BX24" s="236" t="str">
        <f>IFERROR(__xludf.DUMMYFUNCTION("if(countif(ecn.list,EX24),OFFSET(INDIRECT(CONCAT(""A"",to_text(match(EX24,ecn.list,0)))),0,1),"""")"),"")</f>
        <v/>
      </c>
      <c r="BY24" s="236" t="str">
        <f>IFERROR(__xludf.DUMMYFUNCTION("if(countif(ecn.list,EY24),OFFSET(INDIRECT(CONCAT(""A"",to_text(match(EY24,ecn.list,0)))),0,1),"""")"),"")</f>
        <v/>
      </c>
      <c r="BZ24" s="236" t="str">
        <f>IFERROR(__xludf.DUMMYFUNCTION("if(countif(ecn.list,EZ24),OFFSET(INDIRECT(CONCAT(""A"",to_text(match(EZ24,ecn.list,0)))),0,1),"""")"),"MF ")</f>
        <v>MF </v>
      </c>
      <c r="CA24" s="236" t="str">
        <f>IFERROR(__xludf.DUMMYFUNCTION("if(countif(ecn.list,FA24),OFFSET(INDIRECT(CONCAT(""A"",to_text(match(FA24,ecn.list,0)))),0,1),"""")"),"")</f>
        <v/>
      </c>
      <c r="CB24" s="236" t="str">
        <f>IFERROR(__xludf.DUMMYFUNCTION("if(countif(ecn.list,FB24),OFFSET(INDIRECT(CONCAT(""A"",to_text(match(FB24,ecn.list,0)))),0,1),"""")"),"")</f>
        <v/>
      </c>
      <c r="CC24" s="236" t="str">
        <f>IFERROR(__xludf.DUMMYFUNCTION("if(countif(ecn.list,FC24),OFFSET(INDIRECT(CONCAT(""A"",to_text(match(FC24,ecn.list,0)))),0,1),"""")"),"")</f>
        <v/>
      </c>
      <c r="CD24" s="236" t="str">
        <f>IFERROR(__xludf.DUMMYFUNCTION("if(countif(ecn.list,FD24),OFFSET(INDIRECT(CONCAT(""A"",to_text(match(FD24,ecn.list,0)))),0,1),"""")"),"")</f>
        <v/>
      </c>
      <c r="CE24" s="236" t="str">
        <f>IFERROR(__xludf.DUMMYFUNCTION("if(countif(ecn.list,FE24),OFFSET(INDIRECT(CONCAT(""A"",to_text(match(FE24,ecn.list,0)))),0,1),"""")"),"")</f>
        <v/>
      </c>
      <c r="CF24" s="236" t="str">
        <f>IFERROR(__xludf.DUMMYFUNCTION("if(countif(ecn.list,FF24),OFFSET(INDIRECT(CONCAT(""A"",to_text(match(FF24,ecn.list,0)))),0,1),"""")"),"")</f>
        <v/>
      </c>
      <c r="CG24" s="236" t="str">
        <f>IFERROR(__xludf.DUMMYFUNCTION("if(countif(ecn.list,FG24),OFFSET(INDIRECT(CONCAT(""A"",to_text(match(FG24,ecn.list,0)))),0,1),"""")"),"")</f>
        <v/>
      </c>
      <c r="CH24" s="236" t="str">
        <f>IFERROR(__xludf.DUMMYFUNCTION("if(countif(ecn.list,FH24),OFFSET(INDIRECT(CONCAT(""A"",to_text(match(FH24,ecn.list,0)))),0,1),"""")"),"")</f>
        <v/>
      </c>
      <c r="CI24" s="236" t="str">
        <f>IFERROR(__xludf.DUMMYFUNCTION("if(countif(ecn.list,FI24),OFFSET(INDIRECT(CONCAT(""A"",to_text(match(FI24,ecn.list,0)))),0,1),"""")"),"")</f>
        <v/>
      </c>
      <c r="CJ24" s="236" t="str">
        <f>IFERROR(__xludf.DUMMYFUNCTION("if(countif(ecn.list,FJ24),OFFSET(INDIRECT(CONCAT(""A"",to_text(match(FJ24,ecn.list,0)))),0,1),"""")"),"")</f>
        <v/>
      </c>
      <c r="CK24" s="236" t="str">
        <f>IFERROR(__xludf.DUMMYFUNCTION("if(countif(ecn.list,FK24),OFFSET(INDIRECT(CONCAT(""A"",to_text(match(FK24,ecn.list,0)))),0,1),"""")"),"")</f>
        <v/>
      </c>
      <c r="CL24" s="236" t="str">
        <f>IFERROR(__xludf.DUMMYFUNCTION("if(countif(ecn.list,FL24),OFFSET(INDIRECT(CONCAT(""A"",to_text(match(FL24,ecn.list,0)))),0,1),"""")"),"")</f>
        <v/>
      </c>
      <c r="CM24" s="236" t="str">
        <f>IFERROR(__xludf.DUMMYFUNCTION("if(countif(ecn.list,FM24),OFFSET(INDIRECT(CONCAT(""A"",to_text(match(FM24,ecn.list,0)))),0,1),"""")"),"")</f>
        <v/>
      </c>
      <c r="CN24" s="198" t="s">
        <v>147</v>
      </c>
      <c r="CO24" s="198" t="s">
        <v>1453</v>
      </c>
      <c r="CP24" s="198" t="s">
        <v>1453</v>
      </c>
      <c r="CQ24" s="198" t="s">
        <v>1453</v>
      </c>
      <c r="CR24" s="198" t="s">
        <v>1453</v>
      </c>
      <c r="CS24" s="198" t="s">
        <v>1453</v>
      </c>
      <c r="CT24" s="198" t="s">
        <v>1454</v>
      </c>
      <c r="CU24" s="198" t="s">
        <v>1455</v>
      </c>
      <c r="CV24" s="198" t="s">
        <v>1453</v>
      </c>
      <c r="CW24" s="198" t="s">
        <v>1453</v>
      </c>
      <c r="CX24" s="198" t="s">
        <v>1453</v>
      </c>
      <c r="CY24" s="198" t="s">
        <v>1453</v>
      </c>
      <c r="CZ24" s="198" t="s">
        <v>1453</v>
      </c>
      <c r="DA24" s="198" t="s">
        <v>1453</v>
      </c>
      <c r="DB24" s="198" t="s">
        <v>1453</v>
      </c>
      <c r="DC24" s="198" t="s">
        <v>1453</v>
      </c>
      <c r="DD24" s="198" t="s">
        <v>1453</v>
      </c>
      <c r="DE24" s="198" t="s">
        <v>1453</v>
      </c>
      <c r="DF24" s="198" t="s">
        <v>1453</v>
      </c>
      <c r="DG24" s="198" t="s">
        <v>1453</v>
      </c>
      <c r="DH24" s="198" t="s">
        <v>1453</v>
      </c>
      <c r="DI24" s="198" t="s">
        <v>1453</v>
      </c>
      <c r="DJ24" s="198" t="s">
        <v>1453</v>
      </c>
      <c r="DK24" s="198" t="s">
        <v>1453</v>
      </c>
      <c r="DL24" s="198" t="s">
        <v>1453</v>
      </c>
      <c r="DM24" s="198" t="s">
        <v>1453</v>
      </c>
      <c r="DN24" s="198" t="s">
        <v>1453</v>
      </c>
      <c r="DO24" s="198" t="s">
        <v>1453</v>
      </c>
      <c r="DP24" s="198" t="s">
        <v>1453</v>
      </c>
      <c r="DQ24" s="198" t="s">
        <v>1453</v>
      </c>
      <c r="DR24" s="198" t="s">
        <v>1453</v>
      </c>
      <c r="DS24" s="198" t="s">
        <v>1453</v>
      </c>
      <c r="DT24" s="198" t="s">
        <v>1453</v>
      </c>
      <c r="DU24" s="198" t="s">
        <v>1453</v>
      </c>
      <c r="DV24" s="198" t="s">
        <v>1453</v>
      </c>
      <c r="DW24" s="198" t="s">
        <v>1453</v>
      </c>
      <c r="DX24" s="198" t="s">
        <v>1453</v>
      </c>
      <c r="DY24" s="198" t="s">
        <v>1453</v>
      </c>
      <c r="DZ24" s="198" t="s">
        <v>1453</v>
      </c>
      <c r="EA24" s="198" t="s">
        <v>1453</v>
      </c>
      <c r="EB24" s="198" t="s">
        <v>1453</v>
      </c>
      <c r="EC24" s="198" t="s">
        <v>1453</v>
      </c>
      <c r="ED24" s="198" t="s">
        <v>1453</v>
      </c>
      <c r="EE24" s="198" t="s">
        <v>1453</v>
      </c>
      <c r="EF24" s="198" t="s">
        <v>1453</v>
      </c>
      <c r="EG24" s="198" t="s">
        <v>1453</v>
      </c>
      <c r="EH24" s="198" t="s">
        <v>1453</v>
      </c>
      <c r="EI24" s="198" t="s">
        <v>1453</v>
      </c>
      <c r="EJ24" s="198" t="s">
        <v>1453</v>
      </c>
      <c r="EK24" s="198" t="s">
        <v>1453</v>
      </c>
      <c r="EL24" s="198" t="s">
        <v>1453</v>
      </c>
      <c r="EM24" s="198" t="s">
        <v>1453</v>
      </c>
      <c r="EN24" s="198" t="s">
        <v>1453</v>
      </c>
      <c r="EO24" s="198" t="s">
        <v>1453</v>
      </c>
      <c r="EP24" s="198" t="s">
        <v>1453</v>
      </c>
      <c r="EQ24" s="198" t="s">
        <v>1453</v>
      </c>
      <c r="ER24" s="198" t="s">
        <v>1453</v>
      </c>
      <c r="ES24" s="198" t="s">
        <v>1453</v>
      </c>
      <c r="ET24" s="198" t="s">
        <v>1453</v>
      </c>
      <c r="EU24" s="198" t="s">
        <v>1453</v>
      </c>
      <c r="EV24" s="198" t="s">
        <v>1453</v>
      </c>
      <c r="EW24" s="198" t="s">
        <v>1453</v>
      </c>
      <c r="EX24" s="198" t="s">
        <v>1453</v>
      </c>
      <c r="EY24" s="198" t="s">
        <v>1453</v>
      </c>
      <c r="EZ24" s="198" t="s">
        <v>1477</v>
      </c>
      <c r="FA24" s="198" t="s">
        <v>1453</v>
      </c>
      <c r="FB24" s="198" t="s">
        <v>1453</v>
      </c>
      <c r="FC24" s="198" t="s">
        <v>1453</v>
      </c>
      <c r="FD24" s="198" t="s">
        <v>1453</v>
      </c>
      <c r="FE24" s="198" t="s">
        <v>1453</v>
      </c>
      <c r="FF24" s="198" t="s">
        <v>1453</v>
      </c>
      <c r="FG24" s="198" t="s">
        <v>1453</v>
      </c>
      <c r="FH24" s="198" t="s">
        <v>1453</v>
      </c>
      <c r="FI24" s="198" t="s">
        <v>1453</v>
      </c>
      <c r="FJ24" s="198" t="s">
        <v>1453</v>
      </c>
      <c r="FK24" s="198" t="s">
        <v>1453</v>
      </c>
      <c r="FL24" s="198" t="s">
        <v>1453</v>
      </c>
      <c r="FM24" s="198" t="s">
        <v>1453</v>
      </c>
    </row>
    <row r="25" ht="15.75" customHeight="1">
      <c r="A25" s="236" t="s">
        <v>1461</v>
      </c>
      <c r="B25" s="198" t="str">
        <f t="shared" si="3"/>
        <v>K7 </v>
      </c>
      <c r="C25" s="234">
        <v>7.0</v>
      </c>
      <c r="D25" s="232" t="s">
        <v>770</v>
      </c>
      <c r="E25" s="232" t="s">
        <v>1448</v>
      </c>
      <c r="F25" s="232" t="s">
        <v>1449</v>
      </c>
      <c r="G25" s="232" t="s">
        <v>1450</v>
      </c>
      <c r="H25" s="232" t="s">
        <v>876</v>
      </c>
      <c r="I25" s="232" t="s">
        <v>987</v>
      </c>
      <c r="J25" s="232" t="s">
        <v>1497</v>
      </c>
      <c r="K25" s="232" t="s">
        <v>995</v>
      </c>
      <c r="L25" s="188" t="s">
        <v>150</v>
      </c>
      <c r="M25" s="236" t="str">
        <f>IFERROR(__xludf.DUMMYFUNCTION("regexreplace(N25,"" "","", "")"),"J0, J1, J2, J3, J5, J6, J7, JC, JD, JF, K0, K1, K2, K3, K4, K5, K7, K8, K9, KA, KB, KC, KD, KE, KF, L1, L2, L3, L7, L8, L9, LA, LC, LF, M0, M1, M3, M4, M8, MB, MF, N2, N6, N7, NA, ")</f>
        <v>J0, J1, J2, J3, J5, J6, J7, JC, JD, JF, K0, K1, K2, K3, K4, K5, K7, K8, K9, KA, KB, KC, KD, KE, KF, L1, L2, L3, L7, L8, L9, LA, LC, LF, M0, M1, M3, M4, M8, MB, MF, N2, N6, N7, NA, </v>
      </c>
      <c r="N25" s="236" t="str">
        <f t="shared" si="2"/>
        <v>J0 J1 J2 J3 J5 J6 J7 JC JD JF K0 K1 K2 K3 K4 K5 K7 K8 K9 KA KB KC KD KE KF L1 L2 L3 L7 L8 L9 LA LC LF M0 M1 M3 M4 M8 MB MF N2 N6 N7 NA </v>
      </c>
      <c r="O25" s="236" t="str">
        <f>IFERROR(__xludf.DUMMYFUNCTION("if(countif(ecn.list,CO25),OFFSET(INDIRECT(CONCAT(""A"",to_text(match(CO25,ecn.list,0)))),0,1),"""")"),"J0 ")</f>
        <v>J0 </v>
      </c>
      <c r="P25" s="236" t="str">
        <f>IFERROR(__xludf.DUMMYFUNCTION("if(countif(ecn.list,CP25),OFFSET(INDIRECT(CONCAT(""A"",to_text(match(CP25,ecn.list,0)))),0,1),"""")"),"J1 ")</f>
        <v>J1 </v>
      </c>
      <c r="Q25" s="236" t="str">
        <f>IFERROR(__xludf.DUMMYFUNCTION("if(countif(ecn.list,CQ25),OFFSET(INDIRECT(CONCAT(""A"",to_text(match(CQ25,ecn.list,0)))),0,1),"""")"),"J2 ")</f>
        <v>J2 </v>
      </c>
      <c r="R25" s="236" t="str">
        <f>IFERROR(__xludf.DUMMYFUNCTION("if(countif(ecn.list,CR25),OFFSET(INDIRECT(CONCAT(""A"",to_text(match(CR25,ecn.list,0)))),0,1),"""")"),"J3 ")</f>
        <v>J3 </v>
      </c>
      <c r="S25" s="236" t="str">
        <f>IFERROR(__xludf.DUMMYFUNCTION("if(countif(ecn.list,CS25),OFFSET(INDIRECT(CONCAT(""A"",to_text(match(CS25,ecn.list,0)))),0,1),"""")"),"")</f>
        <v/>
      </c>
      <c r="T25" s="236" t="str">
        <f>IFERROR(__xludf.DUMMYFUNCTION("if(countif(ecn.list,CT25),OFFSET(INDIRECT(CONCAT(""A"",to_text(match(CT25,ecn.list,0)))),0,1),"""")"),"J5 ")</f>
        <v>J5 </v>
      </c>
      <c r="U25" s="236" t="str">
        <f>IFERROR(__xludf.DUMMYFUNCTION("if(countif(ecn.list,CU25),OFFSET(INDIRECT(CONCAT(""A"",to_text(match(CU25,ecn.list,0)))),0,1),"""")"),"J6 ")</f>
        <v>J6 </v>
      </c>
      <c r="V25" s="236" t="str">
        <f>IFERROR(__xludf.DUMMYFUNCTION("if(countif(ecn.list,CV25),OFFSET(INDIRECT(CONCAT(""A"",to_text(match(CV25,ecn.list,0)))),0,1),"""")"),"J7 ")</f>
        <v>J7 </v>
      </c>
      <c r="W25" s="236" t="str">
        <f>IFERROR(__xludf.DUMMYFUNCTION("if(countif(ecn.list,CW25),OFFSET(INDIRECT(CONCAT(""A"",to_text(match(CW25,ecn.list,0)))),0,1),"""")"),"")</f>
        <v/>
      </c>
      <c r="X25" s="236" t="str">
        <f>IFERROR(__xludf.DUMMYFUNCTION("if(countif(ecn.list,CX25),OFFSET(INDIRECT(CONCAT(""A"",to_text(match(CX25,ecn.list,0)))),0,1),"""")"),"")</f>
        <v/>
      </c>
      <c r="Y25" s="236" t="str">
        <f>IFERROR(__xludf.DUMMYFUNCTION("if(countif(ecn.list,CY25),OFFSET(INDIRECT(CONCAT(""A"",to_text(match(CY25,ecn.list,0)))),0,1),"""")"),"")</f>
        <v/>
      </c>
      <c r="Z25" s="236" t="str">
        <f>IFERROR(__xludf.DUMMYFUNCTION("if(countif(ecn.list,CZ25),OFFSET(INDIRECT(CONCAT(""A"",to_text(match(CZ25,ecn.list,0)))),0,1),"""")"),"")</f>
        <v/>
      </c>
      <c r="AA25" s="236" t="str">
        <f>IFERROR(__xludf.DUMMYFUNCTION("if(countif(ecn.list,DA25),OFFSET(INDIRECT(CONCAT(""A"",to_text(match(DA25,ecn.list,0)))),0,1),"""")"),"JC ")</f>
        <v>JC </v>
      </c>
      <c r="AB25" s="236" t="str">
        <f>IFERROR(__xludf.DUMMYFUNCTION("if(countif(ecn.list,DB25),OFFSET(INDIRECT(CONCAT(""A"",to_text(match(DB25,ecn.list,0)))),0,1),"""")"),"JD ")</f>
        <v>JD </v>
      </c>
      <c r="AC25" s="236" t="str">
        <f>IFERROR(__xludf.DUMMYFUNCTION("if(countif(ecn.list,DC25),OFFSET(INDIRECT(CONCAT(""A"",to_text(match(DC25,ecn.list,0)))),0,1),"""")"),"")</f>
        <v/>
      </c>
      <c r="AD25" s="236" t="str">
        <f>IFERROR(__xludf.DUMMYFUNCTION("if(countif(ecn.list,DD25),OFFSET(INDIRECT(CONCAT(""A"",to_text(match(DD25,ecn.list,0)))),0,1),"""")"),"JF ")</f>
        <v>JF </v>
      </c>
      <c r="AE25" s="236" t="str">
        <f>IFERROR(__xludf.DUMMYFUNCTION("if(countif(ecn.list,DE25),OFFSET(INDIRECT(CONCAT(""A"",to_text(match(DE25,ecn.list,0)))),0,1),"""")"),"K0 ")</f>
        <v>K0 </v>
      </c>
      <c r="AF25" s="236" t="str">
        <f>IFERROR(__xludf.DUMMYFUNCTION("if(countif(ecn.list,DF25),OFFSET(INDIRECT(CONCAT(""A"",to_text(match(DF25,ecn.list,0)))),0,1),"""")"),"K1 ")</f>
        <v>K1 </v>
      </c>
      <c r="AG25" s="236" t="str">
        <f>IFERROR(__xludf.DUMMYFUNCTION("if(countif(ecn.list,DG25),OFFSET(INDIRECT(CONCAT(""A"",to_text(match(DG25,ecn.list,0)))),0,1),"""")"),"K2 ")</f>
        <v>K2 </v>
      </c>
      <c r="AH25" s="236" t="str">
        <f>IFERROR(__xludf.DUMMYFUNCTION("if(countif(ecn.list,DH25),OFFSET(INDIRECT(CONCAT(""A"",to_text(match(DH25,ecn.list,0)))),0,1),"""")"),"K3 ")</f>
        <v>K3 </v>
      </c>
      <c r="AI25" s="236" t="str">
        <f>IFERROR(__xludf.DUMMYFUNCTION("if(countif(ecn.list,DI25),OFFSET(INDIRECT(CONCAT(""A"",to_text(match(DI25,ecn.list,0)))),0,1),"""")"),"K4 ")</f>
        <v>K4 </v>
      </c>
      <c r="AJ25" s="236" t="str">
        <f>IFERROR(__xludf.DUMMYFUNCTION("if(countif(ecn.list,DJ25),OFFSET(INDIRECT(CONCAT(""A"",to_text(match(DJ25,ecn.list,0)))),0,1),"""")"),"K5 ")</f>
        <v>K5 </v>
      </c>
      <c r="AK25" s="236" t="str">
        <f>IFERROR(__xludf.DUMMYFUNCTION("if(countif(ecn.list,DK25),OFFSET(INDIRECT(CONCAT(""A"",to_text(match(DK25,ecn.list,0)))),0,1),"""")"),"")</f>
        <v/>
      </c>
      <c r="AL25" s="236" t="str">
        <f>IFERROR(__xludf.DUMMYFUNCTION("if(countif(ecn.list,DL25),OFFSET(INDIRECT(CONCAT(""A"",to_text(match(DL25,ecn.list,0)))),0,1),"""")"),"K7 ")</f>
        <v>K7 </v>
      </c>
      <c r="AM25" s="236" t="str">
        <f>IFERROR(__xludf.DUMMYFUNCTION("if(countif(ecn.list,DM25),OFFSET(INDIRECT(CONCAT(""A"",to_text(match(DM25,ecn.list,0)))),0,1),"""")"),"K8 ")</f>
        <v>K8 </v>
      </c>
      <c r="AN25" s="236" t="str">
        <f>IFERROR(__xludf.DUMMYFUNCTION("if(countif(ecn.list,DN25),OFFSET(INDIRECT(CONCAT(""A"",to_text(match(DN25,ecn.list,0)))),0,1),"""")"),"K9 ")</f>
        <v>K9 </v>
      </c>
      <c r="AO25" s="236" t="str">
        <f>IFERROR(__xludf.DUMMYFUNCTION("if(countif(ecn.list,DO25),OFFSET(INDIRECT(CONCAT(""A"",to_text(match(DO25,ecn.list,0)))),0,1),"""")"),"KA ")</f>
        <v>KA </v>
      </c>
      <c r="AP25" s="236" t="str">
        <f>IFERROR(__xludf.DUMMYFUNCTION("if(countif(ecn.list,DP25),OFFSET(INDIRECT(CONCAT(""A"",to_text(match(DP25,ecn.list,0)))),0,1),"""")"),"KB ")</f>
        <v>KB </v>
      </c>
      <c r="AQ25" s="236" t="str">
        <f>IFERROR(__xludf.DUMMYFUNCTION("if(countif(ecn.list,DQ25),OFFSET(INDIRECT(CONCAT(""A"",to_text(match(DQ25,ecn.list,0)))),0,1),"""")"),"KC ")</f>
        <v>KC </v>
      </c>
      <c r="AR25" s="236" t="str">
        <f>IFERROR(__xludf.DUMMYFUNCTION("if(countif(ecn.list,DR25),OFFSET(INDIRECT(CONCAT(""A"",to_text(match(DR25,ecn.list,0)))),0,1),"""")"),"KD ")</f>
        <v>KD </v>
      </c>
      <c r="AS25" s="236" t="str">
        <f>IFERROR(__xludf.DUMMYFUNCTION("if(countif(ecn.list,DS25),OFFSET(INDIRECT(CONCAT(""A"",to_text(match(DS25,ecn.list,0)))),0,1),"""")"),"KE ")</f>
        <v>KE </v>
      </c>
      <c r="AT25" s="236" t="str">
        <f>IFERROR(__xludf.DUMMYFUNCTION("if(countif(ecn.list,DT25),OFFSET(INDIRECT(CONCAT(""A"",to_text(match(DT25,ecn.list,0)))),0,1),"""")"),"KF ")</f>
        <v>KF </v>
      </c>
      <c r="AU25" s="236" t="str">
        <f>IFERROR(__xludf.DUMMYFUNCTION("if(countif(ecn.list,DU25),OFFSET(INDIRECT(CONCAT(""A"",to_text(match(DU25,ecn.list,0)))),0,1),"""")"),"")</f>
        <v/>
      </c>
      <c r="AV25" s="236" t="str">
        <f>IFERROR(__xludf.DUMMYFUNCTION("if(countif(ecn.list,DV25),OFFSET(INDIRECT(CONCAT(""A"",to_text(match(DV25,ecn.list,0)))),0,1),"""")"),"L1 ")</f>
        <v>L1 </v>
      </c>
      <c r="AW25" s="236" t="str">
        <f>IFERROR(__xludf.DUMMYFUNCTION("if(countif(ecn.list,DW25),OFFSET(INDIRECT(CONCAT(""A"",to_text(match(DW25,ecn.list,0)))),0,1),"""")"),"L2 ")</f>
        <v>L2 </v>
      </c>
      <c r="AX25" s="236" t="str">
        <f>IFERROR(__xludf.DUMMYFUNCTION("if(countif(ecn.list,DX25),OFFSET(INDIRECT(CONCAT(""A"",to_text(match(DX25,ecn.list,0)))),0,1),"""")"),"L3 ")</f>
        <v>L3 </v>
      </c>
      <c r="AY25" s="236" t="str">
        <f>IFERROR(__xludf.DUMMYFUNCTION("if(countif(ecn.list,DY25),OFFSET(INDIRECT(CONCAT(""A"",to_text(match(DY25,ecn.list,0)))),0,1),"""")"),"")</f>
        <v/>
      </c>
      <c r="AZ25" s="236" t="str">
        <f>IFERROR(__xludf.DUMMYFUNCTION("if(countif(ecn.list,DZ25),OFFSET(INDIRECT(CONCAT(""A"",to_text(match(DZ25,ecn.list,0)))),0,1),"""")"),"")</f>
        <v/>
      </c>
      <c r="BA25" s="236" t="str">
        <f>IFERROR(__xludf.DUMMYFUNCTION("if(countif(ecn.list,EA25),OFFSET(INDIRECT(CONCAT(""A"",to_text(match(EA25,ecn.list,0)))),0,1),"""")"),"")</f>
        <v/>
      </c>
      <c r="BB25" s="236" t="str">
        <f>IFERROR(__xludf.DUMMYFUNCTION("if(countif(ecn.list,EB25),OFFSET(INDIRECT(CONCAT(""A"",to_text(match(EB25,ecn.list,0)))),0,1),"""")"),"L7 ")</f>
        <v>L7 </v>
      </c>
      <c r="BC25" s="236" t="str">
        <f>IFERROR(__xludf.DUMMYFUNCTION("if(countif(ecn.list,EC25),OFFSET(INDIRECT(CONCAT(""A"",to_text(match(EC25,ecn.list,0)))),0,1),"""")"),"L8 ")</f>
        <v>L8 </v>
      </c>
      <c r="BD25" s="236" t="str">
        <f>IFERROR(__xludf.DUMMYFUNCTION("if(countif(ecn.list,ED25),OFFSET(INDIRECT(CONCAT(""A"",to_text(match(ED25,ecn.list,0)))),0,1),"""")"),"L9 ")</f>
        <v>L9 </v>
      </c>
      <c r="BE25" s="236" t="str">
        <f>IFERROR(__xludf.DUMMYFUNCTION("if(countif(ecn.list,EE25),OFFSET(INDIRECT(CONCAT(""A"",to_text(match(EE25,ecn.list,0)))),0,1),"""")"),"LA ")</f>
        <v>LA </v>
      </c>
      <c r="BF25" s="236" t="str">
        <f>IFERROR(__xludf.DUMMYFUNCTION("if(countif(ecn.list,EF25),OFFSET(INDIRECT(CONCAT(""A"",to_text(match(EF25,ecn.list,0)))),0,1),"""")"),"")</f>
        <v/>
      </c>
      <c r="BG25" s="236" t="str">
        <f>IFERROR(__xludf.DUMMYFUNCTION("if(countif(ecn.list,EG25),OFFSET(INDIRECT(CONCAT(""A"",to_text(match(EG25,ecn.list,0)))),0,1),"""")"),"LC ")</f>
        <v>LC </v>
      </c>
      <c r="BH25" s="236" t="str">
        <f>IFERROR(__xludf.DUMMYFUNCTION("if(countif(ecn.list,EH25),OFFSET(INDIRECT(CONCAT(""A"",to_text(match(EH25,ecn.list,0)))),0,1),"""")"),"")</f>
        <v/>
      </c>
      <c r="BI25" s="236" t="str">
        <f>IFERROR(__xludf.DUMMYFUNCTION("if(countif(ecn.list,EI25),OFFSET(INDIRECT(CONCAT(""A"",to_text(match(EI25,ecn.list,0)))),0,1),"""")"),"")</f>
        <v/>
      </c>
      <c r="BJ25" s="236" t="str">
        <f>IFERROR(__xludf.DUMMYFUNCTION("if(countif(ecn.list,EJ25),OFFSET(INDIRECT(CONCAT(""A"",to_text(match(EJ25,ecn.list,0)))),0,1),"""")"),"LF ")</f>
        <v>LF </v>
      </c>
      <c r="BK25" s="236" t="str">
        <f>IFERROR(__xludf.DUMMYFUNCTION("if(countif(ecn.list,EK25),OFFSET(INDIRECT(CONCAT(""A"",to_text(match(EK25,ecn.list,0)))),0,1),"""")"),"M0 ")</f>
        <v>M0 </v>
      </c>
      <c r="BL25" s="236" t="str">
        <f>IFERROR(__xludf.DUMMYFUNCTION("if(countif(ecn.list,EL25),OFFSET(INDIRECT(CONCAT(""A"",to_text(match(EL25,ecn.list,0)))),0,1),"""")"),"M1 ")</f>
        <v>M1 </v>
      </c>
      <c r="BM25" s="236" t="str">
        <f>IFERROR(__xludf.DUMMYFUNCTION("if(countif(ecn.list,EM25),OFFSET(INDIRECT(CONCAT(""A"",to_text(match(EM25,ecn.list,0)))),0,1),"""")"),"")</f>
        <v/>
      </c>
      <c r="BN25" s="236" t="str">
        <f>IFERROR(__xludf.DUMMYFUNCTION("if(countif(ecn.list,EN25),OFFSET(INDIRECT(CONCAT(""A"",to_text(match(EN25,ecn.list,0)))),0,1),"""")"),"M3 ")</f>
        <v>M3 </v>
      </c>
      <c r="BO25" s="236" t="str">
        <f>IFERROR(__xludf.DUMMYFUNCTION("if(countif(ecn.list,EO25),OFFSET(INDIRECT(CONCAT(""A"",to_text(match(EO25,ecn.list,0)))),0,1),"""")"),"M4 ")</f>
        <v>M4 </v>
      </c>
      <c r="BP25" s="236" t="str">
        <f>IFERROR(__xludf.DUMMYFUNCTION("if(countif(ecn.list,EP25),OFFSET(INDIRECT(CONCAT(""A"",to_text(match(EP25,ecn.list,0)))),0,1),"""")"),"")</f>
        <v/>
      </c>
      <c r="BQ25" s="236" t="str">
        <f>IFERROR(__xludf.DUMMYFUNCTION("if(countif(ecn.list,EQ25),OFFSET(INDIRECT(CONCAT(""A"",to_text(match(EQ25,ecn.list,0)))),0,1),"""")"),"")</f>
        <v/>
      </c>
      <c r="BR25" s="236" t="str">
        <f>IFERROR(__xludf.DUMMYFUNCTION("if(countif(ecn.list,ER25),OFFSET(INDIRECT(CONCAT(""A"",to_text(match(ER25,ecn.list,0)))),0,1),"""")"),"")</f>
        <v/>
      </c>
      <c r="BS25" s="236" t="str">
        <f>IFERROR(__xludf.DUMMYFUNCTION("if(countif(ecn.list,ES25),OFFSET(INDIRECT(CONCAT(""A"",to_text(match(ES25,ecn.list,0)))),0,1),"""")"),"M8 ")</f>
        <v>M8 </v>
      </c>
      <c r="BT25" s="236" t="str">
        <f>IFERROR(__xludf.DUMMYFUNCTION("if(countif(ecn.list,ET25),OFFSET(INDIRECT(CONCAT(""A"",to_text(match(ET25,ecn.list,0)))),0,1),"""")"),"")</f>
        <v/>
      </c>
      <c r="BU25" s="236" t="str">
        <f>IFERROR(__xludf.DUMMYFUNCTION("if(countif(ecn.list,EU25),OFFSET(INDIRECT(CONCAT(""A"",to_text(match(EU25,ecn.list,0)))),0,1),"""")"),"")</f>
        <v/>
      </c>
      <c r="BV25" s="236" t="str">
        <f>IFERROR(__xludf.DUMMYFUNCTION("if(countif(ecn.list,EV25),OFFSET(INDIRECT(CONCAT(""A"",to_text(match(EV25,ecn.list,0)))),0,1),"""")"),"MB ")</f>
        <v>MB </v>
      </c>
      <c r="BW25" s="236" t="str">
        <f>IFERROR(__xludf.DUMMYFUNCTION("if(countif(ecn.list,EW25),OFFSET(INDIRECT(CONCAT(""A"",to_text(match(EW25,ecn.list,0)))),0,1),"""")"),"")</f>
        <v/>
      </c>
      <c r="BX25" s="236" t="str">
        <f>IFERROR(__xludf.DUMMYFUNCTION("if(countif(ecn.list,EX25),OFFSET(INDIRECT(CONCAT(""A"",to_text(match(EX25,ecn.list,0)))),0,1),"""")"),"")</f>
        <v/>
      </c>
      <c r="BY25" s="236" t="str">
        <f>IFERROR(__xludf.DUMMYFUNCTION("if(countif(ecn.list,EY25),OFFSET(INDIRECT(CONCAT(""A"",to_text(match(EY25,ecn.list,0)))),0,1),"""")"),"")</f>
        <v/>
      </c>
      <c r="BZ25" s="236" t="str">
        <f>IFERROR(__xludf.DUMMYFUNCTION("if(countif(ecn.list,EZ25),OFFSET(INDIRECT(CONCAT(""A"",to_text(match(EZ25,ecn.list,0)))),0,1),"""")"),"MF ")</f>
        <v>MF </v>
      </c>
      <c r="CA25" s="236" t="str">
        <f>IFERROR(__xludf.DUMMYFUNCTION("if(countif(ecn.list,FA25),OFFSET(INDIRECT(CONCAT(""A"",to_text(match(FA25,ecn.list,0)))),0,1),"""")"),"")</f>
        <v/>
      </c>
      <c r="CB25" s="236" t="str">
        <f>IFERROR(__xludf.DUMMYFUNCTION("if(countif(ecn.list,FB25),OFFSET(INDIRECT(CONCAT(""A"",to_text(match(FB25,ecn.list,0)))),0,1),"""")"),"")</f>
        <v/>
      </c>
      <c r="CC25" s="236" t="str">
        <f>IFERROR(__xludf.DUMMYFUNCTION("if(countif(ecn.list,FC25),OFFSET(INDIRECT(CONCAT(""A"",to_text(match(FC25,ecn.list,0)))),0,1),"""")"),"N2 ")</f>
        <v>N2 </v>
      </c>
      <c r="CD25" s="236" t="str">
        <f>IFERROR(__xludf.DUMMYFUNCTION("if(countif(ecn.list,FD25),OFFSET(INDIRECT(CONCAT(""A"",to_text(match(FD25,ecn.list,0)))),0,1),"""")"),"")</f>
        <v/>
      </c>
      <c r="CE25" s="236" t="str">
        <f>IFERROR(__xludf.DUMMYFUNCTION("if(countif(ecn.list,FE25),OFFSET(INDIRECT(CONCAT(""A"",to_text(match(FE25,ecn.list,0)))),0,1),"""")"),"")</f>
        <v/>
      </c>
      <c r="CF25" s="236" t="str">
        <f>IFERROR(__xludf.DUMMYFUNCTION("if(countif(ecn.list,FF25),OFFSET(INDIRECT(CONCAT(""A"",to_text(match(FF25,ecn.list,0)))),0,1),"""")"),"")</f>
        <v/>
      </c>
      <c r="CG25" s="236" t="str">
        <f>IFERROR(__xludf.DUMMYFUNCTION("if(countif(ecn.list,FG25),OFFSET(INDIRECT(CONCAT(""A"",to_text(match(FG25,ecn.list,0)))),0,1),"""")"),"N6 ")</f>
        <v>N6 </v>
      </c>
      <c r="CH25" s="236" t="str">
        <f>IFERROR(__xludf.DUMMYFUNCTION("if(countif(ecn.list,FH25),OFFSET(INDIRECT(CONCAT(""A"",to_text(match(FH25,ecn.list,0)))),0,1),"""")"),"N7 ")</f>
        <v>N7 </v>
      </c>
      <c r="CI25" s="236" t="str">
        <f>IFERROR(__xludf.DUMMYFUNCTION("if(countif(ecn.list,FI25),OFFSET(INDIRECT(CONCAT(""A"",to_text(match(FI25,ecn.list,0)))),0,1),"""")"),"")</f>
        <v/>
      </c>
      <c r="CJ25" s="236" t="str">
        <f>IFERROR(__xludf.DUMMYFUNCTION("if(countif(ecn.list,FJ25),OFFSET(INDIRECT(CONCAT(""A"",to_text(match(FJ25,ecn.list,0)))),0,1),"""")"),"")</f>
        <v/>
      </c>
      <c r="CK25" s="236" t="str">
        <f>IFERROR(__xludf.DUMMYFUNCTION("if(countif(ecn.list,FK25),OFFSET(INDIRECT(CONCAT(""A"",to_text(match(FK25,ecn.list,0)))),0,1),"""")"),"NA ")</f>
        <v>NA </v>
      </c>
      <c r="CL25" s="236" t="str">
        <f>IFERROR(__xludf.DUMMYFUNCTION("if(countif(ecn.list,FL25),OFFSET(INDIRECT(CONCAT(""A"",to_text(match(FL25,ecn.list,0)))),0,1),"""")"),"")</f>
        <v/>
      </c>
      <c r="CM25" s="236" t="str">
        <f>IFERROR(__xludf.DUMMYFUNCTION("if(countif(ecn.list,FM25),OFFSET(INDIRECT(CONCAT(""A"",to_text(match(FM25,ecn.list,0)))),0,1),"""")"),"")</f>
        <v/>
      </c>
      <c r="CN25" s="198" t="s">
        <v>150</v>
      </c>
      <c r="CO25" s="198" t="s">
        <v>1447</v>
      </c>
      <c r="CP25" s="198" t="s">
        <v>1451</v>
      </c>
      <c r="CQ25" s="198" t="s">
        <v>1452</v>
      </c>
      <c r="CR25" s="198" t="s">
        <v>1490</v>
      </c>
      <c r="CS25" s="198" t="s">
        <v>1453</v>
      </c>
      <c r="CT25" s="198" t="s">
        <v>1454</v>
      </c>
      <c r="CU25" s="198" t="s">
        <v>1455</v>
      </c>
      <c r="CV25" s="198" t="s">
        <v>1456</v>
      </c>
      <c r="CW25" s="198" t="s">
        <v>1453</v>
      </c>
      <c r="CX25" s="198" t="s">
        <v>1453</v>
      </c>
      <c r="CY25" s="198" t="s">
        <v>1453</v>
      </c>
      <c r="CZ25" s="198" t="s">
        <v>1453</v>
      </c>
      <c r="DA25" s="198" t="s">
        <v>1457</v>
      </c>
      <c r="DB25" s="198" t="s">
        <v>1485</v>
      </c>
      <c r="DC25" s="198" t="s">
        <v>1453</v>
      </c>
      <c r="DD25" s="198" t="s">
        <v>1458</v>
      </c>
      <c r="DE25" s="198" t="s">
        <v>1459</v>
      </c>
      <c r="DF25" s="198" t="s">
        <v>1498</v>
      </c>
      <c r="DG25" s="198" t="s">
        <v>1499</v>
      </c>
      <c r="DH25" s="198" t="s">
        <v>1500</v>
      </c>
      <c r="DI25" s="198" t="s">
        <v>1501</v>
      </c>
      <c r="DJ25" s="198" t="s">
        <v>1460</v>
      </c>
      <c r="DK25" s="198" t="s">
        <v>1453</v>
      </c>
      <c r="DL25" s="198" t="s">
        <v>1461</v>
      </c>
      <c r="DM25" s="198" t="s">
        <v>1462</v>
      </c>
      <c r="DN25" s="198" t="s">
        <v>1463</v>
      </c>
      <c r="DO25" s="198" t="s">
        <v>1464</v>
      </c>
      <c r="DP25" s="198" t="s">
        <v>1465</v>
      </c>
      <c r="DQ25" s="198" t="s">
        <v>1466</v>
      </c>
      <c r="DR25" s="198" t="s">
        <v>1467</v>
      </c>
      <c r="DS25" s="198" t="s">
        <v>1515</v>
      </c>
      <c r="DT25" s="198" t="s">
        <v>1468</v>
      </c>
      <c r="DU25" s="198" t="s">
        <v>1453</v>
      </c>
      <c r="DV25" s="198" t="s">
        <v>1469</v>
      </c>
      <c r="DW25" s="198" t="s">
        <v>1502</v>
      </c>
      <c r="DX25" s="198" t="s">
        <v>1503</v>
      </c>
      <c r="DY25" s="198" t="s">
        <v>1453</v>
      </c>
      <c r="DZ25" s="198" t="s">
        <v>1453</v>
      </c>
      <c r="EA25" s="198" t="s">
        <v>1453</v>
      </c>
      <c r="EB25" s="198" t="s">
        <v>1504</v>
      </c>
      <c r="EC25" s="198" t="s">
        <v>1483</v>
      </c>
      <c r="ED25" s="198" t="s">
        <v>1516</v>
      </c>
      <c r="EE25" s="198" t="s">
        <v>1470</v>
      </c>
      <c r="EF25" s="198" t="s">
        <v>1453</v>
      </c>
      <c r="EG25" s="198" t="s">
        <v>1471</v>
      </c>
      <c r="EH25" s="198" t="s">
        <v>1453</v>
      </c>
      <c r="EI25" s="198" t="s">
        <v>1453</v>
      </c>
      <c r="EJ25" s="198" t="s">
        <v>1472</v>
      </c>
      <c r="EK25" s="198" t="s">
        <v>1487</v>
      </c>
      <c r="EL25" s="198" t="s">
        <v>1473</v>
      </c>
      <c r="EM25" s="198" t="s">
        <v>1453</v>
      </c>
      <c r="EN25" s="198" t="s">
        <v>1474</v>
      </c>
      <c r="EO25" s="198" t="s">
        <v>1475</v>
      </c>
      <c r="EP25" s="198" t="s">
        <v>1453</v>
      </c>
      <c r="EQ25" s="198" t="s">
        <v>1453</v>
      </c>
      <c r="ER25" s="198" t="s">
        <v>1453</v>
      </c>
      <c r="ES25" s="198" t="s">
        <v>1505</v>
      </c>
      <c r="ET25" s="198" t="s">
        <v>1453</v>
      </c>
      <c r="EU25" s="198" t="s">
        <v>1453</v>
      </c>
      <c r="EV25" s="198" t="s">
        <v>1476</v>
      </c>
      <c r="EW25" s="198" t="s">
        <v>1453</v>
      </c>
      <c r="EX25" s="198" t="s">
        <v>1453</v>
      </c>
      <c r="EY25" s="198" t="s">
        <v>1453</v>
      </c>
      <c r="EZ25" s="198" t="s">
        <v>1477</v>
      </c>
      <c r="FA25" s="198" t="s">
        <v>1453</v>
      </c>
      <c r="FB25" s="198" t="s">
        <v>1453</v>
      </c>
      <c r="FC25" s="198" t="s">
        <v>1478</v>
      </c>
      <c r="FD25" s="198" t="s">
        <v>1453</v>
      </c>
      <c r="FE25" s="198" t="s">
        <v>1453</v>
      </c>
      <c r="FF25" s="198" t="s">
        <v>1453</v>
      </c>
      <c r="FG25" s="198" t="s">
        <v>1517</v>
      </c>
      <c r="FH25" s="198" t="s">
        <v>1479</v>
      </c>
      <c r="FI25" s="198" t="s">
        <v>1453</v>
      </c>
      <c r="FJ25" s="198" t="s">
        <v>1453</v>
      </c>
      <c r="FK25" s="198" t="s">
        <v>1481</v>
      </c>
      <c r="FL25" s="198" t="s">
        <v>1482</v>
      </c>
      <c r="FM25" s="198" t="s">
        <v>1453</v>
      </c>
    </row>
    <row r="26" ht="15.75" customHeight="1">
      <c r="A26" s="198" t="s">
        <v>1462</v>
      </c>
      <c r="B26" s="198" t="str">
        <f t="shared" si="3"/>
        <v>K8 </v>
      </c>
      <c r="C26" s="234">
        <v>8.0</v>
      </c>
      <c r="D26" s="232" t="s">
        <v>770</v>
      </c>
      <c r="E26" s="232" t="s">
        <v>1448</v>
      </c>
      <c r="F26" s="232" t="s">
        <v>1449</v>
      </c>
      <c r="G26" s="232" t="s">
        <v>1450</v>
      </c>
      <c r="H26" s="232" t="s">
        <v>876</v>
      </c>
      <c r="I26" s="232" t="s">
        <v>985</v>
      </c>
      <c r="J26" s="232" t="s">
        <v>881</v>
      </c>
      <c r="K26" s="232" t="s">
        <v>1126</v>
      </c>
      <c r="L26" s="188" t="s">
        <v>153</v>
      </c>
      <c r="M26" s="236" t="str">
        <f>IFERROR(__xludf.DUMMYFUNCTION("regexreplace(N26,"" "","", "")"),"J0, J1, J2, J5, J6, J7, JA, JB, JC, JF, K0, K3, K4, K5, K7, K8, K9, KA, KB, KC, KD, KF, L1, L8, LA, LC, LF, M0, M1, M3, M4, M7, M8, MB, MF, N2, N7, NA, ")</f>
        <v>J0, J1, J2, J5, J6, J7, JA, JB, JC, JF, K0, K3, K4, K5, K7, K8, K9, KA, KB, KC, KD, KF, L1, L8, LA, LC, LF, M0, M1, M3, M4, M7, M8, MB, MF, N2, N7, NA, </v>
      </c>
      <c r="N26" s="236" t="str">
        <f t="shared" si="2"/>
        <v>J0 J1 J2 J5 J6 J7 JA JB JC JF K0 K3 K4 K5 K7 K8 K9 KA KB KC KD KF L1 L8 LA LC LF M0 M1 M3 M4 M7 M8 MB MF N2 N7 NA </v>
      </c>
      <c r="O26" s="236" t="str">
        <f>IFERROR(__xludf.DUMMYFUNCTION("if(countif(ecn.list,CO26),OFFSET(INDIRECT(CONCAT(""A"",to_text(match(CO26,ecn.list,0)))),0,1),"""")"),"J0 ")</f>
        <v>J0 </v>
      </c>
      <c r="P26" s="236" t="str">
        <f>IFERROR(__xludf.DUMMYFUNCTION("if(countif(ecn.list,CP26),OFFSET(INDIRECT(CONCAT(""A"",to_text(match(CP26,ecn.list,0)))),0,1),"""")"),"J1 ")</f>
        <v>J1 </v>
      </c>
      <c r="Q26" s="236" t="str">
        <f>IFERROR(__xludf.DUMMYFUNCTION("if(countif(ecn.list,CQ26),OFFSET(INDIRECT(CONCAT(""A"",to_text(match(CQ26,ecn.list,0)))),0,1),"""")"),"J2 ")</f>
        <v>J2 </v>
      </c>
      <c r="R26" s="236" t="str">
        <f>IFERROR(__xludf.DUMMYFUNCTION("if(countif(ecn.list,CR26),OFFSET(INDIRECT(CONCAT(""A"",to_text(match(CR26,ecn.list,0)))),0,1),"""")"),"")</f>
        <v/>
      </c>
      <c r="S26" s="236" t="str">
        <f>IFERROR(__xludf.DUMMYFUNCTION("if(countif(ecn.list,CS26),OFFSET(INDIRECT(CONCAT(""A"",to_text(match(CS26,ecn.list,0)))),0,1),"""")"),"")</f>
        <v/>
      </c>
      <c r="T26" s="236" t="str">
        <f>IFERROR(__xludf.DUMMYFUNCTION("if(countif(ecn.list,CT26),OFFSET(INDIRECT(CONCAT(""A"",to_text(match(CT26,ecn.list,0)))),0,1),"""")"),"J5 ")</f>
        <v>J5 </v>
      </c>
      <c r="U26" s="236" t="str">
        <f>IFERROR(__xludf.DUMMYFUNCTION("if(countif(ecn.list,CU26),OFFSET(INDIRECT(CONCAT(""A"",to_text(match(CU26,ecn.list,0)))),0,1),"""")"),"J6 ")</f>
        <v>J6 </v>
      </c>
      <c r="V26" s="236" t="str">
        <f>IFERROR(__xludf.DUMMYFUNCTION("if(countif(ecn.list,CV26),OFFSET(INDIRECT(CONCAT(""A"",to_text(match(CV26,ecn.list,0)))),0,1),"""")"),"J7 ")</f>
        <v>J7 </v>
      </c>
      <c r="W26" s="236" t="str">
        <f>IFERROR(__xludf.DUMMYFUNCTION("if(countif(ecn.list,CW26),OFFSET(INDIRECT(CONCAT(""A"",to_text(match(CW26,ecn.list,0)))),0,1),"""")"),"")</f>
        <v/>
      </c>
      <c r="X26" s="236" t="str">
        <f>IFERROR(__xludf.DUMMYFUNCTION("if(countif(ecn.list,CX26),OFFSET(INDIRECT(CONCAT(""A"",to_text(match(CX26,ecn.list,0)))),0,1),"""")"),"")</f>
        <v/>
      </c>
      <c r="Y26" s="236" t="str">
        <f>IFERROR(__xludf.DUMMYFUNCTION("if(countif(ecn.list,CY26),OFFSET(INDIRECT(CONCAT(""A"",to_text(match(CY26,ecn.list,0)))),0,1),"""")"),"JA ")</f>
        <v>JA </v>
      </c>
      <c r="Z26" s="236" t="str">
        <f>IFERROR(__xludf.DUMMYFUNCTION("if(countif(ecn.list,CZ26),OFFSET(INDIRECT(CONCAT(""A"",to_text(match(CZ26,ecn.list,0)))),0,1),"""")"),"JB ")</f>
        <v>JB </v>
      </c>
      <c r="AA26" s="236" t="str">
        <f>IFERROR(__xludf.DUMMYFUNCTION("if(countif(ecn.list,DA26),OFFSET(INDIRECT(CONCAT(""A"",to_text(match(DA26,ecn.list,0)))),0,1),"""")"),"JC ")</f>
        <v>JC </v>
      </c>
      <c r="AB26" s="236" t="str">
        <f>IFERROR(__xludf.DUMMYFUNCTION("if(countif(ecn.list,DB26),OFFSET(INDIRECT(CONCAT(""A"",to_text(match(DB26,ecn.list,0)))),0,1),"""")"),"")</f>
        <v/>
      </c>
      <c r="AC26" s="236" t="str">
        <f>IFERROR(__xludf.DUMMYFUNCTION("if(countif(ecn.list,DC26),OFFSET(INDIRECT(CONCAT(""A"",to_text(match(DC26,ecn.list,0)))),0,1),"""")"),"")</f>
        <v/>
      </c>
      <c r="AD26" s="236" t="str">
        <f>IFERROR(__xludf.DUMMYFUNCTION("if(countif(ecn.list,DD26),OFFSET(INDIRECT(CONCAT(""A"",to_text(match(DD26,ecn.list,0)))),0,1),"""")"),"JF ")</f>
        <v>JF </v>
      </c>
      <c r="AE26" s="236" t="str">
        <f>IFERROR(__xludf.DUMMYFUNCTION("if(countif(ecn.list,DE26),OFFSET(INDIRECT(CONCAT(""A"",to_text(match(DE26,ecn.list,0)))),0,1),"""")"),"K0 ")</f>
        <v>K0 </v>
      </c>
      <c r="AF26" s="236" t="str">
        <f>IFERROR(__xludf.DUMMYFUNCTION("if(countif(ecn.list,DF26),OFFSET(INDIRECT(CONCAT(""A"",to_text(match(DF26,ecn.list,0)))),0,1),"""")"),"")</f>
        <v/>
      </c>
      <c r="AG26" s="236" t="str">
        <f>IFERROR(__xludf.DUMMYFUNCTION("if(countif(ecn.list,DG26),OFFSET(INDIRECT(CONCAT(""A"",to_text(match(DG26,ecn.list,0)))),0,1),"""")"),"")</f>
        <v/>
      </c>
      <c r="AH26" s="236" t="str">
        <f>IFERROR(__xludf.DUMMYFUNCTION("if(countif(ecn.list,DH26),OFFSET(INDIRECT(CONCAT(""A"",to_text(match(DH26,ecn.list,0)))),0,1),"""")"),"K3 ")</f>
        <v>K3 </v>
      </c>
      <c r="AI26" s="236" t="str">
        <f>IFERROR(__xludf.DUMMYFUNCTION("if(countif(ecn.list,DI26),OFFSET(INDIRECT(CONCAT(""A"",to_text(match(DI26,ecn.list,0)))),0,1),"""")"),"K4 ")</f>
        <v>K4 </v>
      </c>
      <c r="AJ26" s="236" t="str">
        <f>IFERROR(__xludf.DUMMYFUNCTION("if(countif(ecn.list,DJ26),OFFSET(INDIRECT(CONCAT(""A"",to_text(match(DJ26,ecn.list,0)))),0,1),"""")"),"K5 ")</f>
        <v>K5 </v>
      </c>
      <c r="AK26" s="236" t="str">
        <f>IFERROR(__xludf.DUMMYFUNCTION("if(countif(ecn.list,DK26),OFFSET(INDIRECT(CONCAT(""A"",to_text(match(DK26,ecn.list,0)))),0,1),"""")"),"")</f>
        <v/>
      </c>
      <c r="AL26" s="236" t="str">
        <f>IFERROR(__xludf.DUMMYFUNCTION("if(countif(ecn.list,DL26),OFFSET(INDIRECT(CONCAT(""A"",to_text(match(DL26,ecn.list,0)))),0,1),"""")"),"K7 ")</f>
        <v>K7 </v>
      </c>
      <c r="AM26" s="236" t="str">
        <f>IFERROR(__xludf.DUMMYFUNCTION("if(countif(ecn.list,DM26),OFFSET(INDIRECT(CONCAT(""A"",to_text(match(DM26,ecn.list,0)))),0,1),"""")"),"K8 ")</f>
        <v>K8 </v>
      </c>
      <c r="AN26" s="236" t="str">
        <f>IFERROR(__xludf.DUMMYFUNCTION("if(countif(ecn.list,DN26),OFFSET(INDIRECT(CONCAT(""A"",to_text(match(DN26,ecn.list,0)))),0,1),"""")"),"K9 ")</f>
        <v>K9 </v>
      </c>
      <c r="AO26" s="236" t="str">
        <f>IFERROR(__xludf.DUMMYFUNCTION("if(countif(ecn.list,DO26),OFFSET(INDIRECT(CONCAT(""A"",to_text(match(DO26,ecn.list,0)))),0,1),"""")"),"KA ")</f>
        <v>KA </v>
      </c>
      <c r="AP26" s="236" t="str">
        <f>IFERROR(__xludf.DUMMYFUNCTION("if(countif(ecn.list,DP26),OFFSET(INDIRECT(CONCAT(""A"",to_text(match(DP26,ecn.list,0)))),0,1),"""")"),"KB ")</f>
        <v>KB </v>
      </c>
      <c r="AQ26" s="236" t="str">
        <f>IFERROR(__xludf.DUMMYFUNCTION("if(countif(ecn.list,DQ26),OFFSET(INDIRECT(CONCAT(""A"",to_text(match(DQ26,ecn.list,0)))),0,1),"""")"),"KC ")</f>
        <v>KC </v>
      </c>
      <c r="AR26" s="236" t="str">
        <f>IFERROR(__xludf.DUMMYFUNCTION("if(countif(ecn.list,DR26),OFFSET(INDIRECT(CONCAT(""A"",to_text(match(DR26,ecn.list,0)))),0,1),"""")"),"KD ")</f>
        <v>KD </v>
      </c>
      <c r="AS26" s="236" t="str">
        <f>IFERROR(__xludf.DUMMYFUNCTION("if(countif(ecn.list,DS26),OFFSET(INDIRECT(CONCAT(""A"",to_text(match(DS26,ecn.list,0)))),0,1),"""")"),"")</f>
        <v/>
      </c>
      <c r="AT26" s="236" t="str">
        <f>IFERROR(__xludf.DUMMYFUNCTION("if(countif(ecn.list,DT26),OFFSET(INDIRECT(CONCAT(""A"",to_text(match(DT26,ecn.list,0)))),0,1),"""")"),"KF ")</f>
        <v>KF </v>
      </c>
      <c r="AU26" s="236" t="str">
        <f>IFERROR(__xludf.DUMMYFUNCTION("if(countif(ecn.list,DU26),OFFSET(INDIRECT(CONCAT(""A"",to_text(match(DU26,ecn.list,0)))),0,1),"""")"),"")</f>
        <v/>
      </c>
      <c r="AV26" s="236" t="str">
        <f>IFERROR(__xludf.DUMMYFUNCTION("if(countif(ecn.list,DV26),OFFSET(INDIRECT(CONCAT(""A"",to_text(match(DV26,ecn.list,0)))),0,1),"""")"),"L1 ")</f>
        <v>L1 </v>
      </c>
      <c r="AW26" s="236" t="str">
        <f>IFERROR(__xludf.DUMMYFUNCTION("if(countif(ecn.list,DW26),OFFSET(INDIRECT(CONCAT(""A"",to_text(match(DW26,ecn.list,0)))),0,1),"""")"),"")</f>
        <v/>
      </c>
      <c r="AX26" s="236" t="str">
        <f>IFERROR(__xludf.DUMMYFUNCTION("if(countif(ecn.list,DX26),OFFSET(INDIRECT(CONCAT(""A"",to_text(match(DX26,ecn.list,0)))),0,1),"""")"),"")</f>
        <v/>
      </c>
      <c r="AY26" s="236" t="str">
        <f>IFERROR(__xludf.DUMMYFUNCTION("if(countif(ecn.list,DY26),OFFSET(INDIRECT(CONCAT(""A"",to_text(match(DY26,ecn.list,0)))),0,1),"""")"),"")</f>
        <v/>
      </c>
      <c r="AZ26" s="236" t="str">
        <f>IFERROR(__xludf.DUMMYFUNCTION("if(countif(ecn.list,DZ26),OFFSET(INDIRECT(CONCAT(""A"",to_text(match(DZ26,ecn.list,0)))),0,1),"""")"),"")</f>
        <v/>
      </c>
      <c r="BA26" s="236" t="str">
        <f>IFERROR(__xludf.DUMMYFUNCTION("if(countif(ecn.list,EA26),OFFSET(INDIRECT(CONCAT(""A"",to_text(match(EA26,ecn.list,0)))),0,1),"""")"),"")</f>
        <v/>
      </c>
      <c r="BB26" s="236" t="str">
        <f>IFERROR(__xludf.DUMMYFUNCTION("if(countif(ecn.list,EB26),OFFSET(INDIRECT(CONCAT(""A"",to_text(match(EB26,ecn.list,0)))),0,1),"""")"),"")</f>
        <v/>
      </c>
      <c r="BC26" s="236" t="str">
        <f>IFERROR(__xludf.DUMMYFUNCTION("if(countif(ecn.list,EC26),OFFSET(INDIRECT(CONCAT(""A"",to_text(match(EC26,ecn.list,0)))),0,1),"""")"),"L8 ")</f>
        <v>L8 </v>
      </c>
      <c r="BD26" s="236" t="str">
        <f>IFERROR(__xludf.DUMMYFUNCTION("if(countif(ecn.list,ED26),OFFSET(INDIRECT(CONCAT(""A"",to_text(match(ED26,ecn.list,0)))),0,1),"""")"),"")</f>
        <v/>
      </c>
      <c r="BE26" s="236" t="str">
        <f>IFERROR(__xludf.DUMMYFUNCTION("if(countif(ecn.list,EE26),OFFSET(INDIRECT(CONCAT(""A"",to_text(match(EE26,ecn.list,0)))),0,1),"""")"),"LA ")</f>
        <v>LA </v>
      </c>
      <c r="BF26" s="236" t="str">
        <f>IFERROR(__xludf.DUMMYFUNCTION("if(countif(ecn.list,EF26),OFFSET(INDIRECT(CONCAT(""A"",to_text(match(EF26,ecn.list,0)))),0,1),"""")"),"")</f>
        <v/>
      </c>
      <c r="BG26" s="236" t="str">
        <f>IFERROR(__xludf.DUMMYFUNCTION("if(countif(ecn.list,EG26),OFFSET(INDIRECT(CONCAT(""A"",to_text(match(EG26,ecn.list,0)))),0,1),"""")"),"LC ")</f>
        <v>LC </v>
      </c>
      <c r="BH26" s="236" t="str">
        <f>IFERROR(__xludf.DUMMYFUNCTION("if(countif(ecn.list,EH26),OFFSET(INDIRECT(CONCAT(""A"",to_text(match(EH26,ecn.list,0)))),0,1),"""")"),"")</f>
        <v/>
      </c>
      <c r="BI26" s="236" t="str">
        <f>IFERROR(__xludf.DUMMYFUNCTION("if(countif(ecn.list,EI26),OFFSET(INDIRECT(CONCAT(""A"",to_text(match(EI26,ecn.list,0)))),0,1),"""")"),"")</f>
        <v/>
      </c>
      <c r="BJ26" s="236" t="str">
        <f>IFERROR(__xludf.DUMMYFUNCTION("if(countif(ecn.list,EJ26),OFFSET(INDIRECT(CONCAT(""A"",to_text(match(EJ26,ecn.list,0)))),0,1),"""")"),"LF ")</f>
        <v>LF </v>
      </c>
      <c r="BK26" s="236" t="str">
        <f>IFERROR(__xludf.DUMMYFUNCTION("if(countif(ecn.list,EK26),OFFSET(INDIRECT(CONCAT(""A"",to_text(match(EK26,ecn.list,0)))),0,1),"""")"),"M0 ")</f>
        <v>M0 </v>
      </c>
      <c r="BL26" s="236" t="str">
        <f>IFERROR(__xludf.DUMMYFUNCTION("if(countif(ecn.list,EL26),OFFSET(INDIRECT(CONCAT(""A"",to_text(match(EL26,ecn.list,0)))),0,1),"""")"),"M1 ")</f>
        <v>M1 </v>
      </c>
      <c r="BM26" s="236" t="str">
        <f>IFERROR(__xludf.DUMMYFUNCTION("if(countif(ecn.list,EM26),OFFSET(INDIRECT(CONCAT(""A"",to_text(match(EM26,ecn.list,0)))),0,1),"""")"),"")</f>
        <v/>
      </c>
      <c r="BN26" s="236" t="str">
        <f>IFERROR(__xludf.DUMMYFUNCTION("if(countif(ecn.list,EN26),OFFSET(INDIRECT(CONCAT(""A"",to_text(match(EN26,ecn.list,0)))),0,1),"""")"),"M3 ")</f>
        <v>M3 </v>
      </c>
      <c r="BO26" s="236" t="str">
        <f>IFERROR(__xludf.DUMMYFUNCTION("if(countif(ecn.list,EO26),OFFSET(INDIRECT(CONCAT(""A"",to_text(match(EO26,ecn.list,0)))),0,1),"""")"),"M4 ")</f>
        <v>M4 </v>
      </c>
      <c r="BP26" s="236" t="str">
        <f>IFERROR(__xludf.DUMMYFUNCTION("if(countif(ecn.list,EP26),OFFSET(INDIRECT(CONCAT(""A"",to_text(match(EP26,ecn.list,0)))),0,1),"""")"),"")</f>
        <v/>
      </c>
      <c r="BQ26" s="236" t="str">
        <f>IFERROR(__xludf.DUMMYFUNCTION("if(countif(ecn.list,EQ26),OFFSET(INDIRECT(CONCAT(""A"",to_text(match(EQ26,ecn.list,0)))),0,1),"""")"),"")</f>
        <v/>
      </c>
      <c r="BR26" s="236" t="str">
        <f>IFERROR(__xludf.DUMMYFUNCTION("if(countif(ecn.list,ER26),OFFSET(INDIRECT(CONCAT(""A"",to_text(match(ER26,ecn.list,0)))),0,1),"""")"),"M7 ")</f>
        <v>M7 </v>
      </c>
      <c r="BS26" s="236" t="str">
        <f>IFERROR(__xludf.DUMMYFUNCTION("if(countif(ecn.list,ES26),OFFSET(INDIRECT(CONCAT(""A"",to_text(match(ES26,ecn.list,0)))),0,1),"""")"),"M8 ")</f>
        <v>M8 </v>
      </c>
      <c r="BT26" s="236" t="str">
        <f>IFERROR(__xludf.DUMMYFUNCTION("if(countif(ecn.list,ET26),OFFSET(INDIRECT(CONCAT(""A"",to_text(match(ET26,ecn.list,0)))),0,1),"""")"),"")</f>
        <v/>
      </c>
      <c r="BU26" s="236" t="str">
        <f>IFERROR(__xludf.DUMMYFUNCTION("if(countif(ecn.list,EU26),OFFSET(INDIRECT(CONCAT(""A"",to_text(match(EU26,ecn.list,0)))),0,1),"""")"),"")</f>
        <v/>
      </c>
      <c r="BV26" s="236" t="str">
        <f>IFERROR(__xludf.DUMMYFUNCTION("if(countif(ecn.list,EV26),OFFSET(INDIRECT(CONCAT(""A"",to_text(match(EV26,ecn.list,0)))),0,1),"""")"),"MB ")</f>
        <v>MB </v>
      </c>
      <c r="BW26" s="236" t="str">
        <f>IFERROR(__xludf.DUMMYFUNCTION("if(countif(ecn.list,EW26),OFFSET(INDIRECT(CONCAT(""A"",to_text(match(EW26,ecn.list,0)))),0,1),"""")"),"")</f>
        <v/>
      </c>
      <c r="BX26" s="236" t="str">
        <f>IFERROR(__xludf.DUMMYFUNCTION("if(countif(ecn.list,EX26),OFFSET(INDIRECT(CONCAT(""A"",to_text(match(EX26,ecn.list,0)))),0,1),"""")"),"")</f>
        <v/>
      </c>
      <c r="BY26" s="236" t="str">
        <f>IFERROR(__xludf.DUMMYFUNCTION("if(countif(ecn.list,EY26),OFFSET(INDIRECT(CONCAT(""A"",to_text(match(EY26,ecn.list,0)))),0,1),"""")"),"")</f>
        <v/>
      </c>
      <c r="BZ26" s="236" t="str">
        <f>IFERROR(__xludf.DUMMYFUNCTION("if(countif(ecn.list,EZ26),OFFSET(INDIRECT(CONCAT(""A"",to_text(match(EZ26,ecn.list,0)))),0,1),"""")"),"MF ")</f>
        <v>MF </v>
      </c>
      <c r="CA26" s="236" t="str">
        <f>IFERROR(__xludf.DUMMYFUNCTION("if(countif(ecn.list,FA26),OFFSET(INDIRECT(CONCAT(""A"",to_text(match(FA26,ecn.list,0)))),0,1),"""")"),"")</f>
        <v/>
      </c>
      <c r="CB26" s="236" t="str">
        <f>IFERROR(__xludf.DUMMYFUNCTION("if(countif(ecn.list,FB26),OFFSET(INDIRECT(CONCAT(""A"",to_text(match(FB26,ecn.list,0)))),0,1),"""")"),"")</f>
        <v/>
      </c>
      <c r="CC26" s="236" t="str">
        <f>IFERROR(__xludf.DUMMYFUNCTION("if(countif(ecn.list,FC26),OFFSET(INDIRECT(CONCAT(""A"",to_text(match(FC26,ecn.list,0)))),0,1),"""")"),"N2 ")</f>
        <v>N2 </v>
      </c>
      <c r="CD26" s="236" t="str">
        <f>IFERROR(__xludf.DUMMYFUNCTION("if(countif(ecn.list,FD26),OFFSET(INDIRECT(CONCAT(""A"",to_text(match(FD26,ecn.list,0)))),0,1),"""")"),"")</f>
        <v/>
      </c>
      <c r="CE26" s="236" t="str">
        <f>IFERROR(__xludf.DUMMYFUNCTION("if(countif(ecn.list,FE26),OFFSET(INDIRECT(CONCAT(""A"",to_text(match(FE26,ecn.list,0)))),0,1),"""")"),"")</f>
        <v/>
      </c>
      <c r="CF26" s="236" t="str">
        <f>IFERROR(__xludf.DUMMYFUNCTION("if(countif(ecn.list,FF26),OFFSET(INDIRECT(CONCAT(""A"",to_text(match(FF26,ecn.list,0)))),0,1),"""")"),"")</f>
        <v/>
      </c>
      <c r="CG26" s="236" t="str">
        <f>IFERROR(__xludf.DUMMYFUNCTION("if(countif(ecn.list,FG26),OFFSET(INDIRECT(CONCAT(""A"",to_text(match(FG26,ecn.list,0)))),0,1),"""")"),"")</f>
        <v/>
      </c>
      <c r="CH26" s="236" t="str">
        <f>IFERROR(__xludf.DUMMYFUNCTION("if(countif(ecn.list,FH26),OFFSET(INDIRECT(CONCAT(""A"",to_text(match(FH26,ecn.list,0)))),0,1),"""")"),"N7 ")</f>
        <v>N7 </v>
      </c>
      <c r="CI26" s="236" t="str">
        <f>IFERROR(__xludf.DUMMYFUNCTION("if(countif(ecn.list,FI26),OFFSET(INDIRECT(CONCAT(""A"",to_text(match(FI26,ecn.list,0)))),0,1),"""")"),"")</f>
        <v/>
      </c>
      <c r="CJ26" s="236" t="str">
        <f>IFERROR(__xludf.DUMMYFUNCTION("if(countif(ecn.list,FJ26),OFFSET(INDIRECT(CONCAT(""A"",to_text(match(FJ26,ecn.list,0)))),0,1),"""")"),"")</f>
        <v/>
      </c>
      <c r="CK26" s="236" t="str">
        <f>IFERROR(__xludf.DUMMYFUNCTION("if(countif(ecn.list,FK26),OFFSET(INDIRECT(CONCAT(""A"",to_text(match(FK26,ecn.list,0)))),0,1),"""")"),"NA ")</f>
        <v>NA </v>
      </c>
      <c r="CL26" s="236" t="str">
        <f>IFERROR(__xludf.DUMMYFUNCTION("if(countif(ecn.list,FL26),OFFSET(INDIRECT(CONCAT(""A"",to_text(match(FL26,ecn.list,0)))),0,1),"""")"),"")</f>
        <v/>
      </c>
      <c r="CM26" s="236" t="str">
        <f>IFERROR(__xludf.DUMMYFUNCTION("if(countif(ecn.list,FM26),OFFSET(INDIRECT(CONCAT(""A"",to_text(match(FM26,ecn.list,0)))),0,1),"""")"),"")</f>
        <v/>
      </c>
      <c r="CN26" s="198" t="s">
        <v>153</v>
      </c>
      <c r="CO26" s="198" t="s">
        <v>1447</v>
      </c>
      <c r="CP26" s="198" t="s">
        <v>1451</v>
      </c>
      <c r="CQ26" s="198" t="s">
        <v>1452</v>
      </c>
      <c r="CR26" s="198" t="s">
        <v>1453</v>
      </c>
      <c r="CS26" s="198" t="s">
        <v>1453</v>
      </c>
      <c r="CT26" s="198" t="s">
        <v>1454</v>
      </c>
      <c r="CU26" s="198" t="s">
        <v>1455</v>
      </c>
      <c r="CV26" s="198" t="s">
        <v>1456</v>
      </c>
      <c r="CW26" s="198" t="s">
        <v>1453</v>
      </c>
      <c r="CX26" s="198" t="s">
        <v>1453</v>
      </c>
      <c r="CY26" s="198" t="s">
        <v>1484</v>
      </c>
      <c r="CZ26" s="198" t="s">
        <v>1509</v>
      </c>
      <c r="DA26" s="198" t="s">
        <v>1457</v>
      </c>
      <c r="DB26" s="198" t="s">
        <v>1453</v>
      </c>
      <c r="DC26" s="198" t="s">
        <v>1453</v>
      </c>
      <c r="DD26" s="198" t="s">
        <v>1458</v>
      </c>
      <c r="DE26" s="198" t="s">
        <v>1459</v>
      </c>
      <c r="DF26" s="198" t="s">
        <v>1453</v>
      </c>
      <c r="DG26" s="198" t="s">
        <v>1453</v>
      </c>
      <c r="DH26" s="198" t="s">
        <v>1500</v>
      </c>
      <c r="DI26" s="198" t="s">
        <v>1501</v>
      </c>
      <c r="DJ26" s="198" t="s">
        <v>1460</v>
      </c>
      <c r="DK26" s="198" t="s">
        <v>1453</v>
      </c>
      <c r="DL26" s="198" t="s">
        <v>1461</v>
      </c>
      <c r="DM26" s="198" t="s">
        <v>1462</v>
      </c>
      <c r="DN26" s="198" t="s">
        <v>1463</v>
      </c>
      <c r="DO26" s="198" t="s">
        <v>1464</v>
      </c>
      <c r="DP26" s="198" t="s">
        <v>1465</v>
      </c>
      <c r="DQ26" s="198" t="s">
        <v>1466</v>
      </c>
      <c r="DR26" s="198" t="s">
        <v>1467</v>
      </c>
      <c r="DS26" s="198" t="s">
        <v>1453</v>
      </c>
      <c r="DT26" s="198" t="s">
        <v>1468</v>
      </c>
      <c r="DU26" s="198" t="s">
        <v>1453</v>
      </c>
      <c r="DV26" s="198" t="s">
        <v>1469</v>
      </c>
      <c r="DW26" s="198" t="s">
        <v>1453</v>
      </c>
      <c r="DX26" s="198" t="s">
        <v>1453</v>
      </c>
      <c r="DY26" s="198" t="s">
        <v>1453</v>
      </c>
      <c r="DZ26" s="198" t="s">
        <v>1453</v>
      </c>
      <c r="EA26" s="198" t="s">
        <v>1453</v>
      </c>
      <c r="EB26" s="198" t="s">
        <v>1453</v>
      </c>
      <c r="EC26" s="198" t="s">
        <v>1483</v>
      </c>
      <c r="ED26" s="198" t="s">
        <v>1453</v>
      </c>
      <c r="EE26" s="198" t="s">
        <v>1470</v>
      </c>
      <c r="EF26" s="198" t="s">
        <v>1453</v>
      </c>
      <c r="EG26" s="198" t="s">
        <v>1471</v>
      </c>
      <c r="EH26" s="198" t="s">
        <v>1453</v>
      </c>
      <c r="EI26" s="198" t="s">
        <v>1453</v>
      </c>
      <c r="EJ26" s="198" t="s">
        <v>1472</v>
      </c>
      <c r="EK26" s="198" t="s">
        <v>1487</v>
      </c>
      <c r="EL26" s="198" t="s">
        <v>1473</v>
      </c>
      <c r="EM26" s="198" t="s">
        <v>1453</v>
      </c>
      <c r="EN26" s="198" t="s">
        <v>1474</v>
      </c>
      <c r="EO26" s="198" t="s">
        <v>1475</v>
      </c>
      <c r="EP26" s="198" t="s">
        <v>1453</v>
      </c>
      <c r="EQ26" s="198" t="s">
        <v>1453</v>
      </c>
      <c r="ER26" s="198" t="s">
        <v>1520</v>
      </c>
      <c r="ES26" s="198" t="s">
        <v>1505</v>
      </c>
      <c r="ET26" s="198" t="s">
        <v>1453</v>
      </c>
      <c r="EU26" s="198" t="s">
        <v>1453</v>
      </c>
      <c r="EV26" s="198" t="s">
        <v>1476</v>
      </c>
      <c r="EW26" s="198" t="s">
        <v>1453</v>
      </c>
      <c r="EX26" s="198" t="s">
        <v>1453</v>
      </c>
      <c r="EY26" s="198" t="s">
        <v>1453</v>
      </c>
      <c r="EZ26" s="198" t="s">
        <v>1477</v>
      </c>
      <c r="FA26" s="198" t="s">
        <v>1453</v>
      </c>
      <c r="FB26" s="198" t="s">
        <v>1453</v>
      </c>
      <c r="FC26" s="198" t="s">
        <v>1478</v>
      </c>
      <c r="FD26" s="198" t="s">
        <v>1453</v>
      </c>
      <c r="FE26" s="198" t="s">
        <v>1453</v>
      </c>
      <c r="FF26" s="198" t="s">
        <v>1453</v>
      </c>
      <c r="FG26" s="198" t="s">
        <v>1453</v>
      </c>
      <c r="FH26" s="198" t="s">
        <v>1479</v>
      </c>
      <c r="FI26" s="198" t="s">
        <v>1453</v>
      </c>
      <c r="FJ26" s="198" t="s">
        <v>1453</v>
      </c>
      <c r="FK26" s="198" t="s">
        <v>1481</v>
      </c>
      <c r="FL26" s="198" t="s">
        <v>1482</v>
      </c>
      <c r="FM26" s="198" t="s">
        <v>1453</v>
      </c>
    </row>
    <row r="27" ht="15.75" customHeight="1">
      <c r="A27" s="198" t="s">
        <v>1463</v>
      </c>
      <c r="B27" s="198" t="str">
        <f t="shared" si="3"/>
        <v>K9 </v>
      </c>
      <c r="C27" s="234">
        <v>9.0</v>
      </c>
      <c r="D27" s="232" t="s">
        <v>770</v>
      </c>
      <c r="E27" s="232" t="s">
        <v>1448</v>
      </c>
      <c r="F27" s="232" t="s">
        <v>1449</v>
      </c>
      <c r="G27" s="232" t="s">
        <v>1450</v>
      </c>
      <c r="H27" s="232" t="s">
        <v>876</v>
      </c>
      <c r="I27" s="232" t="s">
        <v>985</v>
      </c>
      <c r="J27" s="232" t="s">
        <v>881</v>
      </c>
      <c r="K27" s="232" t="s">
        <v>1126</v>
      </c>
      <c r="L27" s="188" t="s">
        <v>156</v>
      </c>
      <c r="M27" s="236" t="str">
        <f>IFERROR(__xludf.DUMMYFUNCTION("regexreplace(N27,"" "","", "")"),"J0, J1, J2, J5, J6, J7, JA, JB, JC, JF, K0, K3, K4, K5, K7, K8, K9, KA, KB, KC, KD, KF, L1, L8, LA, LC, LF, M0, M1, M3, M4, M7, M8, MB, MF, N2, N7, NA, ")</f>
        <v>J0, J1, J2, J5, J6, J7, JA, JB, JC, JF, K0, K3, K4, K5, K7, K8, K9, KA, KB, KC, KD, KF, L1, L8, LA, LC, LF, M0, M1, M3, M4, M7, M8, MB, MF, N2, N7, NA, </v>
      </c>
      <c r="N27" s="236" t="str">
        <f t="shared" si="2"/>
        <v>J0 J1 J2 J5 J6 J7 JA JB JC JF K0 K3 K4 K5 K7 K8 K9 KA KB KC KD KF L1 L8 LA LC LF M0 M1 M3 M4 M7 M8 MB MF N2 N7 NA </v>
      </c>
      <c r="O27" s="236" t="str">
        <f>IFERROR(__xludf.DUMMYFUNCTION("if(countif(ecn.list,CO27),OFFSET(INDIRECT(CONCAT(""A"",to_text(match(CO27,ecn.list,0)))),0,1),"""")"),"J0 ")</f>
        <v>J0 </v>
      </c>
      <c r="P27" s="236" t="str">
        <f>IFERROR(__xludf.DUMMYFUNCTION("if(countif(ecn.list,CP27),OFFSET(INDIRECT(CONCAT(""A"",to_text(match(CP27,ecn.list,0)))),0,1),"""")"),"J1 ")</f>
        <v>J1 </v>
      </c>
      <c r="Q27" s="236" t="str">
        <f>IFERROR(__xludf.DUMMYFUNCTION("if(countif(ecn.list,CQ27),OFFSET(INDIRECT(CONCAT(""A"",to_text(match(CQ27,ecn.list,0)))),0,1),"""")"),"J2 ")</f>
        <v>J2 </v>
      </c>
      <c r="R27" s="236" t="str">
        <f>IFERROR(__xludf.DUMMYFUNCTION("if(countif(ecn.list,CR27),OFFSET(INDIRECT(CONCAT(""A"",to_text(match(CR27,ecn.list,0)))),0,1),"""")"),"")</f>
        <v/>
      </c>
      <c r="S27" s="236" t="str">
        <f>IFERROR(__xludf.DUMMYFUNCTION("if(countif(ecn.list,CS27),OFFSET(INDIRECT(CONCAT(""A"",to_text(match(CS27,ecn.list,0)))),0,1),"""")"),"")</f>
        <v/>
      </c>
      <c r="T27" s="236" t="str">
        <f>IFERROR(__xludf.DUMMYFUNCTION("if(countif(ecn.list,CT27),OFFSET(INDIRECT(CONCAT(""A"",to_text(match(CT27,ecn.list,0)))),0,1),"""")"),"J5 ")</f>
        <v>J5 </v>
      </c>
      <c r="U27" s="236" t="str">
        <f>IFERROR(__xludf.DUMMYFUNCTION("if(countif(ecn.list,CU27),OFFSET(INDIRECT(CONCAT(""A"",to_text(match(CU27,ecn.list,0)))),0,1),"""")"),"J6 ")</f>
        <v>J6 </v>
      </c>
      <c r="V27" s="236" t="str">
        <f>IFERROR(__xludf.DUMMYFUNCTION("if(countif(ecn.list,CV27),OFFSET(INDIRECT(CONCAT(""A"",to_text(match(CV27,ecn.list,0)))),0,1),"""")"),"J7 ")</f>
        <v>J7 </v>
      </c>
      <c r="W27" s="236" t="str">
        <f>IFERROR(__xludf.DUMMYFUNCTION("if(countif(ecn.list,CW27),OFFSET(INDIRECT(CONCAT(""A"",to_text(match(CW27,ecn.list,0)))),0,1),"""")"),"")</f>
        <v/>
      </c>
      <c r="X27" s="236" t="str">
        <f>IFERROR(__xludf.DUMMYFUNCTION("if(countif(ecn.list,CX27),OFFSET(INDIRECT(CONCAT(""A"",to_text(match(CX27,ecn.list,0)))),0,1),"""")"),"")</f>
        <v/>
      </c>
      <c r="Y27" s="236" t="str">
        <f>IFERROR(__xludf.DUMMYFUNCTION("if(countif(ecn.list,CY27),OFFSET(INDIRECT(CONCAT(""A"",to_text(match(CY27,ecn.list,0)))),0,1),"""")"),"JA ")</f>
        <v>JA </v>
      </c>
      <c r="Z27" s="236" t="str">
        <f>IFERROR(__xludf.DUMMYFUNCTION("if(countif(ecn.list,CZ27),OFFSET(INDIRECT(CONCAT(""A"",to_text(match(CZ27,ecn.list,0)))),0,1),"""")"),"JB ")</f>
        <v>JB </v>
      </c>
      <c r="AA27" s="236" t="str">
        <f>IFERROR(__xludf.DUMMYFUNCTION("if(countif(ecn.list,DA27),OFFSET(INDIRECT(CONCAT(""A"",to_text(match(DA27,ecn.list,0)))),0,1),"""")"),"JC ")</f>
        <v>JC </v>
      </c>
      <c r="AB27" s="236" t="str">
        <f>IFERROR(__xludf.DUMMYFUNCTION("if(countif(ecn.list,DB27),OFFSET(INDIRECT(CONCAT(""A"",to_text(match(DB27,ecn.list,0)))),0,1),"""")"),"")</f>
        <v/>
      </c>
      <c r="AC27" s="236" t="str">
        <f>IFERROR(__xludf.DUMMYFUNCTION("if(countif(ecn.list,DC27),OFFSET(INDIRECT(CONCAT(""A"",to_text(match(DC27,ecn.list,0)))),0,1),"""")"),"")</f>
        <v/>
      </c>
      <c r="AD27" s="236" t="str">
        <f>IFERROR(__xludf.DUMMYFUNCTION("if(countif(ecn.list,DD27),OFFSET(INDIRECT(CONCAT(""A"",to_text(match(DD27,ecn.list,0)))),0,1),"""")"),"JF ")</f>
        <v>JF </v>
      </c>
      <c r="AE27" s="236" t="str">
        <f>IFERROR(__xludf.DUMMYFUNCTION("if(countif(ecn.list,DE27),OFFSET(INDIRECT(CONCAT(""A"",to_text(match(DE27,ecn.list,0)))),0,1),"""")"),"K0 ")</f>
        <v>K0 </v>
      </c>
      <c r="AF27" s="236" t="str">
        <f>IFERROR(__xludf.DUMMYFUNCTION("if(countif(ecn.list,DF27),OFFSET(INDIRECT(CONCAT(""A"",to_text(match(DF27,ecn.list,0)))),0,1),"""")"),"")</f>
        <v/>
      </c>
      <c r="AG27" s="236" t="str">
        <f>IFERROR(__xludf.DUMMYFUNCTION("if(countif(ecn.list,DG27),OFFSET(INDIRECT(CONCAT(""A"",to_text(match(DG27,ecn.list,0)))),0,1),"""")"),"")</f>
        <v/>
      </c>
      <c r="AH27" s="236" t="str">
        <f>IFERROR(__xludf.DUMMYFUNCTION("if(countif(ecn.list,DH27),OFFSET(INDIRECT(CONCAT(""A"",to_text(match(DH27,ecn.list,0)))),0,1),"""")"),"K3 ")</f>
        <v>K3 </v>
      </c>
      <c r="AI27" s="236" t="str">
        <f>IFERROR(__xludf.DUMMYFUNCTION("if(countif(ecn.list,DI27),OFFSET(INDIRECT(CONCAT(""A"",to_text(match(DI27,ecn.list,0)))),0,1),"""")"),"K4 ")</f>
        <v>K4 </v>
      </c>
      <c r="AJ27" s="236" t="str">
        <f>IFERROR(__xludf.DUMMYFUNCTION("if(countif(ecn.list,DJ27),OFFSET(INDIRECT(CONCAT(""A"",to_text(match(DJ27,ecn.list,0)))),0,1),"""")"),"K5 ")</f>
        <v>K5 </v>
      </c>
      <c r="AK27" s="236" t="str">
        <f>IFERROR(__xludf.DUMMYFUNCTION("if(countif(ecn.list,DK27),OFFSET(INDIRECT(CONCAT(""A"",to_text(match(DK27,ecn.list,0)))),0,1),"""")"),"")</f>
        <v/>
      </c>
      <c r="AL27" s="236" t="str">
        <f>IFERROR(__xludf.DUMMYFUNCTION("if(countif(ecn.list,DL27),OFFSET(INDIRECT(CONCAT(""A"",to_text(match(DL27,ecn.list,0)))),0,1),"""")"),"K7 ")</f>
        <v>K7 </v>
      </c>
      <c r="AM27" s="236" t="str">
        <f>IFERROR(__xludf.DUMMYFUNCTION("if(countif(ecn.list,DM27),OFFSET(INDIRECT(CONCAT(""A"",to_text(match(DM27,ecn.list,0)))),0,1),"""")"),"K8 ")</f>
        <v>K8 </v>
      </c>
      <c r="AN27" s="236" t="str">
        <f>IFERROR(__xludf.DUMMYFUNCTION("if(countif(ecn.list,DN27),OFFSET(INDIRECT(CONCAT(""A"",to_text(match(DN27,ecn.list,0)))),0,1),"""")"),"K9 ")</f>
        <v>K9 </v>
      </c>
      <c r="AO27" s="236" t="str">
        <f>IFERROR(__xludf.DUMMYFUNCTION("if(countif(ecn.list,DO27),OFFSET(INDIRECT(CONCAT(""A"",to_text(match(DO27,ecn.list,0)))),0,1),"""")"),"KA ")</f>
        <v>KA </v>
      </c>
      <c r="AP27" s="236" t="str">
        <f>IFERROR(__xludf.DUMMYFUNCTION("if(countif(ecn.list,DP27),OFFSET(INDIRECT(CONCAT(""A"",to_text(match(DP27,ecn.list,0)))),0,1),"""")"),"KB ")</f>
        <v>KB </v>
      </c>
      <c r="AQ27" s="236" t="str">
        <f>IFERROR(__xludf.DUMMYFUNCTION("if(countif(ecn.list,DQ27),OFFSET(INDIRECT(CONCAT(""A"",to_text(match(DQ27,ecn.list,0)))),0,1),"""")"),"KC ")</f>
        <v>KC </v>
      </c>
      <c r="AR27" s="236" t="str">
        <f>IFERROR(__xludf.DUMMYFUNCTION("if(countif(ecn.list,DR27),OFFSET(INDIRECT(CONCAT(""A"",to_text(match(DR27,ecn.list,0)))),0,1),"""")"),"KD ")</f>
        <v>KD </v>
      </c>
      <c r="AS27" s="236" t="str">
        <f>IFERROR(__xludf.DUMMYFUNCTION("if(countif(ecn.list,DS27),OFFSET(INDIRECT(CONCAT(""A"",to_text(match(DS27,ecn.list,0)))),0,1),"""")"),"")</f>
        <v/>
      </c>
      <c r="AT27" s="236" t="str">
        <f>IFERROR(__xludf.DUMMYFUNCTION("if(countif(ecn.list,DT27),OFFSET(INDIRECT(CONCAT(""A"",to_text(match(DT27,ecn.list,0)))),0,1),"""")"),"KF ")</f>
        <v>KF </v>
      </c>
      <c r="AU27" s="236" t="str">
        <f>IFERROR(__xludf.DUMMYFUNCTION("if(countif(ecn.list,DU27),OFFSET(INDIRECT(CONCAT(""A"",to_text(match(DU27,ecn.list,0)))),0,1),"""")"),"")</f>
        <v/>
      </c>
      <c r="AV27" s="236" t="str">
        <f>IFERROR(__xludf.DUMMYFUNCTION("if(countif(ecn.list,DV27),OFFSET(INDIRECT(CONCAT(""A"",to_text(match(DV27,ecn.list,0)))),0,1),"""")"),"L1 ")</f>
        <v>L1 </v>
      </c>
      <c r="AW27" s="236" t="str">
        <f>IFERROR(__xludf.DUMMYFUNCTION("if(countif(ecn.list,DW27),OFFSET(INDIRECT(CONCAT(""A"",to_text(match(DW27,ecn.list,0)))),0,1),"""")"),"")</f>
        <v/>
      </c>
      <c r="AX27" s="236" t="str">
        <f>IFERROR(__xludf.DUMMYFUNCTION("if(countif(ecn.list,DX27),OFFSET(INDIRECT(CONCAT(""A"",to_text(match(DX27,ecn.list,0)))),0,1),"""")"),"")</f>
        <v/>
      </c>
      <c r="AY27" s="236" t="str">
        <f>IFERROR(__xludf.DUMMYFUNCTION("if(countif(ecn.list,DY27),OFFSET(INDIRECT(CONCAT(""A"",to_text(match(DY27,ecn.list,0)))),0,1),"""")"),"")</f>
        <v/>
      </c>
      <c r="AZ27" s="236" t="str">
        <f>IFERROR(__xludf.DUMMYFUNCTION("if(countif(ecn.list,DZ27),OFFSET(INDIRECT(CONCAT(""A"",to_text(match(DZ27,ecn.list,0)))),0,1),"""")"),"")</f>
        <v/>
      </c>
      <c r="BA27" s="236" t="str">
        <f>IFERROR(__xludf.DUMMYFUNCTION("if(countif(ecn.list,EA27),OFFSET(INDIRECT(CONCAT(""A"",to_text(match(EA27,ecn.list,0)))),0,1),"""")"),"")</f>
        <v/>
      </c>
      <c r="BB27" s="236" t="str">
        <f>IFERROR(__xludf.DUMMYFUNCTION("if(countif(ecn.list,EB27),OFFSET(INDIRECT(CONCAT(""A"",to_text(match(EB27,ecn.list,0)))),0,1),"""")"),"")</f>
        <v/>
      </c>
      <c r="BC27" s="236" t="str">
        <f>IFERROR(__xludf.DUMMYFUNCTION("if(countif(ecn.list,EC27),OFFSET(INDIRECT(CONCAT(""A"",to_text(match(EC27,ecn.list,0)))),0,1),"""")"),"L8 ")</f>
        <v>L8 </v>
      </c>
      <c r="BD27" s="236" t="str">
        <f>IFERROR(__xludf.DUMMYFUNCTION("if(countif(ecn.list,ED27),OFFSET(INDIRECT(CONCAT(""A"",to_text(match(ED27,ecn.list,0)))),0,1),"""")"),"")</f>
        <v/>
      </c>
      <c r="BE27" s="236" t="str">
        <f>IFERROR(__xludf.DUMMYFUNCTION("if(countif(ecn.list,EE27),OFFSET(INDIRECT(CONCAT(""A"",to_text(match(EE27,ecn.list,0)))),0,1),"""")"),"LA ")</f>
        <v>LA </v>
      </c>
      <c r="BF27" s="236" t="str">
        <f>IFERROR(__xludf.DUMMYFUNCTION("if(countif(ecn.list,EF27),OFFSET(INDIRECT(CONCAT(""A"",to_text(match(EF27,ecn.list,0)))),0,1),"""")"),"")</f>
        <v/>
      </c>
      <c r="BG27" s="236" t="str">
        <f>IFERROR(__xludf.DUMMYFUNCTION("if(countif(ecn.list,EG27),OFFSET(INDIRECT(CONCAT(""A"",to_text(match(EG27,ecn.list,0)))),0,1),"""")"),"LC ")</f>
        <v>LC </v>
      </c>
      <c r="BH27" s="236" t="str">
        <f>IFERROR(__xludf.DUMMYFUNCTION("if(countif(ecn.list,EH27),OFFSET(INDIRECT(CONCAT(""A"",to_text(match(EH27,ecn.list,0)))),0,1),"""")"),"")</f>
        <v/>
      </c>
      <c r="BI27" s="236" t="str">
        <f>IFERROR(__xludf.DUMMYFUNCTION("if(countif(ecn.list,EI27),OFFSET(INDIRECT(CONCAT(""A"",to_text(match(EI27,ecn.list,0)))),0,1),"""")"),"")</f>
        <v/>
      </c>
      <c r="BJ27" s="236" t="str">
        <f>IFERROR(__xludf.DUMMYFUNCTION("if(countif(ecn.list,EJ27),OFFSET(INDIRECT(CONCAT(""A"",to_text(match(EJ27,ecn.list,0)))),0,1),"""")"),"LF ")</f>
        <v>LF </v>
      </c>
      <c r="BK27" s="236" t="str">
        <f>IFERROR(__xludf.DUMMYFUNCTION("if(countif(ecn.list,EK27),OFFSET(INDIRECT(CONCAT(""A"",to_text(match(EK27,ecn.list,0)))),0,1),"""")"),"M0 ")</f>
        <v>M0 </v>
      </c>
      <c r="BL27" s="236" t="str">
        <f>IFERROR(__xludf.DUMMYFUNCTION("if(countif(ecn.list,EL27),OFFSET(INDIRECT(CONCAT(""A"",to_text(match(EL27,ecn.list,0)))),0,1),"""")"),"M1 ")</f>
        <v>M1 </v>
      </c>
      <c r="BM27" s="236" t="str">
        <f>IFERROR(__xludf.DUMMYFUNCTION("if(countif(ecn.list,EM27),OFFSET(INDIRECT(CONCAT(""A"",to_text(match(EM27,ecn.list,0)))),0,1),"""")"),"")</f>
        <v/>
      </c>
      <c r="BN27" s="236" t="str">
        <f>IFERROR(__xludf.DUMMYFUNCTION("if(countif(ecn.list,EN27),OFFSET(INDIRECT(CONCAT(""A"",to_text(match(EN27,ecn.list,0)))),0,1),"""")"),"M3 ")</f>
        <v>M3 </v>
      </c>
      <c r="BO27" s="236" t="str">
        <f>IFERROR(__xludf.DUMMYFUNCTION("if(countif(ecn.list,EO27),OFFSET(INDIRECT(CONCAT(""A"",to_text(match(EO27,ecn.list,0)))),0,1),"""")"),"M4 ")</f>
        <v>M4 </v>
      </c>
      <c r="BP27" s="236" t="str">
        <f>IFERROR(__xludf.DUMMYFUNCTION("if(countif(ecn.list,EP27),OFFSET(INDIRECT(CONCAT(""A"",to_text(match(EP27,ecn.list,0)))),0,1),"""")"),"")</f>
        <v/>
      </c>
      <c r="BQ27" s="236" t="str">
        <f>IFERROR(__xludf.DUMMYFUNCTION("if(countif(ecn.list,EQ27),OFFSET(INDIRECT(CONCAT(""A"",to_text(match(EQ27,ecn.list,0)))),0,1),"""")"),"")</f>
        <v/>
      </c>
      <c r="BR27" s="236" t="str">
        <f>IFERROR(__xludf.DUMMYFUNCTION("if(countif(ecn.list,ER27),OFFSET(INDIRECT(CONCAT(""A"",to_text(match(ER27,ecn.list,0)))),0,1),"""")"),"M7 ")</f>
        <v>M7 </v>
      </c>
      <c r="BS27" s="236" t="str">
        <f>IFERROR(__xludf.DUMMYFUNCTION("if(countif(ecn.list,ES27),OFFSET(INDIRECT(CONCAT(""A"",to_text(match(ES27,ecn.list,0)))),0,1),"""")"),"M8 ")</f>
        <v>M8 </v>
      </c>
      <c r="BT27" s="236" t="str">
        <f>IFERROR(__xludf.DUMMYFUNCTION("if(countif(ecn.list,ET27),OFFSET(INDIRECT(CONCAT(""A"",to_text(match(ET27,ecn.list,0)))),0,1),"""")"),"")</f>
        <v/>
      </c>
      <c r="BU27" s="236" t="str">
        <f>IFERROR(__xludf.DUMMYFUNCTION("if(countif(ecn.list,EU27),OFFSET(INDIRECT(CONCAT(""A"",to_text(match(EU27,ecn.list,0)))),0,1),"""")"),"")</f>
        <v/>
      </c>
      <c r="BV27" s="236" t="str">
        <f>IFERROR(__xludf.DUMMYFUNCTION("if(countif(ecn.list,EV27),OFFSET(INDIRECT(CONCAT(""A"",to_text(match(EV27,ecn.list,0)))),0,1),"""")"),"MB ")</f>
        <v>MB </v>
      </c>
      <c r="BW27" s="236" t="str">
        <f>IFERROR(__xludf.DUMMYFUNCTION("if(countif(ecn.list,EW27),OFFSET(INDIRECT(CONCAT(""A"",to_text(match(EW27,ecn.list,0)))),0,1),"""")"),"")</f>
        <v/>
      </c>
      <c r="BX27" s="236" t="str">
        <f>IFERROR(__xludf.DUMMYFUNCTION("if(countif(ecn.list,EX27),OFFSET(INDIRECT(CONCAT(""A"",to_text(match(EX27,ecn.list,0)))),0,1),"""")"),"")</f>
        <v/>
      </c>
      <c r="BY27" s="236" t="str">
        <f>IFERROR(__xludf.DUMMYFUNCTION("if(countif(ecn.list,EY27),OFFSET(INDIRECT(CONCAT(""A"",to_text(match(EY27,ecn.list,0)))),0,1),"""")"),"")</f>
        <v/>
      </c>
      <c r="BZ27" s="236" t="str">
        <f>IFERROR(__xludf.DUMMYFUNCTION("if(countif(ecn.list,EZ27),OFFSET(INDIRECT(CONCAT(""A"",to_text(match(EZ27,ecn.list,0)))),0,1),"""")"),"MF ")</f>
        <v>MF </v>
      </c>
      <c r="CA27" s="236" t="str">
        <f>IFERROR(__xludf.DUMMYFUNCTION("if(countif(ecn.list,FA27),OFFSET(INDIRECT(CONCAT(""A"",to_text(match(FA27,ecn.list,0)))),0,1),"""")"),"")</f>
        <v/>
      </c>
      <c r="CB27" s="236" t="str">
        <f>IFERROR(__xludf.DUMMYFUNCTION("if(countif(ecn.list,FB27),OFFSET(INDIRECT(CONCAT(""A"",to_text(match(FB27,ecn.list,0)))),0,1),"""")"),"")</f>
        <v/>
      </c>
      <c r="CC27" s="236" t="str">
        <f>IFERROR(__xludf.DUMMYFUNCTION("if(countif(ecn.list,FC27),OFFSET(INDIRECT(CONCAT(""A"",to_text(match(FC27,ecn.list,0)))),0,1),"""")"),"N2 ")</f>
        <v>N2 </v>
      </c>
      <c r="CD27" s="236" t="str">
        <f>IFERROR(__xludf.DUMMYFUNCTION("if(countif(ecn.list,FD27),OFFSET(INDIRECT(CONCAT(""A"",to_text(match(FD27,ecn.list,0)))),0,1),"""")"),"")</f>
        <v/>
      </c>
      <c r="CE27" s="236" t="str">
        <f>IFERROR(__xludf.DUMMYFUNCTION("if(countif(ecn.list,FE27),OFFSET(INDIRECT(CONCAT(""A"",to_text(match(FE27,ecn.list,0)))),0,1),"""")"),"")</f>
        <v/>
      </c>
      <c r="CF27" s="236" t="str">
        <f>IFERROR(__xludf.DUMMYFUNCTION("if(countif(ecn.list,FF27),OFFSET(INDIRECT(CONCAT(""A"",to_text(match(FF27,ecn.list,0)))),0,1),"""")"),"")</f>
        <v/>
      </c>
      <c r="CG27" s="236" t="str">
        <f>IFERROR(__xludf.DUMMYFUNCTION("if(countif(ecn.list,FG27),OFFSET(INDIRECT(CONCAT(""A"",to_text(match(FG27,ecn.list,0)))),0,1),"""")"),"")</f>
        <v/>
      </c>
      <c r="CH27" s="236" t="str">
        <f>IFERROR(__xludf.DUMMYFUNCTION("if(countif(ecn.list,FH27),OFFSET(INDIRECT(CONCAT(""A"",to_text(match(FH27,ecn.list,0)))),0,1),"""")"),"N7 ")</f>
        <v>N7 </v>
      </c>
      <c r="CI27" s="236" t="str">
        <f>IFERROR(__xludf.DUMMYFUNCTION("if(countif(ecn.list,FI27),OFFSET(INDIRECT(CONCAT(""A"",to_text(match(FI27,ecn.list,0)))),0,1),"""")"),"")</f>
        <v/>
      </c>
      <c r="CJ27" s="236" t="str">
        <f>IFERROR(__xludf.DUMMYFUNCTION("if(countif(ecn.list,FJ27),OFFSET(INDIRECT(CONCAT(""A"",to_text(match(FJ27,ecn.list,0)))),0,1),"""")"),"")</f>
        <v/>
      </c>
      <c r="CK27" s="236" t="str">
        <f>IFERROR(__xludf.DUMMYFUNCTION("if(countif(ecn.list,FK27),OFFSET(INDIRECT(CONCAT(""A"",to_text(match(FK27,ecn.list,0)))),0,1),"""")"),"NA ")</f>
        <v>NA </v>
      </c>
      <c r="CL27" s="236" t="str">
        <f>IFERROR(__xludf.DUMMYFUNCTION("if(countif(ecn.list,FL27),OFFSET(INDIRECT(CONCAT(""A"",to_text(match(FL27,ecn.list,0)))),0,1),"""")"),"")</f>
        <v/>
      </c>
      <c r="CM27" s="236" t="str">
        <f>IFERROR(__xludf.DUMMYFUNCTION("if(countif(ecn.list,FM27),OFFSET(INDIRECT(CONCAT(""A"",to_text(match(FM27,ecn.list,0)))),0,1),"""")"),"")</f>
        <v/>
      </c>
      <c r="CN27" s="198" t="s">
        <v>156</v>
      </c>
      <c r="CO27" s="198" t="s">
        <v>1447</v>
      </c>
      <c r="CP27" s="198" t="s">
        <v>1451</v>
      </c>
      <c r="CQ27" s="198" t="s">
        <v>1452</v>
      </c>
      <c r="CR27" s="198" t="s">
        <v>1453</v>
      </c>
      <c r="CS27" s="198" t="s">
        <v>1453</v>
      </c>
      <c r="CT27" s="198" t="s">
        <v>1454</v>
      </c>
      <c r="CU27" s="198" t="s">
        <v>1455</v>
      </c>
      <c r="CV27" s="198" t="s">
        <v>1456</v>
      </c>
      <c r="CW27" s="198" t="s">
        <v>1453</v>
      </c>
      <c r="CX27" s="198" t="s">
        <v>1453</v>
      </c>
      <c r="CY27" s="198" t="s">
        <v>1484</v>
      </c>
      <c r="CZ27" s="198" t="s">
        <v>1509</v>
      </c>
      <c r="DA27" s="198" t="s">
        <v>1457</v>
      </c>
      <c r="DB27" s="198" t="s">
        <v>1453</v>
      </c>
      <c r="DC27" s="198" t="s">
        <v>1453</v>
      </c>
      <c r="DD27" s="198" t="s">
        <v>1458</v>
      </c>
      <c r="DE27" s="198" t="s">
        <v>1459</v>
      </c>
      <c r="DF27" s="198" t="s">
        <v>1453</v>
      </c>
      <c r="DG27" s="198" t="s">
        <v>1453</v>
      </c>
      <c r="DH27" s="198" t="s">
        <v>1500</v>
      </c>
      <c r="DI27" s="198" t="s">
        <v>1501</v>
      </c>
      <c r="DJ27" s="198" t="s">
        <v>1460</v>
      </c>
      <c r="DK27" s="198" t="s">
        <v>1453</v>
      </c>
      <c r="DL27" s="198" t="s">
        <v>1461</v>
      </c>
      <c r="DM27" s="198" t="s">
        <v>1462</v>
      </c>
      <c r="DN27" s="198" t="s">
        <v>1463</v>
      </c>
      <c r="DO27" s="198" t="s">
        <v>1464</v>
      </c>
      <c r="DP27" s="198" t="s">
        <v>1465</v>
      </c>
      <c r="DQ27" s="198" t="s">
        <v>1466</v>
      </c>
      <c r="DR27" s="198" t="s">
        <v>1467</v>
      </c>
      <c r="DS27" s="198" t="s">
        <v>1453</v>
      </c>
      <c r="DT27" s="198" t="s">
        <v>1468</v>
      </c>
      <c r="DU27" s="198" t="s">
        <v>1453</v>
      </c>
      <c r="DV27" s="198" t="s">
        <v>1469</v>
      </c>
      <c r="DW27" s="198" t="s">
        <v>1453</v>
      </c>
      <c r="DX27" s="198" t="s">
        <v>1453</v>
      </c>
      <c r="DY27" s="198" t="s">
        <v>1453</v>
      </c>
      <c r="DZ27" s="198" t="s">
        <v>1453</v>
      </c>
      <c r="EA27" s="198" t="s">
        <v>1453</v>
      </c>
      <c r="EB27" s="198" t="s">
        <v>1453</v>
      </c>
      <c r="EC27" s="198" t="s">
        <v>1483</v>
      </c>
      <c r="ED27" s="198" t="s">
        <v>1453</v>
      </c>
      <c r="EE27" s="198" t="s">
        <v>1470</v>
      </c>
      <c r="EF27" s="198" t="s">
        <v>1453</v>
      </c>
      <c r="EG27" s="198" t="s">
        <v>1471</v>
      </c>
      <c r="EH27" s="198" t="s">
        <v>1453</v>
      </c>
      <c r="EI27" s="198" t="s">
        <v>1453</v>
      </c>
      <c r="EJ27" s="198" t="s">
        <v>1472</v>
      </c>
      <c r="EK27" s="198" t="s">
        <v>1487</v>
      </c>
      <c r="EL27" s="198" t="s">
        <v>1473</v>
      </c>
      <c r="EM27" s="198" t="s">
        <v>1453</v>
      </c>
      <c r="EN27" s="198" t="s">
        <v>1474</v>
      </c>
      <c r="EO27" s="198" t="s">
        <v>1475</v>
      </c>
      <c r="EP27" s="198" t="s">
        <v>1453</v>
      </c>
      <c r="EQ27" s="198" t="s">
        <v>1453</v>
      </c>
      <c r="ER27" s="198" t="s">
        <v>1520</v>
      </c>
      <c r="ES27" s="198" t="s">
        <v>1505</v>
      </c>
      <c r="ET27" s="198" t="s">
        <v>1453</v>
      </c>
      <c r="EU27" s="198" t="s">
        <v>1453</v>
      </c>
      <c r="EV27" s="198" t="s">
        <v>1476</v>
      </c>
      <c r="EW27" s="198" t="s">
        <v>1453</v>
      </c>
      <c r="EX27" s="198" t="s">
        <v>1453</v>
      </c>
      <c r="EY27" s="198" t="s">
        <v>1453</v>
      </c>
      <c r="EZ27" s="198" t="s">
        <v>1477</v>
      </c>
      <c r="FA27" s="198" t="s">
        <v>1453</v>
      </c>
      <c r="FB27" s="198" t="s">
        <v>1453</v>
      </c>
      <c r="FC27" s="198" t="s">
        <v>1478</v>
      </c>
      <c r="FD27" s="198" t="s">
        <v>1453</v>
      </c>
      <c r="FE27" s="198" t="s">
        <v>1453</v>
      </c>
      <c r="FF27" s="198" t="s">
        <v>1453</v>
      </c>
      <c r="FG27" s="198" t="s">
        <v>1453</v>
      </c>
      <c r="FH27" s="198" t="s">
        <v>1479</v>
      </c>
      <c r="FI27" s="198" t="s">
        <v>1453</v>
      </c>
      <c r="FJ27" s="198" t="s">
        <v>1453</v>
      </c>
      <c r="FK27" s="198" t="s">
        <v>1481</v>
      </c>
      <c r="FL27" s="198" t="s">
        <v>1482</v>
      </c>
      <c r="FM27" s="198" t="s">
        <v>1453</v>
      </c>
    </row>
    <row r="28" ht="15.75" customHeight="1">
      <c r="A28" s="236" t="s">
        <v>1464</v>
      </c>
      <c r="B28" s="198" t="str">
        <f t="shared" si="3"/>
        <v>KA </v>
      </c>
      <c r="C28" s="234" t="s">
        <v>1508</v>
      </c>
      <c r="D28" s="232" t="s">
        <v>860</v>
      </c>
      <c r="E28" s="232" t="s">
        <v>785</v>
      </c>
      <c r="F28" s="232" t="s">
        <v>786</v>
      </c>
      <c r="G28" s="232" t="s">
        <v>846</v>
      </c>
      <c r="H28" s="232" t="s">
        <v>775</v>
      </c>
      <c r="I28" s="232" t="s">
        <v>775</v>
      </c>
      <c r="J28" s="232" t="s">
        <v>775</v>
      </c>
      <c r="K28" s="232" t="s">
        <v>939</v>
      </c>
      <c r="L28" s="188" t="s">
        <v>159</v>
      </c>
      <c r="M28" s="236" t="str">
        <f>IFERROR(__xludf.DUMMYFUNCTION("regexreplace(N28,"" "","", "")"),"J5, J6, MF, N2, ")</f>
        <v>J5, J6, MF, N2, </v>
      </c>
      <c r="N28" s="236" t="str">
        <f t="shared" si="2"/>
        <v>J5 J6 MF N2 </v>
      </c>
      <c r="O28" s="236" t="str">
        <f>IFERROR(__xludf.DUMMYFUNCTION("if(countif(ecn.list,CO28),OFFSET(INDIRECT(CONCAT(""A"",to_text(match(CO28,ecn.list,0)))),0,1),"""")"),"")</f>
        <v/>
      </c>
      <c r="P28" s="236" t="str">
        <f>IFERROR(__xludf.DUMMYFUNCTION("if(countif(ecn.list,CP28),OFFSET(INDIRECT(CONCAT(""A"",to_text(match(CP28,ecn.list,0)))),0,1),"""")"),"")</f>
        <v/>
      </c>
      <c r="Q28" s="236" t="str">
        <f>IFERROR(__xludf.DUMMYFUNCTION("if(countif(ecn.list,CQ28),OFFSET(INDIRECT(CONCAT(""A"",to_text(match(CQ28,ecn.list,0)))),0,1),"""")"),"")</f>
        <v/>
      </c>
      <c r="R28" s="236" t="str">
        <f>IFERROR(__xludf.DUMMYFUNCTION("if(countif(ecn.list,CR28),OFFSET(INDIRECT(CONCAT(""A"",to_text(match(CR28,ecn.list,0)))),0,1),"""")"),"")</f>
        <v/>
      </c>
      <c r="S28" s="236" t="str">
        <f>IFERROR(__xludf.DUMMYFUNCTION("if(countif(ecn.list,CS28),OFFSET(INDIRECT(CONCAT(""A"",to_text(match(CS28,ecn.list,0)))),0,1),"""")"),"")</f>
        <v/>
      </c>
      <c r="T28" s="236" t="str">
        <f>IFERROR(__xludf.DUMMYFUNCTION("if(countif(ecn.list,CT28),OFFSET(INDIRECT(CONCAT(""A"",to_text(match(CT28,ecn.list,0)))),0,1),"""")"),"J5 ")</f>
        <v>J5 </v>
      </c>
      <c r="U28" s="236" t="str">
        <f>IFERROR(__xludf.DUMMYFUNCTION("if(countif(ecn.list,CU28),OFFSET(INDIRECT(CONCAT(""A"",to_text(match(CU28,ecn.list,0)))),0,1),"""")"),"J6 ")</f>
        <v>J6 </v>
      </c>
      <c r="V28" s="236" t="str">
        <f>IFERROR(__xludf.DUMMYFUNCTION("if(countif(ecn.list,CV28),OFFSET(INDIRECT(CONCAT(""A"",to_text(match(CV28,ecn.list,0)))),0,1),"""")"),"")</f>
        <v/>
      </c>
      <c r="W28" s="236" t="str">
        <f>IFERROR(__xludf.DUMMYFUNCTION("if(countif(ecn.list,CW28),OFFSET(INDIRECT(CONCAT(""A"",to_text(match(CW28,ecn.list,0)))),0,1),"""")"),"")</f>
        <v/>
      </c>
      <c r="X28" s="236" t="str">
        <f>IFERROR(__xludf.DUMMYFUNCTION("if(countif(ecn.list,CX28),OFFSET(INDIRECT(CONCAT(""A"",to_text(match(CX28,ecn.list,0)))),0,1),"""")"),"")</f>
        <v/>
      </c>
      <c r="Y28" s="236" t="str">
        <f>IFERROR(__xludf.DUMMYFUNCTION("if(countif(ecn.list,CY28),OFFSET(INDIRECT(CONCAT(""A"",to_text(match(CY28,ecn.list,0)))),0,1),"""")"),"")</f>
        <v/>
      </c>
      <c r="Z28" s="236" t="str">
        <f>IFERROR(__xludf.DUMMYFUNCTION("if(countif(ecn.list,CZ28),OFFSET(INDIRECT(CONCAT(""A"",to_text(match(CZ28,ecn.list,0)))),0,1),"""")"),"")</f>
        <v/>
      </c>
      <c r="AA28" s="236" t="str">
        <f>IFERROR(__xludf.DUMMYFUNCTION("if(countif(ecn.list,DA28),OFFSET(INDIRECT(CONCAT(""A"",to_text(match(DA28,ecn.list,0)))),0,1),"""")"),"")</f>
        <v/>
      </c>
      <c r="AB28" s="236" t="str">
        <f>IFERROR(__xludf.DUMMYFUNCTION("if(countif(ecn.list,DB28),OFFSET(INDIRECT(CONCAT(""A"",to_text(match(DB28,ecn.list,0)))),0,1),"""")"),"")</f>
        <v/>
      </c>
      <c r="AC28" s="236" t="str">
        <f>IFERROR(__xludf.DUMMYFUNCTION("if(countif(ecn.list,DC28),OFFSET(INDIRECT(CONCAT(""A"",to_text(match(DC28,ecn.list,0)))),0,1),"""")"),"")</f>
        <v/>
      </c>
      <c r="AD28" s="236" t="str">
        <f>IFERROR(__xludf.DUMMYFUNCTION("if(countif(ecn.list,DD28),OFFSET(INDIRECT(CONCAT(""A"",to_text(match(DD28,ecn.list,0)))),0,1),"""")"),"")</f>
        <v/>
      </c>
      <c r="AE28" s="236" t="str">
        <f>IFERROR(__xludf.DUMMYFUNCTION("if(countif(ecn.list,DE28),OFFSET(INDIRECT(CONCAT(""A"",to_text(match(DE28,ecn.list,0)))),0,1),"""")"),"")</f>
        <v/>
      </c>
      <c r="AF28" s="236" t="str">
        <f>IFERROR(__xludf.DUMMYFUNCTION("if(countif(ecn.list,DF28),OFFSET(INDIRECT(CONCAT(""A"",to_text(match(DF28,ecn.list,0)))),0,1),"""")"),"")</f>
        <v/>
      </c>
      <c r="AG28" s="236" t="str">
        <f>IFERROR(__xludf.DUMMYFUNCTION("if(countif(ecn.list,DG28),OFFSET(INDIRECT(CONCAT(""A"",to_text(match(DG28,ecn.list,0)))),0,1),"""")"),"")</f>
        <v/>
      </c>
      <c r="AH28" s="236" t="str">
        <f>IFERROR(__xludf.DUMMYFUNCTION("if(countif(ecn.list,DH28),OFFSET(INDIRECT(CONCAT(""A"",to_text(match(DH28,ecn.list,0)))),0,1),"""")"),"")</f>
        <v/>
      </c>
      <c r="AI28" s="236" t="str">
        <f>IFERROR(__xludf.DUMMYFUNCTION("if(countif(ecn.list,DI28),OFFSET(INDIRECT(CONCAT(""A"",to_text(match(DI28,ecn.list,0)))),0,1),"""")"),"")</f>
        <v/>
      </c>
      <c r="AJ28" s="236" t="str">
        <f>IFERROR(__xludf.DUMMYFUNCTION("if(countif(ecn.list,DJ28),OFFSET(INDIRECT(CONCAT(""A"",to_text(match(DJ28,ecn.list,0)))),0,1),"""")"),"")</f>
        <v/>
      </c>
      <c r="AK28" s="236" t="str">
        <f>IFERROR(__xludf.DUMMYFUNCTION("if(countif(ecn.list,DK28),OFFSET(INDIRECT(CONCAT(""A"",to_text(match(DK28,ecn.list,0)))),0,1),"""")"),"")</f>
        <v/>
      </c>
      <c r="AL28" s="236" t="str">
        <f>IFERROR(__xludf.DUMMYFUNCTION("if(countif(ecn.list,DL28),OFFSET(INDIRECT(CONCAT(""A"",to_text(match(DL28,ecn.list,0)))),0,1),"""")"),"")</f>
        <v/>
      </c>
      <c r="AM28" s="236" t="str">
        <f>IFERROR(__xludf.DUMMYFUNCTION("if(countif(ecn.list,DM28),OFFSET(INDIRECT(CONCAT(""A"",to_text(match(DM28,ecn.list,0)))),0,1),"""")"),"")</f>
        <v/>
      </c>
      <c r="AN28" s="236" t="str">
        <f>IFERROR(__xludf.DUMMYFUNCTION("if(countif(ecn.list,DN28),OFFSET(INDIRECT(CONCAT(""A"",to_text(match(DN28,ecn.list,0)))),0,1),"""")"),"")</f>
        <v/>
      </c>
      <c r="AO28" s="236" t="str">
        <f>IFERROR(__xludf.DUMMYFUNCTION("if(countif(ecn.list,DO28),OFFSET(INDIRECT(CONCAT(""A"",to_text(match(DO28,ecn.list,0)))),0,1),"""")"),"")</f>
        <v/>
      </c>
      <c r="AP28" s="236" t="str">
        <f>IFERROR(__xludf.DUMMYFUNCTION("if(countif(ecn.list,DP28),OFFSET(INDIRECT(CONCAT(""A"",to_text(match(DP28,ecn.list,0)))),0,1),"""")"),"")</f>
        <v/>
      </c>
      <c r="AQ28" s="236" t="str">
        <f>IFERROR(__xludf.DUMMYFUNCTION("if(countif(ecn.list,DQ28),OFFSET(INDIRECT(CONCAT(""A"",to_text(match(DQ28,ecn.list,0)))),0,1),"""")"),"")</f>
        <v/>
      </c>
      <c r="AR28" s="236" t="str">
        <f>IFERROR(__xludf.DUMMYFUNCTION("if(countif(ecn.list,DR28),OFFSET(INDIRECT(CONCAT(""A"",to_text(match(DR28,ecn.list,0)))),0,1),"""")"),"")</f>
        <v/>
      </c>
      <c r="AS28" s="236" t="str">
        <f>IFERROR(__xludf.DUMMYFUNCTION("if(countif(ecn.list,DS28),OFFSET(INDIRECT(CONCAT(""A"",to_text(match(DS28,ecn.list,0)))),0,1),"""")"),"")</f>
        <v/>
      </c>
      <c r="AT28" s="236" t="str">
        <f>IFERROR(__xludf.DUMMYFUNCTION("if(countif(ecn.list,DT28),OFFSET(INDIRECT(CONCAT(""A"",to_text(match(DT28,ecn.list,0)))),0,1),"""")"),"")</f>
        <v/>
      </c>
      <c r="AU28" s="236" t="str">
        <f>IFERROR(__xludf.DUMMYFUNCTION("if(countif(ecn.list,DU28),OFFSET(INDIRECT(CONCAT(""A"",to_text(match(DU28,ecn.list,0)))),0,1),"""")"),"")</f>
        <v/>
      </c>
      <c r="AV28" s="236" t="str">
        <f>IFERROR(__xludf.DUMMYFUNCTION("if(countif(ecn.list,DV28),OFFSET(INDIRECT(CONCAT(""A"",to_text(match(DV28,ecn.list,0)))),0,1),"""")"),"")</f>
        <v/>
      </c>
      <c r="AW28" s="236" t="str">
        <f>IFERROR(__xludf.DUMMYFUNCTION("if(countif(ecn.list,DW28),OFFSET(INDIRECT(CONCAT(""A"",to_text(match(DW28,ecn.list,0)))),0,1),"""")"),"")</f>
        <v/>
      </c>
      <c r="AX28" s="236" t="str">
        <f>IFERROR(__xludf.DUMMYFUNCTION("if(countif(ecn.list,DX28),OFFSET(INDIRECT(CONCAT(""A"",to_text(match(DX28,ecn.list,0)))),0,1),"""")"),"")</f>
        <v/>
      </c>
      <c r="AY28" s="236" t="str">
        <f>IFERROR(__xludf.DUMMYFUNCTION("if(countif(ecn.list,DY28),OFFSET(INDIRECT(CONCAT(""A"",to_text(match(DY28,ecn.list,0)))),0,1),"""")"),"")</f>
        <v/>
      </c>
      <c r="AZ28" s="236" t="str">
        <f>IFERROR(__xludf.DUMMYFUNCTION("if(countif(ecn.list,DZ28),OFFSET(INDIRECT(CONCAT(""A"",to_text(match(DZ28,ecn.list,0)))),0,1),"""")"),"")</f>
        <v/>
      </c>
      <c r="BA28" s="236" t="str">
        <f>IFERROR(__xludf.DUMMYFUNCTION("if(countif(ecn.list,EA28),OFFSET(INDIRECT(CONCAT(""A"",to_text(match(EA28,ecn.list,0)))),0,1),"""")"),"")</f>
        <v/>
      </c>
      <c r="BB28" s="236" t="str">
        <f>IFERROR(__xludf.DUMMYFUNCTION("if(countif(ecn.list,EB28),OFFSET(INDIRECT(CONCAT(""A"",to_text(match(EB28,ecn.list,0)))),0,1),"""")"),"")</f>
        <v/>
      </c>
      <c r="BC28" s="236" t="str">
        <f>IFERROR(__xludf.DUMMYFUNCTION("if(countif(ecn.list,EC28),OFFSET(INDIRECT(CONCAT(""A"",to_text(match(EC28,ecn.list,0)))),0,1),"""")"),"")</f>
        <v/>
      </c>
      <c r="BD28" s="236" t="str">
        <f>IFERROR(__xludf.DUMMYFUNCTION("if(countif(ecn.list,ED28),OFFSET(INDIRECT(CONCAT(""A"",to_text(match(ED28,ecn.list,0)))),0,1),"""")"),"")</f>
        <v/>
      </c>
      <c r="BE28" s="236" t="str">
        <f>IFERROR(__xludf.DUMMYFUNCTION("if(countif(ecn.list,EE28),OFFSET(INDIRECT(CONCAT(""A"",to_text(match(EE28,ecn.list,0)))),0,1),"""")"),"")</f>
        <v/>
      </c>
      <c r="BF28" s="236" t="str">
        <f>IFERROR(__xludf.DUMMYFUNCTION("if(countif(ecn.list,EF28),OFFSET(INDIRECT(CONCAT(""A"",to_text(match(EF28,ecn.list,0)))),0,1),"""")"),"")</f>
        <v/>
      </c>
      <c r="BG28" s="236" t="str">
        <f>IFERROR(__xludf.DUMMYFUNCTION("if(countif(ecn.list,EG28),OFFSET(INDIRECT(CONCAT(""A"",to_text(match(EG28,ecn.list,0)))),0,1),"""")"),"")</f>
        <v/>
      </c>
      <c r="BH28" s="236" t="str">
        <f>IFERROR(__xludf.DUMMYFUNCTION("if(countif(ecn.list,EH28),OFFSET(INDIRECT(CONCAT(""A"",to_text(match(EH28,ecn.list,0)))),0,1),"""")"),"")</f>
        <v/>
      </c>
      <c r="BI28" s="236" t="str">
        <f>IFERROR(__xludf.DUMMYFUNCTION("if(countif(ecn.list,EI28),OFFSET(INDIRECT(CONCAT(""A"",to_text(match(EI28,ecn.list,0)))),0,1),"""")"),"")</f>
        <v/>
      </c>
      <c r="BJ28" s="236" t="str">
        <f>IFERROR(__xludf.DUMMYFUNCTION("if(countif(ecn.list,EJ28),OFFSET(INDIRECT(CONCAT(""A"",to_text(match(EJ28,ecn.list,0)))),0,1),"""")"),"")</f>
        <v/>
      </c>
      <c r="BK28" s="236" t="str">
        <f>IFERROR(__xludf.DUMMYFUNCTION("if(countif(ecn.list,EK28),OFFSET(INDIRECT(CONCAT(""A"",to_text(match(EK28,ecn.list,0)))),0,1),"""")"),"")</f>
        <v/>
      </c>
      <c r="BL28" s="236" t="str">
        <f>IFERROR(__xludf.DUMMYFUNCTION("if(countif(ecn.list,EL28),OFFSET(INDIRECT(CONCAT(""A"",to_text(match(EL28,ecn.list,0)))),0,1),"""")"),"")</f>
        <v/>
      </c>
      <c r="BM28" s="236" t="str">
        <f>IFERROR(__xludf.DUMMYFUNCTION("if(countif(ecn.list,EM28),OFFSET(INDIRECT(CONCAT(""A"",to_text(match(EM28,ecn.list,0)))),0,1),"""")"),"")</f>
        <v/>
      </c>
      <c r="BN28" s="236" t="str">
        <f>IFERROR(__xludf.DUMMYFUNCTION("if(countif(ecn.list,EN28),OFFSET(INDIRECT(CONCAT(""A"",to_text(match(EN28,ecn.list,0)))),0,1),"""")"),"")</f>
        <v/>
      </c>
      <c r="BO28" s="236" t="str">
        <f>IFERROR(__xludf.DUMMYFUNCTION("if(countif(ecn.list,EO28),OFFSET(INDIRECT(CONCAT(""A"",to_text(match(EO28,ecn.list,0)))),0,1),"""")"),"")</f>
        <v/>
      </c>
      <c r="BP28" s="236" t="str">
        <f>IFERROR(__xludf.DUMMYFUNCTION("if(countif(ecn.list,EP28),OFFSET(INDIRECT(CONCAT(""A"",to_text(match(EP28,ecn.list,0)))),0,1),"""")"),"")</f>
        <v/>
      </c>
      <c r="BQ28" s="236" t="str">
        <f>IFERROR(__xludf.DUMMYFUNCTION("if(countif(ecn.list,EQ28),OFFSET(INDIRECT(CONCAT(""A"",to_text(match(EQ28,ecn.list,0)))),0,1),"""")"),"")</f>
        <v/>
      </c>
      <c r="BR28" s="236" t="str">
        <f>IFERROR(__xludf.DUMMYFUNCTION("if(countif(ecn.list,ER28),OFFSET(INDIRECT(CONCAT(""A"",to_text(match(ER28,ecn.list,0)))),0,1),"""")"),"")</f>
        <v/>
      </c>
      <c r="BS28" s="236" t="str">
        <f>IFERROR(__xludf.DUMMYFUNCTION("if(countif(ecn.list,ES28),OFFSET(INDIRECT(CONCAT(""A"",to_text(match(ES28,ecn.list,0)))),0,1),"""")"),"")</f>
        <v/>
      </c>
      <c r="BT28" s="236" t="str">
        <f>IFERROR(__xludf.DUMMYFUNCTION("if(countif(ecn.list,ET28),OFFSET(INDIRECT(CONCAT(""A"",to_text(match(ET28,ecn.list,0)))),0,1),"""")"),"")</f>
        <v/>
      </c>
      <c r="BU28" s="236" t="str">
        <f>IFERROR(__xludf.DUMMYFUNCTION("if(countif(ecn.list,EU28),OFFSET(INDIRECT(CONCAT(""A"",to_text(match(EU28,ecn.list,0)))),0,1),"""")"),"")</f>
        <v/>
      </c>
      <c r="BV28" s="236" t="str">
        <f>IFERROR(__xludf.DUMMYFUNCTION("if(countif(ecn.list,EV28),OFFSET(INDIRECT(CONCAT(""A"",to_text(match(EV28,ecn.list,0)))),0,1),"""")"),"")</f>
        <v/>
      </c>
      <c r="BW28" s="236" t="str">
        <f>IFERROR(__xludf.DUMMYFUNCTION("if(countif(ecn.list,EW28),OFFSET(INDIRECT(CONCAT(""A"",to_text(match(EW28,ecn.list,0)))),0,1),"""")"),"")</f>
        <v/>
      </c>
      <c r="BX28" s="236" t="str">
        <f>IFERROR(__xludf.DUMMYFUNCTION("if(countif(ecn.list,EX28),OFFSET(INDIRECT(CONCAT(""A"",to_text(match(EX28,ecn.list,0)))),0,1),"""")"),"")</f>
        <v/>
      </c>
      <c r="BY28" s="236" t="str">
        <f>IFERROR(__xludf.DUMMYFUNCTION("if(countif(ecn.list,EY28),OFFSET(INDIRECT(CONCAT(""A"",to_text(match(EY28,ecn.list,0)))),0,1),"""")"),"")</f>
        <v/>
      </c>
      <c r="BZ28" s="236" t="str">
        <f>IFERROR(__xludf.DUMMYFUNCTION("if(countif(ecn.list,EZ28),OFFSET(INDIRECT(CONCAT(""A"",to_text(match(EZ28,ecn.list,0)))),0,1),"""")"),"MF ")</f>
        <v>MF </v>
      </c>
      <c r="CA28" s="236" t="str">
        <f>IFERROR(__xludf.DUMMYFUNCTION("if(countif(ecn.list,FA28),OFFSET(INDIRECT(CONCAT(""A"",to_text(match(FA28,ecn.list,0)))),0,1),"""")"),"")</f>
        <v/>
      </c>
      <c r="CB28" s="236" t="str">
        <f>IFERROR(__xludf.DUMMYFUNCTION("if(countif(ecn.list,FB28),OFFSET(INDIRECT(CONCAT(""A"",to_text(match(FB28,ecn.list,0)))),0,1),"""")"),"")</f>
        <v/>
      </c>
      <c r="CC28" s="236" t="str">
        <f>IFERROR(__xludf.DUMMYFUNCTION("if(countif(ecn.list,FC28),OFFSET(INDIRECT(CONCAT(""A"",to_text(match(FC28,ecn.list,0)))),0,1),"""")"),"N2 ")</f>
        <v>N2 </v>
      </c>
      <c r="CD28" s="236" t="str">
        <f>IFERROR(__xludf.DUMMYFUNCTION("if(countif(ecn.list,FD28),OFFSET(INDIRECT(CONCAT(""A"",to_text(match(FD28,ecn.list,0)))),0,1),"""")"),"")</f>
        <v/>
      </c>
      <c r="CE28" s="236" t="str">
        <f>IFERROR(__xludf.DUMMYFUNCTION("if(countif(ecn.list,FE28),OFFSET(INDIRECT(CONCAT(""A"",to_text(match(FE28,ecn.list,0)))),0,1),"""")"),"")</f>
        <v/>
      </c>
      <c r="CF28" s="236" t="str">
        <f>IFERROR(__xludf.DUMMYFUNCTION("if(countif(ecn.list,FF28),OFFSET(INDIRECT(CONCAT(""A"",to_text(match(FF28,ecn.list,0)))),0,1),"""")"),"")</f>
        <v/>
      </c>
      <c r="CG28" s="236" t="str">
        <f>IFERROR(__xludf.DUMMYFUNCTION("if(countif(ecn.list,FG28),OFFSET(INDIRECT(CONCAT(""A"",to_text(match(FG28,ecn.list,0)))),0,1),"""")"),"")</f>
        <v/>
      </c>
      <c r="CH28" s="236" t="str">
        <f>IFERROR(__xludf.DUMMYFUNCTION("if(countif(ecn.list,FH28),OFFSET(INDIRECT(CONCAT(""A"",to_text(match(FH28,ecn.list,0)))),0,1),"""")"),"")</f>
        <v/>
      </c>
      <c r="CI28" s="236" t="str">
        <f>IFERROR(__xludf.DUMMYFUNCTION("if(countif(ecn.list,FI28),OFFSET(INDIRECT(CONCAT(""A"",to_text(match(FI28,ecn.list,0)))),0,1),"""")"),"")</f>
        <v/>
      </c>
      <c r="CJ28" s="236" t="str">
        <f>IFERROR(__xludf.DUMMYFUNCTION("if(countif(ecn.list,FJ28),OFFSET(INDIRECT(CONCAT(""A"",to_text(match(FJ28,ecn.list,0)))),0,1),"""")"),"")</f>
        <v/>
      </c>
      <c r="CK28" s="236" t="str">
        <f>IFERROR(__xludf.DUMMYFUNCTION("if(countif(ecn.list,FK28),OFFSET(INDIRECT(CONCAT(""A"",to_text(match(FK28,ecn.list,0)))),0,1),"""")"),"")</f>
        <v/>
      </c>
      <c r="CL28" s="236" t="str">
        <f>IFERROR(__xludf.DUMMYFUNCTION("if(countif(ecn.list,FL28),OFFSET(INDIRECT(CONCAT(""A"",to_text(match(FL28,ecn.list,0)))),0,1),"""")"),"")</f>
        <v/>
      </c>
      <c r="CM28" s="236" t="str">
        <f>IFERROR(__xludf.DUMMYFUNCTION("if(countif(ecn.list,FM28),OFFSET(INDIRECT(CONCAT(""A"",to_text(match(FM28,ecn.list,0)))),0,1),"""")"),"")</f>
        <v/>
      </c>
      <c r="CN28" s="198" t="s">
        <v>159</v>
      </c>
      <c r="CO28" s="198" t="s">
        <v>1453</v>
      </c>
      <c r="CP28" s="198" t="s">
        <v>1453</v>
      </c>
      <c r="CQ28" s="198" t="s">
        <v>1453</v>
      </c>
      <c r="CR28" s="198" t="s">
        <v>1453</v>
      </c>
      <c r="CS28" s="198" t="s">
        <v>1453</v>
      </c>
      <c r="CT28" s="198" t="s">
        <v>1454</v>
      </c>
      <c r="CU28" s="198" t="s">
        <v>1455</v>
      </c>
      <c r="CV28" s="198" t="s">
        <v>1453</v>
      </c>
      <c r="CW28" s="198" t="s">
        <v>1453</v>
      </c>
      <c r="CX28" s="198" t="s">
        <v>1453</v>
      </c>
      <c r="CY28" s="198" t="s">
        <v>1453</v>
      </c>
      <c r="CZ28" s="198" t="s">
        <v>1453</v>
      </c>
      <c r="DA28" s="198" t="s">
        <v>1453</v>
      </c>
      <c r="DB28" s="198" t="s">
        <v>1453</v>
      </c>
      <c r="DC28" s="198" t="s">
        <v>1453</v>
      </c>
      <c r="DD28" s="198" t="s">
        <v>1453</v>
      </c>
      <c r="DE28" s="198" t="s">
        <v>1453</v>
      </c>
      <c r="DF28" s="198" t="s">
        <v>1453</v>
      </c>
      <c r="DG28" s="198" t="s">
        <v>1453</v>
      </c>
      <c r="DH28" s="198" t="s">
        <v>1453</v>
      </c>
      <c r="DI28" s="198" t="s">
        <v>1453</v>
      </c>
      <c r="DJ28" s="198" t="s">
        <v>1453</v>
      </c>
      <c r="DK28" s="198" t="s">
        <v>1453</v>
      </c>
      <c r="DL28" s="198" t="s">
        <v>1453</v>
      </c>
      <c r="DM28" s="198" t="s">
        <v>1453</v>
      </c>
      <c r="DN28" s="198" t="s">
        <v>1453</v>
      </c>
      <c r="DO28" s="198" t="s">
        <v>1453</v>
      </c>
      <c r="DP28" s="198" t="s">
        <v>1453</v>
      </c>
      <c r="DQ28" s="198" t="s">
        <v>1453</v>
      </c>
      <c r="DR28" s="198" t="s">
        <v>1453</v>
      </c>
      <c r="DS28" s="198" t="s">
        <v>1453</v>
      </c>
      <c r="DT28" s="198" t="s">
        <v>1453</v>
      </c>
      <c r="DU28" s="198" t="s">
        <v>1453</v>
      </c>
      <c r="DV28" s="198" t="s">
        <v>1453</v>
      </c>
      <c r="DW28" s="198" t="s">
        <v>1453</v>
      </c>
      <c r="DX28" s="198" t="s">
        <v>1453</v>
      </c>
      <c r="DY28" s="198" t="s">
        <v>1453</v>
      </c>
      <c r="DZ28" s="198" t="s">
        <v>1453</v>
      </c>
      <c r="EA28" s="198" t="s">
        <v>1453</v>
      </c>
      <c r="EB28" s="198" t="s">
        <v>1453</v>
      </c>
      <c r="EC28" s="198" t="s">
        <v>1453</v>
      </c>
      <c r="ED28" s="198" t="s">
        <v>1453</v>
      </c>
      <c r="EE28" s="198" t="s">
        <v>1453</v>
      </c>
      <c r="EF28" s="198" t="s">
        <v>1453</v>
      </c>
      <c r="EG28" s="198" t="s">
        <v>1453</v>
      </c>
      <c r="EH28" s="198" t="s">
        <v>1453</v>
      </c>
      <c r="EI28" s="198" t="s">
        <v>1453</v>
      </c>
      <c r="EJ28" s="198" t="s">
        <v>1453</v>
      </c>
      <c r="EK28" s="198" t="s">
        <v>1453</v>
      </c>
      <c r="EL28" s="198" t="s">
        <v>1453</v>
      </c>
      <c r="EM28" s="198" t="s">
        <v>1453</v>
      </c>
      <c r="EN28" s="198" t="s">
        <v>1453</v>
      </c>
      <c r="EO28" s="198" t="s">
        <v>1453</v>
      </c>
      <c r="EP28" s="198" t="s">
        <v>1453</v>
      </c>
      <c r="EQ28" s="198" t="s">
        <v>1453</v>
      </c>
      <c r="ER28" s="198" t="s">
        <v>1453</v>
      </c>
      <c r="ES28" s="198" t="s">
        <v>1453</v>
      </c>
      <c r="ET28" s="198" t="s">
        <v>1453</v>
      </c>
      <c r="EU28" s="198" t="s">
        <v>1453</v>
      </c>
      <c r="EV28" s="198" t="s">
        <v>1453</v>
      </c>
      <c r="EW28" s="198" t="s">
        <v>1453</v>
      </c>
      <c r="EX28" s="198" t="s">
        <v>1453</v>
      </c>
      <c r="EY28" s="198" t="s">
        <v>1453</v>
      </c>
      <c r="EZ28" s="198" t="s">
        <v>1477</v>
      </c>
      <c r="FA28" s="198" t="s">
        <v>1453</v>
      </c>
      <c r="FB28" s="198" t="s">
        <v>1453</v>
      </c>
      <c r="FC28" s="198" t="s">
        <v>1478</v>
      </c>
      <c r="FD28" s="198" t="s">
        <v>1453</v>
      </c>
      <c r="FE28" s="198" t="s">
        <v>1453</v>
      </c>
      <c r="FF28" s="198" t="s">
        <v>1453</v>
      </c>
      <c r="FG28" s="198" t="s">
        <v>1453</v>
      </c>
      <c r="FH28" s="198" t="s">
        <v>1453</v>
      </c>
      <c r="FI28" s="198" t="s">
        <v>1453</v>
      </c>
      <c r="FJ28" s="198" t="s">
        <v>1453</v>
      </c>
      <c r="FK28" s="198" t="s">
        <v>1453</v>
      </c>
      <c r="FL28" s="198" t="s">
        <v>1453</v>
      </c>
      <c r="FM28" s="198" t="s">
        <v>1453</v>
      </c>
    </row>
    <row r="29" ht="15.75" customHeight="1">
      <c r="A29" s="198" t="s">
        <v>1465</v>
      </c>
      <c r="B29" s="198" t="str">
        <f t="shared" si="3"/>
        <v>KB </v>
      </c>
      <c r="C29" s="234" t="s">
        <v>1510</v>
      </c>
      <c r="D29" s="232" t="s">
        <v>770</v>
      </c>
      <c r="E29" s="232" t="s">
        <v>1448</v>
      </c>
      <c r="F29" s="232" t="s">
        <v>1449</v>
      </c>
      <c r="G29" s="232" t="s">
        <v>1450</v>
      </c>
      <c r="H29" s="232" t="s">
        <v>876</v>
      </c>
      <c r="I29" s="232" t="s">
        <v>947</v>
      </c>
      <c r="J29" s="232" t="s">
        <v>825</v>
      </c>
      <c r="K29" s="232" t="s">
        <v>949</v>
      </c>
      <c r="L29" s="188" t="s">
        <v>162</v>
      </c>
      <c r="M29" s="236" t="str">
        <f>IFERROR(__xludf.DUMMYFUNCTION("regexreplace(N29,"" "","", "")"),"J0, J5, J6, J7, JC, K0, K3, K4, K5, K7, KA, KC, KD, L1, L8, LA, LC, LF, M0, M3, M8, MF, N2, N7, NA, ")</f>
        <v>J0, J5, J6, J7, JC, K0, K3, K4, K5, K7, KA, KC, KD, L1, L8, LA, LC, LF, M0, M3, M8, MF, N2, N7, NA, </v>
      </c>
      <c r="N29" s="236" t="str">
        <f t="shared" si="2"/>
        <v>J0 J5 J6 J7 JC K0 K3 K4 K5 K7 KA KC KD L1 L8 LA LC LF M0 M3 M8 MF N2 N7 NA </v>
      </c>
      <c r="O29" s="236" t="str">
        <f>IFERROR(__xludf.DUMMYFUNCTION("if(countif(ecn.list,CO29),OFFSET(INDIRECT(CONCAT(""A"",to_text(match(CO29,ecn.list,0)))),0,1),"""")"),"J0 ")</f>
        <v>J0 </v>
      </c>
      <c r="P29" s="236" t="str">
        <f>IFERROR(__xludf.DUMMYFUNCTION("if(countif(ecn.list,CP29),OFFSET(INDIRECT(CONCAT(""A"",to_text(match(CP29,ecn.list,0)))),0,1),"""")"),"")</f>
        <v/>
      </c>
      <c r="Q29" s="236" t="str">
        <f>IFERROR(__xludf.DUMMYFUNCTION("if(countif(ecn.list,CQ29),OFFSET(INDIRECT(CONCAT(""A"",to_text(match(CQ29,ecn.list,0)))),0,1),"""")"),"")</f>
        <v/>
      </c>
      <c r="R29" s="236" t="str">
        <f>IFERROR(__xludf.DUMMYFUNCTION("if(countif(ecn.list,CR29),OFFSET(INDIRECT(CONCAT(""A"",to_text(match(CR29,ecn.list,0)))),0,1),"""")"),"")</f>
        <v/>
      </c>
      <c r="S29" s="236" t="str">
        <f>IFERROR(__xludf.DUMMYFUNCTION("if(countif(ecn.list,CS29),OFFSET(INDIRECT(CONCAT(""A"",to_text(match(CS29,ecn.list,0)))),0,1),"""")"),"")</f>
        <v/>
      </c>
      <c r="T29" s="236" t="str">
        <f>IFERROR(__xludf.DUMMYFUNCTION("if(countif(ecn.list,CT29),OFFSET(INDIRECT(CONCAT(""A"",to_text(match(CT29,ecn.list,0)))),0,1),"""")"),"J5 ")</f>
        <v>J5 </v>
      </c>
      <c r="U29" s="236" t="str">
        <f>IFERROR(__xludf.DUMMYFUNCTION("if(countif(ecn.list,CU29),OFFSET(INDIRECT(CONCAT(""A"",to_text(match(CU29,ecn.list,0)))),0,1),"""")"),"J6 ")</f>
        <v>J6 </v>
      </c>
      <c r="V29" s="236" t="str">
        <f>IFERROR(__xludf.DUMMYFUNCTION("if(countif(ecn.list,CV29),OFFSET(INDIRECT(CONCAT(""A"",to_text(match(CV29,ecn.list,0)))),0,1),"""")"),"J7 ")</f>
        <v>J7 </v>
      </c>
      <c r="W29" s="236" t="str">
        <f>IFERROR(__xludf.DUMMYFUNCTION("if(countif(ecn.list,CW29),OFFSET(INDIRECT(CONCAT(""A"",to_text(match(CW29,ecn.list,0)))),0,1),"""")"),"")</f>
        <v/>
      </c>
      <c r="X29" s="236" t="str">
        <f>IFERROR(__xludf.DUMMYFUNCTION("if(countif(ecn.list,CX29),OFFSET(INDIRECT(CONCAT(""A"",to_text(match(CX29,ecn.list,0)))),0,1),"""")"),"")</f>
        <v/>
      </c>
      <c r="Y29" s="236" t="str">
        <f>IFERROR(__xludf.DUMMYFUNCTION("if(countif(ecn.list,CY29),OFFSET(INDIRECT(CONCAT(""A"",to_text(match(CY29,ecn.list,0)))),0,1),"""")"),"")</f>
        <v/>
      </c>
      <c r="Z29" s="236" t="str">
        <f>IFERROR(__xludf.DUMMYFUNCTION("if(countif(ecn.list,CZ29),OFFSET(INDIRECT(CONCAT(""A"",to_text(match(CZ29,ecn.list,0)))),0,1),"""")"),"")</f>
        <v/>
      </c>
      <c r="AA29" s="236" t="str">
        <f>IFERROR(__xludf.DUMMYFUNCTION("if(countif(ecn.list,DA29),OFFSET(INDIRECT(CONCAT(""A"",to_text(match(DA29,ecn.list,0)))),0,1),"""")"),"JC ")</f>
        <v>JC </v>
      </c>
      <c r="AB29" s="236" t="str">
        <f>IFERROR(__xludf.DUMMYFUNCTION("if(countif(ecn.list,DB29),OFFSET(INDIRECT(CONCAT(""A"",to_text(match(DB29,ecn.list,0)))),0,1),"""")"),"")</f>
        <v/>
      </c>
      <c r="AC29" s="236" t="str">
        <f>IFERROR(__xludf.DUMMYFUNCTION("if(countif(ecn.list,DC29),OFFSET(INDIRECT(CONCAT(""A"",to_text(match(DC29,ecn.list,0)))),0,1),"""")"),"")</f>
        <v/>
      </c>
      <c r="AD29" s="236" t="str">
        <f>IFERROR(__xludf.DUMMYFUNCTION("if(countif(ecn.list,DD29),OFFSET(INDIRECT(CONCAT(""A"",to_text(match(DD29,ecn.list,0)))),0,1),"""")"),"")</f>
        <v/>
      </c>
      <c r="AE29" s="236" t="str">
        <f>IFERROR(__xludf.DUMMYFUNCTION("if(countif(ecn.list,DE29),OFFSET(INDIRECT(CONCAT(""A"",to_text(match(DE29,ecn.list,0)))),0,1),"""")"),"K0 ")</f>
        <v>K0 </v>
      </c>
      <c r="AF29" s="236" t="str">
        <f>IFERROR(__xludf.DUMMYFUNCTION("if(countif(ecn.list,DF29),OFFSET(INDIRECT(CONCAT(""A"",to_text(match(DF29,ecn.list,0)))),0,1),"""")"),"")</f>
        <v/>
      </c>
      <c r="AG29" s="236" t="str">
        <f>IFERROR(__xludf.DUMMYFUNCTION("if(countif(ecn.list,DG29),OFFSET(INDIRECT(CONCAT(""A"",to_text(match(DG29,ecn.list,0)))),0,1),"""")"),"")</f>
        <v/>
      </c>
      <c r="AH29" s="236" t="str">
        <f>IFERROR(__xludf.DUMMYFUNCTION("if(countif(ecn.list,DH29),OFFSET(INDIRECT(CONCAT(""A"",to_text(match(DH29,ecn.list,0)))),0,1),"""")"),"K3 ")</f>
        <v>K3 </v>
      </c>
      <c r="AI29" s="236" t="str">
        <f>IFERROR(__xludf.DUMMYFUNCTION("if(countif(ecn.list,DI29),OFFSET(INDIRECT(CONCAT(""A"",to_text(match(DI29,ecn.list,0)))),0,1),"""")"),"K4 ")</f>
        <v>K4 </v>
      </c>
      <c r="AJ29" s="236" t="str">
        <f>IFERROR(__xludf.DUMMYFUNCTION("if(countif(ecn.list,DJ29),OFFSET(INDIRECT(CONCAT(""A"",to_text(match(DJ29,ecn.list,0)))),0,1),"""")"),"K5 ")</f>
        <v>K5 </v>
      </c>
      <c r="AK29" s="236" t="str">
        <f>IFERROR(__xludf.DUMMYFUNCTION("if(countif(ecn.list,DK29),OFFSET(INDIRECT(CONCAT(""A"",to_text(match(DK29,ecn.list,0)))),0,1),"""")"),"")</f>
        <v/>
      </c>
      <c r="AL29" s="236" t="str">
        <f>IFERROR(__xludf.DUMMYFUNCTION("if(countif(ecn.list,DL29),OFFSET(INDIRECT(CONCAT(""A"",to_text(match(DL29,ecn.list,0)))),0,1),"""")"),"K7 ")</f>
        <v>K7 </v>
      </c>
      <c r="AM29" s="236" t="str">
        <f>IFERROR(__xludf.DUMMYFUNCTION("if(countif(ecn.list,DM29),OFFSET(INDIRECT(CONCAT(""A"",to_text(match(DM29,ecn.list,0)))),0,1),"""")"),"")</f>
        <v/>
      </c>
      <c r="AN29" s="236" t="str">
        <f>IFERROR(__xludf.DUMMYFUNCTION("if(countif(ecn.list,DN29),OFFSET(INDIRECT(CONCAT(""A"",to_text(match(DN29,ecn.list,0)))),0,1),"""")"),"")</f>
        <v/>
      </c>
      <c r="AO29" s="236" t="str">
        <f>IFERROR(__xludf.DUMMYFUNCTION("if(countif(ecn.list,DO29),OFFSET(INDIRECT(CONCAT(""A"",to_text(match(DO29,ecn.list,0)))),0,1),"""")"),"KA ")</f>
        <v>KA </v>
      </c>
      <c r="AP29" s="236" t="str">
        <f>IFERROR(__xludf.DUMMYFUNCTION("if(countif(ecn.list,DP29),OFFSET(INDIRECT(CONCAT(""A"",to_text(match(DP29,ecn.list,0)))),0,1),"""")"),"")</f>
        <v/>
      </c>
      <c r="AQ29" s="236" t="str">
        <f>IFERROR(__xludf.DUMMYFUNCTION("if(countif(ecn.list,DQ29),OFFSET(INDIRECT(CONCAT(""A"",to_text(match(DQ29,ecn.list,0)))),0,1),"""")"),"KC ")</f>
        <v>KC </v>
      </c>
      <c r="AR29" s="236" t="str">
        <f>IFERROR(__xludf.DUMMYFUNCTION("if(countif(ecn.list,DR29),OFFSET(INDIRECT(CONCAT(""A"",to_text(match(DR29,ecn.list,0)))),0,1),"""")"),"KD ")</f>
        <v>KD </v>
      </c>
      <c r="AS29" s="236" t="str">
        <f>IFERROR(__xludf.DUMMYFUNCTION("if(countif(ecn.list,DS29),OFFSET(INDIRECT(CONCAT(""A"",to_text(match(DS29,ecn.list,0)))),0,1),"""")"),"")</f>
        <v/>
      </c>
      <c r="AT29" s="236" t="str">
        <f>IFERROR(__xludf.DUMMYFUNCTION("if(countif(ecn.list,DT29),OFFSET(INDIRECT(CONCAT(""A"",to_text(match(DT29,ecn.list,0)))),0,1),"""")"),"")</f>
        <v/>
      </c>
      <c r="AU29" s="236" t="str">
        <f>IFERROR(__xludf.DUMMYFUNCTION("if(countif(ecn.list,DU29),OFFSET(INDIRECT(CONCAT(""A"",to_text(match(DU29,ecn.list,0)))),0,1),"""")"),"")</f>
        <v/>
      </c>
      <c r="AV29" s="236" t="str">
        <f>IFERROR(__xludf.DUMMYFUNCTION("if(countif(ecn.list,DV29),OFFSET(INDIRECT(CONCAT(""A"",to_text(match(DV29,ecn.list,0)))),0,1),"""")"),"L1 ")</f>
        <v>L1 </v>
      </c>
      <c r="AW29" s="236" t="str">
        <f>IFERROR(__xludf.DUMMYFUNCTION("if(countif(ecn.list,DW29),OFFSET(INDIRECT(CONCAT(""A"",to_text(match(DW29,ecn.list,0)))),0,1),"""")"),"")</f>
        <v/>
      </c>
      <c r="AX29" s="236" t="str">
        <f>IFERROR(__xludf.DUMMYFUNCTION("if(countif(ecn.list,DX29),OFFSET(INDIRECT(CONCAT(""A"",to_text(match(DX29,ecn.list,0)))),0,1),"""")"),"")</f>
        <v/>
      </c>
      <c r="AY29" s="236" t="str">
        <f>IFERROR(__xludf.DUMMYFUNCTION("if(countif(ecn.list,DY29),OFFSET(INDIRECT(CONCAT(""A"",to_text(match(DY29,ecn.list,0)))),0,1),"""")"),"")</f>
        <v/>
      </c>
      <c r="AZ29" s="236" t="str">
        <f>IFERROR(__xludf.DUMMYFUNCTION("if(countif(ecn.list,DZ29),OFFSET(INDIRECT(CONCAT(""A"",to_text(match(DZ29,ecn.list,0)))),0,1),"""")"),"")</f>
        <v/>
      </c>
      <c r="BA29" s="236" t="str">
        <f>IFERROR(__xludf.DUMMYFUNCTION("if(countif(ecn.list,EA29),OFFSET(INDIRECT(CONCAT(""A"",to_text(match(EA29,ecn.list,0)))),0,1),"""")"),"")</f>
        <v/>
      </c>
      <c r="BB29" s="236" t="str">
        <f>IFERROR(__xludf.DUMMYFUNCTION("if(countif(ecn.list,EB29),OFFSET(INDIRECT(CONCAT(""A"",to_text(match(EB29,ecn.list,0)))),0,1),"""")"),"")</f>
        <v/>
      </c>
      <c r="BC29" s="236" t="str">
        <f>IFERROR(__xludf.DUMMYFUNCTION("if(countif(ecn.list,EC29),OFFSET(INDIRECT(CONCAT(""A"",to_text(match(EC29,ecn.list,0)))),0,1),"""")"),"L8 ")</f>
        <v>L8 </v>
      </c>
      <c r="BD29" s="236" t="str">
        <f>IFERROR(__xludf.DUMMYFUNCTION("if(countif(ecn.list,ED29),OFFSET(INDIRECT(CONCAT(""A"",to_text(match(ED29,ecn.list,0)))),0,1),"""")"),"")</f>
        <v/>
      </c>
      <c r="BE29" s="236" t="str">
        <f>IFERROR(__xludf.DUMMYFUNCTION("if(countif(ecn.list,EE29),OFFSET(INDIRECT(CONCAT(""A"",to_text(match(EE29,ecn.list,0)))),0,1),"""")"),"LA ")</f>
        <v>LA </v>
      </c>
      <c r="BF29" s="236" t="str">
        <f>IFERROR(__xludf.DUMMYFUNCTION("if(countif(ecn.list,EF29),OFFSET(INDIRECT(CONCAT(""A"",to_text(match(EF29,ecn.list,0)))),0,1),"""")"),"")</f>
        <v/>
      </c>
      <c r="BG29" s="236" t="str">
        <f>IFERROR(__xludf.DUMMYFUNCTION("if(countif(ecn.list,EG29),OFFSET(INDIRECT(CONCAT(""A"",to_text(match(EG29,ecn.list,0)))),0,1),"""")"),"LC ")</f>
        <v>LC </v>
      </c>
      <c r="BH29" s="236" t="str">
        <f>IFERROR(__xludf.DUMMYFUNCTION("if(countif(ecn.list,EH29),OFFSET(INDIRECT(CONCAT(""A"",to_text(match(EH29,ecn.list,0)))),0,1),"""")"),"")</f>
        <v/>
      </c>
      <c r="BI29" s="236" t="str">
        <f>IFERROR(__xludf.DUMMYFUNCTION("if(countif(ecn.list,EI29),OFFSET(INDIRECT(CONCAT(""A"",to_text(match(EI29,ecn.list,0)))),0,1),"""")"),"")</f>
        <v/>
      </c>
      <c r="BJ29" s="236" t="str">
        <f>IFERROR(__xludf.DUMMYFUNCTION("if(countif(ecn.list,EJ29),OFFSET(INDIRECT(CONCAT(""A"",to_text(match(EJ29,ecn.list,0)))),0,1),"""")"),"LF ")</f>
        <v>LF </v>
      </c>
      <c r="BK29" s="236" t="str">
        <f>IFERROR(__xludf.DUMMYFUNCTION("if(countif(ecn.list,EK29),OFFSET(INDIRECT(CONCAT(""A"",to_text(match(EK29,ecn.list,0)))),0,1),"""")"),"M0 ")</f>
        <v>M0 </v>
      </c>
      <c r="BL29" s="236" t="str">
        <f>IFERROR(__xludf.DUMMYFUNCTION("if(countif(ecn.list,EL29),OFFSET(INDIRECT(CONCAT(""A"",to_text(match(EL29,ecn.list,0)))),0,1),"""")"),"")</f>
        <v/>
      </c>
      <c r="BM29" s="236" t="str">
        <f>IFERROR(__xludf.DUMMYFUNCTION("if(countif(ecn.list,EM29),OFFSET(INDIRECT(CONCAT(""A"",to_text(match(EM29,ecn.list,0)))),0,1),"""")"),"")</f>
        <v/>
      </c>
      <c r="BN29" s="236" t="str">
        <f>IFERROR(__xludf.DUMMYFUNCTION("if(countif(ecn.list,EN29),OFFSET(INDIRECT(CONCAT(""A"",to_text(match(EN29,ecn.list,0)))),0,1),"""")"),"M3 ")</f>
        <v>M3 </v>
      </c>
      <c r="BO29" s="236" t="str">
        <f>IFERROR(__xludf.DUMMYFUNCTION("if(countif(ecn.list,EO29),OFFSET(INDIRECT(CONCAT(""A"",to_text(match(EO29,ecn.list,0)))),0,1),"""")"),"")</f>
        <v/>
      </c>
      <c r="BP29" s="236" t="str">
        <f>IFERROR(__xludf.DUMMYFUNCTION("if(countif(ecn.list,EP29),OFFSET(INDIRECT(CONCAT(""A"",to_text(match(EP29,ecn.list,0)))),0,1),"""")"),"")</f>
        <v/>
      </c>
      <c r="BQ29" s="236" t="str">
        <f>IFERROR(__xludf.DUMMYFUNCTION("if(countif(ecn.list,EQ29),OFFSET(INDIRECT(CONCAT(""A"",to_text(match(EQ29,ecn.list,0)))),0,1),"""")"),"")</f>
        <v/>
      </c>
      <c r="BR29" s="236" t="str">
        <f>IFERROR(__xludf.DUMMYFUNCTION("if(countif(ecn.list,ER29),OFFSET(INDIRECT(CONCAT(""A"",to_text(match(ER29,ecn.list,0)))),0,1),"""")"),"")</f>
        <v/>
      </c>
      <c r="BS29" s="236" t="str">
        <f>IFERROR(__xludf.DUMMYFUNCTION("if(countif(ecn.list,ES29),OFFSET(INDIRECT(CONCAT(""A"",to_text(match(ES29,ecn.list,0)))),0,1),"""")"),"M8 ")</f>
        <v>M8 </v>
      </c>
      <c r="BT29" s="236" t="str">
        <f>IFERROR(__xludf.DUMMYFUNCTION("if(countif(ecn.list,ET29),OFFSET(INDIRECT(CONCAT(""A"",to_text(match(ET29,ecn.list,0)))),0,1),"""")"),"")</f>
        <v/>
      </c>
      <c r="BU29" s="236" t="str">
        <f>IFERROR(__xludf.DUMMYFUNCTION("if(countif(ecn.list,EU29),OFFSET(INDIRECT(CONCAT(""A"",to_text(match(EU29,ecn.list,0)))),0,1),"""")"),"")</f>
        <v/>
      </c>
      <c r="BV29" s="236" t="str">
        <f>IFERROR(__xludf.DUMMYFUNCTION("if(countif(ecn.list,EV29),OFFSET(INDIRECT(CONCAT(""A"",to_text(match(EV29,ecn.list,0)))),0,1),"""")"),"")</f>
        <v/>
      </c>
      <c r="BW29" s="236" t="str">
        <f>IFERROR(__xludf.DUMMYFUNCTION("if(countif(ecn.list,EW29),OFFSET(INDIRECT(CONCAT(""A"",to_text(match(EW29,ecn.list,0)))),0,1),"""")"),"")</f>
        <v/>
      </c>
      <c r="BX29" s="236" t="str">
        <f>IFERROR(__xludf.DUMMYFUNCTION("if(countif(ecn.list,EX29),OFFSET(INDIRECT(CONCAT(""A"",to_text(match(EX29,ecn.list,0)))),0,1),"""")"),"")</f>
        <v/>
      </c>
      <c r="BY29" s="236" t="str">
        <f>IFERROR(__xludf.DUMMYFUNCTION("if(countif(ecn.list,EY29),OFFSET(INDIRECT(CONCAT(""A"",to_text(match(EY29,ecn.list,0)))),0,1),"""")"),"")</f>
        <v/>
      </c>
      <c r="BZ29" s="236" t="str">
        <f>IFERROR(__xludf.DUMMYFUNCTION("if(countif(ecn.list,EZ29),OFFSET(INDIRECT(CONCAT(""A"",to_text(match(EZ29,ecn.list,0)))),0,1),"""")"),"MF ")</f>
        <v>MF </v>
      </c>
      <c r="CA29" s="236" t="str">
        <f>IFERROR(__xludf.DUMMYFUNCTION("if(countif(ecn.list,FA29),OFFSET(INDIRECT(CONCAT(""A"",to_text(match(FA29,ecn.list,0)))),0,1),"""")"),"")</f>
        <v/>
      </c>
      <c r="CB29" s="236" t="str">
        <f>IFERROR(__xludf.DUMMYFUNCTION("if(countif(ecn.list,FB29),OFFSET(INDIRECT(CONCAT(""A"",to_text(match(FB29,ecn.list,0)))),0,1),"""")"),"")</f>
        <v/>
      </c>
      <c r="CC29" s="236" t="str">
        <f>IFERROR(__xludf.DUMMYFUNCTION("if(countif(ecn.list,FC29),OFFSET(INDIRECT(CONCAT(""A"",to_text(match(FC29,ecn.list,0)))),0,1),"""")"),"N2 ")</f>
        <v>N2 </v>
      </c>
      <c r="CD29" s="236" t="str">
        <f>IFERROR(__xludf.DUMMYFUNCTION("if(countif(ecn.list,FD29),OFFSET(INDIRECT(CONCAT(""A"",to_text(match(FD29,ecn.list,0)))),0,1),"""")"),"")</f>
        <v/>
      </c>
      <c r="CE29" s="236" t="str">
        <f>IFERROR(__xludf.DUMMYFUNCTION("if(countif(ecn.list,FE29),OFFSET(INDIRECT(CONCAT(""A"",to_text(match(FE29,ecn.list,0)))),0,1),"""")"),"")</f>
        <v/>
      </c>
      <c r="CF29" s="236" t="str">
        <f>IFERROR(__xludf.DUMMYFUNCTION("if(countif(ecn.list,FF29),OFFSET(INDIRECT(CONCAT(""A"",to_text(match(FF29,ecn.list,0)))),0,1),"""")"),"")</f>
        <v/>
      </c>
      <c r="CG29" s="236" t="str">
        <f>IFERROR(__xludf.DUMMYFUNCTION("if(countif(ecn.list,FG29),OFFSET(INDIRECT(CONCAT(""A"",to_text(match(FG29,ecn.list,0)))),0,1),"""")"),"")</f>
        <v/>
      </c>
      <c r="CH29" s="236" t="str">
        <f>IFERROR(__xludf.DUMMYFUNCTION("if(countif(ecn.list,FH29),OFFSET(INDIRECT(CONCAT(""A"",to_text(match(FH29,ecn.list,0)))),0,1),"""")"),"N7 ")</f>
        <v>N7 </v>
      </c>
      <c r="CI29" s="236" t="str">
        <f>IFERROR(__xludf.DUMMYFUNCTION("if(countif(ecn.list,FI29),OFFSET(INDIRECT(CONCAT(""A"",to_text(match(FI29,ecn.list,0)))),0,1),"""")"),"")</f>
        <v/>
      </c>
      <c r="CJ29" s="236" t="str">
        <f>IFERROR(__xludf.DUMMYFUNCTION("if(countif(ecn.list,FJ29),OFFSET(INDIRECT(CONCAT(""A"",to_text(match(FJ29,ecn.list,0)))),0,1),"""")"),"")</f>
        <v/>
      </c>
      <c r="CK29" s="236" t="str">
        <f>IFERROR(__xludf.DUMMYFUNCTION("if(countif(ecn.list,FK29),OFFSET(INDIRECT(CONCAT(""A"",to_text(match(FK29,ecn.list,0)))),0,1),"""")"),"NA ")</f>
        <v>NA </v>
      </c>
      <c r="CL29" s="236" t="str">
        <f>IFERROR(__xludf.DUMMYFUNCTION("if(countif(ecn.list,FL29),OFFSET(INDIRECT(CONCAT(""A"",to_text(match(FL29,ecn.list,0)))),0,1),"""")"),"")</f>
        <v/>
      </c>
      <c r="CM29" s="236" t="str">
        <f>IFERROR(__xludf.DUMMYFUNCTION("if(countif(ecn.list,FM29),OFFSET(INDIRECT(CONCAT(""A"",to_text(match(FM29,ecn.list,0)))),0,1),"""")"),"")</f>
        <v/>
      </c>
      <c r="CN29" s="198" t="s">
        <v>162</v>
      </c>
      <c r="CO29" s="198" t="s">
        <v>1447</v>
      </c>
      <c r="CP29" s="198" t="s">
        <v>1453</v>
      </c>
      <c r="CQ29" s="198" t="s">
        <v>1453</v>
      </c>
      <c r="CR29" s="198" t="s">
        <v>1453</v>
      </c>
      <c r="CS29" s="198" t="s">
        <v>1453</v>
      </c>
      <c r="CT29" s="198" t="s">
        <v>1454</v>
      </c>
      <c r="CU29" s="198" t="s">
        <v>1455</v>
      </c>
      <c r="CV29" s="198" t="s">
        <v>1456</v>
      </c>
      <c r="CW29" s="198" t="s">
        <v>1453</v>
      </c>
      <c r="CX29" s="198" t="s">
        <v>1453</v>
      </c>
      <c r="CY29" s="198" t="s">
        <v>1453</v>
      </c>
      <c r="CZ29" s="198" t="s">
        <v>1453</v>
      </c>
      <c r="DA29" s="198" t="s">
        <v>1457</v>
      </c>
      <c r="DB29" s="198" t="s">
        <v>1453</v>
      </c>
      <c r="DC29" s="198" t="s">
        <v>1453</v>
      </c>
      <c r="DD29" s="198" t="s">
        <v>1453</v>
      </c>
      <c r="DE29" s="198" t="s">
        <v>1459</v>
      </c>
      <c r="DF29" s="198" t="s">
        <v>1453</v>
      </c>
      <c r="DG29" s="198" t="s">
        <v>1453</v>
      </c>
      <c r="DH29" s="198" t="s">
        <v>1500</v>
      </c>
      <c r="DI29" s="198" t="s">
        <v>1501</v>
      </c>
      <c r="DJ29" s="198" t="s">
        <v>1460</v>
      </c>
      <c r="DK29" s="198" t="s">
        <v>1453</v>
      </c>
      <c r="DL29" s="198" t="s">
        <v>1461</v>
      </c>
      <c r="DM29" s="198" t="s">
        <v>1453</v>
      </c>
      <c r="DN29" s="198" t="s">
        <v>1453</v>
      </c>
      <c r="DO29" s="198" t="s">
        <v>1464</v>
      </c>
      <c r="DP29" s="198" t="s">
        <v>1453</v>
      </c>
      <c r="DQ29" s="198" t="s">
        <v>1466</v>
      </c>
      <c r="DR29" s="198" t="s">
        <v>1467</v>
      </c>
      <c r="DS29" s="198" t="s">
        <v>1453</v>
      </c>
      <c r="DT29" s="198" t="s">
        <v>1453</v>
      </c>
      <c r="DU29" s="198" t="s">
        <v>1453</v>
      </c>
      <c r="DV29" s="198" t="s">
        <v>1469</v>
      </c>
      <c r="DW29" s="198" t="s">
        <v>1453</v>
      </c>
      <c r="DX29" s="198" t="s">
        <v>1453</v>
      </c>
      <c r="DY29" s="198" t="s">
        <v>1453</v>
      </c>
      <c r="DZ29" s="198" t="s">
        <v>1453</v>
      </c>
      <c r="EA29" s="198" t="s">
        <v>1453</v>
      </c>
      <c r="EB29" s="198" t="s">
        <v>1453</v>
      </c>
      <c r="EC29" s="198" t="s">
        <v>1483</v>
      </c>
      <c r="ED29" s="198" t="s">
        <v>1453</v>
      </c>
      <c r="EE29" s="198" t="s">
        <v>1470</v>
      </c>
      <c r="EF29" s="198" t="s">
        <v>1453</v>
      </c>
      <c r="EG29" s="198" t="s">
        <v>1471</v>
      </c>
      <c r="EH29" s="198" t="s">
        <v>1453</v>
      </c>
      <c r="EI29" s="198" t="s">
        <v>1453</v>
      </c>
      <c r="EJ29" s="198" t="s">
        <v>1472</v>
      </c>
      <c r="EK29" s="198" t="s">
        <v>1487</v>
      </c>
      <c r="EL29" s="198" t="s">
        <v>1453</v>
      </c>
      <c r="EM29" s="198" t="s">
        <v>1453</v>
      </c>
      <c r="EN29" s="198" t="s">
        <v>1474</v>
      </c>
      <c r="EO29" s="198" t="s">
        <v>1453</v>
      </c>
      <c r="EP29" s="198" t="s">
        <v>1453</v>
      </c>
      <c r="EQ29" s="198" t="s">
        <v>1453</v>
      </c>
      <c r="ER29" s="198" t="s">
        <v>1453</v>
      </c>
      <c r="ES29" s="198" t="s">
        <v>1505</v>
      </c>
      <c r="ET29" s="198" t="s">
        <v>1453</v>
      </c>
      <c r="EU29" s="198" t="s">
        <v>1453</v>
      </c>
      <c r="EV29" s="198" t="s">
        <v>1453</v>
      </c>
      <c r="EW29" s="198" t="s">
        <v>1453</v>
      </c>
      <c r="EX29" s="198" t="s">
        <v>1453</v>
      </c>
      <c r="EY29" s="198" t="s">
        <v>1453</v>
      </c>
      <c r="EZ29" s="198" t="s">
        <v>1477</v>
      </c>
      <c r="FA29" s="198" t="s">
        <v>1453</v>
      </c>
      <c r="FB29" s="198" t="s">
        <v>1453</v>
      </c>
      <c r="FC29" s="198" t="s">
        <v>1478</v>
      </c>
      <c r="FD29" s="198" t="s">
        <v>1453</v>
      </c>
      <c r="FE29" s="198" t="s">
        <v>1453</v>
      </c>
      <c r="FF29" s="198" t="s">
        <v>1453</v>
      </c>
      <c r="FG29" s="198" t="s">
        <v>1453</v>
      </c>
      <c r="FH29" s="198" t="s">
        <v>1479</v>
      </c>
      <c r="FI29" s="198" t="s">
        <v>1453</v>
      </c>
      <c r="FJ29" s="198" t="s">
        <v>1453</v>
      </c>
      <c r="FK29" s="198" t="s">
        <v>1481</v>
      </c>
      <c r="FL29" s="198" t="s">
        <v>1482</v>
      </c>
      <c r="FM29" s="198" t="s">
        <v>1453</v>
      </c>
    </row>
    <row r="30" ht="15.75" customHeight="1">
      <c r="A30" s="236" t="s">
        <v>1466</v>
      </c>
      <c r="B30" s="198" t="str">
        <f t="shared" si="3"/>
        <v>KC </v>
      </c>
      <c r="C30" s="234" t="s">
        <v>1511</v>
      </c>
      <c r="D30" s="232" t="s">
        <v>770</v>
      </c>
      <c r="E30" s="232" t="s">
        <v>1448</v>
      </c>
      <c r="F30" s="232" t="s">
        <v>1449</v>
      </c>
      <c r="G30" s="232" t="s">
        <v>1450</v>
      </c>
      <c r="H30" s="232" t="s">
        <v>876</v>
      </c>
      <c r="I30" s="232" t="s">
        <v>947</v>
      </c>
      <c r="J30" s="232" t="s">
        <v>825</v>
      </c>
      <c r="K30" s="232" t="s">
        <v>949</v>
      </c>
      <c r="L30" s="188" t="s">
        <v>165</v>
      </c>
      <c r="M30" s="236" t="str">
        <f>IFERROR(__xludf.DUMMYFUNCTION("regexreplace(N30,"" "","", "")"),"J0, J5, J6, J7, JA, JC, K0, K3, K4, K5, K7, KA, KC, KD, L1, L8, LA, LC, LF, M0, M3, M8, MF, N2, N7, NA, ")</f>
        <v>J0, J5, J6, J7, JA, JC, K0, K3, K4, K5, K7, KA, KC, KD, L1, L8, LA, LC, LF, M0, M3, M8, MF, N2, N7, NA, </v>
      </c>
      <c r="N30" s="236" t="str">
        <f t="shared" si="2"/>
        <v>J0 J5 J6 J7 JA JC K0 K3 K4 K5 K7 KA KC KD L1 L8 LA LC LF M0 M3 M8 MF N2 N7 NA </v>
      </c>
      <c r="O30" s="236" t="str">
        <f>IFERROR(__xludf.DUMMYFUNCTION("if(countif(ecn.list,CO30),OFFSET(INDIRECT(CONCAT(""A"",to_text(match(CO30,ecn.list,0)))),0,1),"""")"),"J0 ")</f>
        <v>J0 </v>
      </c>
      <c r="P30" s="236" t="str">
        <f>IFERROR(__xludf.DUMMYFUNCTION("if(countif(ecn.list,CP30),OFFSET(INDIRECT(CONCAT(""A"",to_text(match(CP30,ecn.list,0)))),0,1),"""")"),"")</f>
        <v/>
      </c>
      <c r="Q30" s="236" t="str">
        <f>IFERROR(__xludf.DUMMYFUNCTION("if(countif(ecn.list,CQ30),OFFSET(INDIRECT(CONCAT(""A"",to_text(match(CQ30,ecn.list,0)))),0,1),"""")"),"")</f>
        <v/>
      </c>
      <c r="R30" s="236" t="str">
        <f>IFERROR(__xludf.DUMMYFUNCTION("if(countif(ecn.list,CR30),OFFSET(INDIRECT(CONCAT(""A"",to_text(match(CR30,ecn.list,0)))),0,1),"""")"),"")</f>
        <v/>
      </c>
      <c r="S30" s="236" t="str">
        <f>IFERROR(__xludf.DUMMYFUNCTION("if(countif(ecn.list,CS30),OFFSET(INDIRECT(CONCAT(""A"",to_text(match(CS30,ecn.list,0)))),0,1),"""")"),"")</f>
        <v/>
      </c>
      <c r="T30" s="236" t="str">
        <f>IFERROR(__xludf.DUMMYFUNCTION("if(countif(ecn.list,CT30),OFFSET(INDIRECT(CONCAT(""A"",to_text(match(CT30,ecn.list,0)))),0,1),"""")"),"J5 ")</f>
        <v>J5 </v>
      </c>
      <c r="U30" s="236" t="str">
        <f>IFERROR(__xludf.DUMMYFUNCTION("if(countif(ecn.list,CU30),OFFSET(INDIRECT(CONCAT(""A"",to_text(match(CU30,ecn.list,0)))),0,1),"""")"),"J6 ")</f>
        <v>J6 </v>
      </c>
      <c r="V30" s="236" t="str">
        <f>IFERROR(__xludf.DUMMYFUNCTION("if(countif(ecn.list,CV30),OFFSET(INDIRECT(CONCAT(""A"",to_text(match(CV30,ecn.list,0)))),0,1),"""")"),"J7 ")</f>
        <v>J7 </v>
      </c>
      <c r="W30" s="236" t="str">
        <f>IFERROR(__xludf.DUMMYFUNCTION("if(countif(ecn.list,CW30),OFFSET(INDIRECT(CONCAT(""A"",to_text(match(CW30,ecn.list,0)))),0,1),"""")"),"")</f>
        <v/>
      </c>
      <c r="X30" s="236" t="str">
        <f>IFERROR(__xludf.DUMMYFUNCTION("if(countif(ecn.list,CX30),OFFSET(INDIRECT(CONCAT(""A"",to_text(match(CX30,ecn.list,0)))),0,1),"""")"),"")</f>
        <v/>
      </c>
      <c r="Y30" s="236" t="str">
        <f>IFERROR(__xludf.DUMMYFUNCTION("if(countif(ecn.list,CY30),OFFSET(INDIRECT(CONCAT(""A"",to_text(match(CY30,ecn.list,0)))),0,1),"""")"),"JA ")</f>
        <v>JA </v>
      </c>
      <c r="Z30" s="236" t="str">
        <f>IFERROR(__xludf.DUMMYFUNCTION("if(countif(ecn.list,CZ30),OFFSET(INDIRECT(CONCAT(""A"",to_text(match(CZ30,ecn.list,0)))),0,1),"""")"),"")</f>
        <v/>
      </c>
      <c r="AA30" s="236" t="str">
        <f>IFERROR(__xludf.DUMMYFUNCTION("if(countif(ecn.list,DA30),OFFSET(INDIRECT(CONCAT(""A"",to_text(match(DA30,ecn.list,0)))),0,1),"""")"),"JC ")</f>
        <v>JC </v>
      </c>
      <c r="AB30" s="236" t="str">
        <f>IFERROR(__xludf.DUMMYFUNCTION("if(countif(ecn.list,DB30),OFFSET(INDIRECT(CONCAT(""A"",to_text(match(DB30,ecn.list,0)))),0,1),"""")"),"")</f>
        <v/>
      </c>
      <c r="AC30" s="236" t="str">
        <f>IFERROR(__xludf.DUMMYFUNCTION("if(countif(ecn.list,DC30),OFFSET(INDIRECT(CONCAT(""A"",to_text(match(DC30,ecn.list,0)))),0,1),"""")"),"")</f>
        <v/>
      </c>
      <c r="AD30" s="236" t="str">
        <f>IFERROR(__xludf.DUMMYFUNCTION("if(countif(ecn.list,DD30),OFFSET(INDIRECT(CONCAT(""A"",to_text(match(DD30,ecn.list,0)))),0,1),"""")"),"")</f>
        <v/>
      </c>
      <c r="AE30" s="236" t="str">
        <f>IFERROR(__xludf.DUMMYFUNCTION("if(countif(ecn.list,DE30),OFFSET(INDIRECT(CONCAT(""A"",to_text(match(DE30,ecn.list,0)))),0,1),"""")"),"K0 ")</f>
        <v>K0 </v>
      </c>
      <c r="AF30" s="236" t="str">
        <f>IFERROR(__xludf.DUMMYFUNCTION("if(countif(ecn.list,DF30),OFFSET(INDIRECT(CONCAT(""A"",to_text(match(DF30,ecn.list,0)))),0,1),"""")"),"")</f>
        <v/>
      </c>
      <c r="AG30" s="236" t="str">
        <f>IFERROR(__xludf.DUMMYFUNCTION("if(countif(ecn.list,DG30),OFFSET(INDIRECT(CONCAT(""A"",to_text(match(DG30,ecn.list,0)))),0,1),"""")"),"")</f>
        <v/>
      </c>
      <c r="AH30" s="236" t="str">
        <f>IFERROR(__xludf.DUMMYFUNCTION("if(countif(ecn.list,DH30),OFFSET(INDIRECT(CONCAT(""A"",to_text(match(DH30,ecn.list,0)))),0,1),"""")"),"K3 ")</f>
        <v>K3 </v>
      </c>
      <c r="AI30" s="236" t="str">
        <f>IFERROR(__xludf.DUMMYFUNCTION("if(countif(ecn.list,DI30),OFFSET(INDIRECT(CONCAT(""A"",to_text(match(DI30,ecn.list,0)))),0,1),"""")"),"K4 ")</f>
        <v>K4 </v>
      </c>
      <c r="AJ30" s="236" t="str">
        <f>IFERROR(__xludf.DUMMYFUNCTION("if(countif(ecn.list,DJ30),OFFSET(INDIRECT(CONCAT(""A"",to_text(match(DJ30,ecn.list,0)))),0,1),"""")"),"K5 ")</f>
        <v>K5 </v>
      </c>
      <c r="AK30" s="236" t="str">
        <f>IFERROR(__xludf.DUMMYFUNCTION("if(countif(ecn.list,DK30),OFFSET(INDIRECT(CONCAT(""A"",to_text(match(DK30,ecn.list,0)))),0,1),"""")"),"")</f>
        <v/>
      </c>
      <c r="AL30" s="236" t="str">
        <f>IFERROR(__xludf.DUMMYFUNCTION("if(countif(ecn.list,DL30),OFFSET(INDIRECT(CONCAT(""A"",to_text(match(DL30,ecn.list,0)))),0,1),"""")"),"K7 ")</f>
        <v>K7 </v>
      </c>
      <c r="AM30" s="236" t="str">
        <f>IFERROR(__xludf.DUMMYFUNCTION("if(countif(ecn.list,DM30),OFFSET(INDIRECT(CONCAT(""A"",to_text(match(DM30,ecn.list,0)))),0,1),"""")"),"")</f>
        <v/>
      </c>
      <c r="AN30" s="236" t="str">
        <f>IFERROR(__xludf.DUMMYFUNCTION("if(countif(ecn.list,DN30),OFFSET(INDIRECT(CONCAT(""A"",to_text(match(DN30,ecn.list,0)))),0,1),"""")"),"")</f>
        <v/>
      </c>
      <c r="AO30" s="236" t="str">
        <f>IFERROR(__xludf.DUMMYFUNCTION("if(countif(ecn.list,DO30),OFFSET(INDIRECT(CONCAT(""A"",to_text(match(DO30,ecn.list,0)))),0,1),"""")"),"KA ")</f>
        <v>KA </v>
      </c>
      <c r="AP30" s="236" t="str">
        <f>IFERROR(__xludf.DUMMYFUNCTION("if(countif(ecn.list,DP30),OFFSET(INDIRECT(CONCAT(""A"",to_text(match(DP30,ecn.list,0)))),0,1),"""")"),"")</f>
        <v/>
      </c>
      <c r="AQ30" s="236" t="str">
        <f>IFERROR(__xludf.DUMMYFUNCTION("if(countif(ecn.list,DQ30),OFFSET(INDIRECT(CONCAT(""A"",to_text(match(DQ30,ecn.list,0)))),0,1),"""")"),"KC ")</f>
        <v>KC </v>
      </c>
      <c r="AR30" s="236" t="str">
        <f>IFERROR(__xludf.DUMMYFUNCTION("if(countif(ecn.list,DR30),OFFSET(INDIRECT(CONCAT(""A"",to_text(match(DR30,ecn.list,0)))),0,1),"""")"),"KD ")</f>
        <v>KD </v>
      </c>
      <c r="AS30" s="236" t="str">
        <f>IFERROR(__xludf.DUMMYFUNCTION("if(countif(ecn.list,DS30),OFFSET(INDIRECT(CONCAT(""A"",to_text(match(DS30,ecn.list,0)))),0,1),"""")"),"")</f>
        <v/>
      </c>
      <c r="AT30" s="236" t="str">
        <f>IFERROR(__xludf.DUMMYFUNCTION("if(countif(ecn.list,DT30),OFFSET(INDIRECT(CONCAT(""A"",to_text(match(DT30,ecn.list,0)))),0,1),"""")"),"")</f>
        <v/>
      </c>
      <c r="AU30" s="236" t="str">
        <f>IFERROR(__xludf.DUMMYFUNCTION("if(countif(ecn.list,DU30),OFFSET(INDIRECT(CONCAT(""A"",to_text(match(DU30,ecn.list,0)))),0,1),"""")"),"")</f>
        <v/>
      </c>
      <c r="AV30" s="236" t="str">
        <f>IFERROR(__xludf.DUMMYFUNCTION("if(countif(ecn.list,DV30),OFFSET(INDIRECT(CONCAT(""A"",to_text(match(DV30,ecn.list,0)))),0,1),"""")"),"L1 ")</f>
        <v>L1 </v>
      </c>
      <c r="AW30" s="236" t="str">
        <f>IFERROR(__xludf.DUMMYFUNCTION("if(countif(ecn.list,DW30),OFFSET(INDIRECT(CONCAT(""A"",to_text(match(DW30,ecn.list,0)))),0,1),"""")"),"")</f>
        <v/>
      </c>
      <c r="AX30" s="236" t="str">
        <f>IFERROR(__xludf.DUMMYFUNCTION("if(countif(ecn.list,DX30),OFFSET(INDIRECT(CONCAT(""A"",to_text(match(DX30,ecn.list,0)))),0,1),"""")"),"")</f>
        <v/>
      </c>
      <c r="AY30" s="236" t="str">
        <f>IFERROR(__xludf.DUMMYFUNCTION("if(countif(ecn.list,DY30),OFFSET(INDIRECT(CONCAT(""A"",to_text(match(DY30,ecn.list,0)))),0,1),"""")"),"")</f>
        <v/>
      </c>
      <c r="AZ30" s="236" t="str">
        <f>IFERROR(__xludf.DUMMYFUNCTION("if(countif(ecn.list,DZ30),OFFSET(INDIRECT(CONCAT(""A"",to_text(match(DZ30,ecn.list,0)))),0,1),"""")"),"")</f>
        <v/>
      </c>
      <c r="BA30" s="236" t="str">
        <f>IFERROR(__xludf.DUMMYFUNCTION("if(countif(ecn.list,EA30),OFFSET(INDIRECT(CONCAT(""A"",to_text(match(EA30,ecn.list,0)))),0,1),"""")"),"")</f>
        <v/>
      </c>
      <c r="BB30" s="236" t="str">
        <f>IFERROR(__xludf.DUMMYFUNCTION("if(countif(ecn.list,EB30),OFFSET(INDIRECT(CONCAT(""A"",to_text(match(EB30,ecn.list,0)))),0,1),"""")"),"")</f>
        <v/>
      </c>
      <c r="BC30" s="236" t="str">
        <f>IFERROR(__xludf.DUMMYFUNCTION("if(countif(ecn.list,EC30),OFFSET(INDIRECT(CONCAT(""A"",to_text(match(EC30,ecn.list,0)))),0,1),"""")"),"L8 ")</f>
        <v>L8 </v>
      </c>
      <c r="BD30" s="236" t="str">
        <f>IFERROR(__xludf.DUMMYFUNCTION("if(countif(ecn.list,ED30),OFFSET(INDIRECT(CONCAT(""A"",to_text(match(ED30,ecn.list,0)))),0,1),"""")"),"")</f>
        <v/>
      </c>
      <c r="BE30" s="236" t="str">
        <f>IFERROR(__xludf.DUMMYFUNCTION("if(countif(ecn.list,EE30),OFFSET(INDIRECT(CONCAT(""A"",to_text(match(EE30,ecn.list,0)))),0,1),"""")"),"LA ")</f>
        <v>LA </v>
      </c>
      <c r="BF30" s="236" t="str">
        <f>IFERROR(__xludf.DUMMYFUNCTION("if(countif(ecn.list,EF30),OFFSET(INDIRECT(CONCAT(""A"",to_text(match(EF30,ecn.list,0)))),0,1),"""")"),"")</f>
        <v/>
      </c>
      <c r="BG30" s="236" t="str">
        <f>IFERROR(__xludf.DUMMYFUNCTION("if(countif(ecn.list,EG30),OFFSET(INDIRECT(CONCAT(""A"",to_text(match(EG30,ecn.list,0)))),0,1),"""")"),"LC ")</f>
        <v>LC </v>
      </c>
      <c r="BH30" s="236" t="str">
        <f>IFERROR(__xludf.DUMMYFUNCTION("if(countif(ecn.list,EH30),OFFSET(INDIRECT(CONCAT(""A"",to_text(match(EH30,ecn.list,0)))),0,1),"""")"),"")</f>
        <v/>
      </c>
      <c r="BI30" s="236" t="str">
        <f>IFERROR(__xludf.DUMMYFUNCTION("if(countif(ecn.list,EI30),OFFSET(INDIRECT(CONCAT(""A"",to_text(match(EI30,ecn.list,0)))),0,1),"""")"),"")</f>
        <v/>
      </c>
      <c r="BJ30" s="236" t="str">
        <f>IFERROR(__xludf.DUMMYFUNCTION("if(countif(ecn.list,EJ30),OFFSET(INDIRECT(CONCAT(""A"",to_text(match(EJ30,ecn.list,0)))),0,1),"""")"),"LF ")</f>
        <v>LF </v>
      </c>
      <c r="BK30" s="236" t="str">
        <f>IFERROR(__xludf.DUMMYFUNCTION("if(countif(ecn.list,EK30),OFFSET(INDIRECT(CONCAT(""A"",to_text(match(EK30,ecn.list,0)))),0,1),"""")"),"M0 ")</f>
        <v>M0 </v>
      </c>
      <c r="BL30" s="236" t="str">
        <f>IFERROR(__xludf.DUMMYFUNCTION("if(countif(ecn.list,EL30),OFFSET(INDIRECT(CONCAT(""A"",to_text(match(EL30,ecn.list,0)))),0,1),"""")"),"")</f>
        <v/>
      </c>
      <c r="BM30" s="236" t="str">
        <f>IFERROR(__xludf.DUMMYFUNCTION("if(countif(ecn.list,EM30),OFFSET(INDIRECT(CONCAT(""A"",to_text(match(EM30,ecn.list,0)))),0,1),"""")"),"")</f>
        <v/>
      </c>
      <c r="BN30" s="236" t="str">
        <f>IFERROR(__xludf.DUMMYFUNCTION("if(countif(ecn.list,EN30),OFFSET(INDIRECT(CONCAT(""A"",to_text(match(EN30,ecn.list,0)))),0,1),"""")"),"M3 ")</f>
        <v>M3 </v>
      </c>
      <c r="BO30" s="236" t="str">
        <f>IFERROR(__xludf.DUMMYFUNCTION("if(countif(ecn.list,EO30),OFFSET(INDIRECT(CONCAT(""A"",to_text(match(EO30,ecn.list,0)))),0,1),"""")"),"")</f>
        <v/>
      </c>
      <c r="BP30" s="236" t="str">
        <f>IFERROR(__xludf.DUMMYFUNCTION("if(countif(ecn.list,EP30),OFFSET(INDIRECT(CONCAT(""A"",to_text(match(EP30,ecn.list,0)))),0,1),"""")"),"")</f>
        <v/>
      </c>
      <c r="BQ30" s="236" t="str">
        <f>IFERROR(__xludf.DUMMYFUNCTION("if(countif(ecn.list,EQ30),OFFSET(INDIRECT(CONCAT(""A"",to_text(match(EQ30,ecn.list,0)))),0,1),"""")"),"")</f>
        <v/>
      </c>
      <c r="BR30" s="236" t="str">
        <f>IFERROR(__xludf.DUMMYFUNCTION("if(countif(ecn.list,ER30),OFFSET(INDIRECT(CONCAT(""A"",to_text(match(ER30,ecn.list,0)))),0,1),"""")"),"")</f>
        <v/>
      </c>
      <c r="BS30" s="236" t="str">
        <f>IFERROR(__xludf.DUMMYFUNCTION("if(countif(ecn.list,ES30),OFFSET(INDIRECT(CONCAT(""A"",to_text(match(ES30,ecn.list,0)))),0,1),"""")"),"M8 ")</f>
        <v>M8 </v>
      </c>
      <c r="BT30" s="236" t="str">
        <f>IFERROR(__xludf.DUMMYFUNCTION("if(countif(ecn.list,ET30),OFFSET(INDIRECT(CONCAT(""A"",to_text(match(ET30,ecn.list,0)))),0,1),"""")"),"")</f>
        <v/>
      </c>
      <c r="BU30" s="236" t="str">
        <f>IFERROR(__xludf.DUMMYFUNCTION("if(countif(ecn.list,EU30),OFFSET(INDIRECT(CONCAT(""A"",to_text(match(EU30,ecn.list,0)))),0,1),"""")"),"")</f>
        <v/>
      </c>
      <c r="BV30" s="236" t="str">
        <f>IFERROR(__xludf.DUMMYFUNCTION("if(countif(ecn.list,EV30),OFFSET(INDIRECT(CONCAT(""A"",to_text(match(EV30,ecn.list,0)))),0,1),"""")"),"")</f>
        <v/>
      </c>
      <c r="BW30" s="236" t="str">
        <f>IFERROR(__xludf.DUMMYFUNCTION("if(countif(ecn.list,EW30),OFFSET(INDIRECT(CONCAT(""A"",to_text(match(EW30,ecn.list,0)))),0,1),"""")"),"")</f>
        <v/>
      </c>
      <c r="BX30" s="236" t="str">
        <f>IFERROR(__xludf.DUMMYFUNCTION("if(countif(ecn.list,EX30),OFFSET(INDIRECT(CONCAT(""A"",to_text(match(EX30,ecn.list,0)))),0,1),"""")"),"")</f>
        <v/>
      </c>
      <c r="BY30" s="236" t="str">
        <f>IFERROR(__xludf.DUMMYFUNCTION("if(countif(ecn.list,EY30),OFFSET(INDIRECT(CONCAT(""A"",to_text(match(EY30,ecn.list,0)))),0,1),"""")"),"")</f>
        <v/>
      </c>
      <c r="BZ30" s="236" t="str">
        <f>IFERROR(__xludf.DUMMYFUNCTION("if(countif(ecn.list,EZ30),OFFSET(INDIRECT(CONCAT(""A"",to_text(match(EZ30,ecn.list,0)))),0,1),"""")"),"MF ")</f>
        <v>MF </v>
      </c>
      <c r="CA30" s="236" t="str">
        <f>IFERROR(__xludf.DUMMYFUNCTION("if(countif(ecn.list,FA30),OFFSET(INDIRECT(CONCAT(""A"",to_text(match(FA30,ecn.list,0)))),0,1),"""")"),"")</f>
        <v/>
      </c>
      <c r="CB30" s="236" t="str">
        <f>IFERROR(__xludf.DUMMYFUNCTION("if(countif(ecn.list,FB30),OFFSET(INDIRECT(CONCAT(""A"",to_text(match(FB30,ecn.list,0)))),0,1),"""")"),"")</f>
        <v/>
      </c>
      <c r="CC30" s="236" t="str">
        <f>IFERROR(__xludf.DUMMYFUNCTION("if(countif(ecn.list,FC30),OFFSET(INDIRECT(CONCAT(""A"",to_text(match(FC30,ecn.list,0)))),0,1),"""")"),"N2 ")</f>
        <v>N2 </v>
      </c>
      <c r="CD30" s="236" t="str">
        <f>IFERROR(__xludf.DUMMYFUNCTION("if(countif(ecn.list,FD30),OFFSET(INDIRECT(CONCAT(""A"",to_text(match(FD30,ecn.list,0)))),0,1),"""")"),"")</f>
        <v/>
      </c>
      <c r="CE30" s="236" t="str">
        <f>IFERROR(__xludf.DUMMYFUNCTION("if(countif(ecn.list,FE30),OFFSET(INDIRECT(CONCAT(""A"",to_text(match(FE30,ecn.list,0)))),0,1),"""")"),"")</f>
        <v/>
      </c>
      <c r="CF30" s="236" t="str">
        <f>IFERROR(__xludf.DUMMYFUNCTION("if(countif(ecn.list,FF30),OFFSET(INDIRECT(CONCAT(""A"",to_text(match(FF30,ecn.list,0)))),0,1),"""")"),"")</f>
        <v/>
      </c>
      <c r="CG30" s="236" t="str">
        <f>IFERROR(__xludf.DUMMYFUNCTION("if(countif(ecn.list,FG30),OFFSET(INDIRECT(CONCAT(""A"",to_text(match(FG30,ecn.list,0)))),0,1),"""")"),"")</f>
        <v/>
      </c>
      <c r="CH30" s="236" t="str">
        <f>IFERROR(__xludf.DUMMYFUNCTION("if(countif(ecn.list,FH30),OFFSET(INDIRECT(CONCAT(""A"",to_text(match(FH30,ecn.list,0)))),0,1),"""")"),"N7 ")</f>
        <v>N7 </v>
      </c>
      <c r="CI30" s="236" t="str">
        <f>IFERROR(__xludf.DUMMYFUNCTION("if(countif(ecn.list,FI30),OFFSET(INDIRECT(CONCAT(""A"",to_text(match(FI30,ecn.list,0)))),0,1),"""")"),"")</f>
        <v/>
      </c>
      <c r="CJ30" s="236" t="str">
        <f>IFERROR(__xludf.DUMMYFUNCTION("if(countif(ecn.list,FJ30),OFFSET(INDIRECT(CONCAT(""A"",to_text(match(FJ30,ecn.list,0)))),0,1),"""")"),"")</f>
        <v/>
      </c>
      <c r="CK30" s="236" t="str">
        <f>IFERROR(__xludf.DUMMYFUNCTION("if(countif(ecn.list,FK30),OFFSET(INDIRECT(CONCAT(""A"",to_text(match(FK30,ecn.list,0)))),0,1),"""")"),"NA ")</f>
        <v>NA </v>
      </c>
      <c r="CL30" s="236" t="str">
        <f>IFERROR(__xludf.DUMMYFUNCTION("if(countif(ecn.list,FL30),OFFSET(INDIRECT(CONCAT(""A"",to_text(match(FL30,ecn.list,0)))),0,1),"""")"),"")</f>
        <v/>
      </c>
      <c r="CM30" s="236" t="str">
        <f>IFERROR(__xludf.DUMMYFUNCTION("if(countif(ecn.list,FM30),OFFSET(INDIRECT(CONCAT(""A"",to_text(match(FM30,ecn.list,0)))),0,1),"""")"),"")</f>
        <v/>
      </c>
      <c r="CN30" s="198" t="s">
        <v>165</v>
      </c>
      <c r="CO30" s="198" t="s">
        <v>1447</v>
      </c>
      <c r="CP30" s="198" t="s">
        <v>1453</v>
      </c>
      <c r="CQ30" s="198" t="s">
        <v>1453</v>
      </c>
      <c r="CR30" s="198" t="s">
        <v>1453</v>
      </c>
      <c r="CS30" s="198" t="s">
        <v>1453</v>
      </c>
      <c r="CT30" s="198" t="s">
        <v>1454</v>
      </c>
      <c r="CU30" s="198" t="s">
        <v>1455</v>
      </c>
      <c r="CV30" s="198" t="s">
        <v>1456</v>
      </c>
      <c r="CW30" s="198" t="s">
        <v>1453</v>
      </c>
      <c r="CX30" s="198" t="s">
        <v>1453</v>
      </c>
      <c r="CY30" s="198" t="s">
        <v>1484</v>
      </c>
      <c r="CZ30" s="198" t="s">
        <v>1453</v>
      </c>
      <c r="DA30" s="198" t="s">
        <v>1457</v>
      </c>
      <c r="DB30" s="198" t="s">
        <v>1453</v>
      </c>
      <c r="DC30" s="198" t="s">
        <v>1453</v>
      </c>
      <c r="DD30" s="198" t="s">
        <v>1453</v>
      </c>
      <c r="DE30" s="198" t="s">
        <v>1459</v>
      </c>
      <c r="DF30" s="198" t="s">
        <v>1453</v>
      </c>
      <c r="DG30" s="198" t="s">
        <v>1453</v>
      </c>
      <c r="DH30" s="198" t="s">
        <v>1500</v>
      </c>
      <c r="DI30" s="198" t="s">
        <v>1501</v>
      </c>
      <c r="DJ30" s="198" t="s">
        <v>1460</v>
      </c>
      <c r="DK30" s="198" t="s">
        <v>1453</v>
      </c>
      <c r="DL30" s="198" t="s">
        <v>1461</v>
      </c>
      <c r="DM30" s="198" t="s">
        <v>1453</v>
      </c>
      <c r="DN30" s="198" t="s">
        <v>1453</v>
      </c>
      <c r="DO30" s="198" t="s">
        <v>1464</v>
      </c>
      <c r="DP30" s="198" t="s">
        <v>1453</v>
      </c>
      <c r="DQ30" s="198" t="s">
        <v>1466</v>
      </c>
      <c r="DR30" s="198" t="s">
        <v>1467</v>
      </c>
      <c r="DS30" s="198" t="s">
        <v>1453</v>
      </c>
      <c r="DT30" s="198" t="s">
        <v>1453</v>
      </c>
      <c r="DU30" s="198" t="s">
        <v>1453</v>
      </c>
      <c r="DV30" s="198" t="s">
        <v>1469</v>
      </c>
      <c r="DW30" s="198" t="s">
        <v>1453</v>
      </c>
      <c r="DX30" s="198" t="s">
        <v>1453</v>
      </c>
      <c r="DY30" s="198" t="s">
        <v>1453</v>
      </c>
      <c r="DZ30" s="198" t="s">
        <v>1453</v>
      </c>
      <c r="EA30" s="198" t="s">
        <v>1453</v>
      </c>
      <c r="EB30" s="198" t="s">
        <v>1453</v>
      </c>
      <c r="EC30" s="198" t="s">
        <v>1483</v>
      </c>
      <c r="ED30" s="198" t="s">
        <v>1453</v>
      </c>
      <c r="EE30" s="198" t="s">
        <v>1470</v>
      </c>
      <c r="EF30" s="198" t="s">
        <v>1453</v>
      </c>
      <c r="EG30" s="198" t="s">
        <v>1471</v>
      </c>
      <c r="EH30" s="198" t="s">
        <v>1453</v>
      </c>
      <c r="EI30" s="198" t="s">
        <v>1453</v>
      </c>
      <c r="EJ30" s="198" t="s">
        <v>1472</v>
      </c>
      <c r="EK30" s="198" t="s">
        <v>1487</v>
      </c>
      <c r="EL30" s="198" t="s">
        <v>1453</v>
      </c>
      <c r="EM30" s="198" t="s">
        <v>1453</v>
      </c>
      <c r="EN30" s="198" t="s">
        <v>1474</v>
      </c>
      <c r="EO30" s="198" t="s">
        <v>1453</v>
      </c>
      <c r="EP30" s="198" t="s">
        <v>1453</v>
      </c>
      <c r="EQ30" s="198" t="s">
        <v>1453</v>
      </c>
      <c r="ER30" s="198" t="s">
        <v>1453</v>
      </c>
      <c r="ES30" s="198" t="s">
        <v>1505</v>
      </c>
      <c r="ET30" s="198" t="s">
        <v>1453</v>
      </c>
      <c r="EU30" s="198" t="s">
        <v>1453</v>
      </c>
      <c r="EV30" s="198" t="s">
        <v>1453</v>
      </c>
      <c r="EW30" s="198" t="s">
        <v>1453</v>
      </c>
      <c r="EX30" s="198" t="s">
        <v>1453</v>
      </c>
      <c r="EY30" s="198" t="s">
        <v>1453</v>
      </c>
      <c r="EZ30" s="198" t="s">
        <v>1477</v>
      </c>
      <c r="FA30" s="198" t="s">
        <v>1453</v>
      </c>
      <c r="FB30" s="198" t="s">
        <v>1453</v>
      </c>
      <c r="FC30" s="198" t="s">
        <v>1478</v>
      </c>
      <c r="FD30" s="198" t="s">
        <v>1453</v>
      </c>
      <c r="FE30" s="198" t="s">
        <v>1453</v>
      </c>
      <c r="FF30" s="198" t="s">
        <v>1453</v>
      </c>
      <c r="FG30" s="198" t="s">
        <v>1453</v>
      </c>
      <c r="FH30" s="198" t="s">
        <v>1479</v>
      </c>
      <c r="FI30" s="198" t="s">
        <v>1453</v>
      </c>
      <c r="FJ30" s="198" t="s">
        <v>1453</v>
      </c>
      <c r="FK30" s="198" t="s">
        <v>1481</v>
      </c>
      <c r="FL30" s="198" t="s">
        <v>1482</v>
      </c>
      <c r="FM30" s="198" t="s">
        <v>1453</v>
      </c>
    </row>
    <row r="31" ht="15.75" customHeight="1">
      <c r="A31" s="236" t="s">
        <v>1467</v>
      </c>
      <c r="B31" s="198" t="str">
        <f t="shared" si="3"/>
        <v>KD </v>
      </c>
      <c r="C31" s="234" t="s">
        <v>1512</v>
      </c>
      <c r="D31" s="232" t="s">
        <v>770</v>
      </c>
      <c r="E31" s="232" t="s">
        <v>1448</v>
      </c>
      <c r="F31" s="232" t="s">
        <v>1449</v>
      </c>
      <c r="G31" s="232" t="s">
        <v>1450</v>
      </c>
      <c r="H31" s="232" t="s">
        <v>876</v>
      </c>
      <c r="I31" s="232" t="s">
        <v>947</v>
      </c>
      <c r="J31" s="232" t="s">
        <v>825</v>
      </c>
      <c r="K31" s="232" t="s">
        <v>953</v>
      </c>
      <c r="L31" s="188" t="s">
        <v>168</v>
      </c>
      <c r="M31" s="236" t="str">
        <f>IFERROR(__xludf.DUMMYFUNCTION("regexreplace(N31,"" "","", "")"),"J0, J5, J6, J7, JC, K0, K3, K4, K5, K7, KA, KC, KD, L1, L8, LA, LC, LF, M0, M3, M8, MF, N2, N7, NA, ")</f>
        <v>J0, J5, J6, J7, JC, K0, K3, K4, K5, K7, KA, KC, KD, L1, L8, LA, LC, LF, M0, M3, M8, MF, N2, N7, NA, </v>
      </c>
      <c r="N31" s="236" t="str">
        <f t="shared" si="2"/>
        <v>J0 J5 J6 J7 JC K0 K3 K4 K5 K7 KA KC KD L1 L8 LA LC LF M0 M3 M8 MF N2 N7 NA </v>
      </c>
      <c r="O31" s="236" t="str">
        <f>IFERROR(__xludf.DUMMYFUNCTION("if(countif(ecn.list,CO31),OFFSET(INDIRECT(CONCAT(""A"",to_text(match(CO31,ecn.list,0)))),0,1),"""")"),"J0 ")</f>
        <v>J0 </v>
      </c>
      <c r="P31" s="236" t="str">
        <f>IFERROR(__xludf.DUMMYFUNCTION("if(countif(ecn.list,CP31),OFFSET(INDIRECT(CONCAT(""A"",to_text(match(CP31,ecn.list,0)))),0,1),"""")"),"")</f>
        <v/>
      </c>
      <c r="Q31" s="236" t="str">
        <f>IFERROR(__xludf.DUMMYFUNCTION("if(countif(ecn.list,CQ31),OFFSET(INDIRECT(CONCAT(""A"",to_text(match(CQ31,ecn.list,0)))),0,1),"""")"),"")</f>
        <v/>
      </c>
      <c r="R31" s="236" t="str">
        <f>IFERROR(__xludf.DUMMYFUNCTION("if(countif(ecn.list,CR31),OFFSET(INDIRECT(CONCAT(""A"",to_text(match(CR31,ecn.list,0)))),0,1),"""")"),"")</f>
        <v/>
      </c>
      <c r="S31" s="236" t="str">
        <f>IFERROR(__xludf.DUMMYFUNCTION("if(countif(ecn.list,CS31),OFFSET(INDIRECT(CONCAT(""A"",to_text(match(CS31,ecn.list,0)))),0,1),"""")"),"")</f>
        <v/>
      </c>
      <c r="T31" s="236" t="str">
        <f>IFERROR(__xludf.DUMMYFUNCTION("if(countif(ecn.list,CT31),OFFSET(INDIRECT(CONCAT(""A"",to_text(match(CT31,ecn.list,0)))),0,1),"""")"),"J5 ")</f>
        <v>J5 </v>
      </c>
      <c r="U31" s="236" t="str">
        <f>IFERROR(__xludf.DUMMYFUNCTION("if(countif(ecn.list,CU31),OFFSET(INDIRECT(CONCAT(""A"",to_text(match(CU31,ecn.list,0)))),0,1),"""")"),"J6 ")</f>
        <v>J6 </v>
      </c>
      <c r="V31" s="236" t="str">
        <f>IFERROR(__xludf.DUMMYFUNCTION("if(countif(ecn.list,CV31),OFFSET(INDIRECT(CONCAT(""A"",to_text(match(CV31,ecn.list,0)))),0,1),"""")"),"J7 ")</f>
        <v>J7 </v>
      </c>
      <c r="W31" s="236" t="str">
        <f>IFERROR(__xludf.DUMMYFUNCTION("if(countif(ecn.list,CW31),OFFSET(INDIRECT(CONCAT(""A"",to_text(match(CW31,ecn.list,0)))),0,1),"""")"),"")</f>
        <v/>
      </c>
      <c r="X31" s="236" t="str">
        <f>IFERROR(__xludf.DUMMYFUNCTION("if(countif(ecn.list,CX31),OFFSET(INDIRECT(CONCAT(""A"",to_text(match(CX31,ecn.list,0)))),0,1),"""")"),"")</f>
        <v/>
      </c>
      <c r="Y31" s="236" t="str">
        <f>IFERROR(__xludf.DUMMYFUNCTION("if(countif(ecn.list,CY31),OFFSET(INDIRECT(CONCAT(""A"",to_text(match(CY31,ecn.list,0)))),0,1),"""")"),"")</f>
        <v/>
      </c>
      <c r="Z31" s="236" t="str">
        <f>IFERROR(__xludf.DUMMYFUNCTION("if(countif(ecn.list,CZ31),OFFSET(INDIRECT(CONCAT(""A"",to_text(match(CZ31,ecn.list,0)))),0,1),"""")"),"")</f>
        <v/>
      </c>
      <c r="AA31" s="236" t="str">
        <f>IFERROR(__xludf.DUMMYFUNCTION("if(countif(ecn.list,DA31),OFFSET(INDIRECT(CONCAT(""A"",to_text(match(DA31,ecn.list,0)))),0,1),"""")"),"JC ")</f>
        <v>JC </v>
      </c>
      <c r="AB31" s="236" t="str">
        <f>IFERROR(__xludf.DUMMYFUNCTION("if(countif(ecn.list,DB31),OFFSET(INDIRECT(CONCAT(""A"",to_text(match(DB31,ecn.list,0)))),0,1),"""")"),"")</f>
        <v/>
      </c>
      <c r="AC31" s="236" t="str">
        <f>IFERROR(__xludf.DUMMYFUNCTION("if(countif(ecn.list,DC31),OFFSET(INDIRECT(CONCAT(""A"",to_text(match(DC31,ecn.list,0)))),0,1),"""")"),"")</f>
        <v/>
      </c>
      <c r="AD31" s="236" t="str">
        <f>IFERROR(__xludf.DUMMYFUNCTION("if(countif(ecn.list,DD31),OFFSET(INDIRECT(CONCAT(""A"",to_text(match(DD31,ecn.list,0)))),0,1),"""")"),"")</f>
        <v/>
      </c>
      <c r="AE31" s="236" t="str">
        <f>IFERROR(__xludf.DUMMYFUNCTION("if(countif(ecn.list,DE31),OFFSET(INDIRECT(CONCAT(""A"",to_text(match(DE31,ecn.list,0)))),0,1),"""")"),"K0 ")</f>
        <v>K0 </v>
      </c>
      <c r="AF31" s="236" t="str">
        <f>IFERROR(__xludf.DUMMYFUNCTION("if(countif(ecn.list,DF31),OFFSET(INDIRECT(CONCAT(""A"",to_text(match(DF31,ecn.list,0)))),0,1),"""")"),"")</f>
        <v/>
      </c>
      <c r="AG31" s="236" t="str">
        <f>IFERROR(__xludf.DUMMYFUNCTION("if(countif(ecn.list,DG31),OFFSET(INDIRECT(CONCAT(""A"",to_text(match(DG31,ecn.list,0)))),0,1),"""")"),"")</f>
        <v/>
      </c>
      <c r="AH31" s="236" t="str">
        <f>IFERROR(__xludf.DUMMYFUNCTION("if(countif(ecn.list,DH31),OFFSET(INDIRECT(CONCAT(""A"",to_text(match(DH31,ecn.list,0)))),0,1),"""")"),"K3 ")</f>
        <v>K3 </v>
      </c>
      <c r="AI31" s="236" t="str">
        <f>IFERROR(__xludf.DUMMYFUNCTION("if(countif(ecn.list,DI31),OFFSET(INDIRECT(CONCAT(""A"",to_text(match(DI31,ecn.list,0)))),0,1),"""")"),"K4 ")</f>
        <v>K4 </v>
      </c>
      <c r="AJ31" s="236" t="str">
        <f>IFERROR(__xludf.DUMMYFUNCTION("if(countif(ecn.list,DJ31),OFFSET(INDIRECT(CONCAT(""A"",to_text(match(DJ31,ecn.list,0)))),0,1),"""")"),"K5 ")</f>
        <v>K5 </v>
      </c>
      <c r="AK31" s="236" t="str">
        <f>IFERROR(__xludf.DUMMYFUNCTION("if(countif(ecn.list,DK31),OFFSET(INDIRECT(CONCAT(""A"",to_text(match(DK31,ecn.list,0)))),0,1),"""")"),"")</f>
        <v/>
      </c>
      <c r="AL31" s="236" t="str">
        <f>IFERROR(__xludf.DUMMYFUNCTION("if(countif(ecn.list,DL31),OFFSET(INDIRECT(CONCAT(""A"",to_text(match(DL31,ecn.list,0)))),0,1),"""")"),"K7 ")</f>
        <v>K7 </v>
      </c>
      <c r="AM31" s="236" t="str">
        <f>IFERROR(__xludf.DUMMYFUNCTION("if(countif(ecn.list,DM31),OFFSET(INDIRECT(CONCAT(""A"",to_text(match(DM31,ecn.list,0)))),0,1),"""")"),"")</f>
        <v/>
      </c>
      <c r="AN31" s="236" t="str">
        <f>IFERROR(__xludf.DUMMYFUNCTION("if(countif(ecn.list,DN31),OFFSET(INDIRECT(CONCAT(""A"",to_text(match(DN31,ecn.list,0)))),0,1),"""")"),"")</f>
        <v/>
      </c>
      <c r="AO31" s="236" t="str">
        <f>IFERROR(__xludf.DUMMYFUNCTION("if(countif(ecn.list,DO31),OFFSET(INDIRECT(CONCAT(""A"",to_text(match(DO31,ecn.list,0)))),0,1),"""")"),"KA ")</f>
        <v>KA </v>
      </c>
      <c r="AP31" s="236" t="str">
        <f>IFERROR(__xludf.DUMMYFUNCTION("if(countif(ecn.list,DP31),OFFSET(INDIRECT(CONCAT(""A"",to_text(match(DP31,ecn.list,0)))),0,1),"""")"),"")</f>
        <v/>
      </c>
      <c r="AQ31" s="236" t="str">
        <f>IFERROR(__xludf.DUMMYFUNCTION("if(countif(ecn.list,DQ31),OFFSET(INDIRECT(CONCAT(""A"",to_text(match(DQ31,ecn.list,0)))),0,1),"""")"),"KC ")</f>
        <v>KC </v>
      </c>
      <c r="AR31" s="236" t="str">
        <f>IFERROR(__xludf.DUMMYFUNCTION("if(countif(ecn.list,DR31),OFFSET(INDIRECT(CONCAT(""A"",to_text(match(DR31,ecn.list,0)))),0,1),"""")"),"KD ")</f>
        <v>KD </v>
      </c>
      <c r="AS31" s="236" t="str">
        <f>IFERROR(__xludf.DUMMYFUNCTION("if(countif(ecn.list,DS31),OFFSET(INDIRECT(CONCAT(""A"",to_text(match(DS31,ecn.list,0)))),0,1),"""")"),"")</f>
        <v/>
      </c>
      <c r="AT31" s="236" t="str">
        <f>IFERROR(__xludf.DUMMYFUNCTION("if(countif(ecn.list,DT31),OFFSET(INDIRECT(CONCAT(""A"",to_text(match(DT31,ecn.list,0)))),0,1),"""")"),"")</f>
        <v/>
      </c>
      <c r="AU31" s="236" t="str">
        <f>IFERROR(__xludf.DUMMYFUNCTION("if(countif(ecn.list,DU31),OFFSET(INDIRECT(CONCAT(""A"",to_text(match(DU31,ecn.list,0)))),0,1),"""")"),"")</f>
        <v/>
      </c>
      <c r="AV31" s="236" t="str">
        <f>IFERROR(__xludf.DUMMYFUNCTION("if(countif(ecn.list,DV31),OFFSET(INDIRECT(CONCAT(""A"",to_text(match(DV31,ecn.list,0)))),0,1),"""")"),"L1 ")</f>
        <v>L1 </v>
      </c>
      <c r="AW31" s="236" t="str">
        <f>IFERROR(__xludf.DUMMYFUNCTION("if(countif(ecn.list,DW31),OFFSET(INDIRECT(CONCAT(""A"",to_text(match(DW31,ecn.list,0)))),0,1),"""")"),"")</f>
        <v/>
      </c>
      <c r="AX31" s="236" t="str">
        <f>IFERROR(__xludf.DUMMYFUNCTION("if(countif(ecn.list,DX31),OFFSET(INDIRECT(CONCAT(""A"",to_text(match(DX31,ecn.list,0)))),0,1),"""")"),"")</f>
        <v/>
      </c>
      <c r="AY31" s="236" t="str">
        <f>IFERROR(__xludf.DUMMYFUNCTION("if(countif(ecn.list,DY31),OFFSET(INDIRECT(CONCAT(""A"",to_text(match(DY31,ecn.list,0)))),0,1),"""")"),"")</f>
        <v/>
      </c>
      <c r="AZ31" s="236" t="str">
        <f>IFERROR(__xludf.DUMMYFUNCTION("if(countif(ecn.list,DZ31),OFFSET(INDIRECT(CONCAT(""A"",to_text(match(DZ31,ecn.list,0)))),0,1),"""")"),"")</f>
        <v/>
      </c>
      <c r="BA31" s="236" t="str">
        <f>IFERROR(__xludf.DUMMYFUNCTION("if(countif(ecn.list,EA31),OFFSET(INDIRECT(CONCAT(""A"",to_text(match(EA31,ecn.list,0)))),0,1),"""")"),"")</f>
        <v/>
      </c>
      <c r="BB31" s="236" t="str">
        <f>IFERROR(__xludf.DUMMYFUNCTION("if(countif(ecn.list,EB31),OFFSET(INDIRECT(CONCAT(""A"",to_text(match(EB31,ecn.list,0)))),0,1),"""")"),"")</f>
        <v/>
      </c>
      <c r="BC31" s="236" t="str">
        <f>IFERROR(__xludf.DUMMYFUNCTION("if(countif(ecn.list,EC31),OFFSET(INDIRECT(CONCAT(""A"",to_text(match(EC31,ecn.list,0)))),0,1),"""")"),"L8 ")</f>
        <v>L8 </v>
      </c>
      <c r="BD31" s="236" t="str">
        <f>IFERROR(__xludf.DUMMYFUNCTION("if(countif(ecn.list,ED31),OFFSET(INDIRECT(CONCAT(""A"",to_text(match(ED31,ecn.list,0)))),0,1),"""")"),"")</f>
        <v/>
      </c>
      <c r="BE31" s="236" t="str">
        <f>IFERROR(__xludf.DUMMYFUNCTION("if(countif(ecn.list,EE31),OFFSET(INDIRECT(CONCAT(""A"",to_text(match(EE31,ecn.list,0)))),0,1),"""")"),"LA ")</f>
        <v>LA </v>
      </c>
      <c r="BF31" s="236" t="str">
        <f>IFERROR(__xludf.DUMMYFUNCTION("if(countif(ecn.list,EF31),OFFSET(INDIRECT(CONCAT(""A"",to_text(match(EF31,ecn.list,0)))),0,1),"""")"),"")</f>
        <v/>
      </c>
      <c r="BG31" s="236" t="str">
        <f>IFERROR(__xludf.DUMMYFUNCTION("if(countif(ecn.list,EG31),OFFSET(INDIRECT(CONCAT(""A"",to_text(match(EG31,ecn.list,0)))),0,1),"""")"),"LC ")</f>
        <v>LC </v>
      </c>
      <c r="BH31" s="236" t="str">
        <f>IFERROR(__xludf.DUMMYFUNCTION("if(countif(ecn.list,EH31),OFFSET(INDIRECT(CONCAT(""A"",to_text(match(EH31,ecn.list,0)))),0,1),"""")"),"")</f>
        <v/>
      </c>
      <c r="BI31" s="236" t="str">
        <f>IFERROR(__xludf.DUMMYFUNCTION("if(countif(ecn.list,EI31),OFFSET(INDIRECT(CONCAT(""A"",to_text(match(EI31,ecn.list,0)))),0,1),"""")"),"")</f>
        <v/>
      </c>
      <c r="BJ31" s="236" t="str">
        <f>IFERROR(__xludf.DUMMYFUNCTION("if(countif(ecn.list,EJ31),OFFSET(INDIRECT(CONCAT(""A"",to_text(match(EJ31,ecn.list,0)))),0,1),"""")"),"LF ")</f>
        <v>LF </v>
      </c>
      <c r="BK31" s="236" t="str">
        <f>IFERROR(__xludf.DUMMYFUNCTION("if(countif(ecn.list,EK31),OFFSET(INDIRECT(CONCAT(""A"",to_text(match(EK31,ecn.list,0)))),0,1),"""")"),"M0 ")</f>
        <v>M0 </v>
      </c>
      <c r="BL31" s="236" t="str">
        <f>IFERROR(__xludf.DUMMYFUNCTION("if(countif(ecn.list,EL31),OFFSET(INDIRECT(CONCAT(""A"",to_text(match(EL31,ecn.list,0)))),0,1),"""")"),"")</f>
        <v/>
      </c>
      <c r="BM31" s="236" t="str">
        <f>IFERROR(__xludf.DUMMYFUNCTION("if(countif(ecn.list,EM31),OFFSET(INDIRECT(CONCAT(""A"",to_text(match(EM31,ecn.list,0)))),0,1),"""")"),"")</f>
        <v/>
      </c>
      <c r="BN31" s="236" t="str">
        <f>IFERROR(__xludf.DUMMYFUNCTION("if(countif(ecn.list,EN31),OFFSET(INDIRECT(CONCAT(""A"",to_text(match(EN31,ecn.list,0)))),0,1),"""")"),"M3 ")</f>
        <v>M3 </v>
      </c>
      <c r="BO31" s="236" t="str">
        <f>IFERROR(__xludf.DUMMYFUNCTION("if(countif(ecn.list,EO31),OFFSET(INDIRECT(CONCAT(""A"",to_text(match(EO31,ecn.list,0)))),0,1),"""")"),"")</f>
        <v/>
      </c>
      <c r="BP31" s="236" t="str">
        <f>IFERROR(__xludf.DUMMYFUNCTION("if(countif(ecn.list,EP31),OFFSET(INDIRECT(CONCAT(""A"",to_text(match(EP31,ecn.list,0)))),0,1),"""")"),"")</f>
        <v/>
      </c>
      <c r="BQ31" s="236" t="str">
        <f>IFERROR(__xludf.DUMMYFUNCTION("if(countif(ecn.list,EQ31),OFFSET(INDIRECT(CONCAT(""A"",to_text(match(EQ31,ecn.list,0)))),0,1),"""")"),"")</f>
        <v/>
      </c>
      <c r="BR31" s="236" t="str">
        <f>IFERROR(__xludf.DUMMYFUNCTION("if(countif(ecn.list,ER31),OFFSET(INDIRECT(CONCAT(""A"",to_text(match(ER31,ecn.list,0)))),0,1),"""")"),"")</f>
        <v/>
      </c>
      <c r="BS31" s="236" t="str">
        <f>IFERROR(__xludf.DUMMYFUNCTION("if(countif(ecn.list,ES31),OFFSET(INDIRECT(CONCAT(""A"",to_text(match(ES31,ecn.list,0)))),0,1),"""")"),"M8 ")</f>
        <v>M8 </v>
      </c>
      <c r="BT31" s="236" t="str">
        <f>IFERROR(__xludf.DUMMYFUNCTION("if(countif(ecn.list,ET31),OFFSET(INDIRECT(CONCAT(""A"",to_text(match(ET31,ecn.list,0)))),0,1),"""")"),"")</f>
        <v/>
      </c>
      <c r="BU31" s="236" t="str">
        <f>IFERROR(__xludf.DUMMYFUNCTION("if(countif(ecn.list,EU31),OFFSET(INDIRECT(CONCAT(""A"",to_text(match(EU31,ecn.list,0)))),0,1),"""")"),"")</f>
        <v/>
      </c>
      <c r="BV31" s="236" t="str">
        <f>IFERROR(__xludf.DUMMYFUNCTION("if(countif(ecn.list,EV31),OFFSET(INDIRECT(CONCAT(""A"",to_text(match(EV31,ecn.list,0)))),0,1),"""")"),"")</f>
        <v/>
      </c>
      <c r="BW31" s="236" t="str">
        <f>IFERROR(__xludf.DUMMYFUNCTION("if(countif(ecn.list,EW31),OFFSET(INDIRECT(CONCAT(""A"",to_text(match(EW31,ecn.list,0)))),0,1),"""")"),"")</f>
        <v/>
      </c>
      <c r="BX31" s="236" t="str">
        <f>IFERROR(__xludf.DUMMYFUNCTION("if(countif(ecn.list,EX31),OFFSET(INDIRECT(CONCAT(""A"",to_text(match(EX31,ecn.list,0)))),0,1),"""")"),"")</f>
        <v/>
      </c>
      <c r="BY31" s="236" t="str">
        <f>IFERROR(__xludf.DUMMYFUNCTION("if(countif(ecn.list,EY31),OFFSET(INDIRECT(CONCAT(""A"",to_text(match(EY31,ecn.list,0)))),0,1),"""")"),"")</f>
        <v/>
      </c>
      <c r="BZ31" s="236" t="str">
        <f>IFERROR(__xludf.DUMMYFUNCTION("if(countif(ecn.list,EZ31),OFFSET(INDIRECT(CONCAT(""A"",to_text(match(EZ31,ecn.list,0)))),0,1),"""")"),"MF ")</f>
        <v>MF </v>
      </c>
      <c r="CA31" s="236" t="str">
        <f>IFERROR(__xludf.DUMMYFUNCTION("if(countif(ecn.list,FA31),OFFSET(INDIRECT(CONCAT(""A"",to_text(match(FA31,ecn.list,0)))),0,1),"""")"),"")</f>
        <v/>
      </c>
      <c r="CB31" s="236" t="str">
        <f>IFERROR(__xludf.DUMMYFUNCTION("if(countif(ecn.list,FB31),OFFSET(INDIRECT(CONCAT(""A"",to_text(match(FB31,ecn.list,0)))),0,1),"""")"),"")</f>
        <v/>
      </c>
      <c r="CC31" s="236" t="str">
        <f>IFERROR(__xludf.DUMMYFUNCTION("if(countif(ecn.list,FC31),OFFSET(INDIRECT(CONCAT(""A"",to_text(match(FC31,ecn.list,0)))),0,1),"""")"),"N2 ")</f>
        <v>N2 </v>
      </c>
      <c r="CD31" s="236" t="str">
        <f>IFERROR(__xludf.DUMMYFUNCTION("if(countif(ecn.list,FD31),OFFSET(INDIRECT(CONCAT(""A"",to_text(match(FD31,ecn.list,0)))),0,1),"""")"),"")</f>
        <v/>
      </c>
      <c r="CE31" s="236" t="str">
        <f>IFERROR(__xludf.DUMMYFUNCTION("if(countif(ecn.list,FE31),OFFSET(INDIRECT(CONCAT(""A"",to_text(match(FE31,ecn.list,0)))),0,1),"""")"),"")</f>
        <v/>
      </c>
      <c r="CF31" s="236" t="str">
        <f>IFERROR(__xludf.DUMMYFUNCTION("if(countif(ecn.list,FF31),OFFSET(INDIRECT(CONCAT(""A"",to_text(match(FF31,ecn.list,0)))),0,1),"""")"),"")</f>
        <v/>
      </c>
      <c r="CG31" s="236" t="str">
        <f>IFERROR(__xludf.DUMMYFUNCTION("if(countif(ecn.list,FG31),OFFSET(INDIRECT(CONCAT(""A"",to_text(match(FG31,ecn.list,0)))),0,1),"""")"),"")</f>
        <v/>
      </c>
      <c r="CH31" s="236" t="str">
        <f>IFERROR(__xludf.DUMMYFUNCTION("if(countif(ecn.list,FH31),OFFSET(INDIRECT(CONCAT(""A"",to_text(match(FH31,ecn.list,0)))),0,1),"""")"),"N7 ")</f>
        <v>N7 </v>
      </c>
      <c r="CI31" s="236" t="str">
        <f>IFERROR(__xludf.DUMMYFUNCTION("if(countif(ecn.list,FI31),OFFSET(INDIRECT(CONCAT(""A"",to_text(match(FI31,ecn.list,0)))),0,1),"""")"),"")</f>
        <v/>
      </c>
      <c r="CJ31" s="236" t="str">
        <f>IFERROR(__xludf.DUMMYFUNCTION("if(countif(ecn.list,FJ31),OFFSET(INDIRECT(CONCAT(""A"",to_text(match(FJ31,ecn.list,0)))),0,1),"""")"),"")</f>
        <v/>
      </c>
      <c r="CK31" s="236" t="str">
        <f>IFERROR(__xludf.DUMMYFUNCTION("if(countif(ecn.list,FK31),OFFSET(INDIRECT(CONCAT(""A"",to_text(match(FK31,ecn.list,0)))),0,1),"""")"),"NA ")</f>
        <v>NA </v>
      </c>
      <c r="CL31" s="236" t="str">
        <f>IFERROR(__xludf.DUMMYFUNCTION("if(countif(ecn.list,FL31),OFFSET(INDIRECT(CONCAT(""A"",to_text(match(FL31,ecn.list,0)))),0,1),"""")"),"")</f>
        <v/>
      </c>
      <c r="CM31" s="236" t="str">
        <f>IFERROR(__xludf.DUMMYFUNCTION("if(countif(ecn.list,FM31),OFFSET(INDIRECT(CONCAT(""A"",to_text(match(FM31,ecn.list,0)))),0,1),"""")"),"")</f>
        <v/>
      </c>
      <c r="CN31" s="198" t="s">
        <v>168</v>
      </c>
      <c r="CO31" s="198" t="s">
        <v>1447</v>
      </c>
      <c r="CP31" s="198" t="s">
        <v>1453</v>
      </c>
      <c r="CQ31" s="198" t="s">
        <v>1453</v>
      </c>
      <c r="CR31" s="198" t="s">
        <v>1453</v>
      </c>
      <c r="CS31" s="198" t="s">
        <v>1453</v>
      </c>
      <c r="CT31" s="198" t="s">
        <v>1454</v>
      </c>
      <c r="CU31" s="198" t="s">
        <v>1455</v>
      </c>
      <c r="CV31" s="198" t="s">
        <v>1456</v>
      </c>
      <c r="CW31" s="198" t="s">
        <v>1453</v>
      </c>
      <c r="CX31" s="198" t="s">
        <v>1453</v>
      </c>
      <c r="CY31" s="198" t="s">
        <v>1453</v>
      </c>
      <c r="CZ31" s="198" t="s">
        <v>1453</v>
      </c>
      <c r="DA31" s="198" t="s">
        <v>1457</v>
      </c>
      <c r="DB31" s="198" t="s">
        <v>1453</v>
      </c>
      <c r="DC31" s="198" t="s">
        <v>1453</v>
      </c>
      <c r="DD31" s="198" t="s">
        <v>1453</v>
      </c>
      <c r="DE31" s="198" t="s">
        <v>1459</v>
      </c>
      <c r="DF31" s="198" t="s">
        <v>1453</v>
      </c>
      <c r="DG31" s="198" t="s">
        <v>1453</v>
      </c>
      <c r="DH31" s="198" t="s">
        <v>1500</v>
      </c>
      <c r="DI31" s="198" t="s">
        <v>1501</v>
      </c>
      <c r="DJ31" s="198" t="s">
        <v>1460</v>
      </c>
      <c r="DK31" s="198" t="s">
        <v>1453</v>
      </c>
      <c r="DL31" s="198" t="s">
        <v>1461</v>
      </c>
      <c r="DM31" s="198" t="s">
        <v>1453</v>
      </c>
      <c r="DN31" s="198" t="s">
        <v>1453</v>
      </c>
      <c r="DO31" s="198" t="s">
        <v>1464</v>
      </c>
      <c r="DP31" s="198" t="s">
        <v>1453</v>
      </c>
      <c r="DQ31" s="198" t="s">
        <v>1466</v>
      </c>
      <c r="DR31" s="198" t="s">
        <v>1467</v>
      </c>
      <c r="DS31" s="198" t="s">
        <v>1453</v>
      </c>
      <c r="DT31" s="198" t="s">
        <v>1453</v>
      </c>
      <c r="DU31" s="198" t="s">
        <v>1453</v>
      </c>
      <c r="DV31" s="198" t="s">
        <v>1469</v>
      </c>
      <c r="DW31" s="198" t="s">
        <v>1453</v>
      </c>
      <c r="DX31" s="198" t="s">
        <v>1453</v>
      </c>
      <c r="DY31" s="198" t="s">
        <v>1453</v>
      </c>
      <c r="DZ31" s="198" t="s">
        <v>1453</v>
      </c>
      <c r="EA31" s="198" t="s">
        <v>1453</v>
      </c>
      <c r="EB31" s="198" t="s">
        <v>1453</v>
      </c>
      <c r="EC31" s="198" t="s">
        <v>1483</v>
      </c>
      <c r="ED31" s="198" t="s">
        <v>1453</v>
      </c>
      <c r="EE31" s="198" t="s">
        <v>1470</v>
      </c>
      <c r="EF31" s="198" t="s">
        <v>1453</v>
      </c>
      <c r="EG31" s="198" t="s">
        <v>1471</v>
      </c>
      <c r="EH31" s="198" t="s">
        <v>1453</v>
      </c>
      <c r="EI31" s="198" t="s">
        <v>1453</v>
      </c>
      <c r="EJ31" s="198" t="s">
        <v>1472</v>
      </c>
      <c r="EK31" s="198" t="s">
        <v>1487</v>
      </c>
      <c r="EL31" s="198" t="s">
        <v>1453</v>
      </c>
      <c r="EM31" s="198" t="s">
        <v>1453</v>
      </c>
      <c r="EN31" s="198" t="s">
        <v>1474</v>
      </c>
      <c r="EO31" s="198" t="s">
        <v>1453</v>
      </c>
      <c r="EP31" s="198" t="s">
        <v>1453</v>
      </c>
      <c r="EQ31" s="198" t="s">
        <v>1453</v>
      </c>
      <c r="ER31" s="198" t="s">
        <v>1453</v>
      </c>
      <c r="ES31" s="198" t="s">
        <v>1505</v>
      </c>
      <c r="ET31" s="198" t="s">
        <v>1453</v>
      </c>
      <c r="EU31" s="198" t="s">
        <v>1453</v>
      </c>
      <c r="EV31" s="198" t="s">
        <v>1453</v>
      </c>
      <c r="EW31" s="198" t="s">
        <v>1453</v>
      </c>
      <c r="EX31" s="198" t="s">
        <v>1453</v>
      </c>
      <c r="EY31" s="198" t="s">
        <v>1453</v>
      </c>
      <c r="EZ31" s="198" t="s">
        <v>1477</v>
      </c>
      <c r="FA31" s="198" t="s">
        <v>1453</v>
      </c>
      <c r="FB31" s="198" t="s">
        <v>1453</v>
      </c>
      <c r="FC31" s="198" t="s">
        <v>1478</v>
      </c>
      <c r="FD31" s="198" t="s">
        <v>1453</v>
      </c>
      <c r="FE31" s="198" t="s">
        <v>1453</v>
      </c>
      <c r="FF31" s="198" t="s">
        <v>1453</v>
      </c>
      <c r="FG31" s="198" t="s">
        <v>1453</v>
      </c>
      <c r="FH31" s="198" t="s">
        <v>1479</v>
      </c>
      <c r="FI31" s="198" t="s">
        <v>1453</v>
      </c>
      <c r="FJ31" s="198" t="s">
        <v>1453</v>
      </c>
      <c r="FK31" s="198" t="s">
        <v>1481</v>
      </c>
      <c r="FL31" s="198" t="s">
        <v>1482</v>
      </c>
      <c r="FM31" s="198" t="s">
        <v>1453</v>
      </c>
    </row>
    <row r="32" ht="15.75" customHeight="1">
      <c r="A32" s="198" t="s">
        <v>1515</v>
      </c>
      <c r="B32" s="198" t="str">
        <f t="shared" si="3"/>
        <v>KE </v>
      </c>
      <c r="C32" s="234" t="s">
        <v>1514</v>
      </c>
      <c r="D32" s="232" t="s">
        <v>770</v>
      </c>
      <c r="E32" s="232" t="s">
        <v>1448</v>
      </c>
      <c r="F32" s="232" t="s">
        <v>1449</v>
      </c>
      <c r="G32" s="232" t="s">
        <v>1450</v>
      </c>
      <c r="H32" s="232" t="s">
        <v>876</v>
      </c>
      <c r="I32" s="232" t="s">
        <v>947</v>
      </c>
      <c r="J32" s="232" t="s">
        <v>825</v>
      </c>
      <c r="K32" s="232" t="s">
        <v>953</v>
      </c>
      <c r="L32" s="188" t="s">
        <v>171</v>
      </c>
      <c r="M32" s="236" t="str">
        <f>IFERROR(__xludf.DUMMYFUNCTION("regexreplace(N32,"" "","", "")"),"J0, J5, J6, J7, JC, K0, K3, K4, K5, K7, KA, KC, KD, L1, L8, LA, LC, LF, M0, M3, M8, MF, N2, N7, NA, ")</f>
        <v>J0, J5, J6, J7, JC, K0, K3, K4, K5, K7, KA, KC, KD, L1, L8, LA, LC, LF, M0, M3, M8, MF, N2, N7, NA, </v>
      </c>
      <c r="N32" s="236" t="str">
        <f t="shared" si="2"/>
        <v>J0 J5 J6 J7 JC K0 K3 K4 K5 K7 KA KC KD L1 L8 LA LC LF M0 M3 M8 MF N2 N7 NA </v>
      </c>
      <c r="O32" s="236" t="str">
        <f>IFERROR(__xludf.DUMMYFUNCTION("if(countif(ecn.list,CO32),OFFSET(INDIRECT(CONCAT(""A"",to_text(match(CO32,ecn.list,0)))),0,1),"""")"),"J0 ")</f>
        <v>J0 </v>
      </c>
      <c r="P32" s="236" t="str">
        <f>IFERROR(__xludf.DUMMYFUNCTION("if(countif(ecn.list,CP32),OFFSET(INDIRECT(CONCAT(""A"",to_text(match(CP32,ecn.list,0)))),0,1),"""")"),"")</f>
        <v/>
      </c>
      <c r="Q32" s="236" t="str">
        <f>IFERROR(__xludf.DUMMYFUNCTION("if(countif(ecn.list,CQ32),OFFSET(INDIRECT(CONCAT(""A"",to_text(match(CQ32,ecn.list,0)))),0,1),"""")"),"")</f>
        <v/>
      </c>
      <c r="R32" s="236" t="str">
        <f>IFERROR(__xludf.DUMMYFUNCTION("if(countif(ecn.list,CR32),OFFSET(INDIRECT(CONCAT(""A"",to_text(match(CR32,ecn.list,0)))),0,1),"""")"),"")</f>
        <v/>
      </c>
      <c r="S32" s="236" t="str">
        <f>IFERROR(__xludf.DUMMYFUNCTION("if(countif(ecn.list,CS32),OFFSET(INDIRECT(CONCAT(""A"",to_text(match(CS32,ecn.list,0)))),0,1),"""")"),"")</f>
        <v/>
      </c>
      <c r="T32" s="236" t="str">
        <f>IFERROR(__xludf.DUMMYFUNCTION("if(countif(ecn.list,CT32),OFFSET(INDIRECT(CONCAT(""A"",to_text(match(CT32,ecn.list,0)))),0,1),"""")"),"J5 ")</f>
        <v>J5 </v>
      </c>
      <c r="U32" s="236" t="str">
        <f>IFERROR(__xludf.DUMMYFUNCTION("if(countif(ecn.list,CU32),OFFSET(INDIRECT(CONCAT(""A"",to_text(match(CU32,ecn.list,0)))),0,1),"""")"),"J6 ")</f>
        <v>J6 </v>
      </c>
      <c r="V32" s="236" t="str">
        <f>IFERROR(__xludf.DUMMYFUNCTION("if(countif(ecn.list,CV32),OFFSET(INDIRECT(CONCAT(""A"",to_text(match(CV32,ecn.list,0)))),0,1),"""")"),"J7 ")</f>
        <v>J7 </v>
      </c>
      <c r="W32" s="236" t="str">
        <f>IFERROR(__xludf.DUMMYFUNCTION("if(countif(ecn.list,CW32),OFFSET(INDIRECT(CONCAT(""A"",to_text(match(CW32,ecn.list,0)))),0,1),"""")"),"")</f>
        <v/>
      </c>
      <c r="X32" s="236" t="str">
        <f>IFERROR(__xludf.DUMMYFUNCTION("if(countif(ecn.list,CX32),OFFSET(INDIRECT(CONCAT(""A"",to_text(match(CX32,ecn.list,0)))),0,1),"""")"),"")</f>
        <v/>
      </c>
      <c r="Y32" s="236" t="str">
        <f>IFERROR(__xludf.DUMMYFUNCTION("if(countif(ecn.list,CY32),OFFSET(INDIRECT(CONCAT(""A"",to_text(match(CY32,ecn.list,0)))),0,1),"""")"),"")</f>
        <v/>
      </c>
      <c r="Z32" s="236" t="str">
        <f>IFERROR(__xludf.DUMMYFUNCTION("if(countif(ecn.list,CZ32),OFFSET(INDIRECT(CONCAT(""A"",to_text(match(CZ32,ecn.list,0)))),0,1),"""")"),"")</f>
        <v/>
      </c>
      <c r="AA32" s="236" t="str">
        <f>IFERROR(__xludf.DUMMYFUNCTION("if(countif(ecn.list,DA32),OFFSET(INDIRECT(CONCAT(""A"",to_text(match(DA32,ecn.list,0)))),0,1),"""")"),"JC ")</f>
        <v>JC </v>
      </c>
      <c r="AB32" s="236" t="str">
        <f>IFERROR(__xludf.DUMMYFUNCTION("if(countif(ecn.list,DB32),OFFSET(INDIRECT(CONCAT(""A"",to_text(match(DB32,ecn.list,0)))),0,1),"""")"),"")</f>
        <v/>
      </c>
      <c r="AC32" s="236" t="str">
        <f>IFERROR(__xludf.DUMMYFUNCTION("if(countif(ecn.list,DC32),OFFSET(INDIRECT(CONCAT(""A"",to_text(match(DC32,ecn.list,0)))),0,1),"""")"),"")</f>
        <v/>
      </c>
      <c r="AD32" s="236" t="str">
        <f>IFERROR(__xludf.DUMMYFUNCTION("if(countif(ecn.list,DD32),OFFSET(INDIRECT(CONCAT(""A"",to_text(match(DD32,ecn.list,0)))),0,1),"""")"),"")</f>
        <v/>
      </c>
      <c r="AE32" s="236" t="str">
        <f>IFERROR(__xludf.DUMMYFUNCTION("if(countif(ecn.list,DE32),OFFSET(INDIRECT(CONCAT(""A"",to_text(match(DE32,ecn.list,0)))),0,1),"""")"),"K0 ")</f>
        <v>K0 </v>
      </c>
      <c r="AF32" s="236" t="str">
        <f>IFERROR(__xludf.DUMMYFUNCTION("if(countif(ecn.list,DF32),OFFSET(INDIRECT(CONCAT(""A"",to_text(match(DF32,ecn.list,0)))),0,1),"""")"),"")</f>
        <v/>
      </c>
      <c r="AG32" s="236" t="str">
        <f>IFERROR(__xludf.DUMMYFUNCTION("if(countif(ecn.list,DG32),OFFSET(INDIRECT(CONCAT(""A"",to_text(match(DG32,ecn.list,0)))),0,1),"""")"),"")</f>
        <v/>
      </c>
      <c r="AH32" s="236" t="str">
        <f>IFERROR(__xludf.DUMMYFUNCTION("if(countif(ecn.list,DH32),OFFSET(INDIRECT(CONCAT(""A"",to_text(match(DH32,ecn.list,0)))),0,1),"""")"),"K3 ")</f>
        <v>K3 </v>
      </c>
      <c r="AI32" s="236" t="str">
        <f>IFERROR(__xludf.DUMMYFUNCTION("if(countif(ecn.list,DI32),OFFSET(INDIRECT(CONCAT(""A"",to_text(match(DI32,ecn.list,0)))),0,1),"""")"),"K4 ")</f>
        <v>K4 </v>
      </c>
      <c r="AJ32" s="236" t="str">
        <f>IFERROR(__xludf.DUMMYFUNCTION("if(countif(ecn.list,DJ32),OFFSET(INDIRECT(CONCAT(""A"",to_text(match(DJ32,ecn.list,0)))),0,1),"""")"),"K5 ")</f>
        <v>K5 </v>
      </c>
      <c r="AK32" s="236" t="str">
        <f>IFERROR(__xludf.DUMMYFUNCTION("if(countif(ecn.list,DK32),OFFSET(INDIRECT(CONCAT(""A"",to_text(match(DK32,ecn.list,0)))),0,1),"""")"),"")</f>
        <v/>
      </c>
      <c r="AL32" s="236" t="str">
        <f>IFERROR(__xludf.DUMMYFUNCTION("if(countif(ecn.list,DL32),OFFSET(INDIRECT(CONCAT(""A"",to_text(match(DL32,ecn.list,0)))),0,1),"""")"),"K7 ")</f>
        <v>K7 </v>
      </c>
      <c r="AM32" s="236" t="str">
        <f>IFERROR(__xludf.DUMMYFUNCTION("if(countif(ecn.list,DM32),OFFSET(INDIRECT(CONCAT(""A"",to_text(match(DM32,ecn.list,0)))),0,1),"""")"),"")</f>
        <v/>
      </c>
      <c r="AN32" s="236" t="str">
        <f>IFERROR(__xludf.DUMMYFUNCTION("if(countif(ecn.list,DN32),OFFSET(INDIRECT(CONCAT(""A"",to_text(match(DN32,ecn.list,0)))),0,1),"""")"),"")</f>
        <v/>
      </c>
      <c r="AO32" s="236" t="str">
        <f>IFERROR(__xludf.DUMMYFUNCTION("if(countif(ecn.list,DO32),OFFSET(INDIRECT(CONCAT(""A"",to_text(match(DO32,ecn.list,0)))),0,1),"""")"),"KA ")</f>
        <v>KA </v>
      </c>
      <c r="AP32" s="236" t="str">
        <f>IFERROR(__xludf.DUMMYFUNCTION("if(countif(ecn.list,DP32),OFFSET(INDIRECT(CONCAT(""A"",to_text(match(DP32,ecn.list,0)))),0,1),"""")"),"")</f>
        <v/>
      </c>
      <c r="AQ32" s="236" t="str">
        <f>IFERROR(__xludf.DUMMYFUNCTION("if(countif(ecn.list,DQ32),OFFSET(INDIRECT(CONCAT(""A"",to_text(match(DQ32,ecn.list,0)))),0,1),"""")"),"KC ")</f>
        <v>KC </v>
      </c>
      <c r="AR32" s="236" t="str">
        <f>IFERROR(__xludf.DUMMYFUNCTION("if(countif(ecn.list,DR32),OFFSET(INDIRECT(CONCAT(""A"",to_text(match(DR32,ecn.list,0)))),0,1),"""")"),"KD ")</f>
        <v>KD </v>
      </c>
      <c r="AS32" s="236" t="str">
        <f>IFERROR(__xludf.DUMMYFUNCTION("if(countif(ecn.list,DS32),OFFSET(INDIRECT(CONCAT(""A"",to_text(match(DS32,ecn.list,0)))),0,1),"""")"),"")</f>
        <v/>
      </c>
      <c r="AT32" s="236" t="str">
        <f>IFERROR(__xludf.DUMMYFUNCTION("if(countif(ecn.list,DT32),OFFSET(INDIRECT(CONCAT(""A"",to_text(match(DT32,ecn.list,0)))),0,1),"""")"),"")</f>
        <v/>
      </c>
      <c r="AU32" s="236" t="str">
        <f>IFERROR(__xludf.DUMMYFUNCTION("if(countif(ecn.list,DU32),OFFSET(INDIRECT(CONCAT(""A"",to_text(match(DU32,ecn.list,0)))),0,1),"""")"),"")</f>
        <v/>
      </c>
      <c r="AV32" s="236" t="str">
        <f>IFERROR(__xludf.DUMMYFUNCTION("if(countif(ecn.list,DV32),OFFSET(INDIRECT(CONCAT(""A"",to_text(match(DV32,ecn.list,0)))),0,1),"""")"),"L1 ")</f>
        <v>L1 </v>
      </c>
      <c r="AW32" s="236" t="str">
        <f>IFERROR(__xludf.DUMMYFUNCTION("if(countif(ecn.list,DW32),OFFSET(INDIRECT(CONCAT(""A"",to_text(match(DW32,ecn.list,0)))),0,1),"""")"),"")</f>
        <v/>
      </c>
      <c r="AX32" s="236" t="str">
        <f>IFERROR(__xludf.DUMMYFUNCTION("if(countif(ecn.list,DX32),OFFSET(INDIRECT(CONCAT(""A"",to_text(match(DX32,ecn.list,0)))),0,1),"""")"),"")</f>
        <v/>
      </c>
      <c r="AY32" s="236" t="str">
        <f>IFERROR(__xludf.DUMMYFUNCTION("if(countif(ecn.list,DY32),OFFSET(INDIRECT(CONCAT(""A"",to_text(match(DY32,ecn.list,0)))),0,1),"""")"),"")</f>
        <v/>
      </c>
      <c r="AZ32" s="236" t="str">
        <f>IFERROR(__xludf.DUMMYFUNCTION("if(countif(ecn.list,DZ32),OFFSET(INDIRECT(CONCAT(""A"",to_text(match(DZ32,ecn.list,0)))),0,1),"""")"),"")</f>
        <v/>
      </c>
      <c r="BA32" s="236" t="str">
        <f>IFERROR(__xludf.DUMMYFUNCTION("if(countif(ecn.list,EA32),OFFSET(INDIRECT(CONCAT(""A"",to_text(match(EA32,ecn.list,0)))),0,1),"""")"),"")</f>
        <v/>
      </c>
      <c r="BB32" s="236" t="str">
        <f>IFERROR(__xludf.DUMMYFUNCTION("if(countif(ecn.list,EB32),OFFSET(INDIRECT(CONCAT(""A"",to_text(match(EB32,ecn.list,0)))),0,1),"""")"),"")</f>
        <v/>
      </c>
      <c r="BC32" s="236" t="str">
        <f>IFERROR(__xludf.DUMMYFUNCTION("if(countif(ecn.list,EC32),OFFSET(INDIRECT(CONCAT(""A"",to_text(match(EC32,ecn.list,0)))),0,1),"""")"),"L8 ")</f>
        <v>L8 </v>
      </c>
      <c r="BD32" s="236" t="str">
        <f>IFERROR(__xludf.DUMMYFUNCTION("if(countif(ecn.list,ED32),OFFSET(INDIRECT(CONCAT(""A"",to_text(match(ED32,ecn.list,0)))),0,1),"""")"),"")</f>
        <v/>
      </c>
      <c r="BE32" s="236" t="str">
        <f>IFERROR(__xludf.DUMMYFUNCTION("if(countif(ecn.list,EE32),OFFSET(INDIRECT(CONCAT(""A"",to_text(match(EE32,ecn.list,0)))),0,1),"""")"),"LA ")</f>
        <v>LA </v>
      </c>
      <c r="BF32" s="236" t="str">
        <f>IFERROR(__xludf.DUMMYFUNCTION("if(countif(ecn.list,EF32),OFFSET(INDIRECT(CONCAT(""A"",to_text(match(EF32,ecn.list,0)))),0,1),"""")"),"")</f>
        <v/>
      </c>
      <c r="BG32" s="236" t="str">
        <f>IFERROR(__xludf.DUMMYFUNCTION("if(countif(ecn.list,EG32),OFFSET(INDIRECT(CONCAT(""A"",to_text(match(EG32,ecn.list,0)))),0,1),"""")"),"LC ")</f>
        <v>LC </v>
      </c>
      <c r="BH32" s="236" t="str">
        <f>IFERROR(__xludf.DUMMYFUNCTION("if(countif(ecn.list,EH32),OFFSET(INDIRECT(CONCAT(""A"",to_text(match(EH32,ecn.list,0)))),0,1),"""")"),"")</f>
        <v/>
      </c>
      <c r="BI32" s="236" t="str">
        <f>IFERROR(__xludf.DUMMYFUNCTION("if(countif(ecn.list,EI32),OFFSET(INDIRECT(CONCAT(""A"",to_text(match(EI32,ecn.list,0)))),0,1),"""")"),"")</f>
        <v/>
      </c>
      <c r="BJ32" s="236" t="str">
        <f>IFERROR(__xludf.DUMMYFUNCTION("if(countif(ecn.list,EJ32),OFFSET(INDIRECT(CONCAT(""A"",to_text(match(EJ32,ecn.list,0)))),0,1),"""")"),"LF ")</f>
        <v>LF </v>
      </c>
      <c r="BK32" s="236" t="str">
        <f>IFERROR(__xludf.DUMMYFUNCTION("if(countif(ecn.list,EK32),OFFSET(INDIRECT(CONCAT(""A"",to_text(match(EK32,ecn.list,0)))),0,1),"""")"),"M0 ")</f>
        <v>M0 </v>
      </c>
      <c r="BL32" s="236" t="str">
        <f>IFERROR(__xludf.DUMMYFUNCTION("if(countif(ecn.list,EL32),OFFSET(INDIRECT(CONCAT(""A"",to_text(match(EL32,ecn.list,0)))),0,1),"""")"),"")</f>
        <v/>
      </c>
      <c r="BM32" s="236" t="str">
        <f>IFERROR(__xludf.DUMMYFUNCTION("if(countif(ecn.list,EM32),OFFSET(INDIRECT(CONCAT(""A"",to_text(match(EM32,ecn.list,0)))),0,1),"""")"),"")</f>
        <v/>
      </c>
      <c r="BN32" s="236" t="str">
        <f>IFERROR(__xludf.DUMMYFUNCTION("if(countif(ecn.list,EN32),OFFSET(INDIRECT(CONCAT(""A"",to_text(match(EN32,ecn.list,0)))),0,1),"""")"),"M3 ")</f>
        <v>M3 </v>
      </c>
      <c r="BO32" s="236" t="str">
        <f>IFERROR(__xludf.DUMMYFUNCTION("if(countif(ecn.list,EO32),OFFSET(INDIRECT(CONCAT(""A"",to_text(match(EO32,ecn.list,0)))),0,1),"""")"),"")</f>
        <v/>
      </c>
      <c r="BP32" s="236" t="str">
        <f>IFERROR(__xludf.DUMMYFUNCTION("if(countif(ecn.list,EP32),OFFSET(INDIRECT(CONCAT(""A"",to_text(match(EP32,ecn.list,0)))),0,1),"""")"),"")</f>
        <v/>
      </c>
      <c r="BQ32" s="236" t="str">
        <f>IFERROR(__xludf.DUMMYFUNCTION("if(countif(ecn.list,EQ32),OFFSET(INDIRECT(CONCAT(""A"",to_text(match(EQ32,ecn.list,0)))),0,1),"""")"),"")</f>
        <v/>
      </c>
      <c r="BR32" s="236" t="str">
        <f>IFERROR(__xludf.DUMMYFUNCTION("if(countif(ecn.list,ER32),OFFSET(INDIRECT(CONCAT(""A"",to_text(match(ER32,ecn.list,0)))),0,1),"""")"),"")</f>
        <v/>
      </c>
      <c r="BS32" s="236" t="str">
        <f>IFERROR(__xludf.DUMMYFUNCTION("if(countif(ecn.list,ES32),OFFSET(INDIRECT(CONCAT(""A"",to_text(match(ES32,ecn.list,0)))),0,1),"""")"),"M8 ")</f>
        <v>M8 </v>
      </c>
      <c r="BT32" s="236" t="str">
        <f>IFERROR(__xludf.DUMMYFUNCTION("if(countif(ecn.list,ET32),OFFSET(INDIRECT(CONCAT(""A"",to_text(match(ET32,ecn.list,0)))),0,1),"""")"),"")</f>
        <v/>
      </c>
      <c r="BU32" s="236" t="str">
        <f>IFERROR(__xludf.DUMMYFUNCTION("if(countif(ecn.list,EU32),OFFSET(INDIRECT(CONCAT(""A"",to_text(match(EU32,ecn.list,0)))),0,1),"""")"),"")</f>
        <v/>
      </c>
      <c r="BV32" s="236" t="str">
        <f>IFERROR(__xludf.DUMMYFUNCTION("if(countif(ecn.list,EV32),OFFSET(INDIRECT(CONCAT(""A"",to_text(match(EV32,ecn.list,0)))),0,1),"""")"),"")</f>
        <v/>
      </c>
      <c r="BW32" s="236" t="str">
        <f>IFERROR(__xludf.DUMMYFUNCTION("if(countif(ecn.list,EW32),OFFSET(INDIRECT(CONCAT(""A"",to_text(match(EW32,ecn.list,0)))),0,1),"""")"),"")</f>
        <v/>
      </c>
      <c r="BX32" s="236" t="str">
        <f>IFERROR(__xludf.DUMMYFUNCTION("if(countif(ecn.list,EX32),OFFSET(INDIRECT(CONCAT(""A"",to_text(match(EX32,ecn.list,0)))),0,1),"""")"),"")</f>
        <v/>
      </c>
      <c r="BY32" s="236" t="str">
        <f>IFERROR(__xludf.DUMMYFUNCTION("if(countif(ecn.list,EY32),OFFSET(INDIRECT(CONCAT(""A"",to_text(match(EY32,ecn.list,0)))),0,1),"""")"),"")</f>
        <v/>
      </c>
      <c r="BZ32" s="236" t="str">
        <f>IFERROR(__xludf.DUMMYFUNCTION("if(countif(ecn.list,EZ32),OFFSET(INDIRECT(CONCAT(""A"",to_text(match(EZ32,ecn.list,0)))),0,1),"""")"),"MF ")</f>
        <v>MF </v>
      </c>
      <c r="CA32" s="236" t="str">
        <f>IFERROR(__xludf.DUMMYFUNCTION("if(countif(ecn.list,FA32),OFFSET(INDIRECT(CONCAT(""A"",to_text(match(FA32,ecn.list,0)))),0,1),"""")"),"")</f>
        <v/>
      </c>
      <c r="CB32" s="236" t="str">
        <f>IFERROR(__xludf.DUMMYFUNCTION("if(countif(ecn.list,FB32),OFFSET(INDIRECT(CONCAT(""A"",to_text(match(FB32,ecn.list,0)))),0,1),"""")"),"")</f>
        <v/>
      </c>
      <c r="CC32" s="236" t="str">
        <f>IFERROR(__xludf.DUMMYFUNCTION("if(countif(ecn.list,FC32),OFFSET(INDIRECT(CONCAT(""A"",to_text(match(FC32,ecn.list,0)))),0,1),"""")"),"N2 ")</f>
        <v>N2 </v>
      </c>
      <c r="CD32" s="236" t="str">
        <f>IFERROR(__xludf.DUMMYFUNCTION("if(countif(ecn.list,FD32),OFFSET(INDIRECT(CONCAT(""A"",to_text(match(FD32,ecn.list,0)))),0,1),"""")"),"")</f>
        <v/>
      </c>
      <c r="CE32" s="236" t="str">
        <f>IFERROR(__xludf.DUMMYFUNCTION("if(countif(ecn.list,FE32),OFFSET(INDIRECT(CONCAT(""A"",to_text(match(FE32,ecn.list,0)))),0,1),"""")"),"")</f>
        <v/>
      </c>
      <c r="CF32" s="236" t="str">
        <f>IFERROR(__xludf.DUMMYFUNCTION("if(countif(ecn.list,FF32),OFFSET(INDIRECT(CONCAT(""A"",to_text(match(FF32,ecn.list,0)))),0,1),"""")"),"")</f>
        <v/>
      </c>
      <c r="CG32" s="236" t="str">
        <f>IFERROR(__xludf.DUMMYFUNCTION("if(countif(ecn.list,FG32),OFFSET(INDIRECT(CONCAT(""A"",to_text(match(FG32,ecn.list,0)))),0,1),"""")"),"")</f>
        <v/>
      </c>
      <c r="CH32" s="236" t="str">
        <f>IFERROR(__xludf.DUMMYFUNCTION("if(countif(ecn.list,FH32),OFFSET(INDIRECT(CONCAT(""A"",to_text(match(FH32,ecn.list,0)))),0,1),"""")"),"N7 ")</f>
        <v>N7 </v>
      </c>
      <c r="CI32" s="236" t="str">
        <f>IFERROR(__xludf.DUMMYFUNCTION("if(countif(ecn.list,FI32),OFFSET(INDIRECT(CONCAT(""A"",to_text(match(FI32,ecn.list,0)))),0,1),"""")"),"")</f>
        <v/>
      </c>
      <c r="CJ32" s="236" t="str">
        <f>IFERROR(__xludf.DUMMYFUNCTION("if(countif(ecn.list,FJ32),OFFSET(INDIRECT(CONCAT(""A"",to_text(match(FJ32,ecn.list,0)))),0,1),"""")"),"")</f>
        <v/>
      </c>
      <c r="CK32" s="236" t="str">
        <f>IFERROR(__xludf.DUMMYFUNCTION("if(countif(ecn.list,FK32),OFFSET(INDIRECT(CONCAT(""A"",to_text(match(FK32,ecn.list,0)))),0,1),"""")"),"NA ")</f>
        <v>NA </v>
      </c>
      <c r="CL32" s="236" t="str">
        <f>IFERROR(__xludf.DUMMYFUNCTION("if(countif(ecn.list,FL32),OFFSET(INDIRECT(CONCAT(""A"",to_text(match(FL32,ecn.list,0)))),0,1),"""")"),"")</f>
        <v/>
      </c>
      <c r="CM32" s="236" t="str">
        <f>IFERROR(__xludf.DUMMYFUNCTION("if(countif(ecn.list,FM32),OFFSET(INDIRECT(CONCAT(""A"",to_text(match(FM32,ecn.list,0)))),0,1),"""")"),"")</f>
        <v/>
      </c>
      <c r="CN32" s="198" t="s">
        <v>171</v>
      </c>
      <c r="CO32" s="198" t="s">
        <v>1447</v>
      </c>
      <c r="CP32" s="198" t="s">
        <v>1453</v>
      </c>
      <c r="CQ32" s="198" t="s">
        <v>1453</v>
      </c>
      <c r="CR32" s="198" t="s">
        <v>1453</v>
      </c>
      <c r="CS32" s="198" t="s">
        <v>1453</v>
      </c>
      <c r="CT32" s="198" t="s">
        <v>1454</v>
      </c>
      <c r="CU32" s="198" t="s">
        <v>1455</v>
      </c>
      <c r="CV32" s="198" t="s">
        <v>1456</v>
      </c>
      <c r="CW32" s="198" t="s">
        <v>1453</v>
      </c>
      <c r="CX32" s="198" t="s">
        <v>1453</v>
      </c>
      <c r="CY32" s="198" t="s">
        <v>1453</v>
      </c>
      <c r="CZ32" s="198" t="s">
        <v>1453</v>
      </c>
      <c r="DA32" s="198" t="s">
        <v>1457</v>
      </c>
      <c r="DB32" s="198" t="s">
        <v>1453</v>
      </c>
      <c r="DC32" s="198" t="s">
        <v>1453</v>
      </c>
      <c r="DD32" s="198" t="s">
        <v>1453</v>
      </c>
      <c r="DE32" s="198" t="s">
        <v>1459</v>
      </c>
      <c r="DF32" s="198" t="s">
        <v>1453</v>
      </c>
      <c r="DG32" s="198" t="s">
        <v>1453</v>
      </c>
      <c r="DH32" s="198" t="s">
        <v>1500</v>
      </c>
      <c r="DI32" s="198" t="s">
        <v>1501</v>
      </c>
      <c r="DJ32" s="198" t="s">
        <v>1460</v>
      </c>
      <c r="DK32" s="198" t="s">
        <v>1453</v>
      </c>
      <c r="DL32" s="198" t="s">
        <v>1461</v>
      </c>
      <c r="DM32" s="198" t="s">
        <v>1453</v>
      </c>
      <c r="DN32" s="198" t="s">
        <v>1453</v>
      </c>
      <c r="DO32" s="198" t="s">
        <v>1464</v>
      </c>
      <c r="DP32" s="198" t="s">
        <v>1453</v>
      </c>
      <c r="DQ32" s="198" t="s">
        <v>1466</v>
      </c>
      <c r="DR32" s="198" t="s">
        <v>1467</v>
      </c>
      <c r="DS32" s="198" t="s">
        <v>1453</v>
      </c>
      <c r="DT32" s="198" t="s">
        <v>1453</v>
      </c>
      <c r="DU32" s="198" t="s">
        <v>1453</v>
      </c>
      <c r="DV32" s="198" t="s">
        <v>1469</v>
      </c>
      <c r="DW32" s="198" t="s">
        <v>1453</v>
      </c>
      <c r="DX32" s="198" t="s">
        <v>1453</v>
      </c>
      <c r="DY32" s="198" t="s">
        <v>1453</v>
      </c>
      <c r="DZ32" s="198" t="s">
        <v>1453</v>
      </c>
      <c r="EA32" s="198" t="s">
        <v>1453</v>
      </c>
      <c r="EB32" s="198" t="s">
        <v>1453</v>
      </c>
      <c r="EC32" s="198" t="s">
        <v>1483</v>
      </c>
      <c r="ED32" s="198" t="s">
        <v>1453</v>
      </c>
      <c r="EE32" s="198" t="s">
        <v>1470</v>
      </c>
      <c r="EF32" s="198" t="s">
        <v>1453</v>
      </c>
      <c r="EG32" s="198" t="s">
        <v>1471</v>
      </c>
      <c r="EH32" s="198" t="s">
        <v>1453</v>
      </c>
      <c r="EI32" s="198" t="s">
        <v>1453</v>
      </c>
      <c r="EJ32" s="198" t="s">
        <v>1472</v>
      </c>
      <c r="EK32" s="198" t="s">
        <v>1487</v>
      </c>
      <c r="EL32" s="198" t="s">
        <v>1453</v>
      </c>
      <c r="EM32" s="198" t="s">
        <v>1453</v>
      </c>
      <c r="EN32" s="198" t="s">
        <v>1474</v>
      </c>
      <c r="EO32" s="198" t="s">
        <v>1453</v>
      </c>
      <c r="EP32" s="198" t="s">
        <v>1453</v>
      </c>
      <c r="EQ32" s="198" t="s">
        <v>1453</v>
      </c>
      <c r="ER32" s="198" t="s">
        <v>1453</v>
      </c>
      <c r="ES32" s="198" t="s">
        <v>1505</v>
      </c>
      <c r="ET32" s="198" t="s">
        <v>1453</v>
      </c>
      <c r="EU32" s="198" t="s">
        <v>1453</v>
      </c>
      <c r="EV32" s="198" t="s">
        <v>1453</v>
      </c>
      <c r="EW32" s="198" t="s">
        <v>1453</v>
      </c>
      <c r="EX32" s="198" t="s">
        <v>1453</v>
      </c>
      <c r="EY32" s="198" t="s">
        <v>1453</v>
      </c>
      <c r="EZ32" s="198" t="s">
        <v>1477</v>
      </c>
      <c r="FA32" s="198" t="s">
        <v>1453</v>
      </c>
      <c r="FB32" s="198" t="s">
        <v>1453</v>
      </c>
      <c r="FC32" s="198" t="s">
        <v>1478</v>
      </c>
      <c r="FD32" s="198" t="s">
        <v>1453</v>
      </c>
      <c r="FE32" s="198" t="s">
        <v>1453</v>
      </c>
      <c r="FF32" s="198" t="s">
        <v>1453</v>
      </c>
      <c r="FG32" s="198" t="s">
        <v>1453</v>
      </c>
      <c r="FH32" s="198" t="s">
        <v>1479</v>
      </c>
      <c r="FI32" s="198" t="s">
        <v>1453</v>
      </c>
      <c r="FJ32" s="198" t="s">
        <v>1453</v>
      </c>
      <c r="FK32" s="198" t="s">
        <v>1481</v>
      </c>
      <c r="FL32" s="198" t="s">
        <v>1482</v>
      </c>
      <c r="FM32" s="198" t="s">
        <v>1453</v>
      </c>
    </row>
    <row r="33" ht="15.75" customHeight="1">
      <c r="A33" s="198" t="s">
        <v>1468</v>
      </c>
      <c r="B33" s="198" t="str">
        <f t="shared" si="3"/>
        <v>KF </v>
      </c>
      <c r="C33" s="234" t="s">
        <v>1518</v>
      </c>
      <c r="D33" s="232" t="s">
        <v>770</v>
      </c>
      <c r="E33" s="232" t="s">
        <v>1448</v>
      </c>
      <c r="F33" s="232" t="s">
        <v>1449</v>
      </c>
      <c r="G33" s="232" t="s">
        <v>1450</v>
      </c>
      <c r="H33" s="232" t="s">
        <v>876</v>
      </c>
      <c r="I33" s="232" t="s">
        <v>947</v>
      </c>
      <c r="J33" s="232" t="s">
        <v>825</v>
      </c>
      <c r="K33" s="232" t="s">
        <v>953</v>
      </c>
      <c r="L33" s="188" t="s">
        <v>1164</v>
      </c>
      <c r="M33" s="236" t="str">
        <f>IFERROR(__xludf.DUMMYFUNCTION("regexreplace(N33,"" "","", "")"),"J0, J5, J6, J7, JC, K0, K3, K4, K5, K7, KA, KC, KD, L1, L8, LA, LC, LF, M0, M3, M8, MF, N2, N7, NA, ")</f>
        <v>J0, J5, J6, J7, JC, K0, K3, K4, K5, K7, KA, KC, KD, L1, L8, LA, LC, LF, M0, M3, M8, MF, N2, N7, NA, </v>
      </c>
      <c r="N33" s="236" t="str">
        <f t="shared" si="2"/>
        <v>J0 J5 J6 J7 JC K0 K3 K4 K5 K7 KA KC KD L1 L8 LA LC LF M0 M3 M8 MF N2 N7 NA </v>
      </c>
      <c r="O33" s="236" t="str">
        <f>IFERROR(__xludf.DUMMYFUNCTION("if(countif(ecn.list,CO33),OFFSET(INDIRECT(CONCAT(""A"",to_text(match(CO33,ecn.list,0)))),0,1),"""")"),"J0 ")</f>
        <v>J0 </v>
      </c>
      <c r="P33" s="236" t="str">
        <f>IFERROR(__xludf.DUMMYFUNCTION("if(countif(ecn.list,CP33),OFFSET(INDIRECT(CONCAT(""A"",to_text(match(CP33,ecn.list,0)))),0,1),"""")"),"")</f>
        <v/>
      </c>
      <c r="Q33" s="236" t="str">
        <f>IFERROR(__xludf.DUMMYFUNCTION("if(countif(ecn.list,CQ33),OFFSET(INDIRECT(CONCAT(""A"",to_text(match(CQ33,ecn.list,0)))),0,1),"""")"),"")</f>
        <v/>
      </c>
      <c r="R33" s="236" t="str">
        <f>IFERROR(__xludf.DUMMYFUNCTION("if(countif(ecn.list,CR33),OFFSET(INDIRECT(CONCAT(""A"",to_text(match(CR33,ecn.list,0)))),0,1),"""")"),"")</f>
        <v/>
      </c>
      <c r="S33" s="236" t="str">
        <f>IFERROR(__xludf.DUMMYFUNCTION("if(countif(ecn.list,CS33),OFFSET(INDIRECT(CONCAT(""A"",to_text(match(CS33,ecn.list,0)))),0,1),"""")"),"")</f>
        <v/>
      </c>
      <c r="T33" s="236" t="str">
        <f>IFERROR(__xludf.DUMMYFUNCTION("if(countif(ecn.list,CT33),OFFSET(INDIRECT(CONCAT(""A"",to_text(match(CT33,ecn.list,0)))),0,1),"""")"),"J5 ")</f>
        <v>J5 </v>
      </c>
      <c r="U33" s="236" t="str">
        <f>IFERROR(__xludf.DUMMYFUNCTION("if(countif(ecn.list,CU33),OFFSET(INDIRECT(CONCAT(""A"",to_text(match(CU33,ecn.list,0)))),0,1),"""")"),"J6 ")</f>
        <v>J6 </v>
      </c>
      <c r="V33" s="236" t="str">
        <f>IFERROR(__xludf.DUMMYFUNCTION("if(countif(ecn.list,CV33),OFFSET(INDIRECT(CONCAT(""A"",to_text(match(CV33,ecn.list,0)))),0,1),"""")"),"J7 ")</f>
        <v>J7 </v>
      </c>
      <c r="W33" s="236" t="str">
        <f>IFERROR(__xludf.DUMMYFUNCTION("if(countif(ecn.list,CW33),OFFSET(INDIRECT(CONCAT(""A"",to_text(match(CW33,ecn.list,0)))),0,1),"""")"),"")</f>
        <v/>
      </c>
      <c r="X33" s="236" t="str">
        <f>IFERROR(__xludf.DUMMYFUNCTION("if(countif(ecn.list,CX33),OFFSET(INDIRECT(CONCAT(""A"",to_text(match(CX33,ecn.list,0)))),0,1),"""")"),"")</f>
        <v/>
      </c>
      <c r="Y33" s="236" t="str">
        <f>IFERROR(__xludf.DUMMYFUNCTION("if(countif(ecn.list,CY33),OFFSET(INDIRECT(CONCAT(""A"",to_text(match(CY33,ecn.list,0)))),0,1),"""")"),"")</f>
        <v/>
      </c>
      <c r="Z33" s="236" t="str">
        <f>IFERROR(__xludf.DUMMYFUNCTION("if(countif(ecn.list,CZ33),OFFSET(INDIRECT(CONCAT(""A"",to_text(match(CZ33,ecn.list,0)))),0,1),"""")"),"")</f>
        <v/>
      </c>
      <c r="AA33" s="236" t="str">
        <f>IFERROR(__xludf.DUMMYFUNCTION("if(countif(ecn.list,DA33),OFFSET(INDIRECT(CONCAT(""A"",to_text(match(DA33,ecn.list,0)))),0,1),"""")"),"JC ")</f>
        <v>JC </v>
      </c>
      <c r="AB33" s="236" t="str">
        <f>IFERROR(__xludf.DUMMYFUNCTION("if(countif(ecn.list,DB33),OFFSET(INDIRECT(CONCAT(""A"",to_text(match(DB33,ecn.list,0)))),0,1),"""")"),"")</f>
        <v/>
      </c>
      <c r="AC33" s="236" t="str">
        <f>IFERROR(__xludf.DUMMYFUNCTION("if(countif(ecn.list,DC33),OFFSET(INDIRECT(CONCAT(""A"",to_text(match(DC33,ecn.list,0)))),0,1),"""")"),"")</f>
        <v/>
      </c>
      <c r="AD33" s="236" t="str">
        <f>IFERROR(__xludf.DUMMYFUNCTION("if(countif(ecn.list,DD33),OFFSET(INDIRECT(CONCAT(""A"",to_text(match(DD33,ecn.list,0)))),0,1),"""")"),"")</f>
        <v/>
      </c>
      <c r="AE33" s="236" t="str">
        <f>IFERROR(__xludf.DUMMYFUNCTION("if(countif(ecn.list,DE33),OFFSET(INDIRECT(CONCAT(""A"",to_text(match(DE33,ecn.list,0)))),0,1),"""")"),"K0 ")</f>
        <v>K0 </v>
      </c>
      <c r="AF33" s="236" t="str">
        <f>IFERROR(__xludf.DUMMYFUNCTION("if(countif(ecn.list,DF33),OFFSET(INDIRECT(CONCAT(""A"",to_text(match(DF33,ecn.list,0)))),0,1),"""")"),"")</f>
        <v/>
      </c>
      <c r="AG33" s="236" t="str">
        <f>IFERROR(__xludf.DUMMYFUNCTION("if(countif(ecn.list,DG33),OFFSET(INDIRECT(CONCAT(""A"",to_text(match(DG33,ecn.list,0)))),0,1),"""")"),"")</f>
        <v/>
      </c>
      <c r="AH33" s="236" t="str">
        <f>IFERROR(__xludf.DUMMYFUNCTION("if(countif(ecn.list,DH33),OFFSET(INDIRECT(CONCAT(""A"",to_text(match(DH33,ecn.list,0)))),0,1),"""")"),"K3 ")</f>
        <v>K3 </v>
      </c>
      <c r="AI33" s="236" t="str">
        <f>IFERROR(__xludf.DUMMYFUNCTION("if(countif(ecn.list,DI33),OFFSET(INDIRECT(CONCAT(""A"",to_text(match(DI33,ecn.list,0)))),0,1),"""")"),"K4 ")</f>
        <v>K4 </v>
      </c>
      <c r="AJ33" s="236" t="str">
        <f>IFERROR(__xludf.DUMMYFUNCTION("if(countif(ecn.list,DJ33),OFFSET(INDIRECT(CONCAT(""A"",to_text(match(DJ33,ecn.list,0)))),0,1),"""")"),"K5 ")</f>
        <v>K5 </v>
      </c>
      <c r="AK33" s="236" t="str">
        <f>IFERROR(__xludf.DUMMYFUNCTION("if(countif(ecn.list,DK33),OFFSET(INDIRECT(CONCAT(""A"",to_text(match(DK33,ecn.list,0)))),0,1),"""")"),"")</f>
        <v/>
      </c>
      <c r="AL33" s="236" t="str">
        <f>IFERROR(__xludf.DUMMYFUNCTION("if(countif(ecn.list,DL33),OFFSET(INDIRECT(CONCAT(""A"",to_text(match(DL33,ecn.list,0)))),0,1),"""")"),"K7 ")</f>
        <v>K7 </v>
      </c>
      <c r="AM33" s="236" t="str">
        <f>IFERROR(__xludf.DUMMYFUNCTION("if(countif(ecn.list,DM33),OFFSET(INDIRECT(CONCAT(""A"",to_text(match(DM33,ecn.list,0)))),0,1),"""")"),"")</f>
        <v/>
      </c>
      <c r="AN33" s="236" t="str">
        <f>IFERROR(__xludf.DUMMYFUNCTION("if(countif(ecn.list,DN33),OFFSET(INDIRECT(CONCAT(""A"",to_text(match(DN33,ecn.list,0)))),0,1),"""")"),"")</f>
        <v/>
      </c>
      <c r="AO33" s="236" t="str">
        <f>IFERROR(__xludf.DUMMYFUNCTION("if(countif(ecn.list,DO33),OFFSET(INDIRECT(CONCAT(""A"",to_text(match(DO33,ecn.list,0)))),0,1),"""")"),"KA ")</f>
        <v>KA </v>
      </c>
      <c r="AP33" s="236" t="str">
        <f>IFERROR(__xludf.DUMMYFUNCTION("if(countif(ecn.list,DP33),OFFSET(INDIRECT(CONCAT(""A"",to_text(match(DP33,ecn.list,0)))),0,1),"""")"),"")</f>
        <v/>
      </c>
      <c r="AQ33" s="236" t="str">
        <f>IFERROR(__xludf.DUMMYFUNCTION("if(countif(ecn.list,DQ33),OFFSET(INDIRECT(CONCAT(""A"",to_text(match(DQ33,ecn.list,0)))),0,1),"""")"),"KC ")</f>
        <v>KC </v>
      </c>
      <c r="AR33" s="236" t="str">
        <f>IFERROR(__xludf.DUMMYFUNCTION("if(countif(ecn.list,DR33),OFFSET(INDIRECT(CONCAT(""A"",to_text(match(DR33,ecn.list,0)))),0,1),"""")"),"KD ")</f>
        <v>KD </v>
      </c>
      <c r="AS33" s="236" t="str">
        <f>IFERROR(__xludf.DUMMYFUNCTION("if(countif(ecn.list,DS33),OFFSET(INDIRECT(CONCAT(""A"",to_text(match(DS33,ecn.list,0)))),0,1),"""")"),"")</f>
        <v/>
      </c>
      <c r="AT33" s="236" t="str">
        <f>IFERROR(__xludf.DUMMYFUNCTION("if(countif(ecn.list,DT33),OFFSET(INDIRECT(CONCAT(""A"",to_text(match(DT33,ecn.list,0)))),0,1),"""")"),"")</f>
        <v/>
      </c>
      <c r="AU33" s="236" t="str">
        <f>IFERROR(__xludf.DUMMYFUNCTION("if(countif(ecn.list,DU33),OFFSET(INDIRECT(CONCAT(""A"",to_text(match(DU33,ecn.list,0)))),0,1),"""")"),"")</f>
        <v/>
      </c>
      <c r="AV33" s="236" t="str">
        <f>IFERROR(__xludf.DUMMYFUNCTION("if(countif(ecn.list,DV33),OFFSET(INDIRECT(CONCAT(""A"",to_text(match(DV33,ecn.list,0)))),0,1),"""")"),"L1 ")</f>
        <v>L1 </v>
      </c>
      <c r="AW33" s="236" t="str">
        <f>IFERROR(__xludf.DUMMYFUNCTION("if(countif(ecn.list,DW33),OFFSET(INDIRECT(CONCAT(""A"",to_text(match(DW33,ecn.list,0)))),0,1),"""")"),"")</f>
        <v/>
      </c>
      <c r="AX33" s="236" t="str">
        <f>IFERROR(__xludf.DUMMYFUNCTION("if(countif(ecn.list,DX33),OFFSET(INDIRECT(CONCAT(""A"",to_text(match(DX33,ecn.list,0)))),0,1),"""")"),"")</f>
        <v/>
      </c>
      <c r="AY33" s="236" t="str">
        <f>IFERROR(__xludf.DUMMYFUNCTION("if(countif(ecn.list,DY33),OFFSET(INDIRECT(CONCAT(""A"",to_text(match(DY33,ecn.list,0)))),0,1),"""")"),"")</f>
        <v/>
      </c>
      <c r="AZ33" s="236" t="str">
        <f>IFERROR(__xludf.DUMMYFUNCTION("if(countif(ecn.list,DZ33),OFFSET(INDIRECT(CONCAT(""A"",to_text(match(DZ33,ecn.list,0)))),0,1),"""")"),"")</f>
        <v/>
      </c>
      <c r="BA33" s="236" t="str">
        <f>IFERROR(__xludf.DUMMYFUNCTION("if(countif(ecn.list,EA33),OFFSET(INDIRECT(CONCAT(""A"",to_text(match(EA33,ecn.list,0)))),0,1),"""")"),"")</f>
        <v/>
      </c>
      <c r="BB33" s="236" t="str">
        <f>IFERROR(__xludf.DUMMYFUNCTION("if(countif(ecn.list,EB33),OFFSET(INDIRECT(CONCAT(""A"",to_text(match(EB33,ecn.list,0)))),0,1),"""")"),"")</f>
        <v/>
      </c>
      <c r="BC33" s="236" t="str">
        <f>IFERROR(__xludf.DUMMYFUNCTION("if(countif(ecn.list,EC33),OFFSET(INDIRECT(CONCAT(""A"",to_text(match(EC33,ecn.list,0)))),0,1),"""")"),"L8 ")</f>
        <v>L8 </v>
      </c>
      <c r="BD33" s="236" t="str">
        <f>IFERROR(__xludf.DUMMYFUNCTION("if(countif(ecn.list,ED33),OFFSET(INDIRECT(CONCAT(""A"",to_text(match(ED33,ecn.list,0)))),0,1),"""")"),"")</f>
        <v/>
      </c>
      <c r="BE33" s="236" t="str">
        <f>IFERROR(__xludf.DUMMYFUNCTION("if(countif(ecn.list,EE33),OFFSET(INDIRECT(CONCAT(""A"",to_text(match(EE33,ecn.list,0)))),0,1),"""")"),"LA ")</f>
        <v>LA </v>
      </c>
      <c r="BF33" s="236" t="str">
        <f>IFERROR(__xludf.DUMMYFUNCTION("if(countif(ecn.list,EF33),OFFSET(INDIRECT(CONCAT(""A"",to_text(match(EF33,ecn.list,0)))),0,1),"""")"),"")</f>
        <v/>
      </c>
      <c r="BG33" s="236" t="str">
        <f>IFERROR(__xludf.DUMMYFUNCTION("if(countif(ecn.list,EG33),OFFSET(INDIRECT(CONCAT(""A"",to_text(match(EG33,ecn.list,0)))),0,1),"""")"),"LC ")</f>
        <v>LC </v>
      </c>
      <c r="BH33" s="236" t="str">
        <f>IFERROR(__xludf.DUMMYFUNCTION("if(countif(ecn.list,EH33),OFFSET(INDIRECT(CONCAT(""A"",to_text(match(EH33,ecn.list,0)))),0,1),"""")"),"")</f>
        <v/>
      </c>
      <c r="BI33" s="236" t="str">
        <f>IFERROR(__xludf.DUMMYFUNCTION("if(countif(ecn.list,EI33),OFFSET(INDIRECT(CONCAT(""A"",to_text(match(EI33,ecn.list,0)))),0,1),"""")"),"")</f>
        <v/>
      </c>
      <c r="BJ33" s="236" t="str">
        <f>IFERROR(__xludf.DUMMYFUNCTION("if(countif(ecn.list,EJ33),OFFSET(INDIRECT(CONCAT(""A"",to_text(match(EJ33,ecn.list,0)))),0,1),"""")"),"LF ")</f>
        <v>LF </v>
      </c>
      <c r="BK33" s="236" t="str">
        <f>IFERROR(__xludf.DUMMYFUNCTION("if(countif(ecn.list,EK33),OFFSET(INDIRECT(CONCAT(""A"",to_text(match(EK33,ecn.list,0)))),0,1),"""")"),"M0 ")</f>
        <v>M0 </v>
      </c>
      <c r="BL33" s="236" t="str">
        <f>IFERROR(__xludf.DUMMYFUNCTION("if(countif(ecn.list,EL33),OFFSET(INDIRECT(CONCAT(""A"",to_text(match(EL33,ecn.list,0)))),0,1),"""")"),"")</f>
        <v/>
      </c>
      <c r="BM33" s="236" t="str">
        <f>IFERROR(__xludf.DUMMYFUNCTION("if(countif(ecn.list,EM33),OFFSET(INDIRECT(CONCAT(""A"",to_text(match(EM33,ecn.list,0)))),0,1),"""")"),"")</f>
        <v/>
      </c>
      <c r="BN33" s="236" t="str">
        <f>IFERROR(__xludf.DUMMYFUNCTION("if(countif(ecn.list,EN33),OFFSET(INDIRECT(CONCAT(""A"",to_text(match(EN33,ecn.list,0)))),0,1),"""")"),"M3 ")</f>
        <v>M3 </v>
      </c>
      <c r="BO33" s="236" t="str">
        <f>IFERROR(__xludf.DUMMYFUNCTION("if(countif(ecn.list,EO33),OFFSET(INDIRECT(CONCAT(""A"",to_text(match(EO33,ecn.list,0)))),0,1),"""")"),"")</f>
        <v/>
      </c>
      <c r="BP33" s="236" t="str">
        <f>IFERROR(__xludf.DUMMYFUNCTION("if(countif(ecn.list,EP33),OFFSET(INDIRECT(CONCAT(""A"",to_text(match(EP33,ecn.list,0)))),0,1),"""")"),"")</f>
        <v/>
      </c>
      <c r="BQ33" s="236" t="str">
        <f>IFERROR(__xludf.DUMMYFUNCTION("if(countif(ecn.list,EQ33),OFFSET(INDIRECT(CONCAT(""A"",to_text(match(EQ33,ecn.list,0)))),0,1),"""")"),"")</f>
        <v/>
      </c>
      <c r="BR33" s="236" t="str">
        <f>IFERROR(__xludf.DUMMYFUNCTION("if(countif(ecn.list,ER33),OFFSET(INDIRECT(CONCAT(""A"",to_text(match(ER33,ecn.list,0)))),0,1),"""")"),"")</f>
        <v/>
      </c>
      <c r="BS33" s="236" t="str">
        <f>IFERROR(__xludf.DUMMYFUNCTION("if(countif(ecn.list,ES33),OFFSET(INDIRECT(CONCAT(""A"",to_text(match(ES33,ecn.list,0)))),0,1),"""")"),"M8 ")</f>
        <v>M8 </v>
      </c>
      <c r="BT33" s="236" t="str">
        <f>IFERROR(__xludf.DUMMYFUNCTION("if(countif(ecn.list,ET33),OFFSET(INDIRECT(CONCAT(""A"",to_text(match(ET33,ecn.list,0)))),0,1),"""")"),"")</f>
        <v/>
      </c>
      <c r="BU33" s="236" t="str">
        <f>IFERROR(__xludf.DUMMYFUNCTION("if(countif(ecn.list,EU33),OFFSET(INDIRECT(CONCAT(""A"",to_text(match(EU33,ecn.list,0)))),0,1),"""")"),"")</f>
        <v/>
      </c>
      <c r="BV33" s="236" t="str">
        <f>IFERROR(__xludf.DUMMYFUNCTION("if(countif(ecn.list,EV33),OFFSET(INDIRECT(CONCAT(""A"",to_text(match(EV33,ecn.list,0)))),0,1),"""")"),"")</f>
        <v/>
      </c>
      <c r="BW33" s="236" t="str">
        <f>IFERROR(__xludf.DUMMYFUNCTION("if(countif(ecn.list,EW33),OFFSET(INDIRECT(CONCAT(""A"",to_text(match(EW33,ecn.list,0)))),0,1),"""")"),"")</f>
        <v/>
      </c>
      <c r="BX33" s="236" t="str">
        <f>IFERROR(__xludf.DUMMYFUNCTION("if(countif(ecn.list,EX33),OFFSET(INDIRECT(CONCAT(""A"",to_text(match(EX33,ecn.list,0)))),0,1),"""")"),"")</f>
        <v/>
      </c>
      <c r="BY33" s="236" t="str">
        <f>IFERROR(__xludf.DUMMYFUNCTION("if(countif(ecn.list,EY33),OFFSET(INDIRECT(CONCAT(""A"",to_text(match(EY33,ecn.list,0)))),0,1),"""")"),"")</f>
        <v/>
      </c>
      <c r="BZ33" s="236" t="str">
        <f>IFERROR(__xludf.DUMMYFUNCTION("if(countif(ecn.list,EZ33),OFFSET(INDIRECT(CONCAT(""A"",to_text(match(EZ33,ecn.list,0)))),0,1),"""")"),"MF ")</f>
        <v>MF </v>
      </c>
      <c r="CA33" s="236" t="str">
        <f>IFERROR(__xludf.DUMMYFUNCTION("if(countif(ecn.list,FA33),OFFSET(INDIRECT(CONCAT(""A"",to_text(match(FA33,ecn.list,0)))),0,1),"""")"),"")</f>
        <v/>
      </c>
      <c r="CB33" s="236" t="str">
        <f>IFERROR(__xludf.DUMMYFUNCTION("if(countif(ecn.list,FB33),OFFSET(INDIRECT(CONCAT(""A"",to_text(match(FB33,ecn.list,0)))),0,1),"""")"),"")</f>
        <v/>
      </c>
      <c r="CC33" s="236" t="str">
        <f>IFERROR(__xludf.DUMMYFUNCTION("if(countif(ecn.list,FC33),OFFSET(INDIRECT(CONCAT(""A"",to_text(match(FC33,ecn.list,0)))),0,1),"""")"),"N2 ")</f>
        <v>N2 </v>
      </c>
      <c r="CD33" s="236" t="str">
        <f>IFERROR(__xludf.DUMMYFUNCTION("if(countif(ecn.list,FD33),OFFSET(INDIRECT(CONCAT(""A"",to_text(match(FD33,ecn.list,0)))),0,1),"""")"),"")</f>
        <v/>
      </c>
      <c r="CE33" s="236" t="str">
        <f>IFERROR(__xludf.DUMMYFUNCTION("if(countif(ecn.list,FE33),OFFSET(INDIRECT(CONCAT(""A"",to_text(match(FE33,ecn.list,0)))),0,1),"""")"),"")</f>
        <v/>
      </c>
      <c r="CF33" s="236" t="str">
        <f>IFERROR(__xludf.DUMMYFUNCTION("if(countif(ecn.list,FF33),OFFSET(INDIRECT(CONCAT(""A"",to_text(match(FF33,ecn.list,0)))),0,1),"""")"),"")</f>
        <v/>
      </c>
      <c r="CG33" s="236" t="str">
        <f>IFERROR(__xludf.DUMMYFUNCTION("if(countif(ecn.list,FG33),OFFSET(INDIRECT(CONCAT(""A"",to_text(match(FG33,ecn.list,0)))),0,1),"""")"),"")</f>
        <v/>
      </c>
      <c r="CH33" s="236" t="str">
        <f>IFERROR(__xludf.DUMMYFUNCTION("if(countif(ecn.list,FH33),OFFSET(INDIRECT(CONCAT(""A"",to_text(match(FH33,ecn.list,0)))),0,1),"""")"),"N7 ")</f>
        <v>N7 </v>
      </c>
      <c r="CI33" s="236" t="str">
        <f>IFERROR(__xludf.DUMMYFUNCTION("if(countif(ecn.list,FI33),OFFSET(INDIRECT(CONCAT(""A"",to_text(match(FI33,ecn.list,0)))),0,1),"""")"),"")</f>
        <v/>
      </c>
      <c r="CJ33" s="236" t="str">
        <f>IFERROR(__xludf.DUMMYFUNCTION("if(countif(ecn.list,FJ33),OFFSET(INDIRECT(CONCAT(""A"",to_text(match(FJ33,ecn.list,0)))),0,1),"""")"),"")</f>
        <v/>
      </c>
      <c r="CK33" s="236" t="str">
        <f>IFERROR(__xludf.DUMMYFUNCTION("if(countif(ecn.list,FK33),OFFSET(INDIRECT(CONCAT(""A"",to_text(match(FK33,ecn.list,0)))),0,1),"""")"),"NA ")</f>
        <v>NA </v>
      </c>
      <c r="CL33" s="236" t="str">
        <f>IFERROR(__xludf.DUMMYFUNCTION("if(countif(ecn.list,FL33),OFFSET(INDIRECT(CONCAT(""A"",to_text(match(FL33,ecn.list,0)))),0,1),"""")"),"")</f>
        <v/>
      </c>
      <c r="CM33" s="236" t="str">
        <f>IFERROR(__xludf.DUMMYFUNCTION("if(countif(ecn.list,FM33),OFFSET(INDIRECT(CONCAT(""A"",to_text(match(FM33,ecn.list,0)))),0,1),"""")"),"")</f>
        <v/>
      </c>
      <c r="CN33" s="198" t="s">
        <v>1164</v>
      </c>
      <c r="CO33" s="198" t="s">
        <v>1447</v>
      </c>
      <c r="CP33" s="198" t="s">
        <v>1453</v>
      </c>
      <c r="CQ33" s="198" t="s">
        <v>1453</v>
      </c>
      <c r="CR33" s="198" t="s">
        <v>1453</v>
      </c>
      <c r="CS33" s="198" t="s">
        <v>1453</v>
      </c>
      <c r="CT33" s="198" t="s">
        <v>1454</v>
      </c>
      <c r="CU33" s="198" t="s">
        <v>1455</v>
      </c>
      <c r="CV33" s="198" t="s">
        <v>1456</v>
      </c>
      <c r="CW33" s="198" t="s">
        <v>1453</v>
      </c>
      <c r="CX33" s="198" t="s">
        <v>1453</v>
      </c>
      <c r="CY33" s="198" t="s">
        <v>1453</v>
      </c>
      <c r="CZ33" s="198" t="s">
        <v>1453</v>
      </c>
      <c r="DA33" s="198" t="s">
        <v>1457</v>
      </c>
      <c r="DB33" s="198" t="s">
        <v>1453</v>
      </c>
      <c r="DC33" s="198" t="s">
        <v>1453</v>
      </c>
      <c r="DD33" s="198" t="s">
        <v>1453</v>
      </c>
      <c r="DE33" s="198" t="s">
        <v>1459</v>
      </c>
      <c r="DF33" s="198" t="s">
        <v>1453</v>
      </c>
      <c r="DG33" s="198" t="s">
        <v>1453</v>
      </c>
      <c r="DH33" s="198" t="s">
        <v>1500</v>
      </c>
      <c r="DI33" s="198" t="s">
        <v>1501</v>
      </c>
      <c r="DJ33" s="198" t="s">
        <v>1460</v>
      </c>
      <c r="DK33" s="198" t="s">
        <v>1453</v>
      </c>
      <c r="DL33" s="198" t="s">
        <v>1461</v>
      </c>
      <c r="DM33" s="198" t="s">
        <v>1453</v>
      </c>
      <c r="DN33" s="198" t="s">
        <v>1453</v>
      </c>
      <c r="DO33" s="198" t="s">
        <v>1464</v>
      </c>
      <c r="DP33" s="198" t="s">
        <v>1453</v>
      </c>
      <c r="DQ33" s="198" t="s">
        <v>1466</v>
      </c>
      <c r="DR33" s="198" t="s">
        <v>1467</v>
      </c>
      <c r="DS33" s="198" t="s">
        <v>1453</v>
      </c>
      <c r="DT33" s="198" t="s">
        <v>1453</v>
      </c>
      <c r="DU33" s="198" t="s">
        <v>1453</v>
      </c>
      <c r="DV33" s="198" t="s">
        <v>1469</v>
      </c>
      <c r="DW33" s="198" t="s">
        <v>1453</v>
      </c>
      <c r="DX33" s="198" t="s">
        <v>1453</v>
      </c>
      <c r="DY33" s="198" t="s">
        <v>1453</v>
      </c>
      <c r="DZ33" s="198" t="s">
        <v>1453</v>
      </c>
      <c r="EA33" s="198" t="s">
        <v>1453</v>
      </c>
      <c r="EB33" s="198" t="s">
        <v>1453</v>
      </c>
      <c r="EC33" s="198" t="s">
        <v>1483</v>
      </c>
      <c r="ED33" s="198" t="s">
        <v>1453</v>
      </c>
      <c r="EE33" s="198" t="s">
        <v>1470</v>
      </c>
      <c r="EF33" s="198" t="s">
        <v>1453</v>
      </c>
      <c r="EG33" s="198" t="s">
        <v>1471</v>
      </c>
      <c r="EH33" s="198" t="s">
        <v>1453</v>
      </c>
      <c r="EI33" s="198" t="s">
        <v>1453</v>
      </c>
      <c r="EJ33" s="198" t="s">
        <v>1472</v>
      </c>
      <c r="EK33" s="198" t="s">
        <v>1487</v>
      </c>
      <c r="EL33" s="198" t="s">
        <v>1453</v>
      </c>
      <c r="EM33" s="198" t="s">
        <v>1453</v>
      </c>
      <c r="EN33" s="198" t="s">
        <v>1474</v>
      </c>
      <c r="EO33" s="198" t="s">
        <v>1453</v>
      </c>
      <c r="EP33" s="198" t="s">
        <v>1453</v>
      </c>
      <c r="EQ33" s="198" t="s">
        <v>1453</v>
      </c>
      <c r="ER33" s="198" t="s">
        <v>1453</v>
      </c>
      <c r="ES33" s="198" t="s">
        <v>1505</v>
      </c>
      <c r="ET33" s="198" t="s">
        <v>1453</v>
      </c>
      <c r="EU33" s="198" t="s">
        <v>1453</v>
      </c>
      <c r="EV33" s="198" t="s">
        <v>1453</v>
      </c>
      <c r="EW33" s="198" t="s">
        <v>1453</v>
      </c>
      <c r="EX33" s="198" t="s">
        <v>1453</v>
      </c>
      <c r="EY33" s="198" t="s">
        <v>1453</v>
      </c>
      <c r="EZ33" s="198" t="s">
        <v>1477</v>
      </c>
      <c r="FA33" s="198" t="s">
        <v>1453</v>
      </c>
      <c r="FB33" s="198" t="s">
        <v>1453</v>
      </c>
      <c r="FC33" s="198" t="s">
        <v>1478</v>
      </c>
      <c r="FD33" s="198" t="s">
        <v>1453</v>
      </c>
      <c r="FE33" s="198" t="s">
        <v>1453</v>
      </c>
      <c r="FF33" s="198" t="s">
        <v>1453</v>
      </c>
      <c r="FG33" s="198" t="s">
        <v>1453</v>
      </c>
      <c r="FH33" s="198" t="s">
        <v>1479</v>
      </c>
      <c r="FI33" s="198" t="s">
        <v>1453</v>
      </c>
      <c r="FJ33" s="198" t="s">
        <v>1453</v>
      </c>
      <c r="FK33" s="198" t="s">
        <v>1481</v>
      </c>
      <c r="FL33" s="198" t="s">
        <v>1482</v>
      </c>
      <c r="FM33" s="198" t="s">
        <v>1453</v>
      </c>
    </row>
    <row r="34" ht="15.75" customHeight="1">
      <c r="A34" s="198" t="s">
        <v>1491</v>
      </c>
      <c r="B34" s="198" t="str">
        <f t="shared" ref="B34:B44" si="4">concatenate("L",C34," ")</f>
        <v>L0 </v>
      </c>
      <c r="C34" s="234">
        <v>0.0</v>
      </c>
      <c r="D34" s="232" t="s">
        <v>961</v>
      </c>
      <c r="E34" s="232" t="s">
        <v>962</v>
      </c>
      <c r="F34" s="232" t="s">
        <v>963</v>
      </c>
      <c r="G34" s="232" t="s">
        <v>868</v>
      </c>
      <c r="H34" s="232" t="s">
        <v>775</v>
      </c>
      <c r="I34" s="232" t="s">
        <v>964</v>
      </c>
      <c r="J34" s="232" t="s">
        <v>831</v>
      </c>
      <c r="K34" s="232" t="s">
        <v>965</v>
      </c>
      <c r="L34" s="188" t="s">
        <v>177</v>
      </c>
      <c r="M34" s="236" t="str">
        <f>IFERROR(__xludf.DUMMYFUNCTION("regexreplace(N34,"" "","", "")"),"J5, J6, MF, ")</f>
        <v>J5, J6, MF, </v>
      </c>
      <c r="N34" s="236" t="str">
        <f t="shared" si="2"/>
        <v>J5 J6 MF </v>
      </c>
      <c r="O34" s="236" t="str">
        <f>IFERROR(__xludf.DUMMYFUNCTION("if(countif(ecn.list,CO34),OFFSET(INDIRECT(CONCAT(""A"",to_text(match(CO34,ecn.list,0)))),0,1),"""")"),"")</f>
        <v/>
      </c>
      <c r="P34" s="236" t="str">
        <f>IFERROR(__xludf.DUMMYFUNCTION("if(countif(ecn.list,CP34),OFFSET(INDIRECT(CONCAT(""A"",to_text(match(CP34,ecn.list,0)))),0,1),"""")"),"")</f>
        <v/>
      </c>
      <c r="Q34" s="236" t="str">
        <f>IFERROR(__xludf.DUMMYFUNCTION("if(countif(ecn.list,CQ34),OFFSET(INDIRECT(CONCAT(""A"",to_text(match(CQ34,ecn.list,0)))),0,1),"""")"),"")</f>
        <v/>
      </c>
      <c r="R34" s="236" t="str">
        <f>IFERROR(__xludf.DUMMYFUNCTION("if(countif(ecn.list,CR34),OFFSET(INDIRECT(CONCAT(""A"",to_text(match(CR34,ecn.list,0)))),0,1),"""")"),"")</f>
        <v/>
      </c>
      <c r="S34" s="236" t="str">
        <f>IFERROR(__xludf.DUMMYFUNCTION("if(countif(ecn.list,CS34),OFFSET(INDIRECT(CONCAT(""A"",to_text(match(CS34,ecn.list,0)))),0,1),"""")"),"")</f>
        <v/>
      </c>
      <c r="T34" s="236" t="str">
        <f>IFERROR(__xludf.DUMMYFUNCTION("if(countif(ecn.list,CT34),OFFSET(INDIRECT(CONCAT(""A"",to_text(match(CT34,ecn.list,0)))),0,1),"""")"),"J5 ")</f>
        <v>J5 </v>
      </c>
      <c r="U34" s="236" t="str">
        <f>IFERROR(__xludf.DUMMYFUNCTION("if(countif(ecn.list,CU34),OFFSET(INDIRECT(CONCAT(""A"",to_text(match(CU34,ecn.list,0)))),0,1),"""")"),"J6 ")</f>
        <v>J6 </v>
      </c>
      <c r="V34" s="236" t="str">
        <f>IFERROR(__xludf.DUMMYFUNCTION("if(countif(ecn.list,CV34),OFFSET(INDIRECT(CONCAT(""A"",to_text(match(CV34,ecn.list,0)))),0,1),"""")"),"")</f>
        <v/>
      </c>
      <c r="W34" s="236" t="str">
        <f>IFERROR(__xludf.DUMMYFUNCTION("if(countif(ecn.list,CW34),OFFSET(INDIRECT(CONCAT(""A"",to_text(match(CW34,ecn.list,0)))),0,1),"""")"),"")</f>
        <v/>
      </c>
      <c r="X34" s="236" t="str">
        <f>IFERROR(__xludf.DUMMYFUNCTION("if(countif(ecn.list,CX34),OFFSET(INDIRECT(CONCAT(""A"",to_text(match(CX34,ecn.list,0)))),0,1),"""")"),"")</f>
        <v/>
      </c>
      <c r="Y34" s="236" t="str">
        <f>IFERROR(__xludf.DUMMYFUNCTION("if(countif(ecn.list,CY34),OFFSET(INDIRECT(CONCAT(""A"",to_text(match(CY34,ecn.list,0)))),0,1),"""")"),"")</f>
        <v/>
      </c>
      <c r="Z34" s="236" t="str">
        <f>IFERROR(__xludf.DUMMYFUNCTION("if(countif(ecn.list,CZ34),OFFSET(INDIRECT(CONCAT(""A"",to_text(match(CZ34,ecn.list,0)))),0,1),"""")"),"")</f>
        <v/>
      </c>
      <c r="AA34" s="236" t="str">
        <f>IFERROR(__xludf.DUMMYFUNCTION("if(countif(ecn.list,DA34),OFFSET(INDIRECT(CONCAT(""A"",to_text(match(DA34,ecn.list,0)))),0,1),"""")"),"")</f>
        <v/>
      </c>
      <c r="AB34" s="236" t="str">
        <f>IFERROR(__xludf.DUMMYFUNCTION("if(countif(ecn.list,DB34),OFFSET(INDIRECT(CONCAT(""A"",to_text(match(DB34,ecn.list,0)))),0,1),"""")"),"")</f>
        <v/>
      </c>
      <c r="AC34" s="236" t="str">
        <f>IFERROR(__xludf.DUMMYFUNCTION("if(countif(ecn.list,DC34),OFFSET(INDIRECT(CONCAT(""A"",to_text(match(DC34,ecn.list,0)))),0,1),"""")"),"")</f>
        <v/>
      </c>
      <c r="AD34" s="236" t="str">
        <f>IFERROR(__xludf.DUMMYFUNCTION("if(countif(ecn.list,DD34),OFFSET(INDIRECT(CONCAT(""A"",to_text(match(DD34,ecn.list,0)))),0,1),"""")"),"")</f>
        <v/>
      </c>
      <c r="AE34" s="236" t="str">
        <f>IFERROR(__xludf.DUMMYFUNCTION("if(countif(ecn.list,DE34),OFFSET(INDIRECT(CONCAT(""A"",to_text(match(DE34,ecn.list,0)))),0,1),"""")"),"")</f>
        <v/>
      </c>
      <c r="AF34" s="236" t="str">
        <f>IFERROR(__xludf.DUMMYFUNCTION("if(countif(ecn.list,DF34),OFFSET(INDIRECT(CONCAT(""A"",to_text(match(DF34,ecn.list,0)))),0,1),"""")"),"")</f>
        <v/>
      </c>
      <c r="AG34" s="236" t="str">
        <f>IFERROR(__xludf.DUMMYFUNCTION("if(countif(ecn.list,DG34),OFFSET(INDIRECT(CONCAT(""A"",to_text(match(DG34,ecn.list,0)))),0,1),"""")"),"")</f>
        <v/>
      </c>
      <c r="AH34" s="236" t="str">
        <f>IFERROR(__xludf.DUMMYFUNCTION("if(countif(ecn.list,DH34),OFFSET(INDIRECT(CONCAT(""A"",to_text(match(DH34,ecn.list,0)))),0,1),"""")"),"")</f>
        <v/>
      </c>
      <c r="AI34" s="236" t="str">
        <f>IFERROR(__xludf.DUMMYFUNCTION("if(countif(ecn.list,DI34),OFFSET(INDIRECT(CONCAT(""A"",to_text(match(DI34,ecn.list,0)))),0,1),"""")"),"")</f>
        <v/>
      </c>
      <c r="AJ34" s="236" t="str">
        <f>IFERROR(__xludf.DUMMYFUNCTION("if(countif(ecn.list,DJ34),OFFSET(INDIRECT(CONCAT(""A"",to_text(match(DJ34,ecn.list,0)))),0,1),"""")"),"")</f>
        <v/>
      </c>
      <c r="AK34" s="236" t="str">
        <f>IFERROR(__xludf.DUMMYFUNCTION("if(countif(ecn.list,DK34),OFFSET(INDIRECT(CONCAT(""A"",to_text(match(DK34,ecn.list,0)))),0,1),"""")"),"")</f>
        <v/>
      </c>
      <c r="AL34" s="236" t="str">
        <f>IFERROR(__xludf.DUMMYFUNCTION("if(countif(ecn.list,DL34),OFFSET(INDIRECT(CONCAT(""A"",to_text(match(DL34,ecn.list,0)))),0,1),"""")"),"")</f>
        <v/>
      </c>
      <c r="AM34" s="236" t="str">
        <f>IFERROR(__xludf.DUMMYFUNCTION("if(countif(ecn.list,DM34),OFFSET(INDIRECT(CONCAT(""A"",to_text(match(DM34,ecn.list,0)))),0,1),"""")"),"")</f>
        <v/>
      </c>
      <c r="AN34" s="236" t="str">
        <f>IFERROR(__xludf.DUMMYFUNCTION("if(countif(ecn.list,DN34),OFFSET(INDIRECT(CONCAT(""A"",to_text(match(DN34,ecn.list,0)))),0,1),"""")"),"")</f>
        <v/>
      </c>
      <c r="AO34" s="236" t="str">
        <f>IFERROR(__xludf.DUMMYFUNCTION("if(countif(ecn.list,DO34),OFFSET(INDIRECT(CONCAT(""A"",to_text(match(DO34,ecn.list,0)))),0,1),"""")"),"")</f>
        <v/>
      </c>
      <c r="AP34" s="236" t="str">
        <f>IFERROR(__xludf.DUMMYFUNCTION("if(countif(ecn.list,DP34),OFFSET(INDIRECT(CONCAT(""A"",to_text(match(DP34,ecn.list,0)))),0,1),"""")"),"")</f>
        <v/>
      </c>
      <c r="AQ34" s="236" t="str">
        <f>IFERROR(__xludf.DUMMYFUNCTION("if(countif(ecn.list,DQ34),OFFSET(INDIRECT(CONCAT(""A"",to_text(match(DQ34,ecn.list,0)))),0,1),"""")"),"")</f>
        <v/>
      </c>
      <c r="AR34" s="236" t="str">
        <f>IFERROR(__xludf.DUMMYFUNCTION("if(countif(ecn.list,DR34),OFFSET(INDIRECT(CONCAT(""A"",to_text(match(DR34,ecn.list,0)))),0,1),"""")"),"")</f>
        <v/>
      </c>
      <c r="AS34" s="236" t="str">
        <f>IFERROR(__xludf.DUMMYFUNCTION("if(countif(ecn.list,DS34),OFFSET(INDIRECT(CONCAT(""A"",to_text(match(DS34,ecn.list,0)))),0,1),"""")"),"")</f>
        <v/>
      </c>
      <c r="AT34" s="236" t="str">
        <f>IFERROR(__xludf.DUMMYFUNCTION("if(countif(ecn.list,DT34),OFFSET(INDIRECT(CONCAT(""A"",to_text(match(DT34,ecn.list,0)))),0,1),"""")"),"")</f>
        <v/>
      </c>
      <c r="AU34" s="236" t="str">
        <f>IFERROR(__xludf.DUMMYFUNCTION("if(countif(ecn.list,DU34),OFFSET(INDIRECT(CONCAT(""A"",to_text(match(DU34,ecn.list,0)))),0,1),"""")"),"")</f>
        <v/>
      </c>
      <c r="AV34" s="236" t="str">
        <f>IFERROR(__xludf.DUMMYFUNCTION("if(countif(ecn.list,DV34),OFFSET(INDIRECT(CONCAT(""A"",to_text(match(DV34,ecn.list,0)))),0,1),"""")"),"")</f>
        <v/>
      </c>
      <c r="AW34" s="236" t="str">
        <f>IFERROR(__xludf.DUMMYFUNCTION("if(countif(ecn.list,DW34),OFFSET(INDIRECT(CONCAT(""A"",to_text(match(DW34,ecn.list,0)))),0,1),"""")"),"")</f>
        <v/>
      </c>
      <c r="AX34" s="236" t="str">
        <f>IFERROR(__xludf.DUMMYFUNCTION("if(countif(ecn.list,DX34),OFFSET(INDIRECT(CONCAT(""A"",to_text(match(DX34,ecn.list,0)))),0,1),"""")"),"")</f>
        <v/>
      </c>
      <c r="AY34" s="236" t="str">
        <f>IFERROR(__xludf.DUMMYFUNCTION("if(countif(ecn.list,DY34),OFFSET(INDIRECT(CONCAT(""A"",to_text(match(DY34,ecn.list,0)))),0,1),"""")"),"")</f>
        <v/>
      </c>
      <c r="AZ34" s="236" t="str">
        <f>IFERROR(__xludf.DUMMYFUNCTION("if(countif(ecn.list,DZ34),OFFSET(INDIRECT(CONCAT(""A"",to_text(match(DZ34,ecn.list,0)))),0,1),"""")"),"")</f>
        <v/>
      </c>
      <c r="BA34" s="236" t="str">
        <f>IFERROR(__xludf.DUMMYFUNCTION("if(countif(ecn.list,EA34),OFFSET(INDIRECT(CONCAT(""A"",to_text(match(EA34,ecn.list,0)))),0,1),"""")"),"")</f>
        <v/>
      </c>
      <c r="BB34" s="236" t="str">
        <f>IFERROR(__xludf.DUMMYFUNCTION("if(countif(ecn.list,EB34),OFFSET(INDIRECT(CONCAT(""A"",to_text(match(EB34,ecn.list,0)))),0,1),"""")"),"")</f>
        <v/>
      </c>
      <c r="BC34" s="236" t="str">
        <f>IFERROR(__xludf.DUMMYFUNCTION("if(countif(ecn.list,EC34),OFFSET(INDIRECT(CONCAT(""A"",to_text(match(EC34,ecn.list,0)))),0,1),"""")"),"")</f>
        <v/>
      </c>
      <c r="BD34" s="236" t="str">
        <f>IFERROR(__xludf.DUMMYFUNCTION("if(countif(ecn.list,ED34),OFFSET(INDIRECT(CONCAT(""A"",to_text(match(ED34,ecn.list,0)))),0,1),"""")"),"")</f>
        <v/>
      </c>
      <c r="BE34" s="236" t="str">
        <f>IFERROR(__xludf.DUMMYFUNCTION("if(countif(ecn.list,EE34),OFFSET(INDIRECT(CONCAT(""A"",to_text(match(EE34,ecn.list,0)))),0,1),"""")"),"")</f>
        <v/>
      </c>
      <c r="BF34" s="236" t="str">
        <f>IFERROR(__xludf.DUMMYFUNCTION("if(countif(ecn.list,EF34),OFFSET(INDIRECT(CONCAT(""A"",to_text(match(EF34,ecn.list,0)))),0,1),"""")"),"")</f>
        <v/>
      </c>
      <c r="BG34" s="236" t="str">
        <f>IFERROR(__xludf.DUMMYFUNCTION("if(countif(ecn.list,EG34),OFFSET(INDIRECT(CONCAT(""A"",to_text(match(EG34,ecn.list,0)))),0,1),"""")"),"")</f>
        <v/>
      </c>
      <c r="BH34" s="236" t="str">
        <f>IFERROR(__xludf.DUMMYFUNCTION("if(countif(ecn.list,EH34),OFFSET(INDIRECT(CONCAT(""A"",to_text(match(EH34,ecn.list,0)))),0,1),"""")"),"")</f>
        <v/>
      </c>
      <c r="BI34" s="236" t="str">
        <f>IFERROR(__xludf.DUMMYFUNCTION("if(countif(ecn.list,EI34),OFFSET(INDIRECT(CONCAT(""A"",to_text(match(EI34,ecn.list,0)))),0,1),"""")"),"")</f>
        <v/>
      </c>
      <c r="BJ34" s="236" t="str">
        <f>IFERROR(__xludf.DUMMYFUNCTION("if(countif(ecn.list,EJ34),OFFSET(INDIRECT(CONCAT(""A"",to_text(match(EJ34,ecn.list,0)))),0,1),"""")"),"")</f>
        <v/>
      </c>
      <c r="BK34" s="236" t="str">
        <f>IFERROR(__xludf.DUMMYFUNCTION("if(countif(ecn.list,EK34),OFFSET(INDIRECT(CONCAT(""A"",to_text(match(EK34,ecn.list,0)))),0,1),"""")"),"")</f>
        <v/>
      </c>
      <c r="BL34" s="236" t="str">
        <f>IFERROR(__xludf.DUMMYFUNCTION("if(countif(ecn.list,EL34),OFFSET(INDIRECT(CONCAT(""A"",to_text(match(EL34,ecn.list,0)))),0,1),"""")"),"")</f>
        <v/>
      </c>
      <c r="BM34" s="236" t="str">
        <f>IFERROR(__xludf.DUMMYFUNCTION("if(countif(ecn.list,EM34),OFFSET(INDIRECT(CONCAT(""A"",to_text(match(EM34,ecn.list,0)))),0,1),"""")"),"")</f>
        <v/>
      </c>
      <c r="BN34" s="236" t="str">
        <f>IFERROR(__xludf.DUMMYFUNCTION("if(countif(ecn.list,EN34),OFFSET(INDIRECT(CONCAT(""A"",to_text(match(EN34,ecn.list,0)))),0,1),"""")"),"")</f>
        <v/>
      </c>
      <c r="BO34" s="236" t="str">
        <f>IFERROR(__xludf.DUMMYFUNCTION("if(countif(ecn.list,EO34),OFFSET(INDIRECT(CONCAT(""A"",to_text(match(EO34,ecn.list,0)))),0,1),"""")"),"")</f>
        <v/>
      </c>
      <c r="BP34" s="236" t="str">
        <f>IFERROR(__xludf.DUMMYFUNCTION("if(countif(ecn.list,EP34),OFFSET(INDIRECT(CONCAT(""A"",to_text(match(EP34,ecn.list,0)))),0,1),"""")"),"")</f>
        <v/>
      </c>
      <c r="BQ34" s="236" t="str">
        <f>IFERROR(__xludf.DUMMYFUNCTION("if(countif(ecn.list,EQ34),OFFSET(INDIRECT(CONCAT(""A"",to_text(match(EQ34,ecn.list,0)))),0,1),"""")"),"")</f>
        <v/>
      </c>
      <c r="BR34" s="236" t="str">
        <f>IFERROR(__xludf.DUMMYFUNCTION("if(countif(ecn.list,ER34),OFFSET(INDIRECT(CONCAT(""A"",to_text(match(ER34,ecn.list,0)))),0,1),"""")"),"")</f>
        <v/>
      </c>
      <c r="BS34" s="236" t="str">
        <f>IFERROR(__xludf.DUMMYFUNCTION("if(countif(ecn.list,ES34),OFFSET(INDIRECT(CONCAT(""A"",to_text(match(ES34,ecn.list,0)))),0,1),"""")"),"")</f>
        <v/>
      </c>
      <c r="BT34" s="236" t="str">
        <f>IFERROR(__xludf.DUMMYFUNCTION("if(countif(ecn.list,ET34),OFFSET(INDIRECT(CONCAT(""A"",to_text(match(ET34,ecn.list,0)))),0,1),"""")"),"")</f>
        <v/>
      </c>
      <c r="BU34" s="236" t="str">
        <f>IFERROR(__xludf.DUMMYFUNCTION("if(countif(ecn.list,EU34),OFFSET(INDIRECT(CONCAT(""A"",to_text(match(EU34,ecn.list,0)))),0,1),"""")"),"")</f>
        <v/>
      </c>
      <c r="BV34" s="236" t="str">
        <f>IFERROR(__xludf.DUMMYFUNCTION("if(countif(ecn.list,EV34),OFFSET(INDIRECT(CONCAT(""A"",to_text(match(EV34,ecn.list,0)))),0,1),"""")"),"")</f>
        <v/>
      </c>
      <c r="BW34" s="236" t="str">
        <f>IFERROR(__xludf.DUMMYFUNCTION("if(countif(ecn.list,EW34),OFFSET(INDIRECT(CONCAT(""A"",to_text(match(EW34,ecn.list,0)))),0,1),"""")"),"")</f>
        <v/>
      </c>
      <c r="BX34" s="236" t="str">
        <f>IFERROR(__xludf.DUMMYFUNCTION("if(countif(ecn.list,EX34),OFFSET(INDIRECT(CONCAT(""A"",to_text(match(EX34,ecn.list,0)))),0,1),"""")"),"")</f>
        <v/>
      </c>
      <c r="BY34" s="236" t="str">
        <f>IFERROR(__xludf.DUMMYFUNCTION("if(countif(ecn.list,EY34),OFFSET(INDIRECT(CONCAT(""A"",to_text(match(EY34,ecn.list,0)))),0,1),"""")"),"")</f>
        <v/>
      </c>
      <c r="BZ34" s="236" t="str">
        <f>IFERROR(__xludf.DUMMYFUNCTION("if(countif(ecn.list,EZ34),OFFSET(INDIRECT(CONCAT(""A"",to_text(match(EZ34,ecn.list,0)))),0,1),"""")"),"MF ")</f>
        <v>MF </v>
      </c>
      <c r="CA34" s="236" t="str">
        <f>IFERROR(__xludf.DUMMYFUNCTION("if(countif(ecn.list,FA34),OFFSET(INDIRECT(CONCAT(""A"",to_text(match(FA34,ecn.list,0)))),0,1),"""")"),"")</f>
        <v/>
      </c>
      <c r="CB34" s="236" t="str">
        <f>IFERROR(__xludf.DUMMYFUNCTION("if(countif(ecn.list,FB34),OFFSET(INDIRECT(CONCAT(""A"",to_text(match(FB34,ecn.list,0)))),0,1),"""")"),"")</f>
        <v/>
      </c>
      <c r="CC34" s="236" t="str">
        <f>IFERROR(__xludf.DUMMYFUNCTION("if(countif(ecn.list,FC34),OFFSET(INDIRECT(CONCAT(""A"",to_text(match(FC34,ecn.list,0)))),0,1),"""")"),"")</f>
        <v/>
      </c>
      <c r="CD34" s="236" t="str">
        <f>IFERROR(__xludf.DUMMYFUNCTION("if(countif(ecn.list,FD34),OFFSET(INDIRECT(CONCAT(""A"",to_text(match(FD34,ecn.list,0)))),0,1),"""")"),"")</f>
        <v/>
      </c>
      <c r="CE34" s="236" t="str">
        <f>IFERROR(__xludf.DUMMYFUNCTION("if(countif(ecn.list,FE34),OFFSET(INDIRECT(CONCAT(""A"",to_text(match(FE34,ecn.list,0)))),0,1),"""")"),"")</f>
        <v/>
      </c>
      <c r="CF34" s="236" t="str">
        <f>IFERROR(__xludf.DUMMYFUNCTION("if(countif(ecn.list,FF34),OFFSET(INDIRECT(CONCAT(""A"",to_text(match(FF34,ecn.list,0)))),0,1),"""")"),"")</f>
        <v/>
      </c>
      <c r="CG34" s="236" t="str">
        <f>IFERROR(__xludf.DUMMYFUNCTION("if(countif(ecn.list,FG34),OFFSET(INDIRECT(CONCAT(""A"",to_text(match(FG34,ecn.list,0)))),0,1),"""")"),"")</f>
        <v/>
      </c>
      <c r="CH34" s="236" t="str">
        <f>IFERROR(__xludf.DUMMYFUNCTION("if(countif(ecn.list,FH34),OFFSET(INDIRECT(CONCAT(""A"",to_text(match(FH34,ecn.list,0)))),0,1),"""")"),"")</f>
        <v/>
      </c>
      <c r="CI34" s="236" t="str">
        <f>IFERROR(__xludf.DUMMYFUNCTION("if(countif(ecn.list,FI34),OFFSET(INDIRECT(CONCAT(""A"",to_text(match(FI34,ecn.list,0)))),0,1),"""")"),"")</f>
        <v/>
      </c>
      <c r="CJ34" s="236" t="str">
        <f>IFERROR(__xludf.DUMMYFUNCTION("if(countif(ecn.list,FJ34),OFFSET(INDIRECT(CONCAT(""A"",to_text(match(FJ34,ecn.list,0)))),0,1),"""")"),"")</f>
        <v/>
      </c>
      <c r="CK34" s="236" t="str">
        <f>IFERROR(__xludf.DUMMYFUNCTION("if(countif(ecn.list,FK34),OFFSET(INDIRECT(CONCAT(""A"",to_text(match(FK34,ecn.list,0)))),0,1),"""")"),"")</f>
        <v/>
      </c>
      <c r="CL34" s="236" t="str">
        <f>IFERROR(__xludf.DUMMYFUNCTION("if(countif(ecn.list,FL34),OFFSET(INDIRECT(CONCAT(""A"",to_text(match(FL34,ecn.list,0)))),0,1),"""")"),"")</f>
        <v/>
      </c>
      <c r="CM34" s="236" t="str">
        <f>IFERROR(__xludf.DUMMYFUNCTION("if(countif(ecn.list,FM34),OFFSET(INDIRECT(CONCAT(""A"",to_text(match(FM34,ecn.list,0)))),0,1),"""")"),"")</f>
        <v/>
      </c>
      <c r="CN34" s="198" t="s">
        <v>177</v>
      </c>
      <c r="CO34" s="198" t="s">
        <v>1453</v>
      </c>
      <c r="CP34" s="198" t="s">
        <v>1453</v>
      </c>
      <c r="CQ34" s="198" t="s">
        <v>1453</v>
      </c>
      <c r="CR34" s="198" t="s">
        <v>1453</v>
      </c>
      <c r="CS34" s="198" t="s">
        <v>1453</v>
      </c>
      <c r="CT34" s="198" t="s">
        <v>1454</v>
      </c>
      <c r="CU34" s="198" t="s">
        <v>1455</v>
      </c>
      <c r="CV34" s="198" t="s">
        <v>1453</v>
      </c>
      <c r="CW34" s="198" t="s">
        <v>1453</v>
      </c>
      <c r="CX34" s="198" t="s">
        <v>1453</v>
      </c>
      <c r="CY34" s="198" t="s">
        <v>1453</v>
      </c>
      <c r="CZ34" s="198" t="s">
        <v>1453</v>
      </c>
      <c r="DA34" s="198" t="s">
        <v>1453</v>
      </c>
      <c r="DB34" s="198" t="s">
        <v>1453</v>
      </c>
      <c r="DC34" s="198" t="s">
        <v>1453</v>
      </c>
      <c r="DD34" s="198" t="s">
        <v>1453</v>
      </c>
      <c r="DE34" s="198" t="s">
        <v>1453</v>
      </c>
      <c r="DF34" s="198" t="s">
        <v>1453</v>
      </c>
      <c r="DG34" s="198" t="s">
        <v>1453</v>
      </c>
      <c r="DH34" s="198" t="s">
        <v>1453</v>
      </c>
      <c r="DI34" s="198" t="s">
        <v>1453</v>
      </c>
      <c r="DJ34" s="198" t="s">
        <v>1453</v>
      </c>
      <c r="DK34" s="198" t="s">
        <v>1453</v>
      </c>
      <c r="DL34" s="198" t="s">
        <v>1453</v>
      </c>
      <c r="DM34" s="198" t="s">
        <v>1453</v>
      </c>
      <c r="DN34" s="198" t="s">
        <v>1453</v>
      </c>
      <c r="DO34" s="198" t="s">
        <v>1453</v>
      </c>
      <c r="DP34" s="198" t="s">
        <v>1453</v>
      </c>
      <c r="DQ34" s="198" t="s">
        <v>1453</v>
      </c>
      <c r="DR34" s="198" t="s">
        <v>1453</v>
      </c>
      <c r="DS34" s="198" t="s">
        <v>1453</v>
      </c>
      <c r="DT34" s="198" t="s">
        <v>1453</v>
      </c>
      <c r="DU34" s="198" t="s">
        <v>1453</v>
      </c>
      <c r="DV34" s="198" t="s">
        <v>1453</v>
      </c>
      <c r="DW34" s="198" t="s">
        <v>1453</v>
      </c>
      <c r="DX34" s="198" t="s">
        <v>1453</v>
      </c>
      <c r="DY34" s="198" t="s">
        <v>1453</v>
      </c>
      <c r="DZ34" s="198" t="s">
        <v>1453</v>
      </c>
      <c r="EA34" s="198" t="s">
        <v>1453</v>
      </c>
      <c r="EB34" s="198" t="s">
        <v>1453</v>
      </c>
      <c r="EC34" s="198" t="s">
        <v>1453</v>
      </c>
      <c r="ED34" s="198" t="s">
        <v>1453</v>
      </c>
      <c r="EE34" s="198" t="s">
        <v>1453</v>
      </c>
      <c r="EF34" s="198" t="s">
        <v>1453</v>
      </c>
      <c r="EG34" s="198" t="s">
        <v>1453</v>
      </c>
      <c r="EH34" s="198" t="s">
        <v>1453</v>
      </c>
      <c r="EI34" s="198" t="s">
        <v>1453</v>
      </c>
      <c r="EJ34" s="198" t="s">
        <v>1453</v>
      </c>
      <c r="EK34" s="198" t="s">
        <v>1453</v>
      </c>
      <c r="EL34" s="198" t="s">
        <v>1453</v>
      </c>
      <c r="EM34" s="198" t="s">
        <v>1453</v>
      </c>
      <c r="EN34" s="198" t="s">
        <v>1453</v>
      </c>
      <c r="EO34" s="198" t="s">
        <v>1453</v>
      </c>
      <c r="EP34" s="198" t="s">
        <v>1453</v>
      </c>
      <c r="EQ34" s="198" t="s">
        <v>1453</v>
      </c>
      <c r="ER34" s="198" t="s">
        <v>1453</v>
      </c>
      <c r="ES34" s="198" t="s">
        <v>1453</v>
      </c>
      <c r="ET34" s="198" t="s">
        <v>1453</v>
      </c>
      <c r="EU34" s="198" t="s">
        <v>1453</v>
      </c>
      <c r="EV34" s="198" t="s">
        <v>1453</v>
      </c>
      <c r="EW34" s="198" t="s">
        <v>1453</v>
      </c>
      <c r="EX34" s="198" t="s">
        <v>1453</v>
      </c>
      <c r="EY34" s="198" t="s">
        <v>1453</v>
      </c>
      <c r="EZ34" s="198" t="s">
        <v>1477</v>
      </c>
      <c r="FA34" s="198" t="s">
        <v>1453</v>
      </c>
      <c r="FB34" s="198" t="s">
        <v>1453</v>
      </c>
      <c r="FC34" s="198" t="s">
        <v>1453</v>
      </c>
      <c r="FD34" s="198" t="s">
        <v>1453</v>
      </c>
      <c r="FE34" s="198" t="s">
        <v>1453</v>
      </c>
      <c r="FF34" s="198" t="s">
        <v>1453</v>
      </c>
      <c r="FG34" s="198" t="s">
        <v>1453</v>
      </c>
      <c r="FH34" s="198" t="s">
        <v>1453</v>
      </c>
      <c r="FI34" s="198" t="s">
        <v>1453</v>
      </c>
      <c r="FJ34" s="198" t="s">
        <v>1453</v>
      </c>
      <c r="FK34" s="198" t="s">
        <v>1453</v>
      </c>
      <c r="FL34" s="198" t="s">
        <v>1453</v>
      </c>
      <c r="FM34" s="198" t="s">
        <v>1453</v>
      </c>
    </row>
    <row r="35" ht="15.75" customHeight="1">
      <c r="A35" s="236" t="s">
        <v>1469</v>
      </c>
      <c r="B35" s="198" t="str">
        <f t="shared" si="4"/>
        <v>L1 </v>
      </c>
      <c r="C35" s="234">
        <v>1.0</v>
      </c>
      <c r="D35" s="232" t="s">
        <v>770</v>
      </c>
      <c r="E35" s="232" t="s">
        <v>1448</v>
      </c>
      <c r="F35" s="232" t="s">
        <v>1449</v>
      </c>
      <c r="G35" s="232" t="s">
        <v>1450</v>
      </c>
      <c r="H35" s="232" t="s">
        <v>804</v>
      </c>
      <c r="I35" s="232" t="s">
        <v>840</v>
      </c>
      <c r="J35" s="232" t="s">
        <v>813</v>
      </c>
      <c r="K35" s="232" t="s">
        <v>843</v>
      </c>
      <c r="L35" s="188" t="s">
        <v>180</v>
      </c>
      <c r="M35" s="236" t="str">
        <f>IFERROR(__xludf.DUMMYFUNCTION("regexreplace(N35,"" "","", "")"),"J0, J1, J2, J5, J6, J7, JA, JC, K0, K5, K7, K8, K9, KA, KC, KD, L1, L8, LA, LC, LF, M0, M1, M3, M4, M8, MB, MF, N2, N7, NA, ")</f>
        <v>J0, J1, J2, J5, J6, J7, JA, JC, K0, K5, K7, K8, K9, KA, KC, KD, L1, L8, LA, LC, LF, M0, M1, M3, M4, M8, MB, MF, N2, N7, NA, </v>
      </c>
      <c r="N35" s="236" t="str">
        <f t="shared" si="2"/>
        <v>J0 J1 J2 J5 J6 J7 JA JC K0 K5 K7 K8 K9 KA KC KD L1 L8 LA LC LF M0 M1 M3 M4 M8 MB MF N2 N7 NA </v>
      </c>
      <c r="O35" s="236" t="str">
        <f>IFERROR(__xludf.DUMMYFUNCTION("if(countif(ecn.list,CO35),OFFSET(INDIRECT(CONCAT(""A"",to_text(match(CO35,ecn.list,0)))),0,1),"""")"),"J0 ")</f>
        <v>J0 </v>
      </c>
      <c r="P35" s="236" t="str">
        <f>IFERROR(__xludf.DUMMYFUNCTION("if(countif(ecn.list,CP35),OFFSET(INDIRECT(CONCAT(""A"",to_text(match(CP35,ecn.list,0)))),0,1),"""")"),"J1 ")</f>
        <v>J1 </v>
      </c>
      <c r="Q35" s="236" t="str">
        <f>IFERROR(__xludf.DUMMYFUNCTION("if(countif(ecn.list,CQ35),OFFSET(INDIRECT(CONCAT(""A"",to_text(match(CQ35,ecn.list,0)))),0,1),"""")"),"J2 ")</f>
        <v>J2 </v>
      </c>
      <c r="R35" s="236" t="str">
        <f>IFERROR(__xludf.DUMMYFUNCTION("if(countif(ecn.list,CR35),OFFSET(INDIRECT(CONCAT(""A"",to_text(match(CR35,ecn.list,0)))),0,1),"""")"),"")</f>
        <v/>
      </c>
      <c r="S35" s="236" t="str">
        <f>IFERROR(__xludf.DUMMYFUNCTION("if(countif(ecn.list,CS35),OFFSET(INDIRECT(CONCAT(""A"",to_text(match(CS35,ecn.list,0)))),0,1),"""")"),"")</f>
        <v/>
      </c>
      <c r="T35" s="236" t="str">
        <f>IFERROR(__xludf.DUMMYFUNCTION("if(countif(ecn.list,CT35),OFFSET(INDIRECT(CONCAT(""A"",to_text(match(CT35,ecn.list,0)))),0,1),"""")"),"J5 ")</f>
        <v>J5 </v>
      </c>
      <c r="U35" s="236" t="str">
        <f>IFERROR(__xludf.DUMMYFUNCTION("if(countif(ecn.list,CU35),OFFSET(INDIRECT(CONCAT(""A"",to_text(match(CU35,ecn.list,0)))),0,1),"""")"),"J6 ")</f>
        <v>J6 </v>
      </c>
      <c r="V35" s="236" t="str">
        <f>IFERROR(__xludf.DUMMYFUNCTION("if(countif(ecn.list,CV35),OFFSET(INDIRECT(CONCAT(""A"",to_text(match(CV35,ecn.list,0)))),0,1),"""")"),"J7 ")</f>
        <v>J7 </v>
      </c>
      <c r="W35" s="236" t="str">
        <f>IFERROR(__xludf.DUMMYFUNCTION("if(countif(ecn.list,CW35),OFFSET(INDIRECT(CONCAT(""A"",to_text(match(CW35,ecn.list,0)))),0,1),"""")"),"")</f>
        <v/>
      </c>
      <c r="X35" s="236" t="str">
        <f>IFERROR(__xludf.DUMMYFUNCTION("if(countif(ecn.list,CX35),OFFSET(INDIRECT(CONCAT(""A"",to_text(match(CX35,ecn.list,0)))),0,1),"""")"),"")</f>
        <v/>
      </c>
      <c r="Y35" s="236" t="str">
        <f>IFERROR(__xludf.DUMMYFUNCTION("if(countif(ecn.list,CY35),OFFSET(INDIRECT(CONCAT(""A"",to_text(match(CY35,ecn.list,0)))),0,1),"""")"),"JA ")</f>
        <v>JA </v>
      </c>
      <c r="Z35" s="236" t="str">
        <f>IFERROR(__xludf.DUMMYFUNCTION("if(countif(ecn.list,CZ35),OFFSET(INDIRECT(CONCAT(""A"",to_text(match(CZ35,ecn.list,0)))),0,1),"""")"),"")</f>
        <v/>
      </c>
      <c r="AA35" s="236" t="str">
        <f>IFERROR(__xludf.DUMMYFUNCTION("if(countif(ecn.list,DA35),OFFSET(INDIRECT(CONCAT(""A"",to_text(match(DA35,ecn.list,0)))),0,1),"""")"),"JC ")</f>
        <v>JC </v>
      </c>
      <c r="AB35" s="236" t="str">
        <f>IFERROR(__xludf.DUMMYFUNCTION("if(countif(ecn.list,DB35),OFFSET(INDIRECT(CONCAT(""A"",to_text(match(DB35,ecn.list,0)))),0,1),"""")"),"")</f>
        <v/>
      </c>
      <c r="AC35" s="236" t="str">
        <f>IFERROR(__xludf.DUMMYFUNCTION("if(countif(ecn.list,DC35),OFFSET(INDIRECT(CONCAT(""A"",to_text(match(DC35,ecn.list,0)))),0,1),"""")"),"")</f>
        <v/>
      </c>
      <c r="AD35" s="236" t="str">
        <f>IFERROR(__xludf.DUMMYFUNCTION("if(countif(ecn.list,DD35),OFFSET(INDIRECT(CONCAT(""A"",to_text(match(DD35,ecn.list,0)))),0,1),"""")"),"")</f>
        <v/>
      </c>
      <c r="AE35" s="236" t="str">
        <f>IFERROR(__xludf.DUMMYFUNCTION("if(countif(ecn.list,DE35),OFFSET(INDIRECT(CONCAT(""A"",to_text(match(DE35,ecn.list,0)))),0,1),"""")"),"K0 ")</f>
        <v>K0 </v>
      </c>
      <c r="AF35" s="236" t="str">
        <f>IFERROR(__xludf.DUMMYFUNCTION("if(countif(ecn.list,DF35),OFFSET(INDIRECT(CONCAT(""A"",to_text(match(DF35,ecn.list,0)))),0,1),"""")"),"")</f>
        <v/>
      </c>
      <c r="AG35" s="236" t="str">
        <f>IFERROR(__xludf.DUMMYFUNCTION("if(countif(ecn.list,DG35),OFFSET(INDIRECT(CONCAT(""A"",to_text(match(DG35,ecn.list,0)))),0,1),"""")"),"")</f>
        <v/>
      </c>
      <c r="AH35" s="236" t="str">
        <f>IFERROR(__xludf.DUMMYFUNCTION("if(countif(ecn.list,DH35),OFFSET(INDIRECT(CONCAT(""A"",to_text(match(DH35,ecn.list,0)))),0,1),"""")"),"")</f>
        <v/>
      </c>
      <c r="AI35" s="236" t="str">
        <f>IFERROR(__xludf.DUMMYFUNCTION("if(countif(ecn.list,DI35),OFFSET(INDIRECT(CONCAT(""A"",to_text(match(DI35,ecn.list,0)))),0,1),"""")"),"")</f>
        <v/>
      </c>
      <c r="AJ35" s="236" t="str">
        <f>IFERROR(__xludf.DUMMYFUNCTION("if(countif(ecn.list,DJ35),OFFSET(INDIRECT(CONCAT(""A"",to_text(match(DJ35,ecn.list,0)))),0,1),"""")"),"K5 ")</f>
        <v>K5 </v>
      </c>
      <c r="AK35" s="236" t="str">
        <f>IFERROR(__xludf.DUMMYFUNCTION("if(countif(ecn.list,DK35),OFFSET(INDIRECT(CONCAT(""A"",to_text(match(DK35,ecn.list,0)))),0,1),"""")"),"")</f>
        <v/>
      </c>
      <c r="AL35" s="236" t="str">
        <f>IFERROR(__xludf.DUMMYFUNCTION("if(countif(ecn.list,DL35),OFFSET(INDIRECT(CONCAT(""A"",to_text(match(DL35,ecn.list,0)))),0,1),"""")"),"K7 ")</f>
        <v>K7 </v>
      </c>
      <c r="AM35" s="236" t="str">
        <f>IFERROR(__xludf.DUMMYFUNCTION("if(countif(ecn.list,DM35),OFFSET(INDIRECT(CONCAT(""A"",to_text(match(DM35,ecn.list,0)))),0,1),"""")"),"K8 ")</f>
        <v>K8 </v>
      </c>
      <c r="AN35" s="236" t="str">
        <f>IFERROR(__xludf.DUMMYFUNCTION("if(countif(ecn.list,DN35),OFFSET(INDIRECT(CONCAT(""A"",to_text(match(DN35,ecn.list,0)))),0,1),"""")"),"K9 ")</f>
        <v>K9 </v>
      </c>
      <c r="AO35" s="236" t="str">
        <f>IFERROR(__xludf.DUMMYFUNCTION("if(countif(ecn.list,DO35),OFFSET(INDIRECT(CONCAT(""A"",to_text(match(DO35,ecn.list,0)))),0,1),"""")"),"KA ")</f>
        <v>KA </v>
      </c>
      <c r="AP35" s="236" t="str">
        <f>IFERROR(__xludf.DUMMYFUNCTION("if(countif(ecn.list,DP35),OFFSET(INDIRECT(CONCAT(""A"",to_text(match(DP35,ecn.list,0)))),0,1),"""")"),"")</f>
        <v/>
      </c>
      <c r="AQ35" s="236" t="str">
        <f>IFERROR(__xludf.DUMMYFUNCTION("if(countif(ecn.list,DQ35),OFFSET(INDIRECT(CONCAT(""A"",to_text(match(DQ35,ecn.list,0)))),0,1),"""")"),"KC ")</f>
        <v>KC </v>
      </c>
      <c r="AR35" s="236" t="str">
        <f>IFERROR(__xludf.DUMMYFUNCTION("if(countif(ecn.list,DR35),OFFSET(INDIRECT(CONCAT(""A"",to_text(match(DR35,ecn.list,0)))),0,1),"""")"),"KD ")</f>
        <v>KD </v>
      </c>
      <c r="AS35" s="236" t="str">
        <f>IFERROR(__xludf.DUMMYFUNCTION("if(countif(ecn.list,DS35),OFFSET(INDIRECT(CONCAT(""A"",to_text(match(DS35,ecn.list,0)))),0,1),"""")"),"")</f>
        <v/>
      </c>
      <c r="AT35" s="236" t="str">
        <f>IFERROR(__xludf.DUMMYFUNCTION("if(countif(ecn.list,DT35),OFFSET(INDIRECT(CONCAT(""A"",to_text(match(DT35,ecn.list,0)))),0,1),"""")"),"")</f>
        <v/>
      </c>
      <c r="AU35" s="236" t="str">
        <f>IFERROR(__xludf.DUMMYFUNCTION("if(countif(ecn.list,DU35),OFFSET(INDIRECT(CONCAT(""A"",to_text(match(DU35,ecn.list,0)))),0,1),"""")"),"")</f>
        <v/>
      </c>
      <c r="AV35" s="236" t="str">
        <f>IFERROR(__xludf.DUMMYFUNCTION("if(countif(ecn.list,DV35),OFFSET(INDIRECT(CONCAT(""A"",to_text(match(DV35,ecn.list,0)))),0,1),"""")"),"L1 ")</f>
        <v>L1 </v>
      </c>
      <c r="AW35" s="236" t="str">
        <f>IFERROR(__xludf.DUMMYFUNCTION("if(countif(ecn.list,DW35),OFFSET(INDIRECT(CONCAT(""A"",to_text(match(DW35,ecn.list,0)))),0,1),"""")"),"")</f>
        <v/>
      </c>
      <c r="AX35" s="236" t="str">
        <f>IFERROR(__xludf.DUMMYFUNCTION("if(countif(ecn.list,DX35),OFFSET(INDIRECT(CONCAT(""A"",to_text(match(DX35,ecn.list,0)))),0,1),"""")"),"")</f>
        <v/>
      </c>
      <c r="AY35" s="236" t="str">
        <f>IFERROR(__xludf.DUMMYFUNCTION("if(countif(ecn.list,DY35),OFFSET(INDIRECT(CONCAT(""A"",to_text(match(DY35,ecn.list,0)))),0,1),"""")"),"")</f>
        <v/>
      </c>
      <c r="AZ35" s="236" t="str">
        <f>IFERROR(__xludf.DUMMYFUNCTION("if(countif(ecn.list,DZ35),OFFSET(INDIRECT(CONCAT(""A"",to_text(match(DZ35,ecn.list,0)))),0,1),"""")"),"")</f>
        <v/>
      </c>
      <c r="BA35" s="236" t="str">
        <f>IFERROR(__xludf.DUMMYFUNCTION("if(countif(ecn.list,EA35),OFFSET(INDIRECT(CONCAT(""A"",to_text(match(EA35,ecn.list,0)))),0,1),"""")"),"")</f>
        <v/>
      </c>
      <c r="BB35" s="236" t="str">
        <f>IFERROR(__xludf.DUMMYFUNCTION("if(countif(ecn.list,EB35),OFFSET(INDIRECT(CONCAT(""A"",to_text(match(EB35,ecn.list,0)))),0,1),"""")"),"")</f>
        <v/>
      </c>
      <c r="BC35" s="236" t="str">
        <f>IFERROR(__xludf.DUMMYFUNCTION("if(countif(ecn.list,EC35),OFFSET(INDIRECT(CONCAT(""A"",to_text(match(EC35,ecn.list,0)))),0,1),"""")"),"L8 ")</f>
        <v>L8 </v>
      </c>
      <c r="BD35" s="236" t="str">
        <f>IFERROR(__xludf.DUMMYFUNCTION("if(countif(ecn.list,ED35),OFFSET(INDIRECT(CONCAT(""A"",to_text(match(ED35,ecn.list,0)))),0,1),"""")"),"")</f>
        <v/>
      </c>
      <c r="BE35" s="236" t="str">
        <f>IFERROR(__xludf.DUMMYFUNCTION("if(countif(ecn.list,EE35),OFFSET(INDIRECT(CONCAT(""A"",to_text(match(EE35,ecn.list,0)))),0,1),"""")"),"LA ")</f>
        <v>LA </v>
      </c>
      <c r="BF35" s="236" t="str">
        <f>IFERROR(__xludf.DUMMYFUNCTION("if(countif(ecn.list,EF35),OFFSET(INDIRECT(CONCAT(""A"",to_text(match(EF35,ecn.list,0)))),0,1),"""")"),"")</f>
        <v/>
      </c>
      <c r="BG35" s="236" t="str">
        <f>IFERROR(__xludf.DUMMYFUNCTION("if(countif(ecn.list,EG35),OFFSET(INDIRECT(CONCAT(""A"",to_text(match(EG35,ecn.list,0)))),0,1),"""")"),"LC ")</f>
        <v>LC </v>
      </c>
      <c r="BH35" s="236" t="str">
        <f>IFERROR(__xludf.DUMMYFUNCTION("if(countif(ecn.list,EH35),OFFSET(INDIRECT(CONCAT(""A"",to_text(match(EH35,ecn.list,0)))),0,1),"""")"),"")</f>
        <v/>
      </c>
      <c r="BI35" s="236" t="str">
        <f>IFERROR(__xludf.DUMMYFUNCTION("if(countif(ecn.list,EI35),OFFSET(INDIRECT(CONCAT(""A"",to_text(match(EI35,ecn.list,0)))),0,1),"""")"),"")</f>
        <v/>
      </c>
      <c r="BJ35" s="236" t="str">
        <f>IFERROR(__xludf.DUMMYFUNCTION("if(countif(ecn.list,EJ35),OFFSET(INDIRECT(CONCAT(""A"",to_text(match(EJ35,ecn.list,0)))),0,1),"""")"),"LF ")</f>
        <v>LF </v>
      </c>
      <c r="BK35" s="236" t="str">
        <f>IFERROR(__xludf.DUMMYFUNCTION("if(countif(ecn.list,EK35),OFFSET(INDIRECT(CONCAT(""A"",to_text(match(EK35,ecn.list,0)))),0,1),"""")"),"M0 ")</f>
        <v>M0 </v>
      </c>
      <c r="BL35" s="236" t="str">
        <f>IFERROR(__xludf.DUMMYFUNCTION("if(countif(ecn.list,EL35),OFFSET(INDIRECT(CONCAT(""A"",to_text(match(EL35,ecn.list,0)))),0,1),"""")"),"M1 ")</f>
        <v>M1 </v>
      </c>
      <c r="BM35" s="236" t="str">
        <f>IFERROR(__xludf.DUMMYFUNCTION("if(countif(ecn.list,EM35),OFFSET(INDIRECT(CONCAT(""A"",to_text(match(EM35,ecn.list,0)))),0,1),"""")"),"")</f>
        <v/>
      </c>
      <c r="BN35" s="236" t="str">
        <f>IFERROR(__xludf.DUMMYFUNCTION("if(countif(ecn.list,EN35),OFFSET(INDIRECT(CONCAT(""A"",to_text(match(EN35,ecn.list,0)))),0,1),"""")"),"M3 ")</f>
        <v>M3 </v>
      </c>
      <c r="BO35" s="236" t="str">
        <f>IFERROR(__xludf.DUMMYFUNCTION("if(countif(ecn.list,EO35),OFFSET(INDIRECT(CONCAT(""A"",to_text(match(EO35,ecn.list,0)))),0,1),"""")"),"M4 ")</f>
        <v>M4 </v>
      </c>
      <c r="BP35" s="236" t="str">
        <f>IFERROR(__xludf.DUMMYFUNCTION("if(countif(ecn.list,EP35),OFFSET(INDIRECT(CONCAT(""A"",to_text(match(EP35,ecn.list,0)))),0,1),"""")"),"")</f>
        <v/>
      </c>
      <c r="BQ35" s="236" t="str">
        <f>IFERROR(__xludf.DUMMYFUNCTION("if(countif(ecn.list,EQ35),OFFSET(INDIRECT(CONCAT(""A"",to_text(match(EQ35,ecn.list,0)))),0,1),"""")"),"")</f>
        <v/>
      </c>
      <c r="BR35" s="236" t="str">
        <f>IFERROR(__xludf.DUMMYFUNCTION("if(countif(ecn.list,ER35),OFFSET(INDIRECT(CONCAT(""A"",to_text(match(ER35,ecn.list,0)))),0,1),"""")"),"")</f>
        <v/>
      </c>
      <c r="BS35" s="236" t="str">
        <f>IFERROR(__xludf.DUMMYFUNCTION("if(countif(ecn.list,ES35),OFFSET(INDIRECT(CONCAT(""A"",to_text(match(ES35,ecn.list,0)))),0,1),"""")"),"M8 ")</f>
        <v>M8 </v>
      </c>
      <c r="BT35" s="236" t="str">
        <f>IFERROR(__xludf.DUMMYFUNCTION("if(countif(ecn.list,ET35),OFFSET(INDIRECT(CONCAT(""A"",to_text(match(ET35,ecn.list,0)))),0,1),"""")"),"")</f>
        <v/>
      </c>
      <c r="BU35" s="236" t="str">
        <f>IFERROR(__xludf.DUMMYFUNCTION("if(countif(ecn.list,EU35),OFFSET(INDIRECT(CONCAT(""A"",to_text(match(EU35,ecn.list,0)))),0,1),"""")"),"")</f>
        <v/>
      </c>
      <c r="BV35" s="236" t="str">
        <f>IFERROR(__xludf.DUMMYFUNCTION("if(countif(ecn.list,EV35),OFFSET(INDIRECT(CONCAT(""A"",to_text(match(EV35,ecn.list,0)))),0,1),"""")"),"MB ")</f>
        <v>MB </v>
      </c>
      <c r="BW35" s="236" t="str">
        <f>IFERROR(__xludf.DUMMYFUNCTION("if(countif(ecn.list,EW35),OFFSET(INDIRECT(CONCAT(""A"",to_text(match(EW35,ecn.list,0)))),0,1),"""")"),"")</f>
        <v/>
      </c>
      <c r="BX35" s="236" t="str">
        <f>IFERROR(__xludf.DUMMYFUNCTION("if(countif(ecn.list,EX35),OFFSET(INDIRECT(CONCAT(""A"",to_text(match(EX35,ecn.list,0)))),0,1),"""")"),"")</f>
        <v/>
      </c>
      <c r="BY35" s="236" t="str">
        <f>IFERROR(__xludf.DUMMYFUNCTION("if(countif(ecn.list,EY35),OFFSET(INDIRECT(CONCAT(""A"",to_text(match(EY35,ecn.list,0)))),0,1),"""")"),"")</f>
        <v/>
      </c>
      <c r="BZ35" s="236" t="str">
        <f>IFERROR(__xludf.DUMMYFUNCTION("if(countif(ecn.list,EZ35),OFFSET(INDIRECT(CONCAT(""A"",to_text(match(EZ35,ecn.list,0)))),0,1),"""")"),"MF ")</f>
        <v>MF </v>
      </c>
      <c r="CA35" s="236" t="str">
        <f>IFERROR(__xludf.DUMMYFUNCTION("if(countif(ecn.list,FA35),OFFSET(INDIRECT(CONCAT(""A"",to_text(match(FA35,ecn.list,0)))),0,1),"""")"),"")</f>
        <v/>
      </c>
      <c r="CB35" s="236" t="str">
        <f>IFERROR(__xludf.DUMMYFUNCTION("if(countif(ecn.list,FB35),OFFSET(INDIRECT(CONCAT(""A"",to_text(match(FB35,ecn.list,0)))),0,1),"""")"),"")</f>
        <v/>
      </c>
      <c r="CC35" s="236" t="str">
        <f>IFERROR(__xludf.DUMMYFUNCTION("if(countif(ecn.list,FC35),OFFSET(INDIRECT(CONCAT(""A"",to_text(match(FC35,ecn.list,0)))),0,1),"""")"),"N2 ")</f>
        <v>N2 </v>
      </c>
      <c r="CD35" s="236" t="str">
        <f>IFERROR(__xludf.DUMMYFUNCTION("if(countif(ecn.list,FD35),OFFSET(INDIRECT(CONCAT(""A"",to_text(match(FD35,ecn.list,0)))),0,1),"""")"),"")</f>
        <v/>
      </c>
      <c r="CE35" s="236" t="str">
        <f>IFERROR(__xludf.DUMMYFUNCTION("if(countif(ecn.list,FE35),OFFSET(INDIRECT(CONCAT(""A"",to_text(match(FE35,ecn.list,0)))),0,1),"""")"),"")</f>
        <v/>
      </c>
      <c r="CF35" s="236" t="str">
        <f>IFERROR(__xludf.DUMMYFUNCTION("if(countif(ecn.list,FF35),OFFSET(INDIRECT(CONCAT(""A"",to_text(match(FF35,ecn.list,0)))),0,1),"""")"),"")</f>
        <v/>
      </c>
      <c r="CG35" s="236" t="str">
        <f>IFERROR(__xludf.DUMMYFUNCTION("if(countif(ecn.list,FG35),OFFSET(INDIRECT(CONCAT(""A"",to_text(match(FG35,ecn.list,0)))),0,1),"""")"),"")</f>
        <v/>
      </c>
      <c r="CH35" s="236" t="str">
        <f>IFERROR(__xludf.DUMMYFUNCTION("if(countif(ecn.list,FH35),OFFSET(INDIRECT(CONCAT(""A"",to_text(match(FH35,ecn.list,0)))),0,1),"""")"),"N7 ")</f>
        <v>N7 </v>
      </c>
      <c r="CI35" s="236" t="str">
        <f>IFERROR(__xludf.DUMMYFUNCTION("if(countif(ecn.list,FI35),OFFSET(INDIRECT(CONCAT(""A"",to_text(match(FI35,ecn.list,0)))),0,1),"""")"),"")</f>
        <v/>
      </c>
      <c r="CJ35" s="236" t="str">
        <f>IFERROR(__xludf.DUMMYFUNCTION("if(countif(ecn.list,FJ35),OFFSET(INDIRECT(CONCAT(""A"",to_text(match(FJ35,ecn.list,0)))),0,1),"""")"),"")</f>
        <v/>
      </c>
      <c r="CK35" s="236" t="str">
        <f>IFERROR(__xludf.DUMMYFUNCTION("if(countif(ecn.list,FK35),OFFSET(INDIRECT(CONCAT(""A"",to_text(match(FK35,ecn.list,0)))),0,1),"""")"),"NA ")</f>
        <v>NA </v>
      </c>
      <c r="CL35" s="236" t="str">
        <f>IFERROR(__xludf.DUMMYFUNCTION("if(countif(ecn.list,FL35),OFFSET(INDIRECT(CONCAT(""A"",to_text(match(FL35,ecn.list,0)))),0,1),"""")"),"")</f>
        <v/>
      </c>
      <c r="CM35" s="236" t="str">
        <f>IFERROR(__xludf.DUMMYFUNCTION("if(countif(ecn.list,FM35),OFFSET(INDIRECT(CONCAT(""A"",to_text(match(FM35,ecn.list,0)))),0,1),"""")"),"")</f>
        <v/>
      </c>
      <c r="CN35" s="198" t="s">
        <v>180</v>
      </c>
      <c r="CO35" s="198" t="s">
        <v>1447</v>
      </c>
      <c r="CP35" s="198" t="s">
        <v>1451</v>
      </c>
      <c r="CQ35" s="198" t="s">
        <v>1452</v>
      </c>
      <c r="CR35" s="198" t="s">
        <v>1453</v>
      </c>
      <c r="CS35" s="198" t="s">
        <v>1453</v>
      </c>
      <c r="CT35" s="198" t="s">
        <v>1454</v>
      </c>
      <c r="CU35" s="198" t="s">
        <v>1455</v>
      </c>
      <c r="CV35" s="198" t="s">
        <v>1456</v>
      </c>
      <c r="CW35" s="198" t="s">
        <v>1453</v>
      </c>
      <c r="CX35" s="198" t="s">
        <v>1453</v>
      </c>
      <c r="CY35" s="198" t="s">
        <v>1484</v>
      </c>
      <c r="CZ35" s="198" t="s">
        <v>1453</v>
      </c>
      <c r="DA35" s="198" t="s">
        <v>1457</v>
      </c>
      <c r="DB35" s="198" t="s">
        <v>1453</v>
      </c>
      <c r="DC35" s="198" t="s">
        <v>1453</v>
      </c>
      <c r="DD35" s="198" t="s">
        <v>1453</v>
      </c>
      <c r="DE35" s="198" t="s">
        <v>1459</v>
      </c>
      <c r="DF35" s="198" t="s">
        <v>1453</v>
      </c>
      <c r="DG35" s="198" t="s">
        <v>1453</v>
      </c>
      <c r="DH35" s="198" t="s">
        <v>1453</v>
      </c>
      <c r="DI35" s="198" t="s">
        <v>1453</v>
      </c>
      <c r="DJ35" s="198" t="s">
        <v>1460</v>
      </c>
      <c r="DK35" s="198" t="s">
        <v>1453</v>
      </c>
      <c r="DL35" s="198" t="s">
        <v>1461</v>
      </c>
      <c r="DM35" s="198" t="s">
        <v>1462</v>
      </c>
      <c r="DN35" s="198" t="s">
        <v>1463</v>
      </c>
      <c r="DO35" s="198" t="s">
        <v>1464</v>
      </c>
      <c r="DP35" s="198" t="s">
        <v>1453</v>
      </c>
      <c r="DQ35" s="198" t="s">
        <v>1466</v>
      </c>
      <c r="DR35" s="198" t="s">
        <v>1467</v>
      </c>
      <c r="DS35" s="198" t="s">
        <v>1453</v>
      </c>
      <c r="DT35" s="198" t="s">
        <v>1453</v>
      </c>
      <c r="DU35" s="198" t="s">
        <v>1453</v>
      </c>
      <c r="DV35" s="198" t="s">
        <v>1469</v>
      </c>
      <c r="DW35" s="198" t="s">
        <v>1453</v>
      </c>
      <c r="DX35" s="198" t="s">
        <v>1453</v>
      </c>
      <c r="DY35" s="198" t="s">
        <v>1453</v>
      </c>
      <c r="DZ35" s="198" t="s">
        <v>1453</v>
      </c>
      <c r="EA35" s="198" t="s">
        <v>1453</v>
      </c>
      <c r="EB35" s="198" t="s">
        <v>1453</v>
      </c>
      <c r="EC35" s="198" t="s">
        <v>1483</v>
      </c>
      <c r="ED35" s="198" t="s">
        <v>1453</v>
      </c>
      <c r="EE35" s="198" t="s">
        <v>1470</v>
      </c>
      <c r="EF35" s="198" t="s">
        <v>1453</v>
      </c>
      <c r="EG35" s="198" t="s">
        <v>1471</v>
      </c>
      <c r="EH35" s="198" t="s">
        <v>1453</v>
      </c>
      <c r="EI35" s="198" t="s">
        <v>1453</v>
      </c>
      <c r="EJ35" s="198" t="s">
        <v>1472</v>
      </c>
      <c r="EK35" s="198" t="s">
        <v>1487</v>
      </c>
      <c r="EL35" s="198" t="s">
        <v>1473</v>
      </c>
      <c r="EM35" s="198" t="s">
        <v>1453</v>
      </c>
      <c r="EN35" s="198" t="s">
        <v>1474</v>
      </c>
      <c r="EO35" s="198" t="s">
        <v>1475</v>
      </c>
      <c r="EP35" s="198" t="s">
        <v>1453</v>
      </c>
      <c r="EQ35" s="198" t="s">
        <v>1453</v>
      </c>
      <c r="ER35" s="198" t="s">
        <v>1453</v>
      </c>
      <c r="ES35" s="198" t="s">
        <v>1505</v>
      </c>
      <c r="ET35" s="198" t="s">
        <v>1453</v>
      </c>
      <c r="EU35" s="198" t="s">
        <v>1453</v>
      </c>
      <c r="EV35" s="198" t="s">
        <v>1476</v>
      </c>
      <c r="EW35" s="198" t="s">
        <v>1453</v>
      </c>
      <c r="EX35" s="198" t="s">
        <v>1453</v>
      </c>
      <c r="EY35" s="198" t="s">
        <v>1453</v>
      </c>
      <c r="EZ35" s="198" t="s">
        <v>1477</v>
      </c>
      <c r="FA35" s="198" t="s">
        <v>1453</v>
      </c>
      <c r="FB35" s="198" t="s">
        <v>1453</v>
      </c>
      <c r="FC35" s="198" t="s">
        <v>1478</v>
      </c>
      <c r="FD35" s="198" t="s">
        <v>1453</v>
      </c>
      <c r="FE35" s="198" t="s">
        <v>1453</v>
      </c>
      <c r="FF35" s="198" t="s">
        <v>1453</v>
      </c>
      <c r="FG35" s="198" t="s">
        <v>1453</v>
      </c>
      <c r="FH35" s="198" t="s">
        <v>1479</v>
      </c>
      <c r="FI35" s="198" t="s">
        <v>1453</v>
      </c>
      <c r="FJ35" s="198" t="s">
        <v>1453</v>
      </c>
      <c r="FK35" s="198" t="s">
        <v>1481</v>
      </c>
      <c r="FL35" s="198" t="s">
        <v>1482</v>
      </c>
      <c r="FM35" s="198" t="s">
        <v>1453</v>
      </c>
    </row>
    <row r="36" ht="15.75" customHeight="1">
      <c r="A36" s="198" t="s">
        <v>1502</v>
      </c>
      <c r="B36" s="198" t="str">
        <f t="shared" si="4"/>
        <v>L2 </v>
      </c>
      <c r="C36" s="234">
        <v>2.0</v>
      </c>
      <c r="D36" s="232" t="s">
        <v>770</v>
      </c>
      <c r="E36" s="232" t="s">
        <v>1448</v>
      </c>
      <c r="F36" s="232" t="s">
        <v>1449</v>
      </c>
      <c r="G36" s="232" t="s">
        <v>1450</v>
      </c>
      <c r="H36" s="232" t="s">
        <v>804</v>
      </c>
      <c r="I36" s="232" t="s">
        <v>805</v>
      </c>
      <c r="J36" s="232" t="s">
        <v>806</v>
      </c>
      <c r="K36" s="232" t="s">
        <v>810</v>
      </c>
      <c r="L36" s="188" t="s">
        <v>183</v>
      </c>
      <c r="M36" s="236" t="str">
        <f>IFERROR(__xludf.DUMMYFUNCTION("regexreplace(N36,"" "","", "")"),"J0, J1, J2, J5, J6, J7, JA, JC, K0, K3, K4, K5, K7, K9, KA, KC, KD, L1, L8, LA, LC, LF, M1, M3, M8, MB, MF, N2, N7, NA, ")</f>
        <v>J0, J1, J2, J5, J6, J7, JA, JC, K0, K3, K4, K5, K7, K9, KA, KC, KD, L1, L8, LA, LC, LF, M1, M3, M8, MB, MF, N2, N7, NA, </v>
      </c>
      <c r="N36" s="236" t="str">
        <f t="shared" si="2"/>
        <v>J0 J1 J2 J5 J6 J7 JA JC K0 K3 K4 K5 K7 K9 KA KC KD L1 L8 LA LC LF M1 M3 M8 MB MF N2 N7 NA </v>
      </c>
      <c r="O36" s="236" t="str">
        <f>IFERROR(__xludf.DUMMYFUNCTION("if(countif(ecn.list,CO36),OFFSET(INDIRECT(CONCAT(""A"",to_text(match(CO36,ecn.list,0)))),0,1),"""")"),"J0 ")</f>
        <v>J0 </v>
      </c>
      <c r="P36" s="236" t="str">
        <f>IFERROR(__xludf.DUMMYFUNCTION("if(countif(ecn.list,CP36),OFFSET(INDIRECT(CONCAT(""A"",to_text(match(CP36,ecn.list,0)))),0,1),"""")"),"J1 ")</f>
        <v>J1 </v>
      </c>
      <c r="Q36" s="236" t="str">
        <f>IFERROR(__xludf.DUMMYFUNCTION("if(countif(ecn.list,CQ36),OFFSET(INDIRECT(CONCAT(""A"",to_text(match(CQ36,ecn.list,0)))),0,1),"""")"),"J2 ")</f>
        <v>J2 </v>
      </c>
      <c r="R36" s="236" t="str">
        <f>IFERROR(__xludf.DUMMYFUNCTION("if(countif(ecn.list,CR36),OFFSET(INDIRECT(CONCAT(""A"",to_text(match(CR36,ecn.list,0)))),0,1),"""")"),"")</f>
        <v/>
      </c>
      <c r="S36" s="236" t="str">
        <f>IFERROR(__xludf.DUMMYFUNCTION("if(countif(ecn.list,CS36),OFFSET(INDIRECT(CONCAT(""A"",to_text(match(CS36,ecn.list,0)))),0,1),"""")"),"")</f>
        <v/>
      </c>
      <c r="T36" s="236" t="str">
        <f>IFERROR(__xludf.DUMMYFUNCTION("if(countif(ecn.list,CT36),OFFSET(INDIRECT(CONCAT(""A"",to_text(match(CT36,ecn.list,0)))),0,1),"""")"),"J5 ")</f>
        <v>J5 </v>
      </c>
      <c r="U36" s="236" t="str">
        <f>IFERROR(__xludf.DUMMYFUNCTION("if(countif(ecn.list,CU36),OFFSET(INDIRECT(CONCAT(""A"",to_text(match(CU36,ecn.list,0)))),0,1),"""")"),"J6 ")</f>
        <v>J6 </v>
      </c>
      <c r="V36" s="236" t="str">
        <f>IFERROR(__xludf.DUMMYFUNCTION("if(countif(ecn.list,CV36),OFFSET(INDIRECT(CONCAT(""A"",to_text(match(CV36,ecn.list,0)))),0,1),"""")"),"J7 ")</f>
        <v>J7 </v>
      </c>
      <c r="W36" s="236" t="str">
        <f>IFERROR(__xludf.DUMMYFUNCTION("if(countif(ecn.list,CW36),OFFSET(INDIRECT(CONCAT(""A"",to_text(match(CW36,ecn.list,0)))),0,1),"""")"),"")</f>
        <v/>
      </c>
      <c r="X36" s="236" t="str">
        <f>IFERROR(__xludf.DUMMYFUNCTION("if(countif(ecn.list,CX36),OFFSET(INDIRECT(CONCAT(""A"",to_text(match(CX36,ecn.list,0)))),0,1),"""")"),"")</f>
        <v/>
      </c>
      <c r="Y36" s="236" t="str">
        <f>IFERROR(__xludf.DUMMYFUNCTION("if(countif(ecn.list,CY36),OFFSET(INDIRECT(CONCAT(""A"",to_text(match(CY36,ecn.list,0)))),0,1),"""")"),"JA ")</f>
        <v>JA </v>
      </c>
      <c r="Z36" s="236" t="str">
        <f>IFERROR(__xludf.DUMMYFUNCTION("if(countif(ecn.list,CZ36),OFFSET(INDIRECT(CONCAT(""A"",to_text(match(CZ36,ecn.list,0)))),0,1),"""")"),"")</f>
        <v/>
      </c>
      <c r="AA36" s="236" t="str">
        <f>IFERROR(__xludf.DUMMYFUNCTION("if(countif(ecn.list,DA36),OFFSET(INDIRECT(CONCAT(""A"",to_text(match(DA36,ecn.list,0)))),0,1),"""")"),"JC ")</f>
        <v>JC </v>
      </c>
      <c r="AB36" s="236" t="str">
        <f>IFERROR(__xludf.DUMMYFUNCTION("if(countif(ecn.list,DB36),OFFSET(INDIRECT(CONCAT(""A"",to_text(match(DB36,ecn.list,0)))),0,1),"""")"),"")</f>
        <v/>
      </c>
      <c r="AC36" s="236" t="str">
        <f>IFERROR(__xludf.DUMMYFUNCTION("if(countif(ecn.list,DC36),OFFSET(INDIRECT(CONCAT(""A"",to_text(match(DC36,ecn.list,0)))),0,1),"""")"),"")</f>
        <v/>
      </c>
      <c r="AD36" s="236" t="str">
        <f>IFERROR(__xludf.DUMMYFUNCTION("if(countif(ecn.list,DD36),OFFSET(INDIRECT(CONCAT(""A"",to_text(match(DD36,ecn.list,0)))),0,1),"""")"),"")</f>
        <v/>
      </c>
      <c r="AE36" s="236" t="str">
        <f>IFERROR(__xludf.DUMMYFUNCTION("if(countif(ecn.list,DE36),OFFSET(INDIRECT(CONCAT(""A"",to_text(match(DE36,ecn.list,0)))),0,1),"""")"),"K0 ")</f>
        <v>K0 </v>
      </c>
      <c r="AF36" s="236" t="str">
        <f>IFERROR(__xludf.DUMMYFUNCTION("if(countif(ecn.list,DF36),OFFSET(INDIRECT(CONCAT(""A"",to_text(match(DF36,ecn.list,0)))),0,1),"""")"),"")</f>
        <v/>
      </c>
      <c r="AG36" s="236" t="str">
        <f>IFERROR(__xludf.DUMMYFUNCTION("if(countif(ecn.list,DG36),OFFSET(INDIRECT(CONCAT(""A"",to_text(match(DG36,ecn.list,0)))),0,1),"""")"),"")</f>
        <v/>
      </c>
      <c r="AH36" s="236" t="str">
        <f>IFERROR(__xludf.DUMMYFUNCTION("if(countif(ecn.list,DH36),OFFSET(INDIRECT(CONCAT(""A"",to_text(match(DH36,ecn.list,0)))),0,1),"""")"),"K3 ")</f>
        <v>K3 </v>
      </c>
      <c r="AI36" s="236" t="str">
        <f>IFERROR(__xludf.DUMMYFUNCTION("if(countif(ecn.list,DI36),OFFSET(INDIRECT(CONCAT(""A"",to_text(match(DI36,ecn.list,0)))),0,1),"""")"),"K4 ")</f>
        <v>K4 </v>
      </c>
      <c r="AJ36" s="236" t="str">
        <f>IFERROR(__xludf.DUMMYFUNCTION("if(countif(ecn.list,DJ36),OFFSET(INDIRECT(CONCAT(""A"",to_text(match(DJ36,ecn.list,0)))),0,1),"""")"),"K5 ")</f>
        <v>K5 </v>
      </c>
      <c r="AK36" s="236" t="str">
        <f>IFERROR(__xludf.DUMMYFUNCTION("if(countif(ecn.list,DK36),OFFSET(INDIRECT(CONCAT(""A"",to_text(match(DK36,ecn.list,0)))),0,1),"""")"),"")</f>
        <v/>
      </c>
      <c r="AL36" s="236" t="str">
        <f>IFERROR(__xludf.DUMMYFUNCTION("if(countif(ecn.list,DL36),OFFSET(INDIRECT(CONCAT(""A"",to_text(match(DL36,ecn.list,0)))),0,1),"""")"),"K7 ")</f>
        <v>K7 </v>
      </c>
      <c r="AM36" s="236" t="str">
        <f>IFERROR(__xludf.DUMMYFUNCTION("if(countif(ecn.list,DM36),OFFSET(INDIRECT(CONCAT(""A"",to_text(match(DM36,ecn.list,0)))),0,1),"""")"),"")</f>
        <v/>
      </c>
      <c r="AN36" s="236" t="str">
        <f>IFERROR(__xludf.DUMMYFUNCTION("if(countif(ecn.list,DN36),OFFSET(INDIRECT(CONCAT(""A"",to_text(match(DN36,ecn.list,0)))),0,1),"""")"),"K9 ")</f>
        <v>K9 </v>
      </c>
      <c r="AO36" s="236" t="str">
        <f>IFERROR(__xludf.DUMMYFUNCTION("if(countif(ecn.list,DO36),OFFSET(INDIRECT(CONCAT(""A"",to_text(match(DO36,ecn.list,0)))),0,1),"""")"),"KA ")</f>
        <v>KA </v>
      </c>
      <c r="AP36" s="236" t="str">
        <f>IFERROR(__xludf.DUMMYFUNCTION("if(countif(ecn.list,DP36),OFFSET(INDIRECT(CONCAT(""A"",to_text(match(DP36,ecn.list,0)))),0,1),"""")"),"")</f>
        <v/>
      </c>
      <c r="AQ36" s="236" t="str">
        <f>IFERROR(__xludf.DUMMYFUNCTION("if(countif(ecn.list,DQ36),OFFSET(INDIRECT(CONCAT(""A"",to_text(match(DQ36,ecn.list,0)))),0,1),"""")"),"KC ")</f>
        <v>KC </v>
      </c>
      <c r="AR36" s="236" t="str">
        <f>IFERROR(__xludf.DUMMYFUNCTION("if(countif(ecn.list,DR36),OFFSET(INDIRECT(CONCAT(""A"",to_text(match(DR36,ecn.list,0)))),0,1),"""")"),"KD ")</f>
        <v>KD </v>
      </c>
      <c r="AS36" s="236" t="str">
        <f>IFERROR(__xludf.DUMMYFUNCTION("if(countif(ecn.list,DS36),OFFSET(INDIRECT(CONCAT(""A"",to_text(match(DS36,ecn.list,0)))),0,1),"""")"),"")</f>
        <v/>
      </c>
      <c r="AT36" s="236" t="str">
        <f>IFERROR(__xludf.DUMMYFUNCTION("if(countif(ecn.list,DT36),OFFSET(INDIRECT(CONCAT(""A"",to_text(match(DT36,ecn.list,0)))),0,1),"""")"),"")</f>
        <v/>
      </c>
      <c r="AU36" s="236" t="str">
        <f>IFERROR(__xludf.DUMMYFUNCTION("if(countif(ecn.list,DU36),OFFSET(INDIRECT(CONCAT(""A"",to_text(match(DU36,ecn.list,0)))),0,1),"""")"),"")</f>
        <v/>
      </c>
      <c r="AV36" s="236" t="str">
        <f>IFERROR(__xludf.DUMMYFUNCTION("if(countif(ecn.list,DV36),OFFSET(INDIRECT(CONCAT(""A"",to_text(match(DV36,ecn.list,0)))),0,1),"""")"),"L1 ")</f>
        <v>L1 </v>
      </c>
      <c r="AW36" s="236" t="str">
        <f>IFERROR(__xludf.DUMMYFUNCTION("if(countif(ecn.list,DW36),OFFSET(INDIRECT(CONCAT(""A"",to_text(match(DW36,ecn.list,0)))),0,1),"""")"),"")</f>
        <v/>
      </c>
      <c r="AX36" s="236" t="str">
        <f>IFERROR(__xludf.DUMMYFUNCTION("if(countif(ecn.list,DX36),OFFSET(INDIRECT(CONCAT(""A"",to_text(match(DX36,ecn.list,0)))),0,1),"""")"),"")</f>
        <v/>
      </c>
      <c r="AY36" s="236" t="str">
        <f>IFERROR(__xludf.DUMMYFUNCTION("if(countif(ecn.list,DY36),OFFSET(INDIRECT(CONCAT(""A"",to_text(match(DY36,ecn.list,0)))),0,1),"""")"),"")</f>
        <v/>
      </c>
      <c r="AZ36" s="236" t="str">
        <f>IFERROR(__xludf.DUMMYFUNCTION("if(countif(ecn.list,DZ36),OFFSET(INDIRECT(CONCAT(""A"",to_text(match(DZ36,ecn.list,0)))),0,1),"""")"),"")</f>
        <v/>
      </c>
      <c r="BA36" s="236" t="str">
        <f>IFERROR(__xludf.DUMMYFUNCTION("if(countif(ecn.list,EA36),OFFSET(INDIRECT(CONCAT(""A"",to_text(match(EA36,ecn.list,0)))),0,1),"""")"),"")</f>
        <v/>
      </c>
      <c r="BB36" s="236" t="str">
        <f>IFERROR(__xludf.DUMMYFUNCTION("if(countif(ecn.list,EB36),OFFSET(INDIRECT(CONCAT(""A"",to_text(match(EB36,ecn.list,0)))),0,1),"""")"),"")</f>
        <v/>
      </c>
      <c r="BC36" s="236" t="str">
        <f>IFERROR(__xludf.DUMMYFUNCTION("if(countif(ecn.list,EC36),OFFSET(INDIRECT(CONCAT(""A"",to_text(match(EC36,ecn.list,0)))),0,1),"""")"),"L8 ")</f>
        <v>L8 </v>
      </c>
      <c r="BD36" s="236" t="str">
        <f>IFERROR(__xludf.DUMMYFUNCTION("if(countif(ecn.list,ED36),OFFSET(INDIRECT(CONCAT(""A"",to_text(match(ED36,ecn.list,0)))),0,1),"""")"),"")</f>
        <v/>
      </c>
      <c r="BE36" s="236" t="str">
        <f>IFERROR(__xludf.DUMMYFUNCTION("if(countif(ecn.list,EE36),OFFSET(INDIRECT(CONCAT(""A"",to_text(match(EE36,ecn.list,0)))),0,1),"""")"),"LA ")</f>
        <v>LA </v>
      </c>
      <c r="BF36" s="236" t="str">
        <f>IFERROR(__xludf.DUMMYFUNCTION("if(countif(ecn.list,EF36),OFFSET(INDIRECT(CONCAT(""A"",to_text(match(EF36,ecn.list,0)))),0,1),"""")"),"")</f>
        <v/>
      </c>
      <c r="BG36" s="236" t="str">
        <f>IFERROR(__xludf.DUMMYFUNCTION("if(countif(ecn.list,EG36),OFFSET(INDIRECT(CONCAT(""A"",to_text(match(EG36,ecn.list,0)))),0,1),"""")"),"LC ")</f>
        <v>LC </v>
      </c>
      <c r="BH36" s="236" t="str">
        <f>IFERROR(__xludf.DUMMYFUNCTION("if(countif(ecn.list,EH36),OFFSET(INDIRECT(CONCAT(""A"",to_text(match(EH36,ecn.list,0)))),0,1),"""")"),"")</f>
        <v/>
      </c>
      <c r="BI36" s="236" t="str">
        <f>IFERROR(__xludf.DUMMYFUNCTION("if(countif(ecn.list,EI36),OFFSET(INDIRECT(CONCAT(""A"",to_text(match(EI36,ecn.list,0)))),0,1),"""")"),"")</f>
        <v/>
      </c>
      <c r="BJ36" s="236" t="str">
        <f>IFERROR(__xludf.DUMMYFUNCTION("if(countif(ecn.list,EJ36),OFFSET(INDIRECT(CONCAT(""A"",to_text(match(EJ36,ecn.list,0)))),0,1),"""")"),"LF ")</f>
        <v>LF </v>
      </c>
      <c r="BK36" s="236" t="str">
        <f>IFERROR(__xludf.DUMMYFUNCTION("if(countif(ecn.list,EK36),OFFSET(INDIRECT(CONCAT(""A"",to_text(match(EK36,ecn.list,0)))),0,1),"""")"),"")</f>
        <v/>
      </c>
      <c r="BL36" s="236" t="str">
        <f>IFERROR(__xludf.DUMMYFUNCTION("if(countif(ecn.list,EL36),OFFSET(INDIRECT(CONCAT(""A"",to_text(match(EL36,ecn.list,0)))),0,1),"""")"),"M1 ")</f>
        <v>M1 </v>
      </c>
      <c r="BM36" s="236" t="str">
        <f>IFERROR(__xludf.DUMMYFUNCTION("if(countif(ecn.list,EM36),OFFSET(INDIRECT(CONCAT(""A"",to_text(match(EM36,ecn.list,0)))),0,1),"""")"),"")</f>
        <v/>
      </c>
      <c r="BN36" s="236" t="str">
        <f>IFERROR(__xludf.DUMMYFUNCTION("if(countif(ecn.list,EN36),OFFSET(INDIRECT(CONCAT(""A"",to_text(match(EN36,ecn.list,0)))),0,1),"""")"),"M3 ")</f>
        <v>M3 </v>
      </c>
      <c r="BO36" s="236" t="str">
        <f>IFERROR(__xludf.DUMMYFUNCTION("if(countif(ecn.list,EO36),OFFSET(INDIRECT(CONCAT(""A"",to_text(match(EO36,ecn.list,0)))),0,1),"""")"),"")</f>
        <v/>
      </c>
      <c r="BP36" s="236" t="str">
        <f>IFERROR(__xludf.DUMMYFUNCTION("if(countif(ecn.list,EP36),OFFSET(INDIRECT(CONCAT(""A"",to_text(match(EP36,ecn.list,0)))),0,1),"""")"),"")</f>
        <v/>
      </c>
      <c r="BQ36" s="236" t="str">
        <f>IFERROR(__xludf.DUMMYFUNCTION("if(countif(ecn.list,EQ36),OFFSET(INDIRECT(CONCAT(""A"",to_text(match(EQ36,ecn.list,0)))),0,1),"""")"),"")</f>
        <v/>
      </c>
      <c r="BR36" s="236" t="str">
        <f>IFERROR(__xludf.DUMMYFUNCTION("if(countif(ecn.list,ER36),OFFSET(INDIRECT(CONCAT(""A"",to_text(match(ER36,ecn.list,0)))),0,1),"""")"),"")</f>
        <v/>
      </c>
      <c r="BS36" s="236" t="str">
        <f>IFERROR(__xludf.DUMMYFUNCTION("if(countif(ecn.list,ES36),OFFSET(INDIRECT(CONCAT(""A"",to_text(match(ES36,ecn.list,0)))),0,1),"""")"),"M8 ")</f>
        <v>M8 </v>
      </c>
      <c r="BT36" s="236" t="str">
        <f>IFERROR(__xludf.DUMMYFUNCTION("if(countif(ecn.list,ET36),OFFSET(INDIRECT(CONCAT(""A"",to_text(match(ET36,ecn.list,0)))),0,1),"""")"),"")</f>
        <v/>
      </c>
      <c r="BU36" s="236" t="str">
        <f>IFERROR(__xludf.DUMMYFUNCTION("if(countif(ecn.list,EU36),OFFSET(INDIRECT(CONCAT(""A"",to_text(match(EU36,ecn.list,0)))),0,1),"""")"),"")</f>
        <v/>
      </c>
      <c r="BV36" s="236" t="str">
        <f>IFERROR(__xludf.DUMMYFUNCTION("if(countif(ecn.list,EV36),OFFSET(INDIRECT(CONCAT(""A"",to_text(match(EV36,ecn.list,0)))),0,1),"""")"),"MB ")</f>
        <v>MB </v>
      </c>
      <c r="BW36" s="236" t="str">
        <f>IFERROR(__xludf.DUMMYFUNCTION("if(countif(ecn.list,EW36),OFFSET(INDIRECT(CONCAT(""A"",to_text(match(EW36,ecn.list,0)))),0,1),"""")"),"")</f>
        <v/>
      </c>
      <c r="BX36" s="236" t="str">
        <f>IFERROR(__xludf.DUMMYFUNCTION("if(countif(ecn.list,EX36),OFFSET(INDIRECT(CONCAT(""A"",to_text(match(EX36,ecn.list,0)))),0,1),"""")"),"")</f>
        <v/>
      </c>
      <c r="BY36" s="236" t="str">
        <f>IFERROR(__xludf.DUMMYFUNCTION("if(countif(ecn.list,EY36),OFFSET(INDIRECT(CONCAT(""A"",to_text(match(EY36,ecn.list,0)))),0,1),"""")"),"")</f>
        <v/>
      </c>
      <c r="BZ36" s="236" t="str">
        <f>IFERROR(__xludf.DUMMYFUNCTION("if(countif(ecn.list,EZ36),OFFSET(INDIRECT(CONCAT(""A"",to_text(match(EZ36,ecn.list,0)))),0,1),"""")"),"MF ")</f>
        <v>MF </v>
      </c>
      <c r="CA36" s="236" t="str">
        <f>IFERROR(__xludf.DUMMYFUNCTION("if(countif(ecn.list,FA36),OFFSET(INDIRECT(CONCAT(""A"",to_text(match(FA36,ecn.list,0)))),0,1),"""")"),"")</f>
        <v/>
      </c>
      <c r="CB36" s="236" t="str">
        <f>IFERROR(__xludf.DUMMYFUNCTION("if(countif(ecn.list,FB36),OFFSET(INDIRECT(CONCAT(""A"",to_text(match(FB36,ecn.list,0)))),0,1),"""")"),"")</f>
        <v/>
      </c>
      <c r="CC36" s="236" t="str">
        <f>IFERROR(__xludf.DUMMYFUNCTION("if(countif(ecn.list,FC36),OFFSET(INDIRECT(CONCAT(""A"",to_text(match(FC36,ecn.list,0)))),0,1),"""")"),"N2 ")</f>
        <v>N2 </v>
      </c>
      <c r="CD36" s="236" t="str">
        <f>IFERROR(__xludf.DUMMYFUNCTION("if(countif(ecn.list,FD36),OFFSET(INDIRECT(CONCAT(""A"",to_text(match(FD36,ecn.list,0)))),0,1),"""")"),"")</f>
        <v/>
      </c>
      <c r="CE36" s="236" t="str">
        <f>IFERROR(__xludf.DUMMYFUNCTION("if(countif(ecn.list,FE36),OFFSET(INDIRECT(CONCAT(""A"",to_text(match(FE36,ecn.list,0)))),0,1),"""")"),"")</f>
        <v/>
      </c>
      <c r="CF36" s="236" t="str">
        <f>IFERROR(__xludf.DUMMYFUNCTION("if(countif(ecn.list,FF36),OFFSET(INDIRECT(CONCAT(""A"",to_text(match(FF36,ecn.list,0)))),0,1),"""")"),"")</f>
        <v/>
      </c>
      <c r="CG36" s="236" t="str">
        <f>IFERROR(__xludf.DUMMYFUNCTION("if(countif(ecn.list,FG36),OFFSET(INDIRECT(CONCAT(""A"",to_text(match(FG36,ecn.list,0)))),0,1),"""")"),"")</f>
        <v/>
      </c>
      <c r="CH36" s="236" t="str">
        <f>IFERROR(__xludf.DUMMYFUNCTION("if(countif(ecn.list,FH36),OFFSET(INDIRECT(CONCAT(""A"",to_text(match(FH36,ecn.list,0)))),0,1),"""")"),"N7 ")</f>
        <v>N7 </v>
      </c>
      <c r="CI36" s="236" t="str">
        <f>IFERROR(__xludf.DUMMYFUNCTION("if(countif(ecn.list,FI36),OFFSET(INDIRECT(CONCAT(""A"",to_text(match(FI36,ecn.list,0)))),0,1),"""")"),"")</f>
        <v/>
      </c>
      <c r="CJ36" s="236" t="str">
        <f>IFERROR(__xludf.DUMMYFUNCTION("if(countif(ecn.list,FJ36),OFFSET(INDIRECT(CONCAT(""A"",to_text(match(FJ36,ecn.list,0)))),0,1),"""")"),"")</f>
        <v/>
      </c>
      <c r="CK36" s="236" t="str">
        <f>IFERROR(__xludf.DUMMYFUNCTION("if(countif(ecn.list,FK36),OFFSET(INDIRECT(CONCAT(""A"",to_text(match(FK36,ecn.list,0)))),0,1),"""")"),"NA ")</f>
        <v>NA </v>
      </c>
      <c r="CL36" s="236" t="str">
        <f>IFERROR(__xludf.DUMMYFUNCTION("if(countif(ecn.list,FL36),OFFSET(INDIRECT(CONCAT(""A"",to_text(match(FL36,ecn.list,0)))),0,1),"""")"),"")</f>
        <v/>
      </c>
      <c r="CM36" s="236" t="str">
        <f>IFERROR(__xludf.DUMMYFUNCTION("if(countif(ecn.list,FM36),OFFSET(INDIRECT(CONCAT(""A"",to_text(match(FM36,ecn.list,0)))),0,1),"""")"),"")</f>
        <v/>
      </c>
      <c r="CN36" s="198" t="s">
        <v>183</v>
      </c>
      <c r="CO36" s="198" t="s">
        <v>1447</v>
      </c>
      <c r="CP36" s="198" t="s">
        <v>1451</v>
      </c>
      <c r="CQ36" s="198" t="s">
        <v>1452</v>
      </c>
      <c r="CR36" s="198" t="s">
        <v>1453</v>
      </c>
      <c r="CS36" s="198" t="s">
        <v>1453</v>
      </c>
      <c r="CT36" s="198" t="s">
        <v>1454</v>
      </c>
      <c r="CU36" s="198" t="s">
        <v>1455</v>
      </c>
      <c r="CV36" s="198" t="s">
        <v>1456</v>
      </c>
      <c r="CW36" s="198" t="s">
        <v>1453</v>
      </c>
      <c r="CX36" s="198" t="s">
        <v>1453</v>
      </c>
      <c r="CY36" s="198" t="s">
        <v>1484</v>
      </c>
      <c r="CZ36" s="198" t="s">
        <v>1453</v>
      </c>
      <c r="DA36" s="198" t="s">
        <v>1457</v>
      </c>
      <c r="DB36" s="198" t="s">
        <v>1453</v>
      </c>
      <c r="DC36" s="198" t="s">
        <v>1453</v>
      </c>
      <c r="DD36" s="198" t="s">
        <v>1453</v>
      </c>
      <c r="DE36" s="198" t="s">
        <v>1459</v>
      </c>
      <c r="DF36" s="198" t="s">
        <v>1453</v>
      </c>
      <c r="DG36" s="198" t="s">
        <v>1453</v>
      </c>
      <c r="DH36" s="198" t="s">
        <v>1500</v>
      </c>
      <c r="DI36" s="198" t="s">
        <v>1501</v>
      </c>
      <c r="DJ36" s="198" t="s">
        <v>1460</v>
      </c>
      <c r="DK36" s="198" t="s">
        <v>1453</v>
      </c>
      <c r="DL36" s="198" t="s">
        <v>1461</v>
      </c>
      <c r="DM36" s="198" t="s">
        <v>1453</v>
      </c>
      <c r="DN36" s="198" t="s">
        <v>1463</v>
      </c>
      <c r="DO36" s="198" t="s">
        <v>1464</v>
      </c>
      <c r="DP36" s="198" t="s">
        <v>1453</v>
      </c>
      <c r="DQ36" s="198" t="s">
        <v>1466</v>
      </c>
      <c r="DR36" s="198" t="s">
        <v>1467</v>
      </c>
      <c r="DS36" s="198" t="s">
        <v>1453</v>
      </c>
      <c r="DT36" s="198" t="s">
        <v>1453</v>
      </c>
      <c r="DU36" s="198" t="s">
        <v>1453</v>
      </c>
      <c r="DV36" s="198" t="s">
        <v>1469</v>
      </c>
      <c r="DW36" s="198" t="s">
        <v>1453</v>
      </c>
      <c r="DX36" s="198" t="s">
        <v>1453</v>
      </c>
      <c r="DY36" s="198" t="s">
        <v>1453</v>
      </c>
      <c r="DZ36" s="198" t="s">
        <v>1453</v>
      </c>
      <c r="EA36" s="198" t="s">
        <v>1453</v>
      </c>
      <c r="EB36" s="198" t="s">
        <v>1453</v>
      </c>
      <c r="EC36" s="198" t="s">
        <v>1483</v>
      </c>
      <c r="ED36" s="198" t="s">
        <v>1453</v>
      </c>
      <c r="EE36" s="198" t="s">
        <v>1470</v>
      </c>
      <c r="EF36" s="198" t="s">
        <v>1453</v>
      </c>
      <c r="EG36" s="198" t="s">
        <v>1471</v>
      </c>
      <c r="EH36" s="198" t="s">
        <v>1453</v>
      </c>
      <c r="EI36" s="198" t="s">
        <v>1453</v>
      </c>
      <c r="EJ36" s="198" t="s">
        <v>1472</v>
      </c>
      <c r="EK36" s="198" t="s">
        <v>1453</v>
      </c>
      <c r="EL36" s="198" t="s">
        <v>1473</v>
      </c>
      <c r="EM36" s="198" t="s">
        <v>1453</v>
      </c>
      <c r="EN36" s="198" t="s">
        <v>1474</v>
      </c>
      <c r="EO36" s="198" t="s">
        <v>1453</v>
      </c>
      <c r="EP36" s="198" t="s">
        <v>1453</v>
      </c>
      <c r="EQ36" s="198" t="s">
        <v>1453</v>
      </c>
      <c r="ER36" s="198" t="s">
        <v>1453</v>
      </c>
      <c r="ES36" s="198" t="s">
        <v>1505</v>
      </c>
      <c r="ET36" s="198" t="s">
        <v>1453</v>
      </c>
      <c r="EU36" s="198" t="s">
        <v>1453</v>
      </c>
      <c r="EV36" s="198" t="s">
        <v>1476</v>
      </c>
      <c r="EW36" s="198" t="s">
        <v>1453</v>
      </c>
      <c r="EX36" s="198" t="s">
        <v>1453</v>
      </c>
      <c r="EY36" s="198" t="s">
        <v>1453</v>
      </c>
      <c r="EZ36" s="198" t="s">
        <v>1477</v>
      </c>
      <c r="FA36" s="198" t="s">
        <v>1453</v>
      </c>
      <c r="FB36" s="198" t="s">
        <v>1453</v>
      </c>
      <c r="FC36" s="198" t="s">
        <v>1478</v>
      </c>
      <c r="FD36" s="198" t="s">
        <v>1453</v>
      </c>
      <c r="FE36" s="198" t="s">
        <v>1453</v>
      </c>
      <c r="FF36" s="198" t="s">
        <v>1453</v>
      </c>
      <c r="FG36" s="198" t="s">
        <v>1453</v>
      </c>
      <c r="FH36" s="198" t="s">
        <v>1479</v>
      </c>
      <c r="FI36" s="198" t="s">
        <v>1453</v>
      </c>
      <c r="FJ36" s="198" t="s">
        <v>1453</v>
      </c>
      <c r="FK36" s="198" t="s">
        <v>1481</v>
      </c>
      <c r="FL36" s="198" t="s">
        <v>1482</v>
      </c>
      <c r="FM36" s="198" t="s">
        <v>1453</v>
      </c>
    </row>
    <row r="37" ht="15.75" customHeight="1">
      <c r="A37" s="198" t="s">
        <v>1503</v>
      </c>
      <c r="B37" s="198" t="str">
        <f t="shared" si="4"/>
        <v>L3 </v>
      </c>
      <c r="C37" s="234">
        <v>3.0</v>
      </c>
      <c r="D37" s="232" t="s">
        <v>770</v>
      </c>
      <c r="E37" s="232" t="s">
        <v>1448</v>
      </c>
      <c r="F37" s="232" t="s">
        <v>1449</v>
      </c>
      <c r="G37" s="232" t="s">
        <v>1450</v>
      </c>
      <c r="H37" s="232" t="s">
        <v>788</v>
      </c>
      <c r="I37" s="232" t="s">
        <v>832</v>
      </c>
      <c r="J37" s="232" t="s">
        <v>794</v>
      </c>
      <c r="K37" s="232" t="s">
        <v>1082</v>
      </c>
      <c r="L37" s="188" t="s">
        <v>186</v>
      </c>
      <c r="M37" s="236" t="str">
        <f>IFERROR(__xludf.DUMMYFUNCTION("regexreplace(N37,"" "","", "")"),"J0, J1, J2, J6, J7, JC, JF, K0, K5, K7, K9, KA, KC, KD, L1, L8, LA, LC, M1, M3, M4, MB, MF, N2, N7, NA, ")</f>
        <v>J0, J1, J2, J6, J7, JC, JF, K0, K5, K7, K9, KA, KC, KD, L1, L8, LA, LC, M1, M3, M4, MB, MF, N2, N7, NA, </v>
      </c>
      <c r="N37" s="236" t="str">
        <f t="shared" si="2"/>
        <v>J0 J1 J2 J6 J7 JC JF K0 K5 K7 K9 KA KC KD L1 L8 LA LC M1 M3 M4 MB MF N2 N7 NA </v>
      </c>
      <c r="O37" s="236" t="str">
        <f>IFERROR(__xludf.DUMMYFUNCTION("if(countif(ecn.list,CO37),OFFSET(INDIRECT(CONCAT(""A"",to_text(match(CO37,ecn.list,0)))),0,1),"""")"),"J0 ")</f>
        <v>J0 </v>
      </c>
      <c r="P37" s="236" t="str">
        <f>IFERROR(__xludf.DUMMYFUNCTION("if(countif(ecn.list,CP37),OFFSET(INDIRECT(CONCAT(""A"",to_text(match(CP37,ecn.list,0)))),0,1),"""")"),"J1 ")</f>
        <v>J1 </v>
      </c>
      <c r="Q37" s="236" t="str">
        <f>IFERROR(__xludf.DUMMYFUNCTION("if(countif(ecn.list,CQ37),OFFSET(INDIRECT(CONCAT(""A"",to_text(match(CQ37,ecn.list,0)))),0,1),"""")"),"J2 ")</f>
        <v>J2 </v>
      </c>
      <c r="R37" s="236" t="str">
        <f>IFERROR(__xludf.DUMMYFUNCTION("if(countif(ecn.list,CR37),OFFSET(INDIRECT(CONCAT(""A"",to_text(match(CR37,ecn.list,0)))),0,1),"""")"),"")</f>
        <v/>
      </c>
      <c r="S37" s="236" t="str">
        <f>IFERROR(__xludf.DUMMYFUNCTION("if(countif(ecn.list,CS37),OFFSET(INDIRECT(CONCAT(""A"",to_text(match(CS37,ecn.list,0)))),0,1),"""")"),"")</f>
        <v/>
      </c>
      <c r="T37" s="236" t="str">
        <f>IFERROR(__xludf.DUMMYFUNCTION("if(countif(ecn.list,CT37),OFFSET(INDIRECT(CONCAT(""A"",to_text(match(CT37,ecn.list,0)))),0,1),"""")"),"")</f>
        <v/>
      </c>
      <c r="U37" s="236" t="str">
        <f>IFERROR(__xludf.DUMMYFUNCTION("if(countif(ecn.list,CU37),OFFSET(INDIRECT(CONCAT(""A"",to_text(match(CU37,ecn.list,0)))),0,1),"""")"),"J6 ")</f>
        <v>J6 </v>
      </c>
      <c r="V37" s="236" t="str">
        <f>IFERROR(__xludf.DUMMYFUNCTION("if(countif(ecn.list,CV37),OFFSET(INDIRECT(CONCAT(""A"",to_text(match(CV37,ecn.list,0)))),0,1),"""")"),"J7 ")</f>
        <v>J7 </v>
      </c>
      <c r="W37" s="236" t="str">
        <f>IFERROR(__xludf.DUMMYFUNCTION("if(countif(ecn.list,CW37),OFFSET(INDIRECT(CONCAT(""A"",to_text(match(CW37,ecn.list,0)))),0,1),"""")"),"")</f>
        <v/>
      </c>
      <c r="X37" s="236" t="str">
        <f>IFERROR(__xludf.DUMMYFUNCTION("if(countif(ecn.list,CX37),OFFSET(INDIRECT(CONCAT(""A"",to_text(match(CX37,ecn.list,0)))),0,1),"""")"),"")</f>
        <v/>
      </c>
      <c r="Y37" s="236" t="str">
        <f>IFERROR(__xludf.DUMMYFUNCTION("if(countif(ecn.list,CY37),OFFSET(INDIRECT(CONCAT(""A"",to_text(match(CY37,ecn.list,0)))),0,1),"""")"),"")</f>
        <v/>
      </c>
      <c r="Z37" s="236" t="str">
        <f>IFERROR(__xludf.DUMMYFUNCTION("if(countif(ecn.list,CZ37),OFFSET(INDIRECT(CONCAT(""A"",to_text(match(CZ37,ecn.list,0)))),0,1),"""")"),"")</f>
        <v/>
      </c>
      <c r="AA37" s="236" t="str">
        <f>IFERROR(__xludf.DUMMYFUNCTION("if(countif(ecn.list,DA37),OFFSET(INDIRECT(CONCAT(""A"",to_text(match(DA37,ecn.list,0)))),0,1),"""")"),"JC ")</f>
        <v>JC </v>
      </c>
      <c r="AB37" s="236" t="str">
        <f>IFERROR(__xludf.DUMMYFUNCTION("if(countif(ecn.list,DB37),OFFSET(INDIRECT(CONCAT(""A"",to_text(match(DB37,ecn.list,0)))),0,1),"""")"),"")</f>
        <v/>
      </c>
      <c r="AC37" s="236" t="str">
        <f>IFERROR(__xludf.DUMMYFUNCTION("if(countif(ecn.list,DC37),OFFSET(INDIRECT(CONCAT(""A"",to_text(match(DC37,ecn.list,0)))),0,1),"""")"),"")</f>
        <v/>
      </c>
      <c r="AD37" s="236" t="str">
        <f>IFERROR(__xludf.DUMMYFUNCTION("if(countif(ecn.list,DD37),OFFSET(INDIRECT(CONCAT(""A"",to_text(match(DD37,ecn.list,0)))),0,1),"""")"),"JF ")</f>
        <v>JF </v>
      </c>
      <c r="AE37" s="236" t="str">
        <f>IFERROR(__xludf.DUMMYFUNCTION("if(countif(ecn.list,DE37),OFFSET(INDIRECT(CONCAT(""A"",to_text(match(DE37,ecn.list,0)))),0,1),"""")"),"K0 ")</f>
        <v>K0 </v>
      </c>
      <c r="AF37" s="236" t="str">
        <f>IFERROR(__xludf.DUMMYFUNCTION("if(countif(ecn.list,DF37),OFFSET(INDIRECT(CONCAT(""A"",to_text(match(DF37,ecn.list,0)))),0,1),"""")"),"")</f>
        <v/>
      </c>
      <c r="AG37" s="236" t="str">
        <f>IFERROR(__xludf.DUMMYFUNCTION("if(countif(ecn.list,DG37),OFFSET(INDIRECT(CONCAT(""A"",to_text(match(DG37,ecn.list,0)))),0,1),"""")"),"")</f>
        <v/>
      </c>
      <c r="AH37" s="236" t="str">
        <f>IFERROR(__xludf.DUMMYFUNCTION("if(countif(ecn.list,DH37),OFFSET(INDIRECT(CONCAT(""A"",to_text(match(DH37,ecn.list,0)))),0,1),"""")"),"")</f>
        <v/>
      </c>
      <c r="AI37" s="236" t="str">
        <f>IFERROR(__xludf.DUMMYFUNCTION("if(countif(ecn.list,DI37),OFFSET(INDIRECT(CONCAT(""A"",to_text(match(DI37,ecn.list,0)))),0,1),"""")"),"")</f>
        <v/>
      </c>
      <c r="AJ37" s="236" t="str">
        <f>IFERROR(__xludf.DUMMYFUNCTION("if(countif(ecn.list,DJ37),OFFSET(INDIRECT(CONCAT(""A"",to_text(match(DJ37,ecn.list,0)))),0,1),"""")"),"K5 ")</f>
        <v>K5 </v>
      </c>
      <c r="AK37" s="236" t="str">
        <f>IFERROR(__xludf.DUMMYFUNCTION("if(countif(ecn.list,DK37),OFFSET(INDIRECT(CONCAT(""A"",to_text(match(DK37,ecn.list,0)))),0,1),"""")"),"")</f>
        <v/>
      </c>
      <c r="AL37" s="236" t="str">
        <f>IFERROR(__xludf.DUMMYFUNCTION("if(countif(ecn.list,DL37),OFFSET(INDIRECT(CONCAT(""A"",to_text(match(DL37,ecn.list,0)))),0,1),"""")"),"K7 ")</f>
        <v>K7 </v>
      </c>
      <c r="AM37" s="236" t="str">
        <f>IFERROR(__xludf.DUMMYFUNCTION("if(countif(ecn.list,DM37),OFFSET(INDIRECT(CONCAT(""A"",to_text(match(DM37,ecn.list,0)))),0,1),"""")"),"")</f>
        <v/>
      </c>
      <c r="AN37" s="236" t="str">
        <f>IFERROR(__xludf.DUMMYFUNCTION("if(countif(ecn.list,DN37),OFFSET(INDIRECT(CONCAT(""A"",to_text(match(DN37,ecn.list,0)))),0,1),"""")"),"K9 ")</f>
        <v>K9 </v>
      </c>
      <c r="AO37" s="236" t="str">
        <f>IFERROR(__xludf.DUMMYFUNCTION("if(countif(ecn.list,DO37),OFFSET(INDIRECT(CONCAT(""A"",to_text(match(DO37,ecn.list,0)))),0,1),"""")"),"KA ")</f>
        <v>KA </v>
      </c>
      <c r="AP37" s="236" t="str">
        <f>IFERROR(__xludf.DUMMYFUNCTION("if(countif(ecn.list,DP37),OFFSET(INDIRECT(CONCAT(""A"",to_text(match(DP37,ecn.list,0)))),0,1),"""")"),"")</f>
        <v/>
      </c>
      <c r="AQ37" s="236" t="str">
        <f>IFERROR(__xludf.DUMMYFUNCTION("if(countif(ecn.list,DQ37),OFFSET(INDIRECT(CONCAT(""A"",to_text(match(DQ37,ecn.list,0)))),0,1),"""")"),"KC ")</f>
        <v>KC </v>
      </c>
      <c r="AR37" s="236" t="str">
        <f>IFERROR(__xludf.DUMMYFUNCTION("if(countif(ecn.list,DR37),OFFSET(INDIRECT(CONCAT(""A"",to_text(match(DR37,ecn.list,0)))),0,1),"""")"),"KD ")</f>
        <v>KD </v>
      </c>
      <c r="AS37" s="236" t="str">
        <f>IFERROR(__xludf.DUMMYFUNCTION("if(countif(ecn.list,DS37),OFFSET(INDIRECT(CONCAT(""A"",to_text(match(DS37,ecn.list,0)))),0,1),"""")"),"")</f>
        <v/>
      </c>
      <c r="AT37" s="236" t="str">
        <f>IFERROR(__xludf.DUMMYFUNCTION("if(countif(ecn.list,DT37),OFFSET(INDIRECT(CONCAT(""A"",to_text(match(DT37,ecn.list,0)))),0,1),"""")"),"")</f>
        <v/>
      </c>
      <c r="AU37" s="236" t="str">
        <f>IFERROR(__xludf.DUMMYFUNCTION("if(countif(ecn.list,DU37),OFFSET(INDIRECT(CONCAT(""A"",to_text(match(DU37,ecn.list,0)))),0,1),"""")"),"")</f>
        <v/>
      </c>
      <c r="AV37" s="236" t="str">
        <f>IFERROR(__xludf.DUMMYFUNCTION("if(countif(ecn.list,DV37),OFFSET(INDIRECT(CONCAT(""A"",to_text(match(DV37,ecn.list,0)))),0,1),"""")"),"L1 ")</f>
        <v>L1 </v>
      </c>
      <c r="AW37" s="236" t="str">
        <f>IFERROR(__xludf.DUMMYFUNCTION("if(countif(ecn.list,DW37),OFFSET(INDIRECT(CONCAT(""A"",to_text(match(DW37,ecn.list,0)))),0,1),"""")"),"")</f>
        <v/>
      </c>
      <c r="AX37" s="236" t="str">
        <f>IFERROR(__xludf.DUMMYFUNCTION("if(countif(ecn.list,DX37),OFFSET(INDIRECT(CONCAT(""A"",to_text(match(DX37,ecn.list,0)))),0,1),"""")"),"")</f>
        <v/>
      </c>
      <c r="AY37" s="236" t="str">
        <f>IFERROR(__xludf.DUMMYFUNCTION("if(countif(ecn.list,DY37),OFFSET(INDIRECT(CONCAT(""A"",to_text(match(DY37,ecn.list,0)))),0,1),"""")"),"")</f>
        <v/>
      </c>
      <c r="AZ37" s="236" t="str">
        <f>IFERROR(__xludf.DUMMYFUNCTION("if(countif(ecn.list,DZ37),OFFSET(INDIRECT(CONCAT(""A"",to_text(match(DZ37,ecn.list,0)))),0,1),"""")"),"")</f>
        <v/>
      </c>
      <c r="BA37" s="236" t="str">
        <f>IFERROR(__xludf.DUMMYFUNCTION("if(countif(ecn.list,EA37),OFFSET(INDIRECT(CONCAT(""A"",to_text(match(EA37,ecn.list,0)))),0,1),"""")"),"")</f>
        <v/>
      </c>
      <c r="BB37" s="236" t="str">
        <f>IFERROR(__xludf.DUMMYFUNCTION("if(countif(ecn.list,EB37),OFFSET(INDIRECT(CONCAT(""A"",to_text(match(EB37,ecn.list,0)))),0,1),"""")"),"")</f>
        <v/>
      </c>
      <c r="BC37" s="236" t="str">
        <f>IFERROR(__xludf.DUMMYFUNCTION("if(countif(ecn.list,EC37),OFFSET(INDIRECT(CONCAT(""A"",to_text(match(EC37,ecn.list,0)))),0,1),"""")"),"L8 ")</f>
        <v>L8 </v>
      </c>
      <c r="BD37" s="236" t="str">
        <f>IFERROR(__xludf.DUMMYFUNCTION("if(countif(ecn.list,ED37),OFFSET(INDIRECT(CONCAT(""A"",to_text(match(ED37,ecn.list,0)))),0,1),"""")"),"")</f>
        <v/>
      </c>
      <c r="BE37" s="236" t="str">
        <f>IFERROR(__xludf.DUMMYFUNCTION("if(countif(ecn.list,EE37),OFFSET(INDIRECT(CONCAT(""A"",to_text(match(EE37,ecn.list,0)))),0,1),"""")"),"LA ")</f>
        <v>LA </v>
      </c>
      <c r="BF37" s="236" t="str">
        <f>IFERROR(__xludf.DUMMYFUNCTION("if(countif(ecn.list,EF37),OFFSET(INDIRECT(CONCAT(""A"",to_text(match(EF37,ecn.list,0)))),0,1),"""")"),"")</f>
        <v/>
      </c>
      <c r="BG37" s="236" t="str">
        <f>IFERROR(__xludf.DUMMYFUNCTION("if(countif(ecn.list,EG37),OFFSET(INDIRECT(CONCAT(""A"",to_text(match(EG37,ecn.list,0)))),0,1),"""")"),"LC ")</f>
        <v>LC </v>
      </c>
      <c r="BH37" s="236" t="str">
        <f>IFERROR(__xludf.DUMMYFUNCTION("if(countif(ecn.list,EH37),OFFSET(INDIRECT(CONCAT(""A"",to_text(match(EH37,ecn.list,0)))),0,1),"""")"),"")</f>
        <v/>
      </c>
      <c r="BI37" s="236" t="str">
        <f>IFERROR(__xludf.DUMMYFUNCTION("if(countif(ecn.list,EI37),OFFSET(INDIRECT(CONCAT(""A"",to_text(match(EI37,ecn.list,0)))),0,1),"""")"),"")</f>
        <v/>
      </c>
      <c r="BJ37" s="236" t="str">
        <f>IFERROR(__xludf.DUMMYFUNCTION("if(countif(ecn.list,EJ37),OFFSET(INDIRECT(CONCAT(""A"",to_text(match(EJ37,ecn.list,0)))),0,1),"""")"),"")</f>
        <v/>
      </c>
      <c r="BK37" s="236" t="str">
        <f>IFERROR(__xludf.DUMMYFUNCTION("if(countif(ecn.list,EK37),OFFSET(INDIRECT(CONCAT(""A"",to_text(match(EK37,ecn.list,0)))),0,1),"""")"),"")</f>
        <v/>
      </c>
      <c r="BL37" s="236" t="str">
        <f>IFERROR(__xludf.DUMMYFUNCTION("if(countif(ecn.list,EL37),OFFSET(INDIRECT(CONCAT(""A"",to_text(match(EL37,ecn.list,0)))),0,1),"""")"),"M1 ")</f>
        <v>M1 </v>
      </c>
      <c r="BM37" s="236" t="str">
        <f>IFERROR(__xludf.DUMMYFUNCTION("if(countif(ecn.list,EM37),OFFSET(INDIRECT(CONCAT(""A"",to_text(match(EM37,ecn.list,0)))),0,1),"""")"),"")</f>
        <v/>
      </c>
      <c r="BN37" s="236" t="str">
        <f>IFERROR(__xludf.DUMMYFUNCTION("if(countif(ecn.list,EN37),OFFSET(INDIRECT(CONCAT(""A"",to_text(match(EN37,ecn.list,0)))),0,1),"""")"),"M3 ")</f>
        <v>M3 </v>
      </c>
      <c r="BO37" s="236" t="str">
        <f>IFERROR(__xludf.DUMMYFUNCTION("if(countif(ecn.list,EO37),OFFSET(INDIRECT(CONCAT(""A"",to_text(match(EO37,ecn.list,0)))),0,1),"""")"),"M4 ")</f>
        <v>M4 </v>
      </c>
      <c r="BP37" s="236" t="str">
        <f>IFERROR(__xludf.DUMMYFUNCTION("if(countif(ecn.list,EP37),OFFSET(INDIRECT(CONCAT(""A"",to_text(match(EP37,ecn.list,0)))),0,1),"""")"),"")</f>
        <v/>
      </c>
      <c r="BQ37" s="236" t="str">
        <f>IFERROR(__xludf.DUMMYFUNCTION("if(countif(ecn.list,EQ37),OFFSET(INDIRECT(CONCAT(""A"",to_text(match(EQ37,ecn.list,0)))),0,1),"""")"),"")</f>
        <v/>
      </c>
      <c r="BR37" s="236" t="str">
        <f>IFERROR(__xludf.DUMMYFUNCTION("if(countif(ecn.list,ER37),OFFSET(INDIRECT(CONCAT(""A"",to_text(match(ER37,ecn.list,0)))),0,1),"""")"),"")</f>
        <v/>
      </c>
      <c r="BS37" s="236" t="str">
        <f>IFERROR(__xludf.DUMMYFUNCTION("if(countif(ecn.list,ES37),OFFSET(INDIRECT(CONCAT(""A"",to_text(match(ES37,ecn.list,0)))),0,1),"""")"),"")</f>
        <v/>
      </c>
      <c r="BT37" s="236" t="str">
        <f>IFERROR(__xludf.DUMMYFUNCTION("if(countif(ecn.list,ET37),OFFSET(INDIRECT(CONCAT(""A"",to_text(match(ET37,ecn.list,0)))),0,1),"""")"),"")</f>
        <v/>
      </c>
      <c r="BU37" s="236" t="str">
        <f>IFERROR(__xludf.DUMMYFUNCTION("if(countif(ecn.list,EU37),OFFSET(INDIRECT(CONCAT(""A"",to_text(match(EU37,ecn.list,0)))),0,1),"""")"),"")</f>
        <v/>
      </c>
      <c r="BV37" s="236" t="str">
        <f>IFERROR(__xludf.DUMMYFUNCTION("if(countif(ecn.list,EV37),OFFSET(INDIRECT(CONCAT(""A"",to_text(match(EV37,ecn.list,0)))),0,1),"""")"),"MB ")</f>
        <v>MB </v>
      </c>
      <c r="BW37" s="236" t="str">
        <f>IFERROR(__xludf.DUMMYFUNCTION("if(countif(ecn.list,EW37),OFFSET(INDIRECT(CONCAT(""A"",to_text(match(EW37,ecn.list,0)))),0,1),"""")"),"")</f>
        <v/>
      </c>
      <c r="BX37" s="236" t="str">
        <f>IFERROR(__xludf.DUMMYFUNCTION("if(countif(ecn.list,EX37),OFFSET(INDIRECT(CONCAT(""A"",to_text(match(EX37,ecn.list,0)))),0,1),"""")"),"")</f>
        <v/>
      </c>
      <c r="BY37" s="236" t="str">
        <f>IFERROR(__xludf.DUMMYFUNCTION("if(countif(ecn.list,EY37),OFFSET(INDIRECT(CONCAT(""A"",to_text(match(EY37,ecn.list,0)))),0,1),"""")"),"")</f>
        <v/>
      </c>
      <c r="BZ37" s="236" t="str">
        <f>IFERROR(__xludf.DUMMYFUNCTION("if(countif(ecn.list,EZ37),OFFSET(INDIRECT(CONCAT(""A"",to_text(match(EZ37,ecn.list,0)))),0,1),"""")"),"MF ")</f>
        <v>MF </v>
      </c>
      <c r="CA37" s="236" t="str">
        <f>IFERROR(__xludf.DUMMYFUNCTION("if(countif(ecn.list,FA37),OFFSET(INDIRECT(CONCAT(""A"",to_text(match(FA37,ecn.list,0)))),0,1),"""")"),"")</f>
        <v/>
      </c>
      <c r="CB37" s="236" t="str">
        <f>IFERROR(__xludf.DUMMYFUNCTION("if(countif(ecn.list,FB37),OFFSET(INDIRECT(CONCAT(""A"",to_text(match(FB37,ecn.list,0)))),0,1),"""")"),"")</f>
        <v/>
      </c>
      <c r="CC37" s="236" t="str">
        <f>IFERROR(__xludf.DUMMYFUNCTION("if(countif(ecn.list,FC37),OFFSET(INDIRECT(CONCAT(""A"",to_text(match(FC37,ecn.list,0)))),0,1),"""")"),"N2 ")</f>
        <v>N2 </v>
      </c>
      <c r="CD37" s="236" t="str">
        <f>IFERROR(__xludf.DUMMYFUNCTION("if(countif(ecn.list,FD37),OFFSET(INDIRECT(CONCAT(""A"",to_text(match(FD37,ecn.list,0)))),0,1),"""")"),"")</f>
        <v/>
      </c>
      <c r="CE37" s="236" t="str">
        <f>IFERROR(__xludf.DUMMYFUNCTION("if(countif(ecn.list,FE37),OFFSET(INDIRECT(CONCAT(""A"",to_text(match(FE37,ecn.list,0)))),0,1),"""")"),"")</f>
        <v/>
      </c>
      <c r="CF37" s="236" t="str">
        <f>IFERROR(__xludf.DUMMYFUNCTION("if(countif(ecn.list,FF37),OFFSET(INDIRECT(CONCAT(""A"",to_text(match(FF37,ecn.list,0)))),0,1),"""")"),"")</f>
        <v/>
      </c>
      <c r="CG37" s="236" t="str">
        <f>IFERROR(__xludf.DUMMYFUNCTION("if(countif(ecn.list,FG37),OFFSET(INDIRECT(CONCAT(""A"",to_text(match(FG37,ecn.list,0)))),0,1),"""")"),"")</f>
        <v/>
      </c>
      <c r="CH37" s="236" t="str">
        <f>IFERROR(__xludf.DUMMYFUNCTION("if(countif(ecn.list,FH37),OFFSET(INDIRECT(CONCAT(""A"",to_text(match(FH37,ecn.list,0)))),0,1),"""")"),"N7 ")</f>
        <v>N7 </v>
      </c>
      <c r="CI37" s="236" t="str">
        <f>IFERROR(__xludf.DUMMYFUNCTION("if(countif(ecn.list,FI37),OFFSET(INDIRECT(CONCAT(""A"",to_text(match(FI37,ecn.list,0)))),0,1),"""")"),"")</f>
        <v/>
      </c>
      <c r="CJ37" s="236" t="str">
        <f>IFERROR(__xludf.DUMMYFUNCTION("if(countif(ecn.list,FJ37),OFFSET(INDIRECT(CONCAT(""A"",to_text(match(FJ37,ecn.list,0)))),0,1),"""")"),"")</f>
        <v/>
      </c>
      <c r="CK37" s="236" t="str">
        <f>IFERROR(__xludf.DUMMYFUNCTION("if(countif(ecn.list,FK37),OFFSET(INDIRECT(CONCAT(""A"",to_text(match(FK37,ecn.list,0)))),0,1),"""")"),"NA ")</f>
        <v>NA </v>
      </c>
      <c r="CL37" s="236" t="str">
        <f>IFERROR(__xludf.DUMMYFUNCTION("if(countif(ecn.list,FL37),OFFSET(INDIRECT(CONCAT(""A"",to_text(match(FL37,ecn.list,0)))),0,1),"""")"),"")</f>
        <v/>
      </c>
      <c r="CM37" s="236" t="str">
        <f>IFERROR(__xludf.DUMMYFUNCTION("if(countif(ecn.list,FM37),OFFSET(INDIRECT(CONCAT(""A"",to_text(match(FM37,ecn.list,0)))),0,1),"""")"),"")</f>
        <v/>
      </c>
      <c r="CN37" s="198" t="s">
        <v>186</v>
      </c>
      <c r="CO37" s="198" t="s">
        <v>1447</v>
      </c>
      <c r="CP37" s="198" t="s">
        <v>1451</v>
      </c>
      <c r="CQ37" s="198" t="s">
        <v>1452</v>
      </c>
      <c r="CR37" s="198" t="s">
        <v>1453</v>
      </c>
      <c r="CS37" s="198" t="s">
        <v>1453</v>
      </c>
      <c r="CT37" s="198" t="s">
        <v>1453</v>
      </c>
      <c r="CU37" s="198" t="s">
        <v>1455</v>
      </c>
      <c r="CV37" s="198" t="s">
        <v>1456</v>
      </c>
      <c r="CW37" s="198" t="s">
        <v>1453</v>
      </c>
      <c r="CX37" s="198" t="s">
        <v>1453</v>
      </c>
      <c r="CY37" s="198" t="s">
        <v>1453</v>
      </c>
      <c r="CZ37" s="198" t="s">
        <v>1453</v>
      </c>
      <c r="DA37" s="198" t="s">
        <v>1457</v>
      </c>
      <c r="DB37" s="198" t="s">
        <v>1453</v>
      </c>
      <c r="DC37" s="198" t="s">
        <v>1453</v>
      </c>
      <c r="DD37" s="198" t="s">
        <v>1458</v>
      </c>
      <c r="DE37" s="198" t="s">
        <v>1459</v>
      </c>
      <c r="DF37" s="198" t="s">
        <v>1453</v>
      </c>
      <c r="DG37" s="198" t="s">
        <v>1453</v>
      </c>
      <c r="DH37" s="198" t="s">
        <v>1453</v>
      </c>
      <c r="DI37" s="198" t="s">
        <v>1453</v>
      </c>
      <c r="DJ37" s="198" t="s">
        <v>1460</v>
      </c>
      <c r="DK37" s="198" t="s">
        <v>1453</v>
      </c>
      <c r="DL37" s="198" t="s">
        <v>1461</v>
      </c>
      <c r="DM37" s="198" t="s">
        <v>1453</v>
      </c>
      <c r="DN37" s="198" t="s">
        <v>1463</v>
      </c>
      <c r="DO37" s="198" t="s">
        <v>1464</v>
      </c>
      <c r="DP37" s="198" t="s">
        <v>1453</v>
      </c>
      <c r="DQ37" s="198" t="s">
        <v>1466</v>
      </c>
      <c r="DR37" s="198" t="s">
        <v>1467</v>
      </c>
      <c r="DS37" s="198" t="s">
        <v>1453</v>
      </c>
      <c r="DT37" s="198" t="s">
        <v>1453</v>
      </c>
      <c r="DU37" s="198" t="s">
        <v>1453</v>
      </c>
      <c r="DV37" s="198" t="s">
        <v>1469</v>
      </c>
      <c r="DW37" s="198" t="s">
        <v>1453</v>
      </c>
      <c r="DX37" s="198" t="s">
        <v>1453</v>
      </c>
      <c r="DY37" s="198" t="s">
        <v>1453</v>
      </c>
      <c r="DZ37" s="198" t="s">
        <v>1453</v>
      </c>
      <c r="EA37" s="198" t="s">
        <v>1453</v>
      </c>
      <c r="EB37" s="198" t="s">
        <v>1453</v>
      </c>
      <c r="EC37" s="198" t="s">
        <v>1483</v>
      </c>
      <c r="ED37" s="198" t="s">
        <v>1453</v>
      </c>
      <c r="EE37" s="198" t="s">
        <v>1470</v>
      </c>
      <c r="EF37" s="198" t="s">
        <v>1453</v>
      </c>
      <c r="EG37" s="198" t="s">
        <v>1471</v>
      </c>
      <c r="EH37" s="198" t="s">
        <v>1453</v>
      </c>
      <c r="EI37" s="198" t="s">
        <v>1453</v>
      </c>
      <c r="EJ37" s="198" t="s">
        <v>1453</v>
      </c>
      <c r="EK37" s="198" t="s">
        <v>1453</v>
      </c>
      <c r="EL37" s="198" t="s">
        <v>1473</v>
      </c>
      <c r="EM37" s="198" t="s">
        <v>1453</v>
      </c>
      <c r="EN37" s="198" t="s">
        <v>1474</v>
      </c>
      <c r="EO37" s="198" t="s">
        <v>1475</v>
      </c>
      <c r="EP37" s="198" t="s">
        <v>1453</v>
      </c>
      <c r="EQ37" s="198" t="s">
        <v>1453</v>
      </c>
      <c r="ER37" s="198" t="s">
        <v>1453</v>
      </c>
      <c r="ES37" s="198" t="s">
        <v>1453</v>
      </c>
      <c r="ET37" s="198" t="s">
        <v>1453</v>
      </c>
      <c r="EU37" s="198" t="s">
        <v>1453</v>
      </c>
      <c r="EV37" s="198" t="s">
        <v>1476</v>
      </c>
      <c r="EW37" s="198" t="s">
        <v>1453</v>
      </c>
      <c r="EX37" s="198" t="s">
        <v>1453</v>
      </c>
      <c r="EY37" s="198" t="s">
        <v>1453</v>
      </c>
      <c r="EZ37" s="198" t="s">
        <v>1477</v>
      </c>
      <c r="FA37" s="198" t="s">
        <v>1453</v>
      </c>
      <c r="FB37" s="198" t="s">
        <v>1453</v>
      </c>
      <c r="FC37" s="198" t="s">
        <v>1478</v>
      </c>
      <c r="FD37" s="198" t="s">
        <v>1453</v>
      </c>
      <c r="FE37" s="198" t="s">
        <v>1453</v>
      </c>
      <c r="FF37" s="198" t="s">
        <v>1453</v>
      </c>
      <c r="FG37" s="198" t="s">
        <v>1453</v>
      </c>
      <c r="FH37" s="198" t="s">
        <v>1479</v>
      </c>
      <c r="FI37" s="198" t="s">
        <v>1453</v>
      </c>
      <c r="FJ37" s="198" t="s">
        <v>1453</v>
      </c>
      <c r="FK37" s="198" t="s">
        <v>1481</v>
      </c>
      <c r="FL37" s="198" t="s">
        <v>1482</v>
      </c>
      <c r="FM37" s="198" t="s">
        <v>1453</v>
      </c>
    </row>
    <row r="38" ht="15.75" customHeight="1">
      <c r="A38" s="236" t="s">
        <v>1521</v>
      </c>
      <c r="B38" s="198" t="str">
        <f t="shared" si="4"/>
        <v>L4 </v>
      </c>
      <c r="C38" s="234">
        <v>4.0</v>
      </c>
      <c r="D38" s="232" t="s">
        <v>770</v>
      </c>
      <c r="E38" s="232" t="s">
        <v>1448</v>
      </c>
      <c r="F38" s="232" t="s">
        <v>1449</v>
      </c>
      <c r="G38" s="232" t="s">
        <v>1450</v>
      </c>
      <c r="H38" s="232" t="s">
        <v>876</v>
      </c>
      <c r="I38" s="232" t="s">
        <v>877</v>
      </c>
      <c r="J38" s="232" t="s">
        <v>878</v>
      </c>
      <c r="K38" s="232" t="s">
        <v>879</v>
      </c>
      <c r="L38" s="188" t="s">
        <v>189</v>
      </c>
      <c r="M38" s="236" t="str">
        <f>IFERROR(__xludf.DUMMYFUNCTION("regexreplace(N38,"" "","", "")"),"J0, J1, J2, J5, J6, J7, JA, JC, JF, K0, K3, K4, K5, K7, K8, K9, KA, KB, KC, KD, KF, L1, L8, LA, LC, LF, M0, M1, M3, M4, M8, MB, MD, MF, N2, N7, NA, ")</f>
        <v>J0, J1, J2, J5, J6, J7, JA, JC, JF, K0, K3, K4, K5, K7, K8, K9, KA, KB, KC, KD, KF, L1, L8, LA, LC, LF, M0, M1, M3, M4, M8, MB, MD, MF, N2, N7, NA, </v>
      </c>
      <c r="N38" s="236" t="str">
        <f t="shared" si="2"/>
        <v>J0 J1 J2 J5 J6 J7 JA JC JF K0 K3 K4 K5 K7 K8 K9 KA KB KC KD KF L1 L8 LA LC LF M0 M1 M3 M4 M8 MB MD MF N2 N7 NA </v>
      </c>
      <c r="O38" s="236" t="str">
        <f>IFERROR(__xludf.DUMMYFUNCTION("if(countif(ecn.list,CO38),OFFSET(INDIRECT(CONCAT(""A"",to_text(match(CO38,ecn.list,0)))),0,1),"""")"),"J0 ")</f>
        <v>J0 </v>
      </c>
      <c r="P38" s="236" t="str">
        <f>IFERROR(__xludf.DUMMYFUNCTION("if(countif(ecn.list,CP38),OFFSET(INDIRECT(CONCAT(""A"",to_text(match(CP38,ecn.list,0)))),0,1),"""")"),"J1 ")</f>
        <v>J1 </v>
      </c>
      <c r="Q38" s="236" t="str">
        <f>IFERROR(__xludf.DUMMYFUNCTION("if(countif(ecn.list,CQ38),OFFSET(INDIRECT(CONCAT(""A"",to_text(match(CQ38,ecn.list,0)))),0,1),"""")"),"J2 ")</f>
        <v>J2 </v>
      </c>
      <c r="R38" s="236" t="str">
        <f>IFERROR(__xludf.DUMMYFUNCTION("if(countif(ecn.list,CR38),OFFSET(INDIRECT(CONCAT(""A"",to_text(match(CR38,ecn.list,0)))),0,1),"""")"),"")</f>
        <v/>
      </c>
      <c r="S38" s="236" t="str">
        <f>IFERROR(__xludf.DUMMYFUNCTION("if(countif(ecn.list,CS38),OFFSET(INDIRECT(CONCAT(""A"",to_text(match(CS38,ecn.list,0)))),0,1),"""")"),"")</f>
        <v/>
      </c>
      <c r="T38" s="236" t="str">
        <f>IFERROR(__xludf.DUMMYFUNCTION("if(countif(ecn.list,CT38),OFFSET(INDIRECT(CONCAT(""A"",to_text(match(CT38,ecn.list,0)))),0,1),"""")"),"J5 ")</f>
        <v>J5 </v>
      </c>
      <c r="U38" s="236" t="str">
        <f>IFERROR(__xludf.DUMMYFUNCTION("if(countif(ecn.list,CU38),OFFSET(INDIRECT(CONCAT(""A"",to_text(match(CU38,ecn.list,0)))),0,1),"""")"),"J6 ")</f>
        <v>J6 </v>
      </c>
      <c r="V38" s="236" t="str">
        <f>IFERROR(__xludf.DUMMYFUNCTION("if(countif(ecn.list,CV38),OFFSET(INDIRECT(CONCAT(""A"",to_text(match(CV38,ecn.list,0)))),0,1),"""")"),"J7 ")</f>
        <v>J7 </v>
      </c>
      <c r="W38" s="236" t="str">
        <f>IFERROR(__xludf.DUMMYFUNCTION("if(countif(ecn.list,CW38),OFFSET(INDIRECT(CONCAT(""A"",to_text(match(CW38,ecn.list,0)))),0,1),"""")"),"")</f>
        <v/>
      </c>
      <c r="X38" s="236" t="str">
        <f>IFERROR(__xludf.DUMMYFUNCTION("if(countif(ecn.list,CX38),OFFSET(INDIRECT(CONCAT(""A"",to_text(match(CX38,ecn.list,0)))),0,1),"""")"),"")</f>
        <v/>
      </c>
      <c r="Y38" s="236" t="str">
        <f>IFERROR(__xludf.DUMMYFUNCTION("if(countif(ecn.list,CY38),OFFSET(INDIRECT(CONCAT(""A"",to_text(match(CY38,ecn.list,0)))),0,1),"""")"),"JA ")</f>
        <v>JA </v>
      </c>
      <c r="Z38" s="236" t="str">
        <f>IFERROR(__xludf.DUMMYFUNCTION("if(countif(ecn.list,CZ38),OFFSET(INDIRECT(CONCAT(""A"",to_text(match(CZ38,ecn.list,0)))),0,1),"""")"),"")</f>
        <v/>
      </c>
      <c r="AA38" s="236" t="str">
        <f>IFERROR(__xludf.DUMMYFUNCTION("if(countif(ecn.list,DA38),OFFSET(INDIRECT(CONCAT(""A"",to_text(match(DA38,ecn.list,0)))),0,1),"""")"),"JC ")</f>
        <v>JC </v>
      </c>
      <c r="AB38" s="236" t="str">
        <f>IFERROR(__xludf.DUMMYFUNCTION("if(countif(ecn.list,DB38),OFFSET(INDIRECT(CONCAT(""A"",to_text(match(DB38,ecn.list,0)))),0,1),"""")"),"")</f>
        <v/>
      </c>
      <c r="AC38" s="236" t="str">
        <f>IFERROR(__xludf.DUMMYFUNCTION("if(countif(ecn.list,DC38),OFFSET(INDIRECT(CONCAT(""A"",to_text(match(DC38,ecn.list,0)))),0,1),"""")"),"")</f>
        <v/>
      </c>
      <c r="AD38" s="236" t="str">
        <f>IFERROR(__xludf.DUMMYFUNCTION("if(countif(ecn.list,DD38),OFFSET(INDIRECT(CONCAT(""A"",to_text(match(DD38,ecn.list,0)))),0,1),"""")"),"JF ")</f>
        <v>JF </v>
      </c>
      <c r="AE38" s="236" t="str">
        <f>IFERROR(__xludf.DUMMYFUNCTION("if(countif(ecn.list,DE38),OFFSET(INDIRECT(CONCAT(""A"",to_text(match(DE38,ecn.list,0)))),0,1),"""")"),"K0 ")</f>
        <v>K0 </v>
      </c>
      <c r="AF38" s="236" t="str">
        <f>IFERROR(__xludf.DUMMYFUNCTION("if(countif(ecn.list,DF38),OFFSET(INDIRECT(CONCAT(""A"",to_text(match(DF38,ecn.list,0)))),0,1),"""")"),"")</f>
        <v/>
      </c>
      <c r="AG38" s="236" t="str">
        <f>IFERROR(__xludf.DUMMYFUNCTION("if(countif(ecn.list,DG38),OFFSET(INDIRECT(CONCAT(""A"",to_text(match(DG38,ecn.list,0)))),0,1),"""")"),"")</f>
        <v/>
      </c>
      <c r="AH38" s="236" t="str">
        <f>IFERROR(__xludf.DUMMYFUNCTION("if(countif(ecn.list,DH38),OFFSET(INDIRECT(CONCAT(""A"",to_text(match(DH38,ecn.list,0)))),0,1),"""")"),"K3 ")</f>
        <v>K3 </v>
      </c>
      <c r="AI38" s="236" t="str">
        <f>IFERROR(__xludf.DUMMYFUNCTION("if(countif(ecn.list,DI38),OFFSET(INDIRECT(CONCAT(""A"",to_text(match(DI38,ecn.list,0)))),0,1),"""")"),"K4 ")</f>
        <v>K4 </v>
      </c>
      <c r="AJ38" s="236" t="str">
        <f>IFERROR(__xludf.DUMMYFUNCTION("if(countif(ecn.list,DJ38),OFFSET(INDIRECT(CONCAT(""A"",to_text(match(DJ38,ecn.list,0)))),0,1),"""")"),"K5 ")</f>
        <v>K5 </v>
      </c>
      <c r="AK38" s="236" t="str">
        <f>IFERROR(__xludf.DUMMYFUNCTION("if(countif(ecn.list,DK38),OFFSET(INDIRECT(CONCAT(""A"",to_text(match(DK38,ecn.list,0)))),0,1),"""")"),"")</f>
        <v/>
      </c>
      <c r="AL38" s="236" t="str">
        <f>IFERROR(__xludf.DUMMYFUNCTION("if(countif(ecn.list,DL38),OFFSET(INDIRECT(CONCAT(""A"",to_text(match(DL38,ecn.list,0)))),0,1),"""")"),"K7 ")</f>
        <v>K7 </v>
      </c>
      <c r="AM38" s="236" t="str">
        <f>IFERROR(__xludf.DUMMYFUNCTION("if(countif(ecn.list,DM38),OFFSET(INDIRECT(CONCAT(""A"",to_text(match(DM38,ecn.list,0)))),0,1),"""")"),"K8 ")</f>
        <v>K8 </v>
      </c>
      <c r="AN38" s="236" t="str">
        <f>IFERROR(__xludf.DUMMYFUNCTION("if(countif(ecn.list,DN38),OFFSET(INDIRECT(CONCAT(""A"",to_text(match(DN38,ecn.list,0)))),0,1),"""")"),"K9 ")</f>
        <v>K9 </v>
      </c>
      <c r="AO38" s="236" t="str">
        <f>IFERROR(__xludf.DUMMYFUNCTION("if(countif(ecn.list,DO38),OFFSET(INDIRECT(CONCAT(""A"",to_text(match(DO38,ecn.list,0)))),0,1),"""")"),"KA ")</f>
        <v>KA </v>
      </c>
      <c r="AP38" s="236" t="str">
        <f>IFERROR(__xludf.DUMMYFUNCTION("if(countif(ecn.list,DP38),OFFSET(INDIRECT(CONCAT(""A"",to_text(match(DP38,ecn.list,0)))),0,1),"""")"),"KB ")</f>
        <v>KB </v>
      </c>
      <c r="AQ38" s="236" t="str">
        <f>IFERROR(__xludf.DUMMYFUNCTION("if(countif(ecn.list,DQ38),OFFSET(INDIRECT(CONCAT(""A"",to_text(match(DQ38,ecn.list,0)))),0,1),"""")"),"KC ")</f>
        <v>KC </v>
      </c>
      <c r="AR38" s="236" t="str">
        <f>IFERROR(__xludf.DUMMYFUNCTION("if(countif(ecn.list,DR38),OFFSET(INDIRECT(CONCAT(""A"",to_text(match(DR38,ecn.list,0)))),0,1),"""")"),"KD ")</f>
        <v>KD </v>
      </c>
      <c r="AS38" s="236" t="str">
        <f>IFERROR(__xludf.DUMMYFUNCTION("if(countif(ecn.list,DS38),OFFSET(INDIRECT(CONCAT(""A"",to_text(match(DS38,ecn.list,0)))),0,1),"""")"),"")</f>
        <v/>
      </c>
      <c r="AT38" s="236" t="str">
        <f>IFERROR(__xludf.DUMMYFUNCTION("if(countif(ecn.list,DT38),OFFSET(INDIRECT(CONCAT(""A"",to_text(match(DT38,ecn.list,0)))),0,1),"""")"),"KF ")</f>
        <v>KF </v>
      </c>
      <c r="AU38" s="236" t="str">
        <f>IFERROR(__xludf.DUMMYFUNCTION("if(countif(ecn.list,DU38),OFFSET(INDIRECT(CONCAT(""A"",to_text(match(DU38,ecn.list,0)))),0,1),"""")"),"")</f>
        <v/>
      </c>
      <c r="AV38" s="236" t="str">
        <f>IFERROR(__xludf.DUMMYFUNCTION("if(countif(ecn.list,DV38),OFFSET(INDIRECT(CONCAT(""A"",to_text(match(DV38,ecn.list,0)))),0,1),"""")"),"L1 ")</f>
        <v>L1 </v>
      </c>
      <c r="AW38" s="236" t="str">
        <f>IFERROR(__xludf.DUMMYFUNCTION("if(countif(ecn.list,DW38),OFFSET(INDIRECT(CONCAT(""A"",to_text(match(DW38,ecn.list,0)))),0,1),"""")"),"")</f>
        <v/>
      </c>
      <c r="AX38" s="236" t="str">
        <f>IFERROR(__xludf.DUMMYFUNCTION("if(countif(ecn.list,DX38),OFFSET(INDIRECT(CONCAT(""A"",to_text(match(DX38,ecn.list,0)))),0,1),"""")"),"")</f>
        <v/>
      </c>
      <c r="AY38" s="236" t="str">
        <f>IFERROR(__xludf.DUMMYFUNCTION("if(countif(ecn.list,DY38),OFFSET(INDIRECT(CONCAT(""A"",to_text(match(DY38,ecn.list,0)))),0,1),"""")"),"")</f>
        <v/>
      </c>
      <c r="AZ38" s="236" t="str">
        <f>IFERROR(__xludf.DUMMYFUNCTION("if(countif(ecn.list,DZ38),OFFSET(INDIRECT(CONCAT(""A"",to_text(match(DZ38,ecn.list,0)))),0,1),"""")"),"")</f>
        <v/>
      </c>
      <c r="BA38" s="236" t="str">
        <f>IFERROR(__xludf.DUMMYFUNCTION("if(countif(ecn.list,EA38),OFFSET(INDIRECT(CONCAT(""A"",to_text(match(EA38,ecn.list,0)))),0,1),"""")"),"")</f>
        <v/>
      </c>
      <c r="BB38" s="236" t="str">
        <f>IFERROR(__xludf.DUMMYFUNCTION("if(countif(ecn.list,EB38),OFFSET(INDIRECT(CONCAT(""A"",to_text(match(EB38,ecn.list,0)))),0,1),"""")"),"")</f>
        <v/>
      </c>
      <c r="BC38" s="236" t="str">
        <f>IFERROR(__xludf.DUMMYFUNCTION("if(countif(ecn.list,EC38),OFFSET(INDIRECT(CONCAT(""A"",to_text(match(EC38,ecn.list,0)))),0,1),"""")"),"L8 ")</f>
        <v>L8 </v>
      </c>
      <c r="BD38" s="236" t="str">
        <f>IFERROR(__xludf.DUMMYFUNCTION("if(countif(ecn.list,ED38),OFFSET(INDIRECT(CONCAT(""A"",to_text(match(ED38,ecn.list,0)))),0,1),"""")"),"")</f>
        <v/>
      </c>
      <c r="BE38" s="236" t="str">
        <f>IFERROR(__xludf.DUMMYFUNCTION("if(countif(ecn.list,EE38),OFFSET(INDIRECT(CONCAT(""A"",to_text(match(EE38,ecn.list,0)))),0,1),"""")"),"LA ")</f>
        <v>LA </v>
      </c>
      <c r="BF38" s="236" t="str">
        <f>IFERROR(__xludf.DUMMYFUNCTION("if(countif(ecn.list,EF38),OFFSET(INDIRECT(CONCAT(""A"",to_text(match(EF38,ecn.list,0)))),0,1),"""")"),"")</f>
        <v/>
      </c>
      <c r="BG38" s="236" t="str">
        <f>IFERROR(__xludf.DUMMYFUNCTION("if(countif(ecn.list,EG38),OFFSET(INDIRECT(CONCAT(""A"",to_text(match(EG38,ecn.list,0)))),0,1),"""")"),"LC ")</f>
        <v>LC </v>
      </c>
      <c r="BH38" s="236" t="str">
        <f>IFERROR(__xludf.DUMMYFUNCTION("if(countif(ecn.list,EH38),OFFSET(INDIRECT(CONCAT(""A"",to_text(match(EH38,ecn.list,0)))),0,1),"""")"),"")</f>
        <v/>
      </c>
      <c r="BI38" s="236" t="str">
        <f>IFERROR(__xludf.DUMMYFUNCTION("if(countif(ecn.list,EI38),OFFSET(INDIRECT(CONCAT(""A"",to_text(match(EI38,ecn.list,0)))),0,1),"""")"),"")</f>
        <v/>
      </c>
      <c r="BJ38" s="236" t="str">
        <f>IFERROR(__xludf.DUMMYFUNCTION("if(countif(ecn.list,EJ38),OFFSET(INDIRECT(CONCAT(""A"",to_text(match(EJ38,ecn.list,0)))),0,1),"""")"),"LF ")</f>
        <v>LF </v>
      </c>
      <c r="BK38" s="236" t="str">
        <f>IFERROR(__xludf.DUMMYFUNCTION("if(countif(ecn.list,EK38),OFFSET(INDIRECT(CONCAT(""A"",to_text(match(EK38,ecn.list,0)))),0,1),"""")"),"M0 ")</f>
        <v>M0 </v>
      </c>
      <c r="BL38" s="236" t="str">
        <f>IFERROR(__xludf.DUMMYFUNCTION("if(countif(ecn.list,EL38),OFFSET(INDIRECT(CONCAT(""A"",to_text(match(EL38,ecn.list,0)))),0,1),"""")"),"M1 ")</f>
        <v>M1 </v>
      </c>
      <c r="BM38" s="236" t="str">
        <f>IFERROR(__xludf.DUMMYFUNCTION("if(countif(ecn.list,EM38),OFFSET(INDIRECT(CONCAT(""A"",to_text(match(EM38,ecn.list,0)))),0,1),"""")"),"")</f>
        <v/>
      </c>
      <c r="BN38" s="236" t="str">
        <f>IFERROR(__xludf.DUMMYFUNCTION("if(countif(ecn.list,EN38),OFFSET(INDIRECT(CONCAT(""A"",to_text(match(EN38,ecn.list,0)))),0,1),"""")"),"M3 ")</f>
        <v>M3 </v>
      </c>
      <c r="BO38" s="236" t="str">
        <f>IFERROR(__xludf.DUMMYFUNCTION("if(countif(ecn.list,EO38),OFFSET(INDIRECT(CONCAT(""A"",to_text(match(EO38,ecn.list,0)))),0,1),"""")"),"M4 ")</f>
        <v>M4 </v>
      </c>
      <c r="BP38" s="236" t="str">
        <f>IFERROR(__xludf.DUMMYFUNCTION("if(countif(ecn.list,EP38),OFFSET(INDIRECT(CONCAT(""A"",to_text(match(EP38,ecn.list,0)))),0,1),"""")"),"")</f>
        <v/>
      </c>
      <c r="BQ38" s="236" t="str">
        <f>IFERROR(__xludf.DUMMYFUNCTION("if(countif(ecn.list,EQ38),OFFSET(INDIRECT(CONCAT(""A"",to_text(match(EQ38,ecn.list,0)))),0,1),"""")"),"")</f>
        <v/>
      </c>
      <c r="BR38" s="236" t="str">
        <f>IFERROR(__xludf.DUMMYFUNCTION("if(countif(ecn.list,ER38),OFFSET(INDIRECT(CONCAT(""A"",to_text(match(ER38,ecn.list,0)))),0,1),"""")"),"")</f>
        <v/>
      </c>
      <c r="BS38" s="236" t="str">
        <f>IFERROR(__xludf.DUMMYFUNCTION("if(countif(ecn.list,ES38),OFFSET(INDIRECT(CONCAT(""A"",to_text(match(ES38,ecn.list,0)))),0,1),"""")"),"M8 ")</f>
        <v>M8 </v>
      </c>
      <c r="BT38" s="236" t="str">
        <f>IFERROR(__xludf.DUMMYFUNCTION("if(countif(ecn.list,ET38),OFFSET(INDIRECT(CONCAT(""A"",to_text(match(ET38,ecn.list,0)))),0,1),"""")"),"")</f>
        <v/>
      </c>
      <c r="BU38" s="236" t="str">
        <f>IFERROR(__xludf.DUMMYFUNCTION("if(countif(ecn.list,EU38),OFFSET(INDIRECT(CONCAT(""A"",to_text(match(EU38,ecn.list,0)))),0,1),"""")"),"")</f>
        <v/>
      </c>
      <c r="BV38" s="236" t="str">
        <f>IFERROR(__xludf.DUMMYFUNCTION("if(countif(ecn.list,EV38),OFFSET(INDIRECT(CONCAT(""A"",to_text(match(EV38,ecn.list,0)))),0,1),"""")"),"MB ")</f>
        <v>MB </v>
      </c>
      <c r="BW38" s="236" t="str">
        <f>IFERROR(__xludf.DUMMYFUNCTION("if(countif(ecn.list,EW38),OFFSET(INDIRECT(CONCAT(""A"",to_text(match(EW38,ecn.list,0)))),0,1),"""")"),"")</f>
        <v/>
      </c>
      <c r="BX38" s="236" t="str">
        <f>IFERROR(__xludf.DUMMYFUNCTION("if(countif(ecn.list,EX38),OFFSET(INDIRECT(CONCAT(""A"",to_text(match(EX38,ecn.list,0)))),0,1),"""")"),"MD ")</f>
        <v>MD </v>
      </c>
      <c r="BY38" s="236" t="str">
        <f>IFERROR(__xludf.DUMMYFUNCTION("if(countif(ecn.list,EY38),OFFSET(INDIRECT(CONCAT(""A"",to_text(match(EY38,ecn.list,0)))),0,1),"""")"),"")</f>
        <v/>
      </c>
      <c r="BZ38" s="236" t="str">
        <f>IFERROR(__xludf.DUMMYFUNCTION("if(countif(ecn.list,EZ38),OFFSET(INDIRECT(CONCAT(""A"",to_text(match(EZ38,ecn.list,0)))),0,1),"""")"),"MF ")</f>
        <v>MF </v>
      </c>
      <c r="CA38" s="236" t="str">
        <f>IFERROR(__xludf.DUMMYFUNCTION("if(countif(ecn.list,FA38),OFFSET(INDIRECT(CONCAT(""A"",to_text(match(FA38,ecn.list,0)))),0,1),"""")"),"")</f>
        <v/>
      </c>
      <c r="CB38" s="236" t="str">
        <f>IFERROR(__xludf.DUMMYFUNCTION("if(countif(ecn.list,FB38),OFFSET(INDIRECT(CONCAT(""A"",to_text(match(FB38,ecn.list,0)))),0,1),"""")"),"")</f>
        <v/>
      </c>
      <c r="CC38" s="236" t="str">
        <f>IFERROR(__xludf.DUMMYFUNCTION("if(countif(ecn.list,FC38),OFFSET(INDIRECT(CONCAT(""A"",to_text(match(FC38,ecn.list,0)))),0,1),"""")"),"N2 ")</f>
        <v>N2 </v>
      </c>
      <c r="CD38" s="236" t="str">
        <f>IFERROR(__xludf.DUMMYFUNCTION("if(countif(ecn.list,FD38),OFFSET(INDIRECT(CONCAT(""A"",to_text(match(FD38,ecn.list,0)))),0,1),"""")"),"")</f>
        <v/>
      </c>
      <c r="CE38" s="236" t="str">
        <f>IFERROR(__xludf.DUMMYFUNCTION("if(countif(ecn.list,FE38),OFFSET(INDIRECT(CONCAT(""A"",to_text(match(FE38,ecn.list,0)))),0,1),"""")"),"")</f>
        <v/>
      </c>
      <c r="CF38" s="236" t="str">
        <f>IFERROR(__xludf.DUMMYFUNCTION("if(countif(ecn.list,FF38),OFFSET(INDIRECT(CONCAT(""A"",to_text(match(FF38,ecn.list,0)))),0,1),"""")"),"")</f>
        <v/>
      </c>
      <c r="CG38" s="236" t="str">
        <f>IFERROR(__xludf.DUMMYFUNCTION("if(countif(ecn.list,FG38),OFFSET(INDIRECT(CONCAT(""A"",to_text(match(FG38,ecn.list,0)))),0,1),"""")"),"")</f>
        <v/>
      </c>
      <c r="CH38" s="236" t="str">
        <f>IFERROR(__xludf.DUMMYFUNCTION("if(countif(ecn.list,FH38),OFFSET(INDIRECT(CONCAT(""A"",to_text(match(FH38,ecn.list,0)))),0,1),"""")"),"N7 ")</f>
        <v>N7 </v>
      </c>
      <c r="CI38" s="236" t="str">
        <f>IFERROR(__xludf.DUMMYFUNCTION("if(countif(ecn.list,FI38),OFFSET(INDIRECT(CONCAT(""A"",to_text(match(FI38,ecn.list,0)))),0,1),"""")"),"")</f>
        <v/>
      </c>
      <c r="CJ38" s="236" t="str">
        <f>IFERROR(__xludf.DUMMYFUNCTION("if(countif(ecn.list,FJ38),OFFSET(INDIRECT(CONCAT(""A"",to_text(match(FJ38,ecn.list,0)))),0,1),"""")"),"")</f>
        <v/>
      </c>
      <c r="CK38" s="236" t="str">
        <f>IFERROR(__xludf.DUMMYFUNCTION("if(countif(ecn.list,FK38),OFFSET(INDIRECT(CONCAT(""A"",to_text(match(FK38,ecn.list,0)))),0,1),"""")"),"NA ")</f>
        <v>NA </v>
      </c>
      <c r="CL38" s="236" t="str">
        <f>IFERROR(__xludf.DUMMYFUNCTION("if(countif(ecn.list,FL38),OFFSET(INDIRECT(CONCAT(""A"",to_text(match(FL38,ecn.list,0)))),0,1),"""")"),"")</f>
        <v/>
      </c>
      <c r="CM38" s="236" t="str">
        <f>IFERROR(__xludf.DUMMYFUNCTION("if(countif(ecn.list,FM38),OFFSET(INDIRECT(CONCAT(""A"",to_text(match(FM38,ecn.list,0)))),0,1),"""")"),"")</f>
        <v/>
      </c>
      <c r="CN38" s="198" t="s">
        <v>189</v>
      </c>
      <c r="CO38" s="198" t="s">
        <v>1447</v>
      </c>
      <c r="CP38" s="198" t="s">
        <v>1451</v>
      </c>
      <c r="CQ38" s="198" t="s">
        <v>1452</v>
      </c>
      <c r="CR38" s="198" t="s">
        <v>1453</v>
      </c>
      <c r="CS38" s="198" t="s">
        <v>1453</v>
      </c>
      <c r="CT38" s="198" t="s">
        <v>1454</v>
      </c>
      <c r="CU38" s="198" t="s">
        <v>1455</v>
      </c>
      <c r="CV38" s="198" t="s">
        <v>1456</v>
      </c>
      <c r="CW38" s="198" t="s">
        <v>1453</v>
      </c>
      <c r="CX38" s="198" t="s">
        <v>1453</v>
      </c>
      <c r="CY38" s="198" t="s">
        <v>1484</v>
      </c>
      <c r="CZ38" s="198" t="s">
        <v>1453</v>
      </c>
      <c r="DA38" s="198" t="s">
        <v>1457</v>
      </c>
      <c r="DB38" s="198" t="s">
        <v>1453</v>
      </c>
      <c r="DC38" s="198" t="s">
        <v>1453</v>
      </c>
      <c r="DD38" s="198" t="s">
        <v>1458</v>
      </c>
      <c r="DE38" s="198" t="s">
        <v>1459</v>
      </c>
      <c r="DF38" s="198" t="s">
        <v>1453</v>
      </c>
      <c r="DG38" s="198" t="s">
        <v>1453</v>
      </c>
      <c r="DH38" s="198" t="s">
        <v>1500</v>
      </c>
      <c r="DI38" s="198" t="s">
        <v>1501</v>
      </c>
      <c r="DJ38" s="198" t="s">
        <v>1460</v>
      </c>
      <c r="DK38" s="198" t="s">
        <v>1453</v>
      </c>
      <c r="DL38" s="198" t="s">
        <v>1461</v>
      </c>
      <c r="DM38" s="198" t="s">
        <v>1462</v>
      </c>
      <c r="DN38" s="198" t="s">
        <v>1463</v>
      </c>
      <c r="DO38" s="198" t="s">
        <v>1464</v>
      </c>
      <c r="DP38" s="198" t="s">
        <v>1465</v>
      </c>
      <c r="DQ38" s="198" t="s">
        <v>1466</v>
      </c>
      <c r="DR38" s="198" t="s">
        <v>1467</v>
      </c>
      <c r="DS38" s="198" t="s">
        <v>1453</v>
      </c>
      <c r="DT38" s="198" t="s">
        <v>1468</v>
      </c>
      <c r="DU38" s="198" t="s">
        <v>1453</v>
      </c>
      <c r="DV38" s="198" t="s">
        <v>1469</v>
      </c>
      <c r="DW38" s="198" t="s">
        <v>1453</v>
      </c>
      <c r="DX38" s="198" t="s">
        <v>1453</v>
      </c>
      <c r="DY38" s="198" t="s">
        <v>1453</v>
      </c>
      <c r="DZ38" s="198" t="s">
        <v>1453</v>
      </c>
      <c r="EA38" s="198" t="s">
        <v>1453</v>
      </c>
      <c r="EB38" s="198" t="s">
        <v>1453</v>
      </c>
      <c r="EC38" s="198" t="s">
        <v>1483</v>
      </c>
      <c r="ED38" s="198" t="s">
        <v>1453</v>
      </c>
      <c r="EE38" s="198" t="s">
        <v>1470</v>
      </c>
      <c r="EF38" s="198" t="s">
        <v>1453</v>
      </c>
      <c r="EG38" s="198" t="s">
        <v>1471</v>
      </c>
      <c r="EH38" s="198" t="s">
        <v>1453</v>
      </c>
      <c r="EI38" s="198" t="s">
        <v>1453</v>
      </c>
      <c r="EJ38" s="198" t="s">
        <v>1472</v>
      </c>
      <c r="EK38" s="198" t="s">
        <v>1487</v>
      </c>
      <c r="EL38" s="198" t="s">
        <v>1473</v>
      </c>
      <c r="EM38" s="198" t="s">
        <v>1453</v>
      </c>
      <c r="EN38" s="198" t="s">
        <v>1474</v>
      </c>
      <c r="EO38" s="198" t="s">
        <v>1475</v>
      </c>
      <c r="EP38" s="198" t="s">
        <v>1453</v>
      </c>
      <c r="EQ38" s="198" t="s">
        <v>1453</v>
      </c>
      <c r="ER38" s="198" t="s">
        <v>1453</v>
      </c>
      <c r="ES38" s="198" t="s">
        <v>1505</v>
      </c>
      <c r="ET38" s="198" t="s">
        <v>1453</v>
      </c>
      <c r="EU38" s="198" t="s">
        <v>1453</v>
      </c>
      <c r="EV38" s="198" t="s">
        <v>1476</v>
      </c>
      <c r="EW38" s="198" t="s">
        <v>1453</v>
      </c>
      <c r="EX38" s="198" t="s">
        <v>1488</v>
      </c>
      <c r="EY38" s="198" t="s">
        <v>1453</v>
      </c>
      <c r="EZ38" s="198" t="s">
        <v>1477</v>
      </c>
      <c r="FA38" s="198" t="s">
        <v>1453</v>
      </c>
      <c r="FB38" s="198" t="s">
        <v>1453</v>
      </c>
      <c r="FC38" s="198" t="s">
        <v>1478</v>
      </c>
      <c r="FD38" s="198" t="s">
        <v>1453</v>
      </c>
      <c r="FE38" s="198" t="s">
        <v>1453</v>
      </c>
      <c r="FF38" s="198" t="s">
        <v>1453</v>
      </c>
      <c r="FG38" s="198" t="s">
        <v>1453</v>
      </c>
      <c r="FH38" s="198" t="s">
        <v>1479</v>
      </c>
      <c r="FI38" s="198" t="s">
        <v>1453</v>
      </c>
      <c r="FJ38" s="198" t="s">
        <v>1453</v>
      </c>
      <c r="FK38" s="198" t="s">
        <v>1481</v>
      </c>
      <c r="FL38" s="198" t="s">
        <v>1482</v>
      </c>
      <c r="FM38" s="198" t="s">
        <v>1453</v>
      </c>
    </row>
    <row r="39" ht="15.75" customHeight="1">
      <c r="A39" s="236" t="s">
        <v>1522</v>
      </c>
      <c r="B39" s="198" t="str">
        <f t="shared" si="4"/>
        <v>L5 </v>
      </c>
      <c r="C39" s="234">
        <v>5.0</v>
      </c>
      <c r="D39" s="232" t="s">
        <v>770</v>
      </c>
      <c r="E39" s="232" t="s">
        <v>1448</v>
      </c>
      <c r="F39" s="232" t="s">
        <v>1449</v>
      </c>
      <c r="G39" s="232" t="s">
        <v>1450</v>
      </c>
      <c r="H39" s="232" t="s">
        <v>788</v>
      </c>
      <c r="I39" s="232" t="s">
        <v>816</v>
      </c>
      <c r="J39" s="232" t="s">
        <v>817</v>
      </c>
      <c r="K39" s="232" t="s">
        <v>821</v>
      </c>
      <c r="L39" s="188" t="s">
        <v>192</v>
      </c>
      <c r="M39" s="236" t="str">
        <f>IFERROR(__xludf.DUMMYFUNCTION("regexreplace(N39,"" "","", "")"),"J0, J1, J2, J5, J6, J7, JC, JF, K0, K5, K7, K9, KA, KB, KC, KD, KF, L1, L8, LA, LC, LF, M1, M3, M4, MB, MF, N2, N7, NA, ")</f>
        <v>J0, J1, J2, J5, J6, J7, JC, JF, K0, K5, K7, K9, KA, KB, KC, KD, KF, L1, L8, LA, LC, LF, M1, M3, M4, MB, MF, N2, N7, NA, </v>
      </c>
      <c r="N39" s="236" t="str">
        <f t="shared" si="2"/>
        <v>J0 J1 J2 J5 J6 J7 JC JF K0 K5 K7 K9 KA KB KC KD KF L1 L8 LA LC LF M1 M3 M4 MB MF N2 N7 NA </v>
      </c>
      <c r="O39" s="236" t="str">
        <f>IFERROR(__xludf.DUMMYFUNCTION("if(countif(ecn.list,CO39),OFFSET(INDIRECT(CONCAT(""A"",to_text(match(CO39,ecn.list,0)))),0,1),"""")"),"J0 ")</f>
        <v>J0 </v>
      </c>
      <c r="P39" s="236" t="str">
        <f>IFERROR(__xludf.DUMMYFUNCTION("if(countif(ecn.list,CP39),OFFSET(INDIRECT(CONCAT(""A"",to_text(match(CP39,ecn.list,0)))),0,1),"""")"),"J1 ")</f>
        <v>J1 </v>
      </c>
      <c r="Q39" s="236" t="str">
        <f>IFERROR(__xludf.DUMMYFUNCTION("if(countif(ecn.list,CQ39),OFFSET(INDIRECT(CONCAT(""A"",to_text(match(CQ39,ecn.list,0)))),0,1),"""")"),"J2 ")</f>
        <v>J2 </v>
      </c>
      <c r="R39" s="236" t="str">
        <f>IFERROR(__xludf.DUMMYFUNCTION("if(countif(ecn.list,CR39),OFFSET(INDIRECT(CONCAT(""A"",to_text(match(CR39,ecn.list,0)))),0,1),"""")"),"")</f>
        <v/>
      </c>
      <c r="S39" s="236" t="str">
        <f>IFERROR(__xludf.DUMMYFUNCTION("if(countif(ecn.list,CS39),OFFSET(INDIRECT(CONCAT(""A"",to_text(match(CS39,ecn.list,0)))),0,1),"""")"),"")</f>
        <v/>
      </c>
      <c r="T39" s="236" t="str">
        <f>IFERROR(__xludf.DUMMYFUNCTION("if(countif(ecn.list,CT39),OFFSET(INDIRECT(CONCAT(""A"",to_text(match(CT39,ecn.list,0)))),0,1),"""")"),"J5 ")</f>
        <v>J5 </v>
      </c>
      <c r="U39" s="236" t="str">
        <f>IFERROR(__xludf.DUMMYFUNCTION("if(countif(ecn.list,CU39),OFFSET(INDIRECT(CONCAT(""A"",to_text(match(CU39,ecn.list,0)))),0,1),"""")"),"J6 ")</f>
        <v>J6 </v>
      </c>
      <c r="V39" s="236" t="str">
        <f>IFERROR(__xludf.DUMMYFUNCTION("if(countif(ecn.list,CV39),OFFSET(INDIRECT(CONCAT(""A"",to_text(match(CV39,ecn.list,0)))),0,1),"""")"),"J7 ")</f>
        <v>J7 </v>
      </c>
      <c r="W39" s="236" t="str">
        <f>IFERROR(__xludf.DUMMYFUNCTION("if(countif(ecn.list,CW39),OFFSET(INDIRECT(CONCAT(""A"",to_text(match(CW39,ecn.list,0)))),0,1),"""")"),"")</f>
        <v/>
      </c>
      <c r="X39" s="236" t="str">
        <f>IFERROR(__xludf.DUMMYFUNCTION("if(countif(ecn.list,CX39),OFFSET(INDIRECT(CONCAT(""A"",to_text(match(CX39,ecn.list,0)))),0,1),"""")"),"")</f>
        <v/>
      </c>
      <c r="Y39" s="236" t="str">
        <f>IFERROR(__xludf.DUMMYFUNCTION("if(countif(ecn.list,CY39),OFFSET(INDIRECT(CONCAT(""A"",to_text(match(CY39,ecn.list,0)))),0,1),"""")"),"")</f>
        <v/>
      </c>
      <c r="Z39" s="236" t="str">
        <f>IFERROR(__xludf.DUMMYFUNCTION("if(countif(ecn.list,CZ39),OFFSET(INDIRECT(CONCAT(""A"",to_text(match(CZ39,ecn.list,0)))),0,1),"""")"),"")</f>
        <v/>
      </c>
      <c r="AA39" s="236" t="str">
        <f>IFERROR(__xludf.DUMMYFUNCTION("if(countif(ecn.list,DA39),OFFSET(INDIRECT(CONCAT(""A"",to_text(match(DA39,ecn.list,0)))),0,1),"""")"),"JC ")</f>
        <v>JC </v>
      </c>
      <c r="AB39" s="236" t="str">
        <f>IFERROR(__xludf.DUMMYFUNCTION("if(countif(ecn.list,DB39),OFFSET(INDIRECT(CONCAT(""A"",to_text(match(DB39,ecn.list,0)))),0,1),"""")"),"")</f>
        <v/>
      </c>
      <c r="AC39" s="236" t="str">
        <f>IFERROR(__xludf.DUMMYFUNCTION("if(countif(ecn.list,DC39),OFFSET(INDIRECT(CONCAT(""A"",to_text(match(DC39,ecn.list,0)))),0,1),"""")"),"")</f>
        <v/>
      </c>
      <c r="AD39" s="236" t="str">
        <f>IFERROR(__xludf.DUMMYFUNCTION("if(countif(ecn.list,DD39),OFFSET(INDIRECT(CONCAT(""A"",to_text(match(DD39,ecn.list,0)))),0,1),"""")"),"JF ")</f>
        <v>JF </v>
      </c>
      <c r="AE39" s="236" t="str">
        <f>IFERROR(__xludf.DUMMYFUNCTION("if(countif(ecn.list,DE39),OFFSET(INDIRECT(CONCAT(""A"",to_text(match(DE39,ecn.list,0)))),0,1),"""")"),"K0 ")</f>
        <v>K0 </v>
      </c>
      <c r="AF39" s="236" t="str">
        <f>IFERROR(__xludf.DUMMYFUNCTION("if(countif(ecn.list,DF39),OFFSET(INDIRECT(CONCAT(""A"",to_text(match(DF39,ecn.list,0)))),0,1),"""")"),"")</f>
        <v/>
      </c>
      <c r="AG39" s="236" t="str">
        <f>IFERROR(__xludf.DUMMYFUNCTION("if(countif(ecn.list,DG39),OFFSET(INDIRECT(CONCAT(""A"",to_text(match(DG39,ecn.list,0)))),0,1),"""")"),"")</f>
        <v/>
      </c>
      <c r="AH39" s="236" t="str">
        <f>IFERROR(__xludf.DUMMYFUNCTION("if(countif(ecn.list,DH39),OFFSET(INDIRECT(CONCAT(""A"",to_text(match(DH39,ecn.list,0)))),0,1),"""")"),"")</f>
        <v/>
      </c>
      <c r="AI39" s="236" t="str">
        <f>IFERROR(__xludf.DUMMYFUNCTION("if(countif(ecn.list,DI39),OFFSET(INDIRECT(CONCAT(""A"",to_text(match(DI39,ecn.list,0)))),0,1),"""")"),"")</f>
        <v/>
      </c>
      <c r="AJ39" s="236" t="str">
        <f>IFERROR(__xludf.DUMMYFUNCTION("if(countif(ecn.list,DJ39),OFFSET(INDIRECT(CONCAT(""A"",to_text(match(DJ39,ecn.list,0)))),0,1),"""")"),"K5 ")</f>
        <v>K5 </v>
      </c>
      <c r="AK39" s="236" t="str">
        <f>IFERROR(__xludf.DUMMYFUNCTION("if(countif(ecn.list,DK39),OFFSET(INDIRECT(CONCAT(""A"",to_text(match(DK39,ecn.list,0)))),0,1),"""")"),"")</f>
        <v/>
      </c>
      <c r="AL39" s="236" t="str">
        <f>IFERROR(__xludf.DUMMYFUNCTION("if(countif(ecn.list,DL39),OFFSET(INDIRECT(CONCAT(""A"",to_text(match(DL39,ecn.list,0)))),0,1),"""")"),"K7 ")</f>
        <v>K7 </v>
      </c>
      <c r="AM39" s="236" t="str">
        <f>IFERROR(__xludf.DUMMYFUNCTION("if(countif(ecn.list,DM39),OFFSET(INDIRECT(CONCAT(""A"",to_text(match(DM39,ecn.list,0)))),0,1),"""")"),"")</f>
        <v/>
      </c>
      <c r="AN39" s="236" t="str">
        <f>IFERROR(__xludf.DUMMYFUNCTION("if(countif(ecn.list,DN39),OFFSET(INDIRECT(CONCAT(""A"",to_text(match(DN39,ecn.list,0)))),0,1),"""")"),"K9 ")</f>
        <v>K9 </v>
      </c>
      <c r="AO39" s="236" t="str">
        <f>IFERROR(__xludf.DUMMYFUNCTION("if(countif(ecn.list,DO39),OFFSET(INDIRECT(CONCAT(""A"",to_text(match(DO39,ecn.list,0)))),0,1),"""")"),"KA ")</f>
        <v>KA </v>
      </c>
      <c r="AP39" s="236" t="str">
        <f>IFERROR(__xludf.DUMMYFUNCTION("if(countif(ecn.list,DP39),OFFSET(INDIRECT(CONCAT(""A"",to_text(match(DP39,ecn.list,0)))),0,1),"""")"),"KB ")</f>
        <v>KB </v>
      </c>
      <c r="AQ39" s="236" t="str">
        <f>IFERROR(__xludf.DUMMYFUNCTION("if(countif(ecn.list,DQ39),OFFSET(INDIRECT(CONCAT(""A"",to_text(match(DQ39,ecn.list,0)))),0,1),"""")"),"KC ")</f>
        <v>KC </v>
      </c>
      <c r="AR39" s="236" t="str">
        <f>IFERROR(__xludf.DUMMYFUNCTION("if(countif(ecn.list,DR39),OFFSET(INDIRECT(CONCAT(""A"",to_text(match(DR39,ecn.list,0)))),0,1),"""")"),"KD ")</f>
        <v>KD </v>
      </c>
      <c r="AS39" s="236" t="str">
        <f>IFERROR(__xludf.DUMMYFUNCTION("if(countif(ecn.list,DS39),OFFSET(INDIRECT(CONCAT(""A"",to_text(match(DS39,ecn.list,0)))),0,1),"""")"),"")</f>
        <v/>
      </c>
      <c r="AT39" s="236" t="str">
        <f>IFERROR(__xludf.DUMMYFUNCTION("if(countif(ecn.list,DT39),OFFSET(INDIRECT(CONCAT(""A"",to_text(match(DT39,ecn.list,0)))),0,1),"""")"),"KF ")</f>
        <v>KF </v>
      </c>
      <c r="AU39" s="236" t="str">
        <f>IFERROR(__xludf.DUMMYFUNCTION("if(countif(ecn.list,DU39),OFFSET(INDIRECT(CONCAT(""A"",to_text(match(DU39,ecn.list,0)))),0,1),"""")"),"")</f>
        <v/>
      </c>
      <c r="AV39" s="236" t="str">
        <f>IFERROR(__xludf.DUMMYFUNCTION("if(countif(ecn.list,DV39),OFFSET(INDIRECT(CONCAT(""A"",to_text(match(DV39,ecn.list,0)))),0,1),"""")"),"L1 ")</f>
        <v>L1 </v>
      </c>
      <c r="AW39" s="236" t="str">
        <f>IFERROR(__xludf.DUMMYFUNCTION("if(countif(ecn.list,DW39),OFFSET(INDIRECT(CONCAT(""A"",to_text(match(DW39,ecn.list,0)))),0,1),"""")"),"")</f>
        <v/>
      </c>
      <c r="AX39" s="236" t="str">
        <f>IFERROR(__xludf.DUMMYFUNCTION("if(countif(ecn.list,DX39),OFFSET(INDIRECT(CONCAT(""A"",to_text(match(DX39,ecn.list,0)))),0,1),"""")"),"")</f>
        <v/>
      </c>
      <c r="AY39" s="236" t="str">
        <f>IFERROR(__xludf.DUMMYFUNCTION("if(countif(ecn.list,DY39),OFFSET(INDIRECT(CONCAT(""A"",to_text(match(DY39,ecn.list,0)))),0,1),"""")"),"")</f>
        <v/>
      </c>
      <c r="AZ39" s="236" t="str">
        <f>IFERROR(__xludf.DUMMYFUNCTION("if(countif(ecn.list,DZ39),OFFSET(INDIRECT(CONCAT(""A"",to_text(match(DZ39,ecn.list,0)))),0,1),"""")"),"")</f>
        <v/>
      </c>
      <c r="BA39" s="236" t="str">
        <f>IFERROR(__xludf.DUMMYFUNCTION("if(countif(ecn.list,EA39),OFFSET(INDIRECT(CONCAT(""A"",to_text(match(EA39,ecn.list,0)))),0,1),"""")"),"")</f>
        <v/>
      </c>
      <c r="BB39" s="236" t="str">
        <f>IFERROR(__xludf.DUMMYFUNCTION("if(countif(ecn.list,EB39),OFFSET(INDIRECT(CONCAT(""A"",to_text(match(EB39,ecn.list,0)))),0,1),"""")"),"")</f>
        <v/>
      </c>
      <c r="BC39" s="236" t="str">
        <f>IFERROR(__xludf.DUMMYFUNCTION("if(countif(ecn.list,EC39),OFFSET(INDIRECT(CONCAT(""A"",to_text(match(EC39,ecn.list,0)))),0,1),"""")"),"L8 ")</f>
        <v>L8 </v>
      </c>
      <c r="BD39" s="236" t="str">
        <f>IFERROR(__xludf.DUMMYFUNCTION("if(countif(ecn.list,ED39),OFFSET(INDIRECT(CONCAT(""A"",to_text(match(ED39,ecn.list,0)))),0,1),"""")"),"")</f>
        <v/>
      </c>
      <c r="BE39" s="236" t="str">
        <f>IFERROR(__xludf.DUMMYFUNCTION("if(countif(ecn.list,EE39),OFFSET(INDIRECT(CONCAT(""A"",to_text(match(EE39,ecn.list,0)))),0,1),"""")"),"LA ")</f>
        <v>LA </v>
      </c>
      <c r="BF39" s="236" t="str">
        <f>IFERROR(__xludf.DUMMYFUNCTION("if(countif(ecn.list,EF39),OFFSET(INDIRECT(CONCAT(""A"",to_text(match(EF39,ecn.list,0)))),0,1),"""")"),"")</f>
        <v/>
      </c>
      <c r="BG39" s="236" t="str">
        <f>IFERROR(__xludf.DUMMYFUNCTION("if(countif(ecn.list,EG39),OFFSET(INDIRECT(CONCAT(""A"",to_text(match(EG39,ecn.list,0)))),0,1),"""")"),"LC ")</f>
        <v>LC </v>
      </c>
      <c r="BH39" s="236" t="str">
        <f>IFERROR(__xludf.DUMMYFUNCTION("if(countif(ecn.list,EH39),OFFSET(INDIRECT(CONCAT(""A"",to_text(match(EH39,ecn.list,0)))),0,1),"""")"),"")</f>
        <v/>
      </c>
      <c r="BI39" s="236" t="str">
        <f>IFERROR(__xludf.DUMMYFUNCTION("if(countif(ecn.list,EI39),OFFSET(INDIRECT(CONCAT(""A"",to_text(match(EI39,ecn.list,0)))),0,1),"""")"),"")</f>
        <v/>
      </c>
      <c r="BJ39" s="236" t="str">
        <f>IFERROR(__xludf.DUMMYFUNCTION("if(countif(ecn.list,EJ39),OFFSET(INDIRECT(CONCAT(""A"",to_text(match(EJ39,ecn.list,0)))),0,1),"""")"),"LF ")</f>
        <v>LF </v>
      </c>
      <c r="BK39" s="236" t="str">
        <f>IFERROR(__xludf.DUMMYFUNCTION("if(countif(ecn.list,EK39),OFFSET(INDIRECT(CONCAT(""A"",to_text(match(EK39,ecn.list,0)))),0,1),"""")"),"")</f>
        <v/>
      </c>
      <c r="BL39" s="236" t="str">
        <f>IFERROR(__xludf.DUMMYFUNCTION("if(countif(ecn.list,EL39),OFFSET(INDIRECT(CONCAT(""A"",to_text(match(EL39,ecn.list,0)))),0,1),"""")"),"M1 ")</f>
        <v>M1 </v>
      </c>
      <c r="BM39" s="236" t="str">
        <f>IFERROR(__xludf.DUMMYFUNCTION("if(countif(ecn.list,EM39),OFFSET(INDIRECT(CONCAT(""A"",to_text(match(EM39,ecn.list,0)))),0,1),"""")"),"")</f>
        <v/>
      </c>
      <c r="BN39" s="236" t="str">
        <f>IFERROR(__xludf.DUMMYFUNCTION("if(countif(ecn.list,EN39),OFFSET(INDIRECT(CONCAT(""A"",to_text(match(EN39,ecn.list,0)))),0,1),"""")"),"M3 ")</f>
        <v>M3 </v>
      </c>
      <c r="BO39" s="236" t="str">
        <f>IFERROR(__xludf.DUMMYFUNCTION("if(countif(ecn.list,EO39),OFFSET(INDIRECT(CONCAT(""A"",to_text(match(EO39,ecn.list,0)))),0,1),"""")"),"M4 ")</f>
        <v>M4 </v>
      </c>
      <c r="BP39" s="236" t="str">
        <f>IFERROR(__xludf.DUMMYFUNCTION("if(countif(ecn.list,EP39),OFFSET(INDIRECT(CONCAT(""A"",to_text(match(EP39,ecn.list,0)))),0,1),"""")"),"")</f>
        <v/>
      </c>
      <c r="BQ39" s="236" t="str">
        <f>IFERROR(__xludf.DUMMYFUNCTION("if(countif(ecn.list,EQ39),OFFSET(INDIRECT(CONCAT(""A"",to_text(match(EQ39,ecn.list,0)))),0,1),"""")"),"")</f>
        <v/>
      </c>
      <c r="BR39" s="236" t="str">
        <f>IFERROR(__xludf.DUMMYFUNCTION("if(countif(ecn.list,ER39),OFFSET(INDIRECT(CONCAT(""A"",to_text(match(ER39,ecn.list,0)))),0,1),"""")"),"")</f>
        <v/>
      </c>
      <c r="BS39" s="236" t="str">
        <f>IFERROR(__xludf.DUMMYFUNCTION("if(countif(ecn.list,ES39),OFFSET(INDIRECT(CONCAT(""A"",to_text(match(ES39,ecn.list,0)))),0,1),"""")"),"")</f>
        <v/>
      </c>
      <c r="BT39" s="236" t="str">
        <f>IFERROR(__xludf.DUMMYFUNCTION("if(countif(ecn.list,ET39),OFFSET(INDIRECT(CONCAT(""A"",to_text(match(ET39,ecn.list,0)))),0,1),"""")"),"")</f>
        <v/>
      </c>
      <c r="BU39" s="236" t="str">
        <f>IFERROR(__xludf.DUMMYFUNCTION("if(countif(ecn.list,EU39),OFFSET(INDIRECT(CONCAT(""A"",to_text(match(EU39,ecn.list,0)))),0,1),"""")"),"")</f>
        <v/>
      </c>
      <c r="BV39" s="236" t="str">
        <f>IFERROR(__xludf.DUMMYFUNCTION("if(countif(ecn.list,EV39),OFFSET(INDIRECT(CONCAT(""A"",to_text(match(EV39,ecn.list,0)))),0,1),"""")"),"MB ")</f>
        <v>MB </v>
      </c>
      <c r="BW39" s="236" t="str">
        <f>IFERROR(__xludf.DUMMYFUNCTION("if(countif(ecn.list,EW39),OFFSET(INDIRECT(CONCAT(""A"",to_text(match(EW39,ecn.list,0)))),0,1),"""")"),"")</f>
        <v/>
      </c>
      <c r="BX39" s="236" t="str">
        <f>IFERROR(__xludf.DUMMYFUNCTION("if(countif(ecn.list,EX39),OFFSET(INDIRECT(CONCAT(""A"",to_text(match(EX39,ecn.list,0)))),0,1),"""")"),"")</f>
        <v/>
      </c>
      <c r="BY39" s="236" t="str">
        <f>IFERROR(__xludf.DUMMYFUNCTION("if(countif(ecn.list,EY39),OFFSET(INDIRECT(CONCAT(""A"",to_text(match(EY39,ecn.list,0)))),0,1),"""")"),"")</f>
        <v/>
      </c>
      <c r="BZ39" s="236" t="str">
        <f>IFERROR(__xludf.DUMMYFUNCTION("if(countif(ecn.list,EZ39),OFFSET(INDIRECT(CONCAT(""A"",to_text(match(EZ39,ecn.list,0)))),0,1),"""")"),"MF ")</f>
        <v>MF </v>
      </c>
      <c r="CA39" s="236" t="str">
        <f>IFERROR(__xludf.DUMMYFUNCTION("if(countif(ecn.list,FA39),OFFSET(INDIRECT(CONCAT(""A"",to_text(match(FA39,ecn.list,0)))),0,1),"""")"),"")</f>
        <v/>
      </c>
      <c r="CB39" s="236" t="str">
        <f>IFERROR(__xludf.DUMMYFUNCTION("if(countif(ecn.list,FB39),OFFSET(INDIRECT(CONCAT(""A"",to_text(match(FB39,ecn.list,0)))),0,1),"""")"),"")</f>
        <v/>
      </c>
      <c r="CC39" s="236" t="str">
        <f>IFERROR(__xludf.DUMMYFUNCTION("if(countif(ecn.list,FC39),OFFSET(INDIRECT(CONCAT(""A"",to_text(match(FC39,ecn.list,0)))),0,1),"""")"),"N2 ")</f>
        <v>N2 </v>
      </c>
      <c r="CD39" s="236" t="str">
        <f>IFERROR(__xludf.DUMMYFUNCTION("if(countif(ecn.list,FD39),OFFSET(INDIRECT(CONCAT(""A"",to_text(match(FD39,ecn.list,0)))),0,1),"""")"),"")</f>
        <v/>
      </c>
      <c r="CE39" s="236" t="str">
        <f>IFERROR(__xludf.DUMMYFUNCTION("if(countif(ecn.list,FE39),OFFSET(INDIRECT(CONCAT(""A"",to_text(match(FE39,ecn.list,0)))),0,1),"""")"),"")</f>
        <v/>
      </c>
      <c r="CF39" s="236" t="str">
        <f>IFERROR(__xludf.DUMMYFUNCTION("if(countif(ecn.list,FF39),OFFSET(INDIRECT(CONCAT(""A"",to_text(match(FF39,ecn.list,0)))),0,1),"""")"),"")</f>
        <v/>
      </c>
      <c r="CG39" s="236" t="str">
        <f>IFERROR(__xludf.DUMMYFUNCTION("if(countif(ecn.list,FG39),OFFSET(INDIRECT(CONCAT(""A"",to_text(match(FG39,ecn.list,0)))),0,1),"""")"),"")</f>
        <v/>
      </c>
      <c r="CH39" s="236" t="str">
        <f>IFERROR(__xludf.DUMMYFUNCTION("if(countif(ecn.list,FH39),OFFSET(INDIRECT(CONCAT(""A"",to_text(match(FH39,ecn.list,0)))),0,1),"""")"),"N7 ")</f>
        <v>N7 </v>
      </c>
      <c r="CI39" s="236" t="str">
        <f>IFERROR(__xludf.DUMMYFUNCTION("if(countif(ecn.list,FI39),OFFSET(INDIRECT(CONCAT(""A"",to_text(match(FI39,ecn.list,0)))),0,1),"""")"),"")</f>
        <v/>
      </c>
      <c r="CJ39" s="236" t="str">
        <f>IFERROR(__xludf.DUMMYFUNCTION("if(countif(ecn.list,FJ39),OFFSET(INDIRECT(CONCAT(""A"",to_text(match(FJ39,ecn.list,0)))),0,1),"""")"),"")</f>
        <v/>
      </c>
      <c r="CK39" s="236" t="str">
        <f>IFERROR(__xludf.DUMMYFUNCTION("if(countif(ecn.list,FK39),OFFSET(INDIRECT(CONCAT(""A"",to_text(match(FK39,ecn.list,0)))),0,1),"""")"),"NA ")</f>
        <v>NA </v>
      </c>
      <c r="CL39" s="236" t="str">
        <f>IFERROR(__xludf.DUMMYFUNCTION("if(countif(ecn.list,FL39),OFFSET(INDIRECT(CONCAT(""A"",to_text(match(FL39,ecn.list,0)))),0,1),"""")"),"")</f>
        <v/>
      </c>
      <c r="CM39" s="236" t="str">
        <f>IFERROR(__xludf.DUMMYFUNCTION("if(countif(ecn.list,FM39),OFFSET(INDIRECT(CONCAT(""A"",to_text(match(FM39,ecn.list,0)))),0,1),"""")"),"")</f>
        <v/>
      </c>
      <c r="CN39" s="198" t="s">
        <v>192</v>
      </c>
      <c r="CO39" s="198" t="s">
        <v>1447</v>
      </c>
      <c r="CP39" s="198" t="s">
        <v>1451</v>
      </c>
      <c r="CQ39" s="198" t="s">
        <v>1452</v>
      </c>
      <c r="CR39" s="198" t="s">
        <v>1453</v>
      </c>
      <c r="CS39" s="198" t="s">
        <v>1453</v>
      </c>
      <c r="CT39" s="198" t="s">
        <v>1454</v>
      </c>
      <c r="CU39" s="198" t="s">
        <v>1455</v>
      </c>
      <c r="CV39" s="198" t="s">
        <v>1456</v>
      </c>
      <c r="CW39" s="198" t="s">
        <v>1453</v>
      </c>
      <c r="CX39" s="198" t="s">
        <v>1453</v>
      </c>
      <c r="CY39" s="198" t="s">
        <v>1453</v>
      </c>
      <c r="CZ39" s="198" t="s">
        <v>1453</v>
      </c>
      <c r="DA39" s="198" t="s">
        <v>1457</v>
      </c>
      <c r="DB39" s="198" t="s">
        <v>1453</v>
      </c>
      <c r="DC39" s="198" t="s">
        <v>1453</v>
      </c>
      <c r="DD39" s="198" t="s">
        <v>1458</v>
      </c>
      <c r="DE39" s="198" t="s">
        <v>1459</v>
      </c>
      <c r="DF39" s="198" t="s">
        <v>1453</v>
      </c>
      <c r="DG39" s="198" t="s">
        <v>1453</v>
      </c>
      <c r="DH39" s="198" t="s">
        <v>1453</v>
      </c>
      <c r="DI39" s="198" t="s">
        <v>1453</v>
      </c>
      <c r="DJ39" s="198" t="s">
        <v>1460</v>
      </c>
      <c r="DK39" s="198" t="s">
        <v>1453</v>
      </c>
      <c r="DL39" s="198" t="s">
        <v>1461</v>
      </c>
      <c r="DM39" s="198" t="s">
        <v>1453</v>
      </c>
      <c r="DN39" s="198" t="s">
        <v>1463</v>
      </c>
      <c r="DO39" s="198" t="s">
        <v>1464</v>
      </c>
      <c r="DP39" s="198" t="s">
        <v>1465</v>
      </c>
      <c r="DQ39" s="198" t="s">
        <v>1466</v>
      </c>
      <c r="DR39" s="198" t="s">
        <v>1467</v>
      </c>
      <c r="DS39" s="198" t="s">
        <v>1453</v>
      </c>
      <c r="DT39" s="198" t="s">
        <v>1468</v>
      </c>
      <c r="DU39" s="198" t="s">
        <v>1453</v>
      </c>
      <c r="DV39" s="198" t="s">
        <v>1469</v>
      </c>
      <c r="DW39" s="198" t="s">
        <v>1453</v>
      </c>
      <c r="DX39" s="198" t="s">
        <v>1453</v>
      </c>
      <c r="DY39" s="198" t="s">
        <v>1453</v>
      </c>
      <c r="DZ39" s="198" t="s">
        <v>1453</v>
      </c>
      <c r="EA39" s="198" t="s">
        <v>1453</v>
      </c>
      <c r="EB39" s="198" t="s">
        <v>1453</v>
      </c>
      <c r="EC39" s="198" t="s">
        <v>1483</v>
      </c>
      <c r="ED39" s="198" t="s">
        <v>1453</v>
      </c>
      <c r="EE39" s="198" t="s">
        <v>1470</v>
      </c>
      <c r="EF39" s="198" t="s">
        <v>1453</v>
      </c>
      <c r="EG39" s="198" t="s">
        <v>1471</v>
      </c>
      <c r="EH39" s="198" t="s">
        <v>1453</v>
      </c>
      <c r="EI39" s="198" t="s">
        <v>1453</v>
      </c>
      <c r="EJ39" s="198" t="s">
        <v>1472</v>
      </c>
      <c r="EK39" s="198" t="s">
        <v>1453</v>
      </c>
      <c r="EL39" s="198" t="s">
        <v>1473</v>
      </c>
      <c r="EM39" s="198" t="s">
        <v>1453</v>
      </c>
      <c r="EN39" s="198" t="s">
        <v>1474</v>
      </c>
      <c r="EO39" s="198" t="s">
        <v>1475</v>
      </c>
      <c r="EP39" s="198" t="s">
        <v>1453</v>
      </c>
      <c r="EQ39" s="198" t="s">
        <v>1453</v>
      </c>
      <c r="ER39" s="198" t="s">
        <v>1453</v>
      </c>
      <c r="ES39" s="198" t="s">
        <v>1453</v>
      </c>
      <c r="ET39" s="198" t="s">
        <v>1453</v>
      </c>
      <c r="EU39" s="198" t="s">
        <v>1453</v>
      </c>
      <c r="EV39" s="198" t="s">
        <v>1476</v>
      </c>
      <c r="EW39" s="198" t="s">
        <v>1453</v>
      </c>
      <c r="EX39" s="198" t="s">
        <v>1453</v>
      </c>
      <c r="EY39" s="198" t="s">
        <v>1453</v>
      </c>
      <c r="EZ39" s="198" t="s">
        <v>1477</v>
      </c>
      <c r="FA39" s="198" t="s">
        <v>1453</v>
      </c>
      <c r="FB39" s="198" t="s">
        <v>1453</v>
      </c>
      <c r="FC39" s="198" t="s">
        <v>1478</v>
      </c>
      <c r="FD39" s="198" t="s">
        <v>1453</v>
      </c>
      <c r="FE39" s="198" t="s">
        <v>1453</v>
      </c>
      <c r="FF39" s="198" t="s">
        <v>1453</v>
      </c>
      <c r="FG39" s="198" t="s">
        <v>1453</v>
      </c>
      <c r="FH39" s="198" t="s">
        <v>1479</v>
      </c>
      <c r="FI39" s="198" t="s">
        <v>1453</v>
      </c>
      <c r="FJ39" s="198" t="s">
        <v>1453</v>
      </c>
      <c r="FK39" s="198" t="s">
        <v>1481</v>
      </c>
      <c r="FL39" s="198" t="s">
        <v>1482</v>
      </c>
      <c r="FM39" s="198" t="s">
        <v>1453</v>
      </c>
    </row>
    <row r="40" ht="15.75" customHeight="1">
      <c r="A40" s="236" t="s">
        <v>1523</v>
      </c>
      <c r="B40" s="198" t="str">
        <f t="shared" si="4"/>
        <v>L6 </v>
      </c>
      <c r="C40" s="234">
        <v>6.0</v>
      </c>
      <c r="D40" s="232" t="s">
        <v>770</v>
      </c>
      <c r="E40" s="232" t="s">
        <v>1448</v>
      </c>
      <c r="F40" s="232" t="s">
        <v>1449</v>
      </c>
      <c r="G40" s="232" t="s">
        <v>1450</v>
      </c>
      <c r="H40" s="232" t="s">
        <v>876</v>
      </c>
      <c r="I40" s="232" t="s">
        <v>877</v>
      </c>
      <c r="J40" s="232" t="s">
        <v>867</v>
      </c>
      <c r="K40" s="232" t="s">
        <v>1067</v>
      </c>
      <c r="L40" s="188" t="s">
        <v>195</v>
      </c>
      <c r="M40" s="236" t="str">
        <f>IFERROR(__xludf.DUMMYFUNCTION("regexreplace(N40,"" "","", "")"),"J0, J1, J2, J5, J6, J7, JC, JF, K0, K3, K4, K5, K7, K8, K9, KA, KB, KC, KD, KF, L1, L8, LA, LC, LF, M0, M1, M3, M8, MB, MD, MF, N2, N7, NA, ")</f>
        <v>J0, J1, J2, J5, J6, J7, JC, JF, K0, K3, K4, K5, K7, K8, K9, KA, KB, KC, KD, KF, L1, L8, LA, LC, LF, M0, M1, M3, M8, MB, MD, MF, N2, N7, NA, </v>
      </c>
      <c r="N40" s="236" t="str">
        <f t="shared" si="2"/>
        <v>J0 J1 J2 J5 J6 J7 JC JF K0 K3 K4 K5 K7 K8 K9 KA KB KC KD KF L1 L8 LA LC LF M0 M1 M3 M8 MB MD MF N2 N7 NA </v>
      </c>
      <c r="O40" s="236" t="str">
        <f>IFERROR(__xludf.DUMMYFUNCTION("if(countif(ecn.list,CO40),OFFSET(INDIRECT(CONCAT(""A"",to_text(match(CO40,ecn.list,0)))),0,1),"""")"),"J0 ")</f>
        <v>J0 </v>
      </c>
      <c r="P40" s="236" t="str">
        <f>IFERROR(__xludf.DUMMYFUNCTION("if(countif(ecn.list,CP40),OFFSET(INDIRECT(CONCAT(""A"",to_text(match(CP40,ecn.list,0)))),0,1),"""")"),"J1 ")</f>
        <v>J1 </v>
      </c>
      <c r="Q40" s="236" t="str">
        <f>IFERROR(__xludf.DUMMYFUNCTION("if(countif(ecn.list,CQ40),OFFSET(INDIRECT(CONCAT(""A"",to_text(match(CQ40,ecn.list,0)))),0,1),"""")"),"J2 ")</f>
        <v>J2 </v>
      </c>
      <c r="R40" s="236" t="str">
        <f>IFERROR(__xludf.DUMMYFUNCTION("if(countif(ecn.list,CR40),OFFSET(INDIRECT(CONCAT(""A"",to_text(match(CR40,ecn.list,0)))),0,1),"""")"),"")</f>
        <v/>
      </c>
      <c r="S40" s="236" t="str">
        <f>IFERROR(__xludf.DUMMYFUNCTION("if(countif(ecn.list,CS40),OFFSET(INDIRECT(CONCAT(""A"",to_text(match(CS40,ecn.list,0)))),0,1),"""")"),"")</f>
        <v/>
      </c>
      <c r="T40" s="236" t="str">
        <f>IFERROR(__xludf.DUMMYFUNCTION("if(countif(ecn.list,CT40),OFFSET(INDIRECT(CONCAT(""A"",to_text(match(CT40,ecn.list,0)))),0,1),"""")"),"J5 ")</f>
        <v>J5 </v>
      </c>
      <c r="U40" s="236" t="str">
        <f>IFERROR(__xludf.DUMMYFUNCTION("if(countif(ecn.list,CU40),OFFSET(INDIRECT(CONCAT(""A"",to_text(match(CU40,ecn.list,0)))),0,1),"""")"),"J6 ")</f>
        <v>J6 </v>
      </c>
      <c r="V40" s="236" t="str">
        <f>IFERROR(__xludf.DUMMYFUNCTION("if(countif(ecn.list,CV40),OFFSET(INDIRECT(CONCAT(""A"",to_text(match(CV40,ecn.list,0)))),0,1),"""")"),"J7 ")</f>
        <v>J7 </v>
      </c>
      <c r="W40" s="236" t="str">
        <f>IFERROR(__xludf.DUMMYFUNCTION("if(countif(ecn.list,CW40),OFFSET(INDIRECT(CONCAT(""A"",to_text(match(CW40,ecn.list,0)))),0,1),"""")"),"")</f>
        <v/>
      </c>
      <c r="X40" s="236" t="str">
        <f>IFERROR(__xludf.DUMMYFUNCTION("if(countif(ecn.list,CX40),OFFSET(INDIRECT(CONCAT(""A"",to_text(match(CX40,ecn.list,0)))),0,1),"""")"),"")</f>
        <v/>
      </c>
      <c r="Y40" s="236" t="str">
        <f>IFERROR(__xludf.DUMMYFUNCTION("if(countif(ecn.list,CY40),OFFSET(INDIRECT(CONCAT(""A"",to_text(match(CY40,ecn.list,0)))),0,1),"""")"),"")</f>
        <v/>
      </c>
      <c r="Z40" s="236" t="str">
        <f>IFERROR(__xludf.DUMMYFUNCTION("if(countif(ecn.list,CZ40),OFFSET(INDIRECT(CONCAT(""A"",to_text(match(CZ40,ecn.list,0)))),0,1),"""")"),"")</f>
        <v/>
      </c>
      <c r="AA40" s="236" t="str">
        <f>IFERROR(__xludf.DUMMYFUNCTION("if(countif(ecn.list,DA40),OFFSET(INDIRECT(CONCAT(""A"",to_text(match(DA40,ecn.list,0)))),0,1),"""")"),"JC ")</f>
        <v>JC </v>
      </c>
      <c r="AB40" s="236" t="str">
        <f>IFERROR(__xludf.DUMMYFUNCTION("if(countif(ecn.list,DB40),OFFSET(INDIRECT(CONCAT(""A"",to_text(match(DB40,ecn.list,0)))),0,1),"""")"),"")</f>
        <v/>
      </c>
      <c r="AC40" s="236" t="str">
        <f>IFERROR(__xludf.DUMMYFUNCTION("if(countif(ecn.list,DC40),OFFSET(INDIRECT(CONCAT(""A"",to_text(match(DC40,ecn.list,0)))),0,1),"""")"),"")</f>
        <v/>
      </c>
      <c r="AD40" s="236" t="str">
        <f>IFERROR(__xludf.DUMMYFUNCTION("if(countif(ecn.list,DD40),OFFSET(INDIRECT(CONCAT(""A"",to_text(match(DD40,ecn.list,0)))),0,1),"""")"),"JF ")</f>
        <v>JF </v>
      </c>
      <c r="AE40" s="236" t="str">
        <f>IFERROR(__xludf.DUMMYFUNCTION("if(countif(ecn.list,DE40),OFFSET(INDIRECT(CONCAT(""A"",to_text(match(DE40,ecn.list,0)))),0,1),"""")"),"K0 ")</f>
        <v>K0 </v>
      </c>
      <c r="AF40" s="236" t="str">
        <f>IFERROR(__xludf.DUMMYFUNCTION("if(countif(ecn.list,DF40),OFFSET(INDIRECT(CONCAT(""A"",to_text(match(DF40,ecn.list,0)))),0,1),"""")"),"")</f>
        <v/>
      </c>
      <c r="AG40" s="236" t="str">
        <f>IFERROR(__xludf.DUMMYFUNCTION("if(countif(ecn.list,DG40),OFFSET(INDIRECT(CONCAT(""A"",to_text(match(DG40,ecn.list,0)))),0,1),"""")"),"")</f>
        <v/>
      </c>
      <c r="AH40" s="236" t="str">
        <f>IFERROR(__xludf.DUMMYFUNCTION("if(countif(ecn.list,DH40),OFFSET(INDIRECT(CONCAT(""A"",to_text(match(DH40,ecn.list,0)))),0,1),"""")"),"K3 ")</f>
        <v>K3 </v>
      </c>
      <c r="AI40" s="236" t="str">
        <f>IFERROR(__xludf.DUMMYFUNCTION("if(countif(ecn.list,DI40),OFFSET(INDIRECT(CONCAT(""A"",to_text(match(DI40,ecn.list,0)))),0,1),"""")"),"K4 ")</f>
        <v>K4 </v>
      </c>
      <c r="AJ40" s="236" t="str">
        <f>IFERROR(__xludf.DUMMYFUNCTION("if(countif(ecn.list,DJ40),OFFSET(INDIRECT(CONCAT(""A"",to_text(match(DJ40,ecn.list,0)))),0,1),"""")"),"K5 ")</f>
        <v>K5 </v>
      </c>
      <c r="AK40" s="236" t="str">
        <f>IFERROR(__xludf.DUMMYFUNCTION("if(countif(ecn.list,DK40),OFFSET(INDIRECT(CONCAT(""A"",to_text(match(DK40,ecn.list,0)))),0,1),"""")"),"")</f>
        <v/>
      </c>
      <c r="AL40" s="236" t="str">
        <f>IFERROR(__xludf.DUMMYFUNCTION("if(countif(ecn.list,DL40),OFFSET(INDIRECT(CONCAT(""A"",to_text(match(DL40,ecn.list,0)))),0,1),"""")"),"K7 ")</f>
        <v>K7 </v>
      </c>
      <c r="AM40" s="236" t="str">
        <f>IFERROR(__xludf.DUMMYFUNCTION("if(countif(ecn.list,DM40),OFFSET(INDIRECT(CONCAT(""A"",to_text(match(DM40,ecn.list,0)))),0,1),"""")"),"K8 ")</f>
        <v>K8 </v>
      </c>
      <c r="AN40" s="236" t="str">
        <f>IFERROR(__xludf.DUMMYFUNCTION("if(countif(ecn.list,DN40),OFFSET(INDIRECT(CONCAT(""A"",to_text(match(DN40,ecn.list,0)))),0,1),"""")"),"K9 ")</f>
        <v>K9 </v>
      </c>
      <c r="AO40" s="236" t="str">
        <f>IFERROR(__xludf.DUMMYFUNCTION("if(countif(ecn.list,DO40),OFFSET(INDIRECT(CONCAT(""A"",to_text(match(DO40,ecn.list,0)))),0,1),"""")"),"KA ")</f>
        <v>KA </v>
      </c>
      <c r="AP40" s="236" t="str">
        <f>IFERROR(__xludf.DUMMYFUNCTION("if(countif(ecn.list,DP40),OFFSET(INDIRECT(CONCAT(""A"",to_text(match(DP40,ecn.list,0)))),0,1),"""")"),"KB ")</f>
        <v>KB </v>
      </c>
      <c r="AQ40" s="236" t="str">
        <f>IFERROR(__xludf.DUMMYFUNCTION("if(countif(ecn.list,DQ40),OFFSET(INDIRECT(CONCAT(""A"",to_text(match(DQ40,ecn.list,0)))),0,1),"""")"),"KC ")</f>
        <v>KC </v>
      </c>
      <c r="AR40" s="236" t="str">
        <f>IFERROR(__xludf.DUMMYFUNCTION("if(countif(ecn.list,DR40),OFFSET(INDIRECT(CONCAT(""A"",to_text(match(DR40,ecn.list,0)))),0,1),"""")"),"KD ")</f>
        <v>KD </v>
      </c>
      <c r="AS40" s="236" t="str">
        <f>IFERROR(__xludf.DUMMYFUNCTION("if(countif(ecn.list,DS40),OFFSET(INDIRECT(CONCAT(""A"",to_text(match(DS40,ecn.list,0)))),0,1),"""")"),"")</f>
        <v/>
      </c>
      <c r="AT40" s="236" t="str">
        <f>IFERROR(__xludf.DUMMYFUNCTION("if(countif(ecn.list,DT40),OFFSET(INDIRECT(CONCAT(""A"",to_text(match(DT40,ecn.list,0)))),0,1),"""")"),"KF ")</f>
        <v>KF </v>
      </c>
      <c r="AU40" s="236" t="str">
        <f>IFERROR(__xludf.DUMMYFUNCTION("if(countif(ecn.list,DU40),OFFSET(INDIRECT(CONCAT(""A"",to_text(match(DU40,ecn.list,0)))),0,1),"""")"),"")</f>
        <v/>
      </c>
      <c r="AV40" s="236" t="str">
        <f>IFERROR(__xludf.DUMMYFUNCTION("if(countif(ecn.list,DV40),OFFSET(INDIRECT(CONCAT(""A"",to_text(match(DV40,ecn.list,0)))),0,1),"""")"),"L1 ")</f>
        <v>L1 </v>
      </c>
      <c r="AW40" s="236" t="str">
        <f>IFERROR(__xludf.DUMMYFUNCTION("if(countif(ecn.list,DW40),OFFSET(INDIRECT(CONCAT(""A"",to_text(match(DW40,ecn.list,0)))),0,1),"""")"),"")</f>
        <v/>
      </c>
      <c r="AX40" s="236" t="str">
        <f>IFERROR(__xludf.DUMMYFUNCTION("if(countif(ecn.list,DX40),OFFSET(INDIRECT(CONCAT(""A"",to_text(match(DX40,ecn.list,0)))),0,1),"""")"),"")</f>
        <v/>
      </c>
      <c r="AY40" s="236" t="str">
        <f>IFERROR(__xludf.DUMMYFUNCTION("if(countif(ecn.list,DY40),OFFSET(INDIRECT(CONCAT(""A"",to_text(match(DY40,ecn.list,0)))),0,1),"""")"),"")</f>
        <v/>
      </c>
      <c r="AZ40" s="236" t="str">
        <f>IFERROR(__xludf.DUMMYFUNCTION("if(countif(ecn.list,DZ40),OFFSET(INDIRECT(CONCAT(""A"",to_text(match(DZ40,ecn.list,0)))),0,1),"""")"),"")</f>
        <v/>
      </c>
      <c r="BA40" s="236" t="str">
        <f>IFERROR(__xludf.DUMMYFUNCTION("if(countif(ecn.list,EA40),OFFSET(INDIRECT(CONCAT(""A"",to_text(match(EA40,ecn.list,0)))),0,1),"""")"),"")</f>
        <v/>
      </c>
      <c r="BB40" s="236" t="str">
        <f>IFERROR(__xludf.DUMMYFUNCTION("if(countif(ecn.list,EB40),OFFSET(INDIRECT(CONCAT(""A"",to_text(match(EB40,ecn.list,0)))),0,1),"""")"),"")</f>
        <v/>
      </c>
      <c r="BC40" s="236" t="str">
        <f>IFERROR(__xludf.DUMMYFUNCTION("if(countif(ecn.list,EC40),OFFSET(INDIRECT(CONCAT(""A"",to_text(match(EC40,ecn.list,0)))),0,1),"""")"),"L8 ")</f>
        <v>L8 </v>
      </c>
      <c r="BD40" s="236" t="str">
        <f>IFERROR(__xludf.DUMMYFUNCTION("if(countif(ecn.list,ED40),OFFSET(INDIRECT(CONCAT(""A"",to_text(match(ED40,ecn.list,0)))),0,1),"""")"),"")</f>
        <v/>
      </c>
      <c r="BE40" s="236" t="str">
        <f>IFERROR(__xludf.DUMMYFUNCTION("if(countif(ecn.list,EE40),OFFSET(INDIRECT(CONCAT(""A"",to_text(match(EE40,ecn.list,0)))),0,1),"""")"),"LA ")</f>
        <v>LA </v>
      </c>
      <c r="BF40" s="236" t="str">
        <f>IFERROR(__xludf.DUMMYFUNCTION("if(countif(ecn.list,EF40),OFFSET(INDIRECT(CONCAT(""A"",to_text(match(EF40,ecn.list,0)))),0,1),"""")"),"")</f>
        <v/>
      </c>
      <c r="BG40" s="236" t="str">
        <f>IFERROR(__xludf.DUMMYFUNCTION("if(countif(ecn.list,EG40),OFFSET(INDIRECT(CONCAT(""A"",to_text(match(EG40,ecn.list,0)))),0,1),"""")"),"LC ")</f>
        <v>LC </v>
      </c>
      <c r="BH40" s="236" t="str">
        <f>IFERROR(__xludf.DUMMYFUNCTION("if(countif(ecn.list,EH40),OFFSET(INDIRECT(CONCAT(""A"",to_text(match(EH40,ecn.list,0)))),0,1),"""")"),"")</f>
        <v/>
      </c>
      <c r="BI40" s="236" t="str">
        <f>IFERROR(__xludf.DUMMYFUNCTION("if(countif(ecn.list,EI40),OFFSET(INDIRECT(CONCAT(""A"",to_text(match(EI40,ecn.list,0)))),0,1),"""")"),"")</f>
        <v/>
      </c>
      <c r="BJ40" s="236" t="str">
        <f>IFERROR(__xludf.DUMMYFUNCTION("if(countif(ecn.list,EJ40),OFFSET(INDIRECT(CONCAT(""A"",to_text(match(EJ40,ecn.list,0)))),0,1),"""")"),"LF ")</f>
        <v>LF </v>
      </c>
      <c r="BK40" s="236" t="str">
        <f>IFERROR(__xludf.DUMMYFUNCTION("if(countif(ecn.list,EK40),OFFSET(INDIRECT(CONCAT(""A"",to_text(match(EK40,ecn.list,0)))),0,1),"""")"),"M0 ")</f>
        <v>M0 </v>
      </c>
      <c r="BL40" s="236" t="str">
        <f>IFERROR(__xludf.DUMMYFUNCTION("if(countif(ecn.list,EL40),OFFSET(INDIRECT(CONCAT(""A"",to_text(match(EL40,ecn.list,0)))),0,1),"""")"),"M1 ")</f>
        <v>M1 </v>
      </c>
      <c r="BM40" s="236" t="str">
        <f>IFERROR(__xludf.DUMMYFUNCTION("if(countif(ecn.list,EM40),OFFSET(INDIRECT(CONCAT(""A"",to_text(match(EM40,ecn.list,0)))),0,1),"""")"),"")</f>
        <v/>
      </c>
      <c r="BN40" s="236" t="str">
        <f>IFERROR(__xludf.DUMMYFUNCTION("if(countif(ecn.list,EN40),OFFSET(INDIRECT(CONCAT(""A"",to_text(match(EN40,ecn.list,0)))),0,1),"""")"),"M3 ")</f>
        <v>M3 </v>
      </c>
      <c r="BO40" s="236" t="str">
        <f>IFERROR(__xludf.DUMMYFUNCTION("if(countif(ecn.list,EO40),OFFSET(INDIRECT(CONCAT(""A"",to_text(match(EO40,ecn.list,0)))),0,1),"""")"),"")</f>
        <v/>
      </c>
      <c r="BP40" s="236" t="str">
        <f>IFERROR(__xludf.DUMMYFUNCTION("if(countif(ecn.list,EP40),OFFSET(INDIRECT(CONCAT(""A"",to_text(match(EP40,ecn.list,0)))),0,1),"""")"),"")</f>
        <v/>
      </c>
      <c r="BQ40" s="236" t="str">
        <f>IFERROR(__xludf.DUMMYFUNCTION("if(countif(ecn.list,EQ40),OFFSET(INDIRECT(CONCAT(""A"",to_text(match(EQ40,ecn.list,0)))),0,1),"""")"),"")</f>
        <v/>
      </c>
      <c r="BR40" s="236" t="str">
        <f>IFERROR(__xludf.DUMMYFUNCTION("if(countif(ecn.list,ER40),OFFSET(INDIRECT(CONCAT(""A"",to_text(match(ER40,ecn.list,0)))),0,1),"""")"),"")</f>
        <v/>
      </c>
      <c r="BS40" s="236" t="str">
        <f>IFERROR(__xludf.DUMMYFUNCTION("if(countif(ecn.list,ES40),OFFSET(INDIRECT(CONCAT(""A"",to_text(match(ES40,ecn.list,0)))),0,1),"""")"),"M8 ")</f>
        <v>M8 </v>
      </c>
      <c r="BT40" s="236" t="str">
        <f>IFERROR(__xludf.DUMMYFUNCTION("if(countif(ecn.list,ET40),OFFSET(INDIRECT(CONCAT(""A"",to_text(match(ET40,ecn.list,0)))),0,1),"""")"),"")</f>
        <v/>
      </c>
      <c r="BU40" s="236" t="str">
        <f>IFERROR(__xludf.DUMMYFUNCTION("if(countif(ecn.list,EU40),OFFSET(INDIRECT(CONCAT(""A"",to_text(match(EU40,ecn.list,0)))),0,1),"""")"),"")</f>
        <v/>
      </c>
      <c r="BV40" s="236" t="str">
        <f>IFERROR(__xludf.DUMMYFUNCTION("if(countif(ecn.list,EV40),OFFSET(INDIRECT(CONCAT(""A"",to_text(match(EV40,ecn.list,0)))),0,1),"""")"),"MB ")</f>
        <v>MB </v>
      </c>
      <c r="BW40" s="236" t="str">
        <f>IFERROR(__xludf.DUMMYFUNCTION("if(countif(ecn.list,EW40),OFFSET(INDIRECT(CONCAT(""A"",to_text(match(EW40,ecn.list,0)))),0,1),"""")"),"")</f>
        <v/>
      </c>
      <c r="BX40" s="236" t="str">
        <f>IFERROR(__xludf.DUMMYFUNCTION("if(countif(ecn.list,EX40),OFFSET(INDIRECT(CONCAT(""A"",to_text(match(EX40,ecn.list,0)))),0,1),"""")"),"MD ")</f>
        <v>MD </v>
      </c>
      <c r="BY40" s="236" t="str">
        <f>IFERROR(__xludf.DUMMYFUNCTION("if(countif(ecn.list,EY40),OFFSET(INDIRECT(CONCAT(""A"",to_text(match(EY40,ecn.list,0)))),0,1),"""")"),"")</f>
        <v/>
      </c>
      <c r="BZ40" s="236" t="str">
        <f>IFERROR(__xludf.DUMMYFUNCTION("if(countif(ecn.list,EZ40),OFFSET(INDIRECT(CONCAT(""A"",to_text(match(EZ40,ecn.list,0)))),0,1),"""")"),"MF ")</f>
        <v>MF </v>
      </c>
      <c r="CA40" s="236" t="str">
        <f>IFERROR(__xludf.DUMMYFUNCTION("if(countif(ecn.list,FA40),OFFSET(INDIRECT(CONCAT(""A"",to_text(match(FA40,ecn.list,0)))),0,1),"""")"),"")</f>
        <v/>
      </c>
      <c r="CB40" s="236" t="str">
        <f>IFERROR(__xludf.DUMMYFUNCTION("if(countif(ecn.list,FB40),OFFSET(INDIRECT(CONCAT(""A"",to_text(match(FB40,ecn.list,0)))),0,1),"""")"),"")</f>
        <v/>
      </c>
      <c r="CC40" s="236" t="str">
        <f>IFERROR(__xludf.DUMMYFUNCTION("if(countif(ecn.list,FC40),OFFSET(INDIRECT(CONCAT(""A"",to_text(match(FC40,ecn.list,0)))),0,1),"""")"),"N2 ")</f>
        <v>N2 </v>
      </c>
      <c r="CD40" s="236" t="str">
        <f>IFERROR(__xludf.DUMMYFUNCTION("if(countif(ecn.list,FD40),OFFSET(INDIRECT(CONCAT(""A"",to_text(match(FD40,ecn.list,0)))),0,1),"""")"),"")</f>
        <v/>
      </c>
      <c r="CE40" s="236" t="str">
        <f>IFERROR(__xludf.DUMMYFUNCTION("if(countif(ecn.list,FE40),OFFSET(INDIRECT(CONCAT(""A"",to_text(match(FE40,ecn.list,0)))),0,1),"""")"),"")</f>
        <v/>
      </c>
      <c r="CF40" s="236" t="str">
        <f>IFERROR(__xludf.DUMMYFUNCTION("if(countif(ecn.list,FF40),OFFSET(INDIRECT(CONCAT(""A"",to_text(match(FF40,ecn.list,0)))),0,1),"""")"),"")</f>
        <v/>
      </c>
      <c r="CG40" s="236" t="str">
        <f>IFERROR(__xludf.DUMMYFUNCTION("if(countif(ecn.list,FG40),OFFSET(INDIRECT(CONCAT(""A"",to_text(match(FG40,ecn.list,0)))),0,1),"""")"),"")</f>
        <v/>
      </c>
      <c r="CH40" s="236" t="str">
        <f>IFERROR(__xludf.DUMMYFUNCTION("if(countif(ecn.list,FH40),OFFSET(INDIRECT(CONCAT(""A"",to_text(match(FH40,ecn.list,0)))),0,1),"""")"),"N7 ")</f>
        <v>N7 </v>
      </c>
      <c r="CI40" s="236" t="str">
        <f>IFERROR(__xludf.DUMMYFUNCTION("if(countif(ecn.list,FI40),OFFSET(INDIRECT(CONCAT(""A"",to_text(match(FI40,ecn.list,0)))),0,1),"""")"),"")</f>
        <v/>
      </c>
      <c r="CJ40" s="236" t="str">
        <f>IFERROR(__xludf.DUMMYFUNCTION("if(countif(ecn.list,FJ40),OFFSET(INDIRECT(CONCAT(""A"",to_text(match(FJ40,ecn.list,0)))),0,1),"""")"),"")</f>
        <v/>
      </c>
      <c r="CK40" s="236" t="str">
        <f>IFERROR(__xludf.DUMMYFUNCTION("if(countif(ecn.list,FK40),OFFSET(INDIRECT(CONCAT(""A"",to_text(match(FK40,ecn.list,0)))),0,1),"""")"),"NA ")</f>
        <v>NA </v>
      </c>
      <c r="CL40" s="236" t="str">
        <f>IFERROR(__xludf.DUMMYFUNCTION("if(countif(ecn.list,FL40),OFFSET(INDIRECT(CONCAT(""A"",to_text(match(FL40,ecn.list,0)))),0,1),"""")"),"")</f>
        <v/>
      </c>
      <c r="CM40" s="236" t="str">
        <f>IFERROR(__xludf.DUMMYFUNCTION("if(countif(ecn.list,FM40),OFFSET(INDIRECT(CONCAT(""A"",to_text(match(FM40,ecn.list,0)))),0,1),"""")"),"")</f>
        <v/>
      </c>
      <c r="CN40" s="198" t="s">
        <v>195</v>
      </c>
      <c r="CO40" s="198" t="s">
        <v>1447</v>
      </c>
      <c r="CP40" s="198" t="s">
        <v>1451</v>
      </c>
      <c r="CQ40" s="198" t="s">
        <v>1452</v>
      </c>
      <c r="CR40" s="198" t="s">
        <v>1453</v>
      </c>
      <c r="CS40" s="198" t="s">
        <v>1453</v>
      </c>
      <c r="CT40" s="198" t="s">
        <v>1454</v>
      </c>
      <c r="CU40" s="198" t="s">
        <v>1455</v>
      </c>
      <c r="CV40" s="198" t="s">
        <v>1456</v>
      </c>
      <c r="CW40" s="198" t="s">
        <v>1453</v>
      </c>
      <c r="CX40" s="198" t="s">
        <v>1453</v>
      </c>
      <c r="CY40" s="198" t="s">
        <v>1453</v>
      </c>
      <c r="CZ40" s="198" t="s">
        <v>1453</v>
      </c>
      <c r="DA40" s="198" t="s">
        <v>1457</v>
      </c>
      <c r="DB40" s="198" t="s">
        <v>1453</v>
      </c>
      <c r="DC40" s="198" t="s">
        <v>1453</v>
      </c>
      <c r="DD40" s="198" t="s">
        <v>1458</v>
      </c>
      <c r="DE40" s="198" t="s">
        <v>1459</v>
      </c>
      <c r="DF40" s="198" t="s">
        <v>1453</v>
      </c>
      <c r="DG40" s="198" t="s">
        <v>1453</v>
      </c>
      <c r="DH40" s="198" t="s">
        <v>1500</v>
      </c>
      <c r="DI40" s="198" t="s">
        <v>1501</v>
      </c>
      <c r="DJ40" s="198" t="s">
        <v>1460</v>
      </c>
      <c r="DK40" s="198" t="s">
        <v>1453</v>
      </c>
      <c r="DL40" s="198" t="s">
        <v>1461</v>
      </c>
      <c r="DM40" s="198" t="s">
        <v>1462</v>
      </c>
      <c r="DN40" s="198" t="s">
        <v>1463</v>
      </c>
      <c r="DO40" s="198" t="s">
        <v>1464</v>
      </c>
      <c r="DP40" s="198" t="s">
        <v>1465</v>
      </c>
      <c r="DQ40" s="198" t="s">
        <v>1466</v>
      </c>
      <c r="DR40" s="198" t="s">
        <v>1467</v>
      </c>
      <c r="DS40" s="198" t="s">
        <v>1453</v>
      </c>
      <c r="DT40" s="198" t="s">
        <v>1468</v>
      </c>
      <c r="DU40" s="198" t="s">
        <v>1453</v>
      </c>
      <c r="DV40" s="198" t="s">
        <v>1469</v>
      </c>
      <c r="DW40" s="198" t="s">
        <v>1453</v>
      </c>
      <c r="DX40" s="198" t="s">
        <v>1453</v>
      </c>
      <c r="DY40" s="198" t="s">
        <v>1453</v>
      </c>
      <c r="DZ40" s="198" t="s">
        <v>1453</v>
      </c>
      <c r="EA40" s="198" t="s">
        <v>1453</v>
      </c>
      <c r="EB40" s="198" t="s">
        <v>1453</v>
      </c>
      <c r="EC40" s="198" t="s">
        <v>1483</v>
      </c>
      <c r="ED40" s="198" t="s">
        <v>1453</v>
      </c>
      <c r="EE40" s="198" t="s">
        <v>1470</v>
      </c>
      <c r="EF40" s="198" t="s">
        <v>1453</v>
      </c>
      <c r="EG40" s="198" t="s">
        <v>1471</v>
      </c>
      <c r="EH40" s="198" t="s">
        <v>1453</v>
      </c>
      <c r="EI40" s="198" t="s">
        <v>1453</v>
      </c>
      <c r="EJ40" s="198" t="s">
        <v>1472</v>
      </c>
      <c r="EK40" s="198" t="s">
        <v>1487</v>
      </c>
      <c r="EL40" s="198" t="s">
        <v>1473</v>
      </c>
      <c r="EM40" s="198" t="s">
        <v>1453</v>
      </c>
      <c r="EN40" s="198" t="s">
        <v>1474</v>
      </c>
      <c r="EO40" s="198" t="s">
        <v>1453</v>
      </c>
      <c r="EP40" s="198" t="s">
        <v>1453</v>
      </c>
      <c r="EQ40" s="198" t="s">
        <v>1453</v>
      </c>
      <c r="ER40" s="198" t="s">
        <v>1453</v>
      </c>
      <c r="ES40" s="198" t="s">
        <v>1505</v>
      </c>
      <c r="ET40" s="198" t="s">
        <v>1453</v>
      </c>
      <c r="EU40" s="198" t="s">
        <v>1453</v>
      </c>
      <c r="EV40" s="198" t="s">
        <v>1476</v>
      </c>
      <c r="EW40" s="198" t="s">
        <v>1453</v>
      </c>
      <c r="EX40" s="198" t="s">
        <v>1488</v>
      </c>
      <c r="EY40" s="198" t="s">
        <v>1453</v>
      </c>
      <c r="EZ40" s="198" t="s">
        <v>1477</v>
      </c>
      <c r="FA40" s="198" t="s">
        <v>1453</v>
      </c>
      <c r="FB40" s="198" t="s">
        <v>1453</v>
      </c>
      <c r="FC40" s="198" t="s">
        <v>1478</v>
      </c>
      <c r="FD40" s="198" t="s">
        <v>1453</v>
      </c>
      <c r="FE40" s="198" t="s">
        <v>1453</v>
      </c>
      <c r="FF40" s="198" t="s">
        <v>1453</v>
      </c>
      <c r="FG40" s="198" t="s">
        <v>1453</v>
      </c>
      <c r="FH40" s="198" t="s">
        <v>1479</v>
      </c>
      <c r="FI40" s="198" t="s">
        <v>1453</v>
      </c>
      <c r="FJ40" s="198" t="s">
        <v>1453</v>
      </c>
      <c r="FK40" s="198" t="s">
        <v>1481</v>
      </c>
      <c r="FL40" s="198" t="s">
        <v>1482</v>
      </c>
      <c r="FM40" s="198" t="s">
        <v>1453</v>
      </c>
    </row>
    <row r="41" ht="15.75" customHeight="1">
      <c r="A41" s="198" t="s">
        <v>1504</v>
      </c>
      <c r="B41" s="198" t="str">
        <f t="shared" si="4"/>
        <v>L7 </v>
      </c>
      <c r="C41" s="234">
        <v>7.0</v>
      </c>
      <c r="D41" s="232" t="s">
        <v>770</v>
      </c>
      <c r="E41" s="232" t="s">
        <v>1448</v>
      </c>
      <c r="F41" s="232" t="s">
        <v>1449</v>
      </c>
      <c r="G41" s="232" t="s">
        <v>1450</v>
      </c>
      <c r="H41" s="232" t="s">
        <v>876</v>
      </c>
      <c r="I41" s="232" t="s">
        <v>882</v>
      </c>
      <c r="J41" s="232" t="s">
        <v>883</v>
      </c>
      <c r="K41" s="232" t="s">
        <v>910</v>
      </c>
      <c r="L41" s="188" t="s">
        <v>198</v>
      </c>
      <c r="M41" s="236" t="str">
        <f>IFERROR(__xludf.DUMMYFUNCTION("regexreplace(N41,"" "","", "")"),"J0, J1, J2, J5, J6, J7, JA, JC, JD, K0, K5, K7, K9, KA, KC, KD, KF, L0, L1, L8, LA, LC, LD, M0, M2, M3, MA, MC, MD, MF, N2, N4, N7, NA, ")</f>
        <v>J0, J1, J2, J5, J6, J7, JA, JC, JD, K0, K5, K7, K9, KA, KC, KD, KF, L0, L1, L8, LA, LC, LD, M0, M2, M3, MA, MC, MD, MF, N2, N4, N7, NA, </v>
      </c>
      <c r="N41" s="236" t="str">
        <f t="shared" si="2"/>
        <v>J0 J1 J2 J5 J6 J7 JA JC JD K0 K5 K7 K9 KA KC KD KF L0 L1 L8 LA LC LD M0 M2 M3 MA MC MD MF N2 N4 N7 NA </v>
      </c>
      <c r="O41" s="236" t="str">
        <f>IFERROR(__xludf.DUMMYFUNCTION("if(countif(ecn.list,CO41),OFFSET(INDIRECT(CONCAT(""A"",to_text(match(CO41,ecn.list,0)))),0,1),"""")"),"J0 ")</f>
        <v>J0 </v>
      </c>
      <c r="P41" s="236" t="str">
        <f>IFERROR(__xludf.DUMMYFUNCTION("if(countif(ecn.list,CP41),OFFSET(INDIRECT(CONCAT(""A"",to_text(match(CP41,ecn.list,0)))),0,1),"""")"),"J1 ")</f>
        <v>J1 </v>
      </c>
      <c r="Q41" s="236" t="str">
        <f>IFERROR(__xludf.DUMMYFUNCTION("if(countif(ecn.list,CQ41),OFFSET(INDIRECT(CONCAT(""A"",to_text(match(CQ41,ecn.list,0)))),0,1),"""")"),"J2 ")</f>
        <v>J2 </v>
      </c>
      <c r="R41" s="236" t="str">
        <f>IFERROR(__xludf.DUMMYFUNCTION("if(countif(ecn.list,CR41),OFFSET(INDIRECT(CONCAT(""A"",to_text(match(CR41,ecn.list,0)))),0,1),"""")"),"")</f>
        <v/>
      </c>
      <c r="S41" s="236" t="str">
        <f>IFERROR(__xludf.DUMMYFUNCTION("if(countif(ecn.list,CS41),OFFSET(INDIRECT(CONCAT(""A"",to_text(match(CS41,ecn.list,0)))),0,1),"""")"),"")</f>
        <v/>
      </c>
      <c r="T41" s="236" t="str">
        <f>IFERROR(__xludf.DUMMYFUNCTION("if(countif(ecn.list,CT41),OFFSET(INDIRECT(CONCAT(""A"",to_text(match(CT41,ecn.list,0)))),0,1),"""")"),"J5 ")</f>
        <v>J5 </v>
      </c>
      <c r="U41" s="236" t="str">
        <f>IFERROR(__xludf.DUMMYFUNCTION("if(countif(ecn.list,CU41),OFFSET(INDIRECT(CONCAT(""A"",to_text(match(CU41,ecn.list,0)))),0,1),"""")"),"J6 ")</f>
        <v>J6 </v>
      </c>
      <c r="V41" s="236" t="str">
        <f>IFERROR(__xludf.DUMMYFUNCTION("if(countif(ecn.list,CV41),OFFSET(INDIRECT(CONCAT(""A"",to_text(match(CV41,ecn.list,0)))),0,1),"""")"),"J7 ")</f>
        <v>J7 </v>
      </c>
      <c r="W41" s="236" t="str">
        <f>IFERROR(__xludf.DUMMYFUNCTION("if(countif(ecn.list,CW41),OFFSET(INDIRECT(CONCAT(""A"",to_text(match(CW41,ecn.list,0)))),0,1),"""")"),"")</f>
        <v/>
      </c>
      <c r="X41" s="236" t="str">
        <f>IFERROR(__xludf.DUMMYFUNCTION("if(countif(ecn.list,CX41),OFFSET(INDIRECT(CONCAT(""A"",to_text(match(CX41,ecn.list,0)))),0,1),"""")"),"")</f>
        <v/>
      </c>
      <c r="Y41" s="236" t="str">
        <f>IFERROR(__xludf.DUMMYFUNCTION("if(countif(ecn.list,CY41),OFFSET(INDIRECT(CONCAT(""A"",to_text(match(CY41,ecn.list,0)))),0,1),"""")"),"JA ")</f>
        <v>JA </v>
      </c>
      <c r="Z41" s="236" t="str">
        <f>IFERROR(__xludf.DUMMYFUNCTION("if(countif(ecn.list,CZ41),OFFSET(INDIRECT(CONCAT(""A"",to_text(match(CZ41,ecn.list,0)))),0,1),"""")"),"")</f>
        <v/>
      </c>
      <c r="AA41" s="236" t="str">
        <f>IFERROR(__xludf.DUMMYFUNCTION("if(countif(ecn.list,DA41),OFFSET(INDIRECT(CONCAT(""A"",to_text(match(DA41,ecn.list,0)))),0,1),"""")"),"JC ")</f>
        <v>JC </v>
      </c>
      <c r="AB41" s="236" t="str">
        <f>IFERROR(__xludf.DUMMYFUNCTION("if(countif(ecn.list,DB41),OFFSET(INDIRECT(CONCAT(""A"",to_text(match(DB41,ecn.list,0)))),0,1),"""")"),"JD ")</f>
        <v>JD </v>
      </c>
      <c r="AC41" s="236" t="str">
        <f>IFERROR(__xludf.DUMMYFUNCTION("if(countif(ecn.list,DC41),OFFSET(INDIRECT(CONCAT(""A"",to_text(match(DC41,ecn.list,0)))),0,1),"""")"),"")</f>
        <v/>
      </c>
      <c r="AD41" s="236" t="str">
        <f>IFERROR(__xludf.DUMMYFUNCTION("if(countif(ecn.list,DD41),OFFSET(INDIRECT(CONCAT(""A"",to_text(match(DD41,ecn.list,0)))),0,1),"""")"),"")</f>
        <v/>
      </c>
      <c r="AE41" s="236" t="str">
        <f>IFERROR(__xludf.DUMMYFUNCTION("if(countif(ecn.list,DE41),OFFSET(INDIRECT(CONCAT(""A"",to_text(match(DE41,ecn.list,0)))),0,1),"""")"),"K0 ")</f>
        <v>K0 </v>
      </c>
      <c r="AF41" s="236" t="str">
        <f>IFERROR(__xludf.DUMMYFUNCTION("if(countif(ecn.list,DF41),OFFSET(INDIRECT(CONCAT(""A"",to_text(match(DF41,ecn.list,0)))),0,1),"""")"),"")</f>
        <v/>
      </c>
      <c r="AG41" s="236" t="str">
        <f>IFERROR(__xludf.DUMMYFUNCTION("if(countif(ecn.list,DG41),OFFSET(INDIRECT(CONCAT(""A"",to_text(match(DG41,ecn.list,0)))),0,1),"""")"),"")</f>
        <v/>
      </c>
      <c r="AH41" s="236" t="str">
        <f>IFERROR(__xludf.DUMMYFUNCTION("if(countif(ecn.list,DH41),OFFSET(INDIRECT(CONCAT(""A"",to_text(match(DH41,ecn.list,0)))),0,1),"""")"),"")</f>
        <v/>
      </c>
      <c r="AI41" s="236" t="str">
        <f>IFERROR(__xludf.DUMMYFUNCTION("if(countif(ecn.list,DI41),OFFSET(INDIRECT(CONCAT(""A"",to_text(match(DI41,ecn.list,0)))),0,1),"""")"),"")</f>
        <v/>
      </c>
      <c r="AJ41" s="236" t="str">
        <f>IFERROR(__xludf.DUMMYFUNCTION("if(countif(ecn.list,DJ41),OFFSET(INDIRECT(CONCAT(""A"",to_text(match(DJ41,ecn.list,0)))),0,1),"""")"),"K5 ")</f>
        <v>K5 </v>
      </c>
      <c r="AK41" s="236" t="str">
        <f>IFERROR(__xludf.DUMMYFUNCTION("if(countif(ecn.list,DK41),OFFSET(INDIRECT(CONCAT(""A"",to_text(match(DK41,ecn.list,0)))),0,1),"""")"),"")</f>
        <v/>
      </c>
      <c r="AL41" s="236" t="str">
        <f>IFERROR(__xludf.DUMMYFUNCTION("if(countif(ecn.list,DL41),OFFSET(INDIRECT(CONCAT(""A"",to_text(match(DL41,ecn.list,0)))),0,1),"""")"),"K7 ")</f>
        <v>K7 </v>
      </c>
      <c r="AM41" s="236" t="str">
        <f>IFERROR(__xludf.DUMMYFUNCTION("if(countif(ecn.list,DM41),OFFSET(INDIRECT(CONCAT(""A"",to_text(match(DM41,ecn.list,0)))),0,1),"""")"),"")</f>
        <v/>
      </c>
      <c r="AN41" s="236" t="str">
        <f>IFERROR(__xludf.DUMMYFUNCTION("if(countif(ecn.list,DN41),OFFSET(INDIRECT(CONCAT(""A"",to_text(match(DN41,ecn.list,0)))),0,1),"""")"),"K9 ")</f>
        <v>K9 </v>
      </c>
      <c r="AO41" s="236" t="str">
        <f>IFERROR(__xludf.DUMMYFUNCTION("if(countif(ecn.list,DO41),OFFSET(INDIRECT(CONCAT(""A"",to_text(match(DO41,ecn.list,0)))),0,1),"""")"),"KA ")</f>
        <v>KA </v>
      </c>
      <c r="AP41" s="236" t="str">
        <f>IFERROR(__xludf.DUMMYFUNCTION("if(countif(ecn.list,DP41),OFFSET(INDIRECT(CONCAT(""A"",to_text(match(DP41,ecn.list,0)))),0,1),"""")"),"")</f>
        <v/>
      </c>
      <c r="AQ41" s="236" t="str">
        <f>IFERROR(__xludf.DUMMYFUNCTION("if(countif(ecn.list,DQ41),OFFSET(INDIRECT(CONCAT(""A"",to_text(match(DQ41,ecn.list,0)))),0,1),"""")"),"KC ")</f>
        <v>KC </v>
      </c>
      <c r="AR41" s="236" t="str">
        <f>IFERROR(__xludf.DUMMYFUNCTION("if(countif(ecn.list,DR41),OFFSET(INDIRECT(CONCAT(""A"",to_text(match(DR41,ecn.list,0)))),0,1),"""")"),"KD ")</f>
        <v>KD </v>
      </c>
      <c r="AS41" s="236" t="str">
        <f>IFERROR(__xludf.DUMMYFUNCTION("if(countif(ecn.list,DS41),OFFSET(INDIRECT(CONCAT(""A"",to_text(match(DS41,ecn.list,0)))),0,1),"""")"),"")</f>
        <v/>
      </c>
      <c r="AT41" s="236" t="str">
        <f>IFERROR(__xludf.DUMMYFUNCTION("if(countif(ecn.list,DT41),OFFSET(INDIRECT(CONCAT(""A"",to_text(match(DT41,ecn.list,0)))),0,1),"""")"),"KF ")</f>
        <v>KF </v>
      </c>
      <c r="AU41" s="236" t="str">
        <f>IFERROR(__xludf.DUMMYFUNCTION("if(countif(ecn.list,DU41),OFFSET(INDIRECT(CONCAT(""A"",to_text(match(DU41,ecn.list,0)))),0,1),"""")"),"L0 ")</f>
        <v>L0 </v>
      </c>
      <c r="AV41" s="236" t="str">
        <f>IFERROR(__xludf.DUMMYFUNCTION("if(countif(ecn.list,DV41),OFFSET(INDIRECT(CONCAT(""A"",to_text(match(DV41,ecn.list,0)))),0,1),"""")"),"L1 ")</f>
        <v>L1 </v>
      </c>
      <c r="AW41" s="236" t="str">
        <f>IFERROR(__xludf.DUMMYFUNCTION("if(countif(ecn.list,DW41),OFFSET(INDIRECT(CONCAT(""A"",to_text(match(DW41,ecn.list,0)))),0,1),"""")"),"")</f>
        <v/>
      </c>
      <c r="AX41" s="236" t="str">
        <f>IFERROR(__xludf.DUMMYFUNCTION("if(countif(ecn.list,DX41),OFFSET(INDIRECT(CONCAT(""A"",to_text(match(DX41,ecn.list,0)))),0,1),"""")"),"")</f>
        <v/>
      </c>
      <c r="AY41" s="236" t="str">
        <f>IFERROR(__xludf.DUMMYFUNCTION("if(countif(ecn.list,DY41),OFFSET(INDIRECT(CONCAT(""A"",to_text(match(DY41,ecn.list,0)))),0,1),"""")"),"")</f>
        <v/>
      </c>
      <c r="AZ41" s="236" t="str">
        <f>IFERROR(__xludf.DUMMYFUNCTION("if(countif(ecn.list,DZ41),OFFSET(INDIRECT(CONCAT(""A"",to_text(match(DZ41,ecn.list,0)))),0,1),"""")"),"")</f>
        <v/>
      </c>
      <c r="BA41" s="236" t="str">
        <f>IFERROR(__xludf.DUMMYFUNCTION("if(countif(ecn.list,EA41),OFFSET(INDIRECT(CONCAT(""A"",to_text(match(EA41,ecn.list,0)))),0,1),"""")"),"")</f>
        <v/>
      </c>
      <c r="BB41" s="236" t="str">
        <f>IFERROR(__xludf.DUMMYFUNCTION("if(countif(ecn.list,EB41),OFFSET(INDIRECT(CONCAT(""A"",to_text(match(EB41,ecn.list,0)))),0,1),"""")"),"")</f>
        <v/>
      </c>
      <c r="BC41" s="236" t="str">
        <f>IFERROR(__xludf.DUMMYFUNCTION("if(countif(ecn.list,EC41),OFFSET(INDIRECT(CONCAT(""A"",to_text(match(EC41,ecn.list,0)))),0,1),"""")"),"L8 ")</f>
        <v>L8 </v>
      </c>
      <c r="BD41" s="236" t="str">
        <f>IFERROR(__xludf.DUMMYFUNCTION("if(countif(ecn.list,ED41),OFFSET(INDIRECT(CONCAT(""A"",to_text(match(ED41,ecn.list,0)))),0,1),"""")"),"")</f>
        <v/>
      </c>
      <c r="BE41" s="236" t="str">
        <f>IFERROR(__xludf.DUMMYFUNCTION("if(countif(ecn.list,EE41),OFFSET(INDIRECT(CONCAT(""A"",to_text(match(EE41,ecn.list,0)))),0,1),"""")"),"LA ")</f>
        <v>LA </v>
      </c>
      <c r="BF41" s="236" t="str">
        <f>IFERROR(__xludf.DUMMYFUNCTION("if(countif(ecn.list,EF41),OFFSET(INDIRECT(CONCAT(""A"",to_text(match(EF41,ecn.list,0)))),0,1),"""")"),"")</f>
        <v/>
      </c>
      <c r="BG41" s="236" t="str">
        <f>IFERROR(__xludf.DUMMYFUNCTION("if(countif(ecn.list,EG41),OFFSET(INDIRECT(CONCAT(""A"",to_text(match(EG41,ecn.list,0)))),0,1),"""")"),"LC ")</f>
        <v>LC </v>
      </c>
      <c r="BH41" s="236" t="str">
        <f>IFERROR(__xludf.DUMMYFUNCTION("if(countif(ecn.list,EH41),OFFSET(INDIRECT(CONCAT(""A"",to_text(match(EH41,ecn.list,0)))),0,1),"""")"),"LD ")</f>
        <v>LD </v>
      </c>
      <c r="BI41" s="236" t="str">
        <f>IFERROR(__xludf.DUMMYFUNCTION("if(countif(ecn.list,EI41),OFFSET(INDIRECT(CONCAT(""A"",to_text(match(EI41,ecn.list,0)))),0,1),"""")"),"")</f>
        <v/>
      </c>
      <c r="BJ41" s="236" t="str">
        <f>IFERROR(__xludf.DUMMYFUNCTION("if(countif(ecn.list,EJ41),OFFSET(INDIRECT(CONCAT(""A"",to_text(match(EJ41,ecn.list,0)))),0,1),"""")"),"")</f>
        <v/>
      </c>
      <c r="BK41" s="236" t="str">
        <f>IFERROR(__xludf.DUMMYFUNCTION("if(countif(ecn.list,EK41),OFFSET(INDIRECT(CONCAT(""A"",to_text(match(EK41,ecn.list,0)))),0,1),"""")"),"M0 ")</f>
        <v>M0 </v>
      </c>
      <c r="BL41" s="236" t="str">
        <f>IFERROR(__xludf.DUMMYFUNCTION("if(countif(ecn.list,EL41),OFFSET(INDIRECT(CONCAT(""A"",to_text(match(EL41,ecn.list,0)))),0,1),"""")"),"")</f>
        <v/>
      </c>
      <c r="BM41" s="236" t="str">
        <f>IFERROR(__xludf.DUMMYFUNCTION("if(countif(ecn.list,EM41),OFFSET(INDIRECT(CONCAT(""A"",to_text(match(EM41,ecn.list,0)))),0,1),"""")"),"M2 ")</f>
        <v>M2 </v>
      </c>
      <c r="BN41" s="236" t="str">
        <f>IFERROR(__xludf.DUMMYFUNCTION("if(countif(ecn.list,EN41),OFFSET(INDIRECT(CONCAT(""A"",to_text(match(EN41,ecn.list,0)))),0,1),"""")"),"M3 ")</f>
        <v>M3 </v>
      </c>
      <c r="BO41" s="236" t="str">
        <f>IFERROR(__xludf.DUMMYFUNCTION("if(countif(ecn.list,EO41),OFFSET(INDIRECT(CONCAT(""A"",to_text(match(EO41,ecn.list,0)))),0,1),"""")"),"")</f>
        <v/>
      </c>
      <c r="BP41" s="236" t="str">
        <f>IFERROR(__xludf.DUMMYFUNCTION("if(countif(ecn.list,EP41),OFFSET(INDIRECT(CONCAT(""A"",to_text(match(EP41,ecn.list,0)))),0,1),"""")"),"")</f>
        <v/>
      </c>
      <c r="BQ41" s="236" t="str">
        <f>IFERROR(__xludf.DUMMYFUNCTION("if(countif(ecn.list,EQ41),OFFSET(INDIRECT(CONCAT(""A"",to_text(match(EQ41,ecn.list,0)))),0,1),"""")"),"")</f>
        <v/>
      </c>
      <c r="BR41" s="236" t="str">
        <f>IFERROR(__xludf.DUMMYFUNCTION("if(countif(ecn.list,ER41),OFFSET(INDIRECT(CONCAT(""A"",to_text(match(ER41,ecn.list,0)))),0,1),"""")"),"")</f>
        <v/>
      </c>
      <c r="BS41" s="236" t="str">
        <f>IFERROR(__xludf.DUMMYFUNCTION("if(countif(ecn.list,ES41),OFFSET(INDIRECT(CONCAT(""A"",to_text(match(ES41,ecn.list,0)))),0,1),"""")"),"")</f>
        <v/>
      </c>
      <c r="BT41" s="236" t="str">
        <f>IFERROR(__xludf.DUMMYFUNCTION("if(countif(ecn.list,ET41),OFFSET(INDIRECT(CONCAT(""A"",to_text(match(ET41,ecn.list,0)))),0,1),"""")"),"")</f>
        <v/>
      </c>
      <c r="BU41" s="236" t="str">
        <f>IFERROR(__xludf.DUMMYFUNCTION("if(countif(ecn.list,EU41),OFFSET(INDIRECT(CONCAT(""A"",to_text(match(EU41,ecn.list,0)))),0,1),"""")"),"MA ")</f>
        <v>MA </v>
      </c>
      <c r="BV41" s="236" t="str">
        <f>IFERROR(__xludf.DUMMYFUNCTION("if(countif(ecn.list,EV41),OFFSET(INDIRECT(CONCAT(""A"",to_text(match(EV41,ecn.list,0)))),0,1),"""")"),"")</f>
        <v/>
      </c>
      <c r="BW41" s="236" t="str">
        <f>IFERROR(__xludf.DUMMYFUNCTION("if(countif(ecn.list,EW41),OFFSET(INDIRECT(CONCAT(""A"",to_text(match(EW41,ecn.list,0)))),0,1),"""")"),"MC ")</f>
        <v>MC </v>
      </c>
      <c r="BX41" s="236" t="str">
        <f>IFERROR(__xludf.DUMMYFUNCTION("if(countif(ecn.list,EX41),OFFSET(INDIRECT(CONCAT(""A"",to_text(match(EX41,ecn.list,0)))),0,1),"""")"),"MD ")</f>
        <v>MD </v>
      </c>
      <c r="BY41" s="236" t="str">
        <f>IFERROR(__xludf.DUMMYFUNCTION("if(countif(ecn.list,EY41),OFFSET(INDIRECT(CONCAT(""A"",to_text(match(EY41,ecn.list,0)))),0,1),"""")"),"")</f>
        <v/>
      </c>
      <c r="BZ41" s="236" t="str">
        <f>IFERROR(__xludf.DUMMYFUNCTION("if(countif(ecn.list,EZ41),OFFSET(INDIRECT(CONCAT(""A"",to_text(match(EZ41,ecn.list,0)))),0,1),"""")"),"MF ")</f>
        <v>MF </v>
      </c>
      <c r="CA41" s="236" t="str">
        <f>IFERROR(__xludf.DUMMYFUNCTION("if(countif(ecn.list,FA41),OFFSET(INDIRECT(CONCAT(""A"",to_text(match(FA41,ecn.list,0)))),0,1),"""")"),"")</f>
        <v/>
      </c>
      <c r="CB41" s="236" t="str">
        <f>IFERROR(__xludf.DUMMYFUNCTION("if(countif(ecn.list,FB41),OFFSET(INDIRECT(CONCAT(""A"",to_text(match(FB41,ecn.list,0)))),0,1),"""")"),"")</f>
        <v/>
      </c>
      <c r="CC41" s="236" t="str">
        <f>IFERROR(__xludf.DUMMYFUNCTION("if(countif(ecn.list,FC41),OFFSET(INDIRECT(CONCAT(""A"",to_text(match(FC41,ecn.list,0)))),0,1),"""")"),"N2 ")</f>
        <v>N2 </v>
      </c>
      <c r="CD41" s="236" t="str">
        <f>IFERROR(__xludf.DUMMYFUNCTION("if(countif(ecn.list,FD41),OFFSET(INDIRECT(CONCAT(""A"",to_text(match(FD41,ecn.list,0)))),0,1),"""")"),"")</f>
        <v/>
      </c>
      <c r="CE41" s="236" t="str">
        <f>IFERROR(__xludf.DUMMYFUNCTION("if(countif(ecn.list,FE41),OFFSET(INDIRECT(CONCAT(""A"",to_text(match(FE41,ecn.list,0)))),0,1),"""")"),"N4 ")</f>
        <v>N4 </v>
      </c>
      <c r="CF41" s="236" t="str">
        <f>IFERROR(__xludf.DUMMYFUNCTION("if(countif(ecn.list,FF41),OFFSET(INDIRECT(CONCAT(""A"",to_text(match(FF41,ecn.list,0)))),0,1),"""")"),"")</f>
        <v/>
      </c>
      <c r="CG41" s="236" t="str">
        <f>IFERROR(__xludf.DUMMYFUNCTION("if(countif(ecn.list,FG41),OFFSET(INDIRECT(CONCAT(""A"",to_text(match(FG41,ecn.list,0)))),0,1),"""")"),"")</f>
        <v/>
      </c>
      <c r="CH41" s="236" t="str">
        <f>IFERROR(__xludf.DUMMYFUNCTION("if(countif(ecn.list,FH41),OFFSET(INDIRECT(CONCAT(""A"",to_text(match(FH41,ecn.list,0)))),0,1),"""")"),"N7 ")</f>
        <v>N7 </v>
      </c>
      <c r="CI41" s="236" t="str">
        <f>IFERROR(__xludf.DUMMYFUNCTION("if(countif(ecn.list,FI41),OFFSET(INDIRECT(CONCAT(""A"",to_text(match(FI41,ecn.list,0)))),0,1),"""")"),"")</f>
        <v/>
      </c>
      <c r="CJ41" s="236" t="str">
        <f>IFERROR(__xludf.DUMMYFUNCTION("if(countif(ecn.list,FJ41),OFFSET(INDIRECT(CONCAT(""A"",to_text(match(FJ41,ecn.list,0)))),0,1),"""")"),"")</f>
        <v/>
      </c>
      <c r="CK41" s="236" t="str">
        <f>IFERROR(__xludf.DUMMYFUNCTION("if(countif(ecn.list,FK41),OFFSET(INDIRECT(CONCAT(""A"",to_text(match(FK41,ecn.list,0)))),0,1),"""")"),"NA ")</f>
        <v>NA </v>
      </c>
      <c r="CL41" s="236" t="str">
        <f>IFERROR(__xludf.DUMMYFUNCTION("if(countif(ecn.list,FL41),OFFSET(INDIRECT(CONCAT(""A"",to_text(match(FL41,ecn.list,0)))),0,1),"""")"),"")</f>
        <v/>
      </c>
      <c r="CM41" s="236" t="str">
        <f>IFERROR(__xludf.DUMMYFUNCTION("if(countif(ecn.list,FM41),OFFSET(INDIRECT(CONCAT(""A"",to_text(match(FM41,ecn.list,0)))),0,1),"""")"),"")</f>
        <v/>
      </c>
      <c r="CN41" s="198" t="s">
        <v>198</v>
      </c>
      <c r="CO41" s="198" t="s">
        <v>1447</v>
      </c>
      <c r="CP41" s="198" t="s">
        <v>1451</v>
      </c>
      <c r="CQ41" s="198" t="s">
        <v>1452</v>
      </c>
      <c r="CR41" s="198" t="s">
        <v>1453</v>
      </c>
      <c r="CS41" s="198" t="s">
        <v>1453</v>
      </c>
      <c r="CT41" s="198" t="s">
        <v>1454</v>
      </c>
      <c r="CU41" s="198" t="s">
        <v>1455</v>
      </c>
      <c r="CV41" s="198" t="s">
        <v>1456</v>
      </c>
      <c r="CW41" s="198" t="s">
        <v>1453</v>
      </c>
      <c r="CX41" s="198" t="s">
        <v>1453</v>
      </c>
      <c r="CY41" s="198" t="s">
        <v>1484</v>
      </c>
      <c r="CZ41" s="198" t="s">
        <v>1453</v>
      </c>
      <c r="DA41" s="198" t="s">
        <v>1457</v>
      </c>
      <c r="DB41" s="198" t="s">
        <v>1485</v>
      </c>
      <c r="DC41" s="198" t="s">
        <v>1453</v>
      </c>
      <c r="DD41" s="198" t="s">
        <v>1453</v>
      </c>
      <c r="DE41" s="198" t="s">
        <v>1459</v>
      </c>
      <c r="DF41" s="198" t="s">
        <v>1453</v>
      </c>
      <c r="DG41" s="198" t="s">
        <v>1453</v>
      </c>
      <c r="DH41" s="198" t="s">
        <v>1453</v>
      </c>
      <c r="DI41" s="198" t="s">
        <v>1453</v>
      </c>
      <c r="DJ41" s="198" t="s">
        <v>1460</v>
      </c>
      <c r="DK41" s="198" t="s">
        <v>1453</v>
      </c>
      <c r="DL41" s="198" t="s">
        <v>1461</v>
      </c>
      <c r="DM41" s="198" t="s">
        <v>1453</v>
      </c>
      <c r="DN41" s="198" t="s">
        <v>1463</v>
      </c>
      <c r="DO41" s="198" t="s">
        <v>1464</v>
      </c>
      <c r="DP41" s="198" t="s">
        <v>1453</v>
      </c>
      <c r="DQ41" s="198" t="s">
        <v>1466</v>
      </c>
      <c r="DR41" s="198" t="s">
        <v>1467</v>
      </c>
      <c r="DS41" s="198" t="s">
        <v>1453</v>
      </c>
      <c r="DT41" s="198" t="s">
        <v>1468</v>
      </c>
      <c r="DU41" s="198" t="s">
        <v>1491</v>
      </c>
      <c r="DV41" s="198" t="s">
        <v>1469</v>
      </c>
      <c r="DW41" s="198" t="s">
        <v>1453</v>
      </c>
      <c r="DX41" s="198" t="s">
        <v>1453</v>
      </c>
      <c r="DY41" s="198" t="s">
        <v>1453</v>
      </c>
      <c r="DZ41" s="198" t="s">
        <v>1453</v>
      </c>
      <c r="EA41" s="198" t="s">
        <v>1453</v>
      </c>
      <c r="EB41" s="198" t="s">
        <v>1453</v>
      </c>
      <c r="EC41" s="198" t="s">
        <v>1483</v>
      </c>
      <c r="ED41" s="198" t="s">
        <v>1453</v>
      </c>
      <c r="EE41" s="198" t="s">
        <v>1470</v>
      </c>
      <c r="EF41" s="198" t="s">
        <v>1453</v>
      </c>
      <c r="EG41" s="198" t="s">
        <v>1471</v>
      </c>
      <c r="EH41" s="198" t="s">
        <v>1492</v>
      </c>
      <c r="EI41" s="198" t="s">
        <v>1453</v>
      </c>
      <c r="EJ41" s="198" t="s">
        <v>1453</v>
      </c>
      <c r="EK41" s="198" t="s">
        <v>1487</v>
      </c>
      <c r="EL41" s="198" t="s">
        <v>1453</v>
      </c>
      <c r="EM41" s="198" t="s">
        <v>1493</v>
      </c>
      <c r="EN41" s="198" t="s">
        <v>1474</v>
      </c>
      <c r="EO41" s="198" t="s">
        <v>1453</v>
      </c>
      <c r="EP41" s="198" t="s">
        <v>1453</v>
      </c>
      <c r="EQ41" s="198" t="s">
        <v>1453</v>
      </c>
      <c r="ER41" s="198" t="s">
        <v>1453</v>
      </c>
      <c r="ES41" s="198" t="s">
        <v>1453</v>
      </c>
      <c r="ET41" s="198" t="s">
        <v>1453</v>
      </c>
      <c r="EU41" s="198" t="s">
        <v>1494</v>
      </c>
      <c r="EV41" s="198" t="s">
        <v>1453</v>
      </c>
      <c r="EW41" s="198" t="s">
        <v>1495</v>
      </c>
      <c r="EX41" s="198" t="s">
        <v>1488</v>
      </c>
      <c r="EY41" s="198" t="s">
        <v>1453</v>
      </c>
      <c r="EZ41" s="198" t="s">
        <v>1477</v>
      </c>
      <c r="FA41" s="198" t="s">
        <v>1453</v>
      </c>
      <c r="FB41" s="198" t="s">
        <v>1453</v>
      </c>
      <c r="FC41" s="198" t="s">
        <v>1478</v>
      </c>
      <c r="FD41" s="198" t="s">
        <v>1453</v>
      </c>
      <c r="FE41" s="198" t="s">
        <v>1489</v>
      </c>
      <c r="FF41" s="198" t="s">
        <v>1453</v>
      </c>
      <c r="FG41" s="198" t="s">
        <v>1453</v>
      </c>
      <c r="FH41" s="198" t="s">
        <v>1479</v>
      </c>
      <c r="FI41" s="198" t="s">
        <v>1453</v>
      </c>
      <c r="FJ41" s="198" t="s">
        <v>1453</v>
      </c>
      <c r="FK41" s="198" t="s">
        <v>1481</v>
      </c>
      <c r="FL41" s="198" t="s">
        <v>1482</v>
      </c>
      <c r="FM41" s="198" t="s">
        <v>1453</v>
      </c>
    </row>
    <row r="42" ht="15.75" customHeight="1">
      <c r="A42" s="236" t="s">
        <v>1483</v>
      </c>
      <c r="B42" s="198" t="str">
        <f t="shared" si="4"/>
        <v>L8 </v>
      </c>
      <c r="C42" s="234">
        <v>8.0</v>
      </c>
      <c r="D42" s="232" t="s">
        <v>770</v>
      </c>
      <c r="E42" s="232" t="s">
        <v>1448</v>
      </c>
      <c r="F42" s="232" t="s">
        <v>1449</v>
      </c>
      <c r="G42" s="232" t="s">
        <v>1450</v>
      </c>
      <c r="H42" s="232" t="s">
        <v>876</v>
      </c>
      <c r="I42" s="232" t="s">
        <v>812</v>
      </c>
      <c r="J42" s="232" t="s">
        <v>859</v>
      </c>
      <c r="K42" s="232" t="s">
        <v>1114</v>
      </c>
      <c r="L42" s="188" t="s">
        <v>201</v>
      </c>
      <c r="M42" s="236" t="str">
        <f>IFERROR(__xludf.DUMMYFUNCTION("regexreplace(N42,"" "","", "")"),"J0, J5, J6, J7, JA, JC, K3, K4, K5, K7, K9, KA, KB, KC, KD, KF, L1, L8, LA, LC, LF, M0, M1, M3, M8, MB, MF, N2, N7, NA, ")</f>
        <v>J0, J5, J6, J7, JA, JC, K3, K4, K5, K7, K9, KA, KB, KC, KD, KF, L1, L8, LA, LC, LF, M0, M1, M3, M8, MB, MF, N2, N7, NA, </v>
      </c>
      <c r="N42" s="236" t="str">
        <f t="shared" si="2"/>
        <v>J0 J5 J6 J7 JA JC K3 K4 K5 K7 K9 KA KB KC KD KF L1 L8 LA LC LF M0 M1 M3 M8 MB MF N2 N7 NA </v>
      </c>
      <c r="O42" s="236" t="str">
        <f>IFERROR(__xludf.DUMMYFUNCTION("if(countif(ecn.list,CO42),OFFSET(INDIRECT(CONCAT(""A"",to_text(match(CO42,ecn.list,0)))),0,1),"""")"),"J0 ")</f>
        <v>J0 </v>
      </c>
      <c r="P42" s="236" t="str">
        <f>IFERROR(__xludf.DUMMYFUNCTION("if(countif(ecn.list,CP42),OFFSET(INDIRECT(CONCAT(""A"",to_text(match(CP42,ecn.list,0)))),0,1),"""")"),"")</f>
        <v/>
      </c>
      <c r="Q42" s="236" t="str">
        <f>IFERROR(__xludf.DUMMYFUNCTION("if(countif(ecn.list,CQ42),OFFSET(INDIRECT(CONCAT(""A"",to_text(match(CQ42,ecn.list,0)))),0,1),"""")"),"")</f>
        <v/>
      </c>
      <c r="R42" s="236" t="str">
        <f>IFERROR(__xludf.DUMMYFUNCTION("if(countif(ecn.list,CR42),OFFSET(INDIRECT(CONCAT(""A"",to_text(match(CR42,ecn.list,0)))),0,1),"""")"),"")</f>
        <v/>
      </c>
      <c r="S42" s="236" t="str">
        <f>IFERROR(__xludf.DUMMYFUNCTION("if(countif(ecn.list,CS42),OFFSET(INDIRECT(CONCAT(""A"",to_text(match(CS42,ecn.list,0)))),0,1),"""")"),"")</f>
        <v/>
      </c>
      <c r="T42" s="236" t="str">
        <f>IFERROR(__xludf.DUMMYFUNCTION("if(countif(ecn.list,CT42),OFFSET(INDIRECT(CONCAT(""A"",to_text(match(CT42,ecn.list,0)))),0,1),"""")"),"J5 ")</f>
        <v>J5 </v>
      </c>
      <c r="U42" s="236" t="str">
        <f>IFERROR(__xludf.DUMMYFUNCTION("if(countif(ecn.list,CU42),OFFSET(INDIRECT(CONCAT(""A"",to_text(match(CU42,ecn.list,0)))),0,1),"""")"),"J6 ")</f>
        <v>J6 </v>
      </c>
      <c r="V42" s="236" t="str">
        <f>IFERROR(__xludf.DUMMYFUNCTION("if(countif(ecn.list,CV42),OFFSET(INDIRECT(CONCAT(""A"",to_text(match(CV42,ecn.list,0)))),0,1),"""")"),"J7 ")</f>
        <v>J7 </v>
      </c>
      <c r="W42" s="236" t="str">
        <f>IFERROR(__xludf.DUMMYFUNCTION("if(countif(ecn.list,CW42),OFFSET(INDIRECT(CONCAT(""A"",to_text(match(CW42,ecn.list,0)))),0,1),"""")"),"")</f>
        <v/>
      </c>
      <c r="X42" s="236" t="str">
        <f>IFERROR(__xludf.DUMMYFUNCTION("if(countif(ecn.list,CX42),OFFSET(INDIRECT(CONCAT(""A"",to_text(match(CX42,ecn.list,0)))),0,1),"""")"),"")</f>
        <v/>
      </c>
      <c r="Y42" s="236" t="str">
        <f>IFERROR(__xludf.DUMMYFUNCTION("if(countif(ecn.list,CY42),OFFSET(INDIRECT(CONCAT(""A"",to_text(match(CY42,ecn.list,0)))),0,1),"""")"),"JA ")</f>
        <v>JA </v>
      </c>
      <c r="Z42" s="236" t="str">
        <f>IFERROR(__xludf.DUMMYFUNCTION("if(countif(ecn.list,CZ42),OFFSET(INDIRECT(CONCAT(""A"",to_text(match(CZ42,ecn.list,0)))),0,1),"""")"),"")</f>
        <v/>
      </c>
      <c r="AA42" s="236" t="str">
        <f>IFERROR(__xludf.DUMMYFUNCTION("if(countif(ecn.list,DA42),OFFSET(INDIRECT(CONCAT(""A"",to_text(match(DA42,ecn.list,0)))),0,1),"""")"),"JC ")</f>
        <v>JC </v>
      </c>
      <c r="AB42" s="236" t="str">
        <f>IFERROR(__xludf.DUMMYFUNCTION("if(countif(ecn.list,DB42),OFFSET(INDIRECT(CONCAT(""A"",to_text(match(DB42,ecn.list,0)))),0,1),"""")"),"")</f>
        <v/>
      </c>
      <c r="AC42" s="236" t="str">
        <f>IFERROR(__xludf.DUMMYFUNCTION("if(countif(ecn.list,DC42),OFFSET(INDIRECT(CONCAT(""A"",to_text(match(DC42,ecn.list,0)))),0,1),"""")"),"")</f>
        <v/>
      </c>
      <c r="AD42" s="236" t="str">
        <f>IFERROR(__xludf.DUMMYFUNCTION("if(countif(ecn.list,DD42),OFFSET(INDIRECT(CONCAT(""A"",to_text(match(DD42,ecn.list,0)))),0,1),"""")"),"")</f>
        <v/>
      </c>
      <c r="AE42" s="236" t="str">
        <f>IFERROR(__xludf.DUMMYFUNCTION("if(countif(ecn.list,DE42),OFFSET(INDIRECT(CONCAT(""A"",to_text(match(DE42,ecn.list,0)))),0,1),"""")"),"")</f>
        <v/>
      </c>
      <c r="AF42" s="236" t="str">
        <f>IFERROR(__xludf.DUMMYFUNCTION("if(countif(ecn.list,DF42),OFFSET(INDIRECT(CONCAT(""A"",to_text(match(DF42,ecn.list,0)))),0,1),"""")"),"")</f>
        <v/>
      </c>
      <c r="AG42" s="236" t="str">
        <f>IFERROR(__xludf.DUMMYFUNCTION("if(countif(ecn.list,DG42),OFFSET(INDIRECT(CONCAT(""A"",to_text(match(DG42,ecn.list,0)))),0,1),"""")"),"")</f>
        <v/>
      </c>
      <c r="AH42" s="236" t="str">
        <f>IFERROR(__xludf.DUMMYFUNCTION("if(countif(ecn.list,DH42),OFFSET(INDIRECT(CONCAT(""A"",to_text(match(DH42,ecn.list,0)))),0,1),"""")"),"K3 ")</f>
        <v>K3 </v>
      </c>
      <c r="AI42" s="236" t="str">
        <f>IFERROR(__xludf.DUMMYFUNCTION("if(countif(ecn.list,DI42),OFFSET(INDIRECT(CONCAT(""A"",to_text(match(DI42,ecn.list,0)))),0,1),"""")"),"K4 ")</f>
        <v>K4 </v>
      </c>
      <c r="AJ42" s="236" t="str">
        <f>IFERROR(__xludf.DUMMYFUNCTION("if(countif(ecn.list,DJ42),OFFSET(INDIRECT(CONCAT(""A"",to_text(match(DJ42,ecn.list,0)))),0,1),"""")"),"K5 ")</f>
        <v>K5 </v>
      </c>
      <c r="AK42" s="236" t="str">
        <f>IFERROR(__xludf.DUMMYFUNCTION("if(countif(ecn.list,DK42),OFFSET(INDIRECT(CONCAT(""A"",to_text(match(DK42,ecn.list,0)))),0,1),"""")"),"")</f>
        <v/>
      </c>
      <c r="AL42" s="236" t="str">
        <f>IFERROR(__xludf.DUMMYFUNCTION("if(countif(ecn.list,DL42),OFFSET(INDIRECT(CONCAT(""A"",to_text(match(DL42,ecn.list,0)))),0,1),"""")"),"K7 ")</f>
        <v>K7 </v>
      </c>
      <c r="AM42" s="236" t="str">
        <f>IFERROR(__xludf.DUMMYFUNCTION("if(countif(ecn.list,DM42),OFFSET(INDIRECT(CONCAT(""A"",to_text(match(DM42,ecn.list,0)))),0,1),"""")"),"")</f>
        <v/>
      </c>
      <c r="AN42" s="236" t="str">
        <f>IFERROR(__xludf.DUMMYFUNCTION("if(countif(ecn.list,DN42),OFFSET(INDIRECT(CONCAT(""A"",to_text(match(DN42,ecn.list,0)))),0,1),"""")"),"K9 ")</f>
        <v>K9 </v>
      </c>
      <c r="AO42" s="236" t="str">
        <f>IFERROR(__xludf.DUMMYFUNCTION("if(countif(ecn.list,DO42),OFFSET(INDIRECT(CONCAT(""A"",to_text(match(DO42,ecn.list,0)))),0,1),"""")"),"KA ")</f>
        <v>KA </v>
      </c>
      <c r="AP42" s="236" t="str">
        <f>IFERROR(__xludf.DUMMYFUNCTION("if(countif(ecn.list,DP42),OFFSET(INDIRECT(CONCAT(""A"",to_text(match(DP42,ecn.list,0)))),0,1),"""")"),"KB ")</f>
        <v>KB </v>
      </c>
      <c r="AQ42" s="236" t="str">
        <f>IFERROR(__xludf.DUMMYFUNCTION("if(countif(ecn.list,DQ42),OFFSET(INDIRECT(CONCAT(""A"",to_text(match(DQ42,ecn.list,0)))),0,1),"""")"),"KC ")</f>
        <v>KC </v>
      </c>
      <c r="AR42" s="236" t="str">
        <f>IFERROR(__xludf.DUMMYFUNCTION("if(countif(ecn.list,DR42),OFFSET(INDIRECT(CONCAT(""A"",to_text(match(DR42,ecn.list,0)))),0,1),"""")"),"KD ")</f>
        <v>KD </v>
      </c>
      <c r="AS42" s="236" t="str">
        <f>IFERROR(__xludf.DUMMYFUNCTION("if(countif(ecn.list,DS42),OFFSET(INDIRECT(CONCAT(""A"",to_text(match(DS42,ecn.list,0)))),0,1),"""")"),"")</f>
        <v/>
      </c>
      <c r="AT42" s="236" t="str">
        <f>IFERROR(__xludf.DUMMYFUNCTION("if(countif(ecn.list,DT42),OFFSET(INDIRECT(CONCAT(""A"",to_text(match(DT42,ecn.list,0)))),0,1),"""")"),"KF ")</f>
        <v>KF </v>
      </c>
      <c r="AU42" s="236" t="str">
        <f>IFERROR(__xludf.DUMMYFUNCTION("if(countif(ecn.list,DU42),OFFSET(INDIRECT(CONCAT(""A"",to_text(match(DU42,ecn.list,0)))),0,1),"""")"),"")</f>
        <v/>
      </c>
      <c r="AV42" s="236" t="str">
        <f>IFERROR(__xludf.DUMMYFUNCTION("if(countif(ecn.list,DV42),OFFSET(INDIRECT(CONCAT(""A"",to_text(match(DV42,ecn.list,0)))),0,1),"""")"),"L1 ")</f>
        <v>L1 </v>
      </c>
      <c r="AW42" s="236" t="str">
        <f>IFERROR(__xludf.DUMMYFUNCTION("if(countif(ecn.list,DW42),OFFSET(INDIRECT(CONCAT(""A"",to_text(match(DW42,ecn.list,0)))),0,1),"""")"),"")</f>
        <v/>
      </c>
      <c r="AX42" s="236" t="str">
        <f>IFERROR(__xludf.DUMMYFUNCTION("if(countif(ecn.list,DX42),OFFSET(INDIRECT(CONCAT(""A"",to_text(match(DX42,ecn.list,0)))),0,1),"""")"),"")</f>
        <v/>
      </c>
      <c r="AY42" s="236" t="str">
        <f>IFERROR(__xludf.DUMMYFUNCTION("if(countif(ecn.list,DY42),OFFSET(INDIRECT(CONCAT(""A"",to_text(match(DY42,ecn.list,0)))),0,1),"""")"),"")</f>
        <v/>
      </c>
      <c r="AZ42" s="236" t="str">
        <f>IFERROR(__xludf.DUMMYFUNCTION("if(countif(ecn.list,DZ42),OFFSET(INDIRECT(CONCAT(""A"",to_text(match(DZ42,ecn.list,0)))),0,1),"""")"),"")</f>
        <v/>
      </c>
      <c r="BA42" s="236" t="str">
        <f>IFERROR(__xludf.DUMMYFUNCTION("if(countif(ecn.list,EA42),OFFSET(INDIRECT(CONCAT(""A"",to_text(match(EA42,ecn.list,0)))),0,1),"""")"),"")</f>
        <v/>
      </c>
      <c r="BB42" s="236" t="str">
        <f>IFERROR(__xludf.DUMMYFUNCTION("if(countif(ecn.list,EB42),OFFSET(INDIRECT(CONCAT(""A"",to_text(match(EB42,ecn.list,0)))),0,1),"""")"),"")</f>
        <v/>
      </c>
      <c r="BC42" s="236" t="str">
        <f>IFERROR(__xludf.DUMMYFUNCTION("if(countif(ecn.list,EC42),OFFSET(INDIRECT(CONCAT(""A"",to_text(match(EC42,ecn.list,0)))),0,1),"""")"),"L8 ")</f>
        <v>L8 </v>
      </c>
      <c r="BD42" s="236" t="str">
        <f>IFERROR(__xludf.DUMMYFUNCTION("if(countif(ecn.list,ED42),OFFSET(INDIRECT(CONCAT(""A"",to_text(match(ED42,ecn.list,0)))),0,1),"""")"),"")</f>
        <v/>
      </c>
      <c r="BE42" s="236" t="str">
        <f>IFERROR(__xludf.DUMMYFUNCTION("if(countif(ecn.list,EE42),OFFSET(INDIRECT(CONCAT(""A"",to_text(match(EE42,ecn.list,0)))),0,1),"""")"),"LA ")</f>
        <v>LA </v>
      </c>
      <c r="BF42" s="236" t="str">
        <f>IFERROR(__xludf.DUMMYFUNCTION("if(countif(ecn.list,EF42),OFFSET(INDIRECT(CONCAT(""A"",to_text(match(EF42,ecn.list,0)))),0,1),"""")"),"")</f>
        <v/>
      </c>
      <c r="BG42" s="236" t="str">
        <f>IFERROR(__xludf.DUMMYFUNCTION("if(countif(ecn.list,EG42),OFFSET(INDIRECT(CONCAT(""A"",to_text(match(EG42,ecn.list,0)))),0,1),"""")"),"LC ")</f>
        <v>LC </v>
      </c>
      <c r="BH42" s="236" t="str">
        <f>IFERROR(__xludf.DUMMYFUNCTION("if(countif(ecn.list,EH42),OFFSET(INDIRECT(CONCAT(""A"",to_text(match(EH42,ecn.list,0)))),0,1),"""")"),"")</f>
        <v/>
      </c>
      <c r="BI42" s="236" t="str">
        <f>IFERROR(__xludf.DUMMYFUNCTION("if(countif(ecn.list,EI42),OFFSET(INDIRECT(CONCAT(""A"",to_text(match(EI42,ecn.list,0)))),0,1),"""")"),"")</f>
        <v/>
      </c>
      <c r="BJ42" s="236" t="str">
        <f>IFERROR(__xludf.DUMMYFUNCTION("if(countif(ecn.list,EJ42),OFFSET(INDIRECT(CONCAT(""A"",to_text(match(EJ42,ecn.list,0)))),0,1),"""")"),"LF ")</f>
        <v>LF </v>
      </c>
      <c r="BK42" s="236" t="str">
        <f>IFERROR(__xludf.DUMMYFUNCTION("if(countif(ecn.list,EK42),OFFSET(INDIRECT(CONCAT(""A"",to_text(match(EK42,ecn.list,0)))),0,1),"""")"),"M0 ")</f>
        <v>M0 </v>
      </c>
      <c r="BL42" s="236" t="str">
        <f>IFERROR(__xludf.DUMMYFUNCTION("if(countif(ecn.list,EL42),OFFSET(INDIRECT(CONCAT(""A"",to_text(match(EL42,ecn.list,0)))),0,1),"""")"),"M1 ")</f>
        <v>M1 </v>
      </c>
      <c r="BM42" s="236" t="str">
        <f>IFERROR(__xludf.DUMMYFUNCTION("if(countif(ecn.list,EM42),OFFSET(INDIRECT(CONCAT(""A"",to_text(match(EM42,ecn.list,0)))),0,1),"""")"),"")</f>
        <v/>
      </c>
      <c r="BN42" s="236" t="str">
        <f>IFERROR(__xludf.DUMMYFUNCTION("if(countif(ecn.list,EN42),OFFSET(INDIRECT(CONCAT(""A"",to_text(match(EN42,ecn.list,0)))),0,1),"""")"),"M3 ")</f>
        <v>M3 </v>
      </c>
      <c r="BO42" s="236" t="str">
        <f>IFERROR(__xludf.DUMMYFUNCTION("if(countif(ecn.list,EO42),OFFSET(INDIRECT(CONCAT(""A"",to_text(match(EO42,ecn.list,0)))),0,1),"""")"),"")</f>
        <v/>
      </c>
      <c r="BP42" s="236" t="str">
        <f>IFERROR(__xludf.DUMMYFUNCTION("if(countif(ecn.list,EP42),OFFSET(INDIRECT(CONCAT(""A"",to_text(match(EP42,ecn.list,0)))),0,1),"""")"),"")</f>
        <v/>
      </c>
      <c r="BQ42" s="236" t="str">
        <f>IFERROR(__xludf.DUMMYFUNCTION("if(countif(ecn.list,EQ42),OFFSET(INDIRECT(CONCAT(""A"",to_text(match(EQ42,ecn.list,0)))),0,1),"""")"),"")</f>
        <v/>
      </c>
      <c r="BR42" s="236" t="str">
        <f>IFERROR(__xludf.DUMMYFUNCTION("if(countif(ecn.list,ER42),OFFSET(INDIRECT(CONCAT(""A"",to_text(match(ER42,ecn.list,0)))),0,1),"""")"),"")</f>
        <v/>
      </c>
      <c r="BS42" s="236" t="str">
        <f>IFERROR(__xludf.DUMMYFUNCTION("if(countif(ecn.list,ES42),OFFSET(INDIRECT(CONCAT(""A"",to_text(match(ES42,ecn.list,0)))),0,1),"""")"),"M8 ")</f>
        <v>M8 </v>
      </c>
      <c r="BT42" s="236" t="str">
        <f>IFERROR(__xludf.DUMMYFUNCTION("if(countif(ecn.list,ET42),OFFSET(INDIRECT(CONCAT(""A"",to_text(match(ET42,ecn.list,0)))),0,1),"""")"),"")</f>
        <v/>
      </c>
      <c r="BU42" s="236" t="str">
        <f>IFERROR(__xludf.DUMMYFUNCTION("if(countif(ecn.list,EU42),OFFSET(INDIRECT(CONCAT(""A"",to_text(match(EU42,ecn.list,0)))),0,1),"""")"),"")</f>
        <v/>
      </c>
      <c r="BV42" s="236" t="str">
        <f>IFERROR(__xludf.DUMMYFUNCTION("if(countif(ecn.list,EV42),OFFSET(INDIRECT(CONCAT(""A"",to_text(match(EV42,ecn.list,0)))),0,1),"""")"),"MB ")</f>
        <v>MB </v>
      </c>
      <c r="BW42" s="236" t="str">
        <f>IFERROR(__xludf.DUMMYFUNCTION("if(countif(ecn.list,EW42),OFFSET(INDIRECT(CONCAT(""A"",to_text(match(EW42,ecn.list,0)))),0,1),"""")"),"")</f>
        <v/>
      </c>
      <c r="BX42" s="236" t="str">
        <f>IFERROR(__xludf.DUMMYFUNCTION("if(countif(ecn.list,EX42),OFFSET(INDIRECT(CONCAT(""A"",to_text(match(EX42,ecn.list,0)))),0,1),"""")"),"")</f>
        <v/>
      </c>
      <c r="BY42" s="236" t="str">
        <f>IFERROR(__xludf.DUMMYFUNCTION("if(countif(ecn.list,EY42),OFFSET(INDIRECT(CONCAT(""A"",to_text(match(EY42,ecn.list,0)))),0,1),"""")"),"")</f>
        <v/>
      </c>
      <c r="BZ42" s="236" t="str">
        <f>IFERROR(__xludf.DUMMYFUNCTION("if(countif(ecn.list,EZ42),OFFSET(INDIRECT(CONCAT(""A"",to_text(match(EZ42,ecn.list,0)))),0,1),"""")"),"MF ")</f>
        <v>MF </v>
      </c>
      <c r="CA42" s="236" t="str">
        <f>IFERROR(__xludf.DUMMYFUNCTION("if(countif(ecn.list,FA42),OFFSET(INDIRECT(CONCAT(""A"",to_text(match(FA42,ecn.list,0)))),0,1),"""")"),"")</f>
        <v/>
      </c>
      <c r="CB42" s="236" t="str">
        <f>IFERROR(__xludf.DUMMYFUNCTION("if(countif(ecn.list,FB42),OFFSET(INDIRECT(CONCAT(""A"",to_text(match(FB42,ecn.list,0)))),0,1),"""")"),"")</f>
        <v/>
      </c>
      <c r="CC42" s="236" t="str">
        <f>IFERROR(__xludf.DUMMYFUNCTION("if(countif(ecn.list,FC42),OFFSET(INDIRECT(CONCAT(""A"",to_text(match(FC42,ecn.list,0)))),0,1),"""")"),"N2 ")</f>
        <v>N2 </v>
      </c>
      <c r="CD42" s="236" t="str">
        <f>IFERROR(__xludf.DUMMYFUNCTION("if(countif(ecn.list,FD42),OFFSET(INDIRECT(CONCAT(""A"",to_text(match(FD42,ecn.list,0)))),0,1),"""")"),"")</f>
        <v/>
      </c>
      <c r="CE42" s="236" t="str">
        <f>IFERROR(__xludf.DUMMYFUNCTION("if(countif(ecn.list,FE42),OFFSET(INDIRECT(CONCAT(""A"",to_text(match(FE42,ecn.list,0)))),0,1),"""")"),"")</f>
        <v/>
      </c>
      <c r="CF42" s="236" t="str">
        <f>IFERROR(__xludf.DUMMYFUNCTION("if(countif(ecn.list,FF42),OFFSET(INDIRECT(CONCAT(""A"",to_text(match(FF42,ecn.list,0)))),0,1),"""")"),"")</f>
        <v/>
      </c>
      <c r="CG42" s="236" t="str">
        <f>IFERROR(__xludf.DUMMYFUNCTION("if(countif(ecn.list,FG42),OFFSET(INDIRECT(CONCAT(""A"",to_text(match(FG42,ecn.list,0)))),0,1),"""")"),"")</f>
        <v/>
      </c>
      <c r="CH42" s="236" t="str">
        <f>IFERROR(__xludf.DUMMYFUNCTION("if(countif(ecn.list,FH42),OFFSET(INDIRECT(CONCAT(""A"",to_text(match(FH42,ecn.list,0)))),0,1),"""")"),"N7 ")</f>
        <v>N7 </v>
      </c>
      <c r="CI42" s="236" t="str">
        <f>IFERROR(__xludf.DUMMYFUNCTION("if(countif(ecn.list,FI42),OFFSET(INDIRECT(CONCAT(""A"",to_text(match(FI42,ecn.list,0)))),0,1),"""")"),"")</f>
        <v/>
      </c>
      <c r="CJ42" s="236" t="str">
        <f>IFERROR(__xludf.DUMMYFUNCTION("if(countif(ecn.list,FJ42),OFFSET(INDIRECT(CONCAT(""A"",to_text(match(FJ42,ecn.list,0)))),0,1),"""")"),"")</f>
        <v/>
      </c>
      <c r="CK42" s="236" t="str">
        <f>IFERROR(__xludf.DUMMYFUNCTION("if(countif(ecn.list,FK42),OFFSET(INDIRECT(CONCAT(""A"",to_text(match(FK42,ecn.list,0)))),0,1),"""")"),"NA ")</f>
        <v>NA </v>
      </c>
      <c r="CL42" s="236" t="str">
        <f>IFERROR(__xludf.DUMMYFUNCTION("if(countif(ecn.list,FL42),OFFSET(INDIRECT(CONCAT(""A"",to_text(match(FL42,ecn.list,0)))),0,1),"""")"),"")</f>
        <v/>
      </c>
      <c r="CM42" s="236" t="str">
        <f>IFERROR(__xludf.DUMMYFUNCTION("if(countif(ecn.list,FM42),OFFSET(INDIRECT(CONCAT(""A"",to_text(match(FM42,ecn.list,0)))),0,1),"""")"),"")</f>
        <v/>
      </c>
      <c r="CN42" s="198" t="s">
        <v>201</v>
      </c>
      <c r="CO42" s="198" t="s">
        <v>1447</v>
      </c>
      <c r="CP42" s="198" t="s">
        <v>1453</v>
      </c>
      <c r="CQ42" s="198" t="s">
        <v>1453</v>
      </c>
      <c r="CR42" s="198" t="s">
        <v>1453</v>
      </c>
      <c r="CS42" s="198" t="s">
        <v>1453</v>
      </c>
      <c r="CT42" s="198" t="s">
        <v>1454</v>
      </c>
      <c r="CU42" s="198" t="s">
        <v>1455</v>
      </c>
      <c r="CV42" s="198" t="s">
        <v>1456</v>
      </c>
      <c r="CW42" s="198" t="s">
        <v>1453</v>
      </c>
      <c r="CX42" s="198" t="s">
        <v>1453</v>
      </c>
      <c r="CY42" s="198" t="s">
        <v>1484</v>
      </c>
      <c r="CZ42" s="198" t="s">
        <v>1453</v>
      </c>
      <c r="DA42" s="198" t="s">
        <v>1457</v>
      </c>
      <c r="DB42" s="198" t="s">
        <v>1453</v>
      </c>
      <c r="DC42" s="198" t="s">
        <v>1453</v>
      </c>
      <c r="DD42" s="198" t="s">
        <v>1453</v>
      </c>
      <c r="DE42" s="198" t="s">
        <v>1453</v>
      </c>
      <c r="DF42" s="198" t="s">
        <v>1453</v>
      </c>
      <c r="DG42" s="198" t="s">
        <v>1453</v>
      </c>
      <c r="DH42" s="198" t="s">
        <v>1500</v>
      </c>
      <c r="DI42" s="198" t="s">
        <v>1501</v>
      </c>
      <c r="DJ42" s="198" t="s">
        <v>1460</v>
      </c>
      <c r="DK42" s="198" t="s">
        <v>1453</v>
      </c>
      <c r="DL42" s="198" t="s">
        <v>1461</v>
      </c>
      <c r="DM42" s="198" t="s">
        <v>1453</v>
      </c>
      <c r="DN42" s="198" t="s">
        <v>1463</v>
      </c>
      <c r="DO42" s="198" t="s">
        <v>1464</v>
      </c>
      <c r="DP42" s="198" t="s">
        <v>1465</v>
      </c>
      <c r="DQ42" s="198" t="s">
        <v>1466</v>
      </c>
      <c r="DR42" s="198" t="s">
        <v>1467</v>
      </c>
      <c r="DS42" s="198" t="s">
        <v>1453</v>
      </c>
      <c r="DT42" s="198" t="s">
        <v>1468</v>
      </c>
      <c r="DU42" s="198" t="s">
        <v>1453</v>
      </c>
      <c r="DV42" s="198" t="s">
        <v>1469</v>
      </c>
      <c r="DW42" s="198" t="s">
        <v>1453</v>
      </c>
      <c r="DX42" s="198" t="s">
        <v>1453</v>
      </c>
      <c r="DY42" s="198" t="s">
        <v>1453</v>
      </c>
      <c r="DZ42" s="198" t="s">
        <v>1453</v>
      </c>
      <c r="EA42" s="198" t="s">
        <v>1453</v>
      </c>
      <c r="EB42" s="198" t="s">
        <v>1453</v>
      </c>
      <c r="EC42" s="198" t="s">
        <v>1483</v>
      </c>
      <c r="ED42" s="198" t="s">
        <v>1453</v>
      </c>
      <c r="EE42" s="198" t="s">
        <v>1470</v>
      </c>
      <c r="EF42" s="198" t="s">
        <v>1453</v>
      </c>
      <c r="EG42" s="198" t="s">
        <v>1471</v>
      </c>
      <c r="EH42" s="198" t="s">
        <v>1453</v>
      </c>
      <c r="EI42" s="198" t="s">
        <v>1453</v>
      </c>
      <c r="EJ42" s="198" t="s">
        <v>1472</v>
      </c>
      <c r="EK42" s="198" t="s">
        <v>1487</v>
      </c>
      <c r="EL42" s="198" t="s">
        <v>1473</v>
      </c>
      <c r="EM42" s="198" t="s">
        <v>1453</v>
      </c>
      <c r="EN42" s="198" t="s">
        <v>1474</v>
      </c>
      <c r="EO42" s="198" t="s">
        <v>1453</v>
      </c>
      <c r="EP42" s="198" t="s">
        <v>1453</v>
      </c>
      <c r="EQ42" s="198" t="s">
        <v>1453</v>
      </c>
      <c r="ER42" s="198" t="s">
        <v>1453</v>
      </c>
      <c r="ES42" s="198" t="s">
        <v>1505</v>
      </c>
      <c r="ET42" s="198" t="s">
        <v>1453</v>
      </c>
      <c r="EU42" s="198" t="s">
        <v>1453</v>
      </c>
      <c r="EV42" s="198" t="s">
        <v>1476</v>
      </c>
      <c r="EW42" s="198" t="s">
        <v>1453</v>
      </c>
      <c r="EX42" s="198" t="s">
        <v>1453</v>
      </c>
      <c r="EY42" s="198" t="s">
        <v>1453</v>
      </c>
      <c r="EZ42" s="198" t="s">
        <v>1477</v>
      </c>
      <c r="FA42" s="198" t="s">
        <v>1453</v>
      </c>
      <c r="FB42" s="198" t="s">
        <v>1453</v>
      </c>
      <c r="FC42" s="198" t="s">
        <v>1478</v>
      </c>
      <c r="FD42" s="198" t="s">
        <v>1453</v>
      </c>
      <c r="FE42" s="198" t="s">
        <v>1453</v>
      </c>
      <c r="FF42" s="198" t="s">
        <v>1453</v>
      </c>
      <c r="FG42" s="198" t="s">
        <v>1453</v>
      </c>
      <c r="FH42" s="198" t="s">
        <v>1479</v>
      </c>
      <c r="FI42" s="198" t="s">
        <v>1453</v>
      </c>
      <c r="FJ42" s="198" t="s">
        <v>1453</v>
      </c>
      <c r="FK42" s="198" t="s">
        <v>1481</v>
      </c>
      <c r="FL42" s="198" t="s">
        <v>1482</v>
      </c>
      <c r="FM42" s="198" t="s">
        <v>1453</v>
      </c>
    </row>
    <row r="43" ht="15.75" customHeight="1">
      <c r="A43" s="198" t="s">
        <v>1516</v>
      </c>
      <c r="B43" s="198" t="str">
        <f t="shared" si="4"/>
        <v>L9 </v>
      </c>
      <c r="C43" s="234">
        <v>9.0</v>
      </c>
      <c r="D43" s="232" t="s">
        <v>961</v>
      </c>
      <c r="E43" s="232" t="s">
        <v>962</v>
      </c>
      <c r="F43" s="232" t="s">
        <v>963</v>
      </c>
      <c r="G43" s="232" t="s">
        <v>868</v>
      </c>
      <c r="H43" s="232" t="s">
        <v>775</v>
      </c>
      <c r="I43" s="232" t="s">
        <v>964</v>
      </c>
      <c r="J43" s="232" t="s">
        <v>831</v>
      </c>
      <c r="K43" s="232" t="s">
        <v>967</v>
      </c>
      <c r="L43" s="188" t="s">
        <v>204</v>
      </c>
      <c r="M43" s="236" t="str">
        <f>IFERROR(__xludf.DUMMYFUNCTION("regexreplace(N43,"" "","", "")"),"")</f>
        <v/>
      </c>
      <c r="N43" s="236" t="str">
        <f t="shared" si="2"/>
        <v/>
      </c>
      <c r="O43" s="236" t="str">
        <f>IFERROR(__xludf.DUMMYFUNCTION("if(countif(ecn.list,CO43),OFFSET(INDIRECT(CONCAT(""A"",to_text(match(CO43,ecn.list,0)))),0,1),"""")"),"")</f>
        <v/>
      </c>
      <c r="P43" s="236" t="str">
        <f>IFERROR(__xludf.DUMMYFUNCTION("if(countif(ecn.list,CP43),OFFSET(INDIRECT(CONCAT(""A"",to_text(match(CP43,ecn.list,0)))),0,1),"""")"),"")</f>
        <v/>
      </c>
      <c r="Q43" s="236" t="str">
        <f>IFERROR(__xludf.DUMMYFUNCTION("if(countif(ecn.list,CQ43),OFFSET(INDIRECT(CONCAT(""A"",to_text(match(CQ43,ecn.list,0)))),0,1),"""")"),"")</f>
        <v/>
      </c>
      <c r="R43" s="236" t="str">
        <f>IFERROR(__xludf.DUMMYFUNCTION("if(countif(ecn.list,CR43),OFFSET(INDIRECT(CONCAT(""A"",to_text(match(CR43,ecn.list,0)))),0,1),"""")"),"")</f>
        <v/>
      </c>
      <c r="S43" s="236" t="str">
        <f>IFERROR(__xludf.DUMMYFUNCTION("if(countif(ecn.list,CS43),OFFSET(INDIRECT(CONCAT(""A"",to_text(match(CS43,ecn.list,0)))),0,1),"""")"),"")</f>
        <v/>
      </c>
      <c r="T43" s="236" t="str">
        <f>IFERROR(__xludf.DUMMYFUNCTION("if(countif(ecn.list,CT43),OFFSET(INDIRECT(CONCAT(""A"",to_text(match(CT43,ecn.list,0)))),0,1),"""")"),"")</f>
        <v/>
      </c>
      <c r="U43" s="236" t="str">
        <f>IFERROR(__xludf.DUMMYFUNCTION("if(countif(ecn.list,CU43),OFFSET(INDIRECT(CONCAT(""A"",to_text(match(CU43,ecn.list,0)))),0,1),"""")"),"")</f>
        <v/>
      </c>
      <c r="V43" s="236" t="str">
        <f>IFERROR(__xludf.DUMMYFUNCTION("if(countif(ecn.list,CV43),OFFSET(INDIRECT(CONCAT(""A"",to_text(match(CV43,ecn.list,0)))),0,1),"""")"),"")</f>
        <v/>
      </c>
      <c r="W43" s="236" t="str">
        <f>IFERROR(__xludf.DUMMYFUNCTION("if(countif(ecn.list,CW43),OFFSET(INDIRECT(CONCAT(""A"",to_text(match(CW43,ecn.list,0)))),0,1),"""")"),"")</f>
        <v/>
      </c>
      <c r="X43" s="236" t="str">
        <f>IFERROR(__xludf.DUMMYFUNCTION("if(countif(ecn.list,CX43),OFFSET(INDIRECT(CONCAT(""A"",to_text(match(CX43,ecn.list,0)))),0,1),"""")"),"")</f>
        <v/>
      </c>
      <c r="Y43" s="236" t="str">
        <f>IFERROR(__xludf.DUMMYFUNCTION("if(countif(ecn.list,CY43),OFFSET(INDIRECT(CONCAT(""A"",to_text(match(CY43,ecn.list,0)))),0,1),"""")"),"")</f>
        <v/>
      </c>
      <c r="Z43" s="236" t="str">
        <f>IFERROR(__xludf.DUMMYFUNCTION("if(countif(ecn.list,CZ43),OFFSET(INDIRECT(CONCAT(""A"",to_text(match(CZ43,ecn.list,0)))),0,1),"""")"),"")</f>
        <v/>
      </c>
      <c r="AA43" s="236" t="str">
        <f>IFERROR(__xludf.DUMMYFUNCTION("if(countif(ecn.list,DA43),OFFSET(INDIRECT(CONCAT(""A"",to_text(match(DA43,ecn.list,0)))),0,1),"""")"),"")</f>
        <v/>
      </c>
      <c r="AB43" s="236" t="str">
        <f>IFERROR(__xludf.DUMMYFUNCTION("if(countif(ecn.list,DB43),OFFSET(INDIRECT(CONCAT(""A"",to_text(match(DB43,ecn.list,0)))),0,1),"""")"),"")</f>
        <v/>
      </c>
      <c r="AC43" s="236" t="str">
        <f>IFERROR(__xludf.DUMMYFUNCTION("if(countif(ecn.list,DC43),OFFSET(INDIRECT(CONCAT(""A"",to_text(match(DC43,ecn.list,0)))),0,1),"""")"),"")</f>
        <v/>
      </c>
      <c r="AD43" s="236" t="str">
        <f>IFERROR(__xludf.DUMMYFUNCTION("if(countif(ecn.list,DD43),OFFSET(INDIRECT(CONCAT(""A"",to_text(match(DD43,ecn.list,0)))),0,1),"""")"),"")</f>
        <v/>
      </c>
      <c r="AE43" s="236" t="str">
        <f>IFERROR(__xludf.DUMMYFUNCTION("if(countif(ecn.list,DE43),OFFSET(INDIRECT(CONCAT(""A"",to_text(match(DE43,ecn.list,0)))),0,1),"""")"),"")</f>
        <v/>
      </c>
      <c r="AF43" s="236" t="str">
        <f>IFERROR(__xludf.DUMMYFUNCTION("if(countif(ecn.list,DF43),OFFSET(INDIRECT(CONCAT(""A"",to_text(match(DF43,ecn.list,0)))),0,1),"""")"),"")</f>
        <v/>
      </c>
      <c r="AG43" s="236" t="str">
        <f>IFERROR(__xludf.DUMMYFUNCTION("if(countif(ecn.list,DG43),OFFSET(INDIRECT(CONCAT(""A"",to_text(match(DG43,ecn.list,0)))),0,1),"""")"),"")</f>
        <v/>
      </c>
      <c r="AH43" s="236" t="str">
        <f>IFERROR(__xludf.DUMMYFUNCTION("if(countif(ecn.list,DH43),OFFSET(INDIRECT(CONCAT(""A"",to_text(match(DH43,ecn.list,0)))),0,1),"""")"),"")</f>
        <v/>
      </c>
      <c r="AI43" s="236" t="str">
        <f>IFERROR(__xludf.DUMMYFUNCTION("if(countif(ecn.list,DI43),OFFSET(INDIRECT(CONCAT(""A"",to_text(match(DI43,ecn.list,0)))),0,1),"""")"),"")</f>
        <v/>
      </c>
      <c r="AJ43" s="236" t="str">
        <f>IFERROR(__xludf.DUMMYFUNCTION("if(countif(ecn.list,DJ43),OFFSET(INDIRECT(CONCAT(""A"",to_text(match(DJ43,ecn.list,0)))),0,1),"""")"),"")</f>
        <v/>
      </c>
      <c r="AK43" s="236" t="str">
        <f>IFERROR(__xludf.DUMMYFUNCTION("if(countif(ecn.list,DK43),OFFSET(INDIRECT(CONCAT(""A"",to_text(match(DK43,ecn.list,0)))),0,1),"""")"),"")</f>
        <v/>
      </c>
      <c r="AL43" s="236" t="str">
        <f>IFERROR(__xludf.DUMMYFUNCTION("if(countif(ecn.list,DL43),OFFSET(INDIRECT(CONCAT(""A"",to_text(match(DL43,ecn.list,0)))),0,1),"""")"),"")</f>
        <v/>
      </c>
      <c r="AM43" s="236" t="str">
        <f>IFERROR(__xludf.DUMMYFUNCTION("if(countif(ecn.list,DM43),OFFSET(INDIRECT(CONCAT(""A"",to_text(match(DM43,ecn.list,0)))),0,1),"""")"),"")</f>
        <v/>
      </c>
      <c r="AN43" s="236" t="str">
        <f>IFERROR(__xludf.DUMMYFUNCTION("if(countif(ecn.list,DN43),OFFSET(INDIRECT(CONCAT(""A"",to_text(match(DN43,ecn.list,0)))),0,1),"""")"),"")</f>
        <v/>
      </c>
      <c r="AO43" s="236" t="str">
        <f>IFERROR(__xludf.DUMMYFUNCTION("if(countif(ecn.list,DO43),OFFSET(INDIRECT(CONCAT(""A"",to_text(match(DO43,ecn.list,0)))),0,1),"""")"),"")</f>
        <v/>
      </c>
      <c r="AP43" s="236" t="str">
        <f>IFERROR(__xludf.DUMMYFUNCTION("if(countif(ecn.list,DP43),OFFSET(INDIRECT(CONCAT(""A"",to_text(match(DP43,ecn.list,0)))),0,1),"""")"),"")</f>
        <v/>
      </c>
      <c r="AQ43" s="236" t="str">
        <f>IFERROR(__xludf.DUMMYFUNCTION("if(countif(ecn.list,DQ43),OFFSET(INDIRECT(CONCAT(""A"",to_text(match(DQ43,ecn.list,0)))),0,1),"""")"),"")</f>
        <v/>
      </c>
      <c r="AR43" s="236" t="str">
        <f>IFERROR(__xludf.DUMMYFUNCTION("if(countif(ecn.list,DR43),OFFSET(INDIRECT(CONCAT(""A"",to_text(match(DR43,ecn.list,0)))),0,1),"""")"),"")</f>
        <v/>
      </c>
      <c r="AS43" s="236" t="str">
        <f>IFERROR(__xludf.DUMMYFUNCTION("if(countif(ecn.list,DS43),OFFSET(INDIRECT(CONCAT(""A"",to_text(match(DS43,ecn.list,0)))),0,1),"""")"),"")</f>
        <v/>
      </c>
      <c r="AT43" s="236" t="str">
        <f>IFERROR(__xludf.DUMMYFUNCTION("if(countif(ecn.list,DT43),OFFSET(INDIRECT(CONCAT(""A"",to_text(match(DT43,ecn.list,0)))),0,1),"""")"),"")</f>
        <v/>
      </c>
      <c r="AU43" s="236" t="str">
        <f>IFERROR(__xludf.DUMMYFUNCTION("if(countif(ecn.list,DU43),OFFSET(INDIRECT(CONCAT(""A"",to_text(match(DU43,ecn.list,0)))),0,1),"""")"),"")</f>
        <v/>
      </c>
      <c r="AV43" s="236" t="str">
        <f>IFERROR(__xludf.DUMMYFUNCTION("if(countif(ecn.list,DV43),OFFSET(INDIRECT(CONCAT(""A"",to_text(match(DV43,ecn.list,0)))),0,1),"""")"),"")</f>
        <v/>
      </c>
      <c r="AW43" s="236" t="str">
        <f>IFERROR(__xludf.DUMMYFUNCTION("if(countif(ecn.list,DW43),OFFSET(INDIRECT(CONCAT(""A"",to_text(match(DW43,ecn.list,0)))),0,1),"""")"),"")</f>
        <v/>
      </c>
      <c r="AX43" s="236" t="str">
        <f>IFERROR(__xludf.DUMMYFUNCTION("if(countif(ecn.list,DX43),OFFSET(INDIRECT(CONCAT(""A"",to_text(match(DX43,ecn.list,0)))),0,1),"""")"),"")</f>
        <v/>
      </c>
      <c r="AY43" s="236" t="str">
        <f>IFERROR(__xludf.DUMMYFUNCTION("if(countif(ecn.list,DY43),OFFSET(INDIRECT(CONCAT(""A"",to_text(match(DY43,ecn.list,0)))),0,1),"""")"),"")</f>
        <v/>
      </c>
      <c r="AZ43" s="236" t="str">
        <f>IFERROR(__xludf.DUMMYFUNCTION("if(countif(ecn.list,DZ43),OFFSET(INDIRECT(CONCAT(""A"",to_text(match(DZ43,ecn.list,0)))),0,1),"""")"),"")</f>
        <v/>
      </c>
      <c r="BA43" s="236" t="str">
        <f>IFERROR(__xludf.DUMMYFUNCTION("if(countif(ecn.list,EA43),OFFSET(INDIRECT(CONCAT(""A"",to_text(match(EA43,ecn.list,0)))),0,1),"""")"),"")</f>
        <v/>
      </c>
      <c r="BB43" s="236" t="str">
        <f>IFERROR(__xludf.DUMMYFUNCTION("if(countif(ecn.list,EB43),OFFSET(INDIRECT(CONCAT(""A"",to_text(match(EB43,ecn.list,0)))),0,1),"""")"),"")</f>
        <v/>
      </c>
      <c r="BC43" s="236" t="str">
        <f>IFERROR(__xludf.DUMMYFUNCTION("if(countif(ecn.list,EC43),OFFSET(INDIRECT(CONCAT(""A"",to_text(match(EC43,ecn.list,0)))),0,1),"""")"),"")</f>
        <v/>
      </c>
      <c r="BD43" s="236" t="str">
        <f>IFERROR(__xludf.DUMMYFUNCTION("if(countif(ecn.list,ED43),OFFSET(INDIRECT(CONCAT(""A"",to_text(match(ED43,ecn.list,0)))),0,1),"""")"),"")</f>
        <v/>
      </c>
      <c r="BE43" s="236" t="str">
        <f>IFERROR(__xludf.DUMMYFUNCTION("if(countif(ecn.list,EE43),OFFSET(INDIRECT(CONCAT(""A"",to_text(match(EE43,ecn.list,0)))),0,1),"""")"),"")</f>
        <v/>
      </c>
      <c r="BF43" s="236" t="str">
        <f>IFERROR(__xludf.DUMMYFUNCTION("if(countif(ecn.list,EF43),OFFSET(INDIRECT(CONCAT(""A"",to_text(match(EF43,ecn.list,0)))),0,1),"""")"),"")</f>
        <v/>
      </c>
      <c r="BG43" s="236" t="str">
        <f>IFERROR(__xludf.DUMMYFUNCTION("if(countif(ecn.list,EG43),OFFSET(INDIRECT(CONCAT(""A"",to_text(match(EG43,ecn.list,0)))),0,1),"""")"),"")</f>
        <v/>
      </c>
      <c r="BH43" s="236" t="str">
        <f>IFERROR(__xludf.DUMMYFUNCTION("if(countif(ecn.list,EH43),OFFSET(INDIRECT(CONCAT(""A"",to_text(match(EH43,ecn.list,0)))),0,1),"""")"),"")</f>
        <v/>
      </c>
      <c r="BI43" s="236" t="str">
        <f>IFERROR(__xludf.DUMMYFUNCTION("if(countif(ecn.list,EI43),OFFSET(INDIRECT(CONCAT(""A"",to_text(match(EI43,ecn.list,0)))),0,1),"""")"),"")</f>
        <v/>
      </c>
      <c r="BJ43" s="236" t="str">
        <f>IFERROR(__xludf.DUMMYFUNCTION("if(countif(ecn.list,EJ43),OFFSET(INDIRECT(CONCAT(""A"",to_text(match(EJ43,ecn.list,0)))),0,1),"""")"),"")</f>
        <v/>
      </c>
      <c r="BK43" s="236" t="str">
        <f>IFERROR(__xludf.DUMMYFUNCTION("if(countif(ecn.list,EK43),OFFSET(INDIRECT(CONCAT(""A"",to_text(match(EK43,ecn.list,0)))),0,1),"""")"),"")</f>
        <v/>
      </c>
      <c r="BL43" s="236" t="str">
        <f>IFERROR(__xludf.DUMMYFUNCTION("if(countif(ecn.list,EL43),OFFSET(INDIRECT(CONCAT(""A"",to_text(match(EL43,ecn.list,0)))),0,1),"""")"),"")</f>
        <v/>
      </c>
      <c r="BM43" s="236" t="str">
        <f>IFERROR(__xludf.DUMMYFUNCTION("if(countif(ecn.list,EM43),OFFSET(INDIRECT(CONCAT(""A"",to_text(match(EM43,ecn.list,0)))),0,1),"""")"),"")</f>
        <v/>
      </c>
      <c r="BN43" s="236" t="str">
        <f>IFERROR(__xludf.DUMMYFUNCTION("if(countif(ecn.list,EN43),OFFSET(INDIRECT(CONCAT(""A"",to_text(match(EN43,ecn.list,0)))),0,1),"""")"),"")</f>
        <v/>
      </c>
      <c r="BO43" s="236" t="str">
        <f>IFERROR(__xludf.DUMMYFUNCTION("if(countif(ecn.list,EO43),OFFSET(INDIRECT(CONCAT(""A"",to_text(match(EO43,ecn.list,0)))),0,1),"""")"),"")</f>
        <v/>
      </c>
      <c r="BP43" s="236" t="str">
        <f>IFERROR(__xludf.DUMMYFUNCTION("if(countif(ecn.list,EP43),OFFSET(INDIRECT(CONCAT(""A"",to_text(match(EP43,ecn.list,0)))),0,1),"""")"),"")</f>
        <v/>
      </c>
      <c r="BQ43" s="236" t="str">
        <f>IFERROR(__xludf.DUMMYFUNCTION("if(countif(ecn.list,EQ43),OFFSET(INDIRECT(CONCAT(""A"",to_text(match(EQ43,ecn.list,0)))),0,1),"""")"),"")</f>
        <v/>
      </c>
      <c r="BR43" s="236" t="str">
        <f>IFERROR(__xludf.DUMMYFUNCTION("if(countif(ecn.list,ER43),OFFSET(INDIRECT(CONCAT(""A"",to_text(match(ER43,ecn.list,0)))),0,1),"""")"),"")</f>
        <v/>
      </c>
      <c r="BS43" s="236" t="str">
        <f>IFERROR(__xludf.DUMMYFUNCTION("if(countif(ecn.list,ES43),OFFSET(INDIRECT(CONCAT(""A"",to_text(match(ES43,ecn.list,0)))),0,1),"""")"),"")</f>
        <v/>
      </c>
      <c r="BT43" s="236" t="str">
        <f>IFERROR(__xludf.DUMMYFUNCTION("if(countif(ecn.list,ET43),OFFSET(INDIRECT(CONCAT(""A"",to_text(match(ET43,ecn.list,0)))),0,1),"""")"),"")</f>
        <v/>
      </c>
      <c r="BU43" s="236" t="str">
        <f>IFERROR(__xludf.DUMMYFUNCTION("if(countif(ecn.list,EU43),OFFSET(INDIRECT(CONCAT(""A"",to_text(match(EU43,ecn.list,0)))),0,1),"""")"),"")</f>
        <v/>
      </c>
      <c r="BV43" s="236" t="str">
        <f>IFERROR(__xludf.DUMMYFUNCTION("if(countif(ecn.list,EV43),OFFSET(INDIRECT(CONCAT(""A"",to_text(match(EV43,ecn.list,0)))),0,1),"""")"),"")</f>
        <v/>
      </c>
      <c r="BW43" s="236" t="str">
        <f>IFERROR(__xludf.DUMMYFUNCTION("if(countif(ecn.list,EW43),OFFSET(INDIRECT(CONCAT(""A"",to_text(match(EW43,ecn.list,0)))),0,1),"""")"),"")</f>
        <v/>
      </c>
      <c r="BX43" s="236" t="str">
        <f>IFERROR(__xludf.DUMMYFUNCTION("if(countif(ecn.list,EX43),OFFSET(INDIRECT(CONCAT(""A"",to_text(match(EX43,ecn.list,0)))),0,1),"""")"),"")</f>
        <v/>
      </c>
      <c r="BY43" s="236" t="str">
        <f>IFERROR(__xludf.DUMMYFUNCTION("if(countif(ecn.list,EY43),OFFSET(INDIRECT(CONCAT(""A"",to_text(match(EY43,ecn.list,0)))),0,1),"""")"),"")</f>
        <v/>
      </c>
      <c r="BZ43" s="236" t="str">
        <f>IFERROR(__xludf.DUMMYFUNCTION("if(countif(ecn.list,EZ43),OFFSET(INDIRECT(CONCAT(""A"",to_text(match(EZ43,ecn.list,0)))),0,1),"""")"),"")</f>
        <v/>
      </c>
      <c r="CA43" s="236" t="str">
        <f>IFERROR(__xludf.DUMMYFUNCTION("if(countif(ecn.list,FA43),OFFSET(INDIRECT(CONCAT(""A"",to_text(match(FA43,ecn.list,0)))),0,1),"""")"),"")</f>
        <v/>
      </c>
      <c r="CB43" s="236" t="str">
        <f>IFERROR(__xludf.DUMMYFUNCTION("if(countif(ecn.list,FB43),OFFSET(INDIRECT(CONCAT(""A"",to_text(match(FB43,ecn.list,0)))),0,1),"""")"),"")</f>
        <v/>
      </c>
      <c r="CC43" s="236" t="str">
        <f>IFERROR(__xludf.DUMMYFUNCTION("if(countif(ecn.list,FC43),OFFSET(INDIRECT(CONCAT(""A"",to_text(match(FC43,ecn.list,0)))),0,1),"""")"),"")</f>
        <v/>
      </c>
      <c r="CD43" s="236" t="str">
        <f>IFERROR(__xludf.DUMMYFUNCTION("if(countif(ecn.list,FD43),OFFSET(INDIRECT(CONCAT(""A"",to_text(match(FD43,ecn.list,0)))),0,1),"""")"),"")</f>
        <v/>
      </c>
      <c r="CE43" s="236" t="str">
        <f>IFERROR(__xludf.DUMMYFUNCTION("if(countif(ecn.list,FE43),OFFSET(INDIRECT(CONCAT(""A"",to_text(match(FE43,ecn.list,0)))),0,1),"""")"),"")</f>
        <v/>
      </c>
      <c r="CF43" s="236" t="str">
        <f>IFERROR(__xludf.DUMMYFUNCTION("if(countif(ecn.list,FF43),OFFSET(INDIRECT(CONCAT(""A"",to_text(match(FF43,ecn.list,0)))),0,1),"""")"),"")</f>
        <v/>
      </c>
      <c r="CG43" s="236" t="str">
        <f>IFERROR(__xludf.DUMMYFUNCTION("if(countif(ecn.list,FG43),OFFSET(INDIRECT(CONCAT(""A"",to_text(match(FG43,ecn.list,0)))),0,1),"""")"),"")</f>
        <v/>
      </c>
      <c r="CH43" s="236" t="str">
        <f>IFERROR(__xludf.DUMMYFUNCTION("if(countif(ecn.list,FH43),OFFSET(INDIRECT(CONCAT(""A"",to_text(match(FH43,ecn.list,0)))),0,1),"""")"),"")</f>
        <v/>
      </c>
      <c r="CI43" s="236" t="str">
        <f>IFERROR(__xludf.DUMMYFUNCTION("if(countif(ecn.list,FI43),OFFSET(INDIRECT(CONCAT(""A"",to_text(match(FI43,ecn.list,0)))),0,1),"""")"),"")</f>
        <v/>
      </c>
      <c r="CJ43" s="236" t="str">
        <f>IFERROR(__xludf.DUMMYFUNCTION("if(countif(ecn.list,FJ43),OFFSET(INDIRECT(CONCAT(""A"",to_text(match(FJ43,ecn.list,0)))),0,1),"""")"),"")</f>
        <v/>
      </c>
      <c r="CK43" s="236" t="str">
        <f>IFERROR(__xludf.DUMMYFUNCTION("if(countif(ecn.list,FK43),OFFSET(INDIRECT(CONCAT(""A"",to_text(match(FK43,ecn.list,0)))),0,1),"""")"),"")</f>
        <v/>
      </c>
      <c r="CL43" s="236" t="str">
        <f>IFERROR(__xludf.DUMMYFUNCTION("if(countif(ecn.list,FL43),OFFSET(INDIRECT(CONCAT(""A"",to_text(match(FL43,ecn.list,0)))),0,1),"""")"),"")</f>
        <v/>
      </c>
      <c r="CM43" s="236" t="str">
        <f>IFERROR(__xludf.DUMMYFUNCTION("if(countif(ecn.list,FM43),OFFSET(INDIRECT(CONCAT(""A"",to_text(match(FM43,ecn.list,0)))),0,1),"""")"),"")</f>
        <v/>
      </c>
      <c r="CN43" s="198" t="s">
        <v>204</v>
      </c>
      <c r="CO43" s="198" t="s">
        <v>1453</v>
      </c>
      <c r="CP43" s="198" t="s">
        <v>1453</v>
      </c>
      <c r="CQ43" s="198" t="s">
        <v>1453</v>
      </c>
      <c r="CR43" s="198" t="s">
        <v>1453</v>
      </c>
      <c r="CS43" s="198" t="s">
        <v>1453</v>
      </c>
      <c r="CT43" s="198" t="s">
        <v>1453</v>
      </c>
      <c r="CU43" s="198" t="s">
        <v>1453</v>
      </c>
      <c r="CV43" s="198" t="s">
        <v>1453</v>
      </c>
      <c r="CW43" s="198" t="s">
        <v>1453</v>
      </c>
      <c r="CX43" s="198" t="s">
        <v>1453</v>
      </c>
      <c r="CY43" s="198" t="s">
        <v>1453</v>
      </c>
      <c r="CZ43" s="198" t="s">
        <v>1453</v>
      </c>
      <c r="DA43" s="198" t="s">
        <v>1453</v>
      </c>
      <c r="DB43" s="198" t="s">
        <v>1453</v>
      </c>
      <c r="DC43" s="198" t="s">
        <v>1453</v>
      </c>
      <c r="DD43" s="198" t="s">
        <v>1453</v>
      </c>
      <c r="DE43" s="198" t="s">
        <v>1453</v>
      </c>
      <c r="DF43" s="198" t="s">
        <v>1453</v>
      </c>
      <c r="DG43" s="198" t="s">
        <v>1453</v>
      </c>
      <c r="DH43" s="198" t="s">
        <v>1453</v>
      </c>
      <c r="DI43" s="198" t="s">
        <v>1453</v>
      </c>
      <c r="DJ43" s="198" t="s">
        <v>1453</v>
      </c>
      <c r="DK43" s="198" t="s">
        <v>1453</v>
      </c>
      <c r="DL43" s="198" t="s">
        <v>1453</v>
      </c>
      <c r="DM43" s="198" t="s">
        <v>1453</v>
      </c>
      <c r="DN43" s="198" t="s">
        <v>1453</v>
      </c>
      <c r="DO43" s="198" t="s">
        <v>1453</v>
      </c>
      <c r="DP43" s="198" t="s">
        <v>1453</v>
      </c>
      <c r="DQ43" s="198" t="s">
        <v>1453</v>
      </c>
      <c r="DR43" s="198" t="s">
        <v>1453</v>
      </c>
      <c r="DS43" s="198" t="s">
        <v>1453</v>
      </c>
      <c r="DT43" s="198" t="s">
        <v>1453</v>
      </c>
      <c r="DU43" s="198" t="s">
        <v>1453</v>
      </c>
      <c r="DV43" s="198" t="s">
        <v>1453</v>
      </c>
      <c r="DW43" s="198" t="s">
        <v>1453</v>
      </c>
      <c r="DX43" s="198" t="s">
        <v>1453</v>
      </c>
      <c r="DY43" s="198" t="s">
        <v>1453</v>
      </c>
      <c r="DZ43" s="198" t="s">
        <v>1453</v>
      </c>
      <c r="EA43" s="198" t="s">
        <v>1453</v>
      </c>
      <c r="EB43" s="198" t="s">
        <v>1453</v>
      </c>
      <c r="EC43" s="198" t="s">
        <v>1453</v>
      </c>
      <c r="ED43" s="198" t="s">
        <v>1453</v>
      </c>
      <c r="EE43" s="198" t="s">
        <v>1453</v>
      </c>
      <c r="EF43" s="198" t="s">
        <v>1453</v>
      </c>
      <c r="EG43" s="198" t="s">
        <v>1453</v>
      </c>
      <c r="EH43" s="198" t="s">
        <v>1453</v>
      </c>
      <c r="EI43" s="198" t="s">
        <v>1453</v>
      </c>
      <c r="EJ43" s="198" t="s">
        <v>1453</v>
      </c>
      <c r="EK43" s="198" t="s">
        <v>1453</v>
      </c>
      <c r="EL43" s="198" t="s">
        <v>1453</v>
      </c>
      <c r="EM43" s="198" t="s">
        <v>1453</v>
      </c>
      <c r="EN43" s="198" t="s">
        <v>1453</v>
      </c>
      <c r="EO43" s="198" t="s">
        <v>1453</v>
      </c>
      <c r="EP43" s="198" t="s">
        <v>1453</v>
      </c>
      <c r="EQ43" s="198" t="s">
        <v>1453</v>
      </c>
      <c r="ER43" s="198" t="s">
        <v>1453</v>
      </c>
      <c r="ES43" s="198" t="s">
        <v>1453</v>
      </c>
      <c r="ET43" s="198" t="s">
        <v>1453</v>
      </c>
      <c r="EU43" s="198" t="s">
        <v>1453</v>
      </c>
      <c r="EV43" s="198" t="s">
        <v>1453</v>
      </c>
      <c r="EW43" s="198" t="s">
        <v>1453</v>
      </c>
      <c r="EX43" s="198" t="s">
        <v>1453</v>
      </c>
      <c r="EY43" s="198" t="s">
        <v>1453</v>
      </c>
      <c r="EZ43" s="198" t="s">
        <v>1453</v>
      </c>
      <c r="FA43" s="198" t="s">
        <v>1453</v>
      </c>
      <c r="FB43" s="198" t="s">
        <v>1453</v>
      </c>
      <c r="FC43" s="198" t="s">
        <v>1453</v>
      </c>
      <c r="FD43" s="198" t="s">
        <v>1453</v>
      </c>
      <c r="FE43" s="198" t="s">
        <v>1453</v>
      </c>
      <c r="FF43" s="198" t="s">
        <v>1453</v>
      </c>
      <c r="FG43" s="198" t="s">
        <v>1453</v>
      </c>
      <c r="FH43" s="198" t="s">
        <v>1453</v>
      </c>
      <c r="FI43" s="198" t="s">
        <v>1453</v>
      </c>
      <c r="FJ43" s="198" t="s">
        <v>1453</v>
      </c>
      <c r="FK43" s="198" t="s">
        <v>1453</v>
      </c>
      <c r="FL43" s="198" t="s">
        <v>1453</v>
      </c>
      <c r="FM43" s="198" t="s">
        <v>1453</v>
      </c>
    </row>
    <row r="44" ht="15.75" customHeight="1">
      <c r="A44" s="236" t="s">
        <v>1470</v>
      </c>
      <c r="B44" s="198" t="str">
        <f t="shared" si="4"/>
        <v>LA </v>
      </c>
      <c r="C44" s="234" t="s">
        <v>1508</v>
      </c>
      <c r="D44" s="232" t="s">
        <v>770</v>
      </c>
      <c r="E44" s="232" t="s">
        <v>1448</v>
      </c>
      <c r="F44" s="232" t="s">
        <v>1449</v>
      </c>
      <c r="G44" s="232" t="s">
        <v>1450</v>
      </c>
      <c r="H44" s="232" t="s">
        <v>876</v>
      </c>
      <c r="I44" s="232" t="s">
        <v>987</v>
      </c>
      <c r="J44" s="232" t="s">
        <v>1497</v>
      </c>
      <c r="K44" s="232" t="s">
        <v>997</v>
      </c>
      <c r="L44" s="188" t="s">
        <v>207</v>
      </c>
      <c r="M44" s="236" t="str">
        <f>IFERROR(__xludf.DUMMYFUNCTION("regexreplace(N44,"" "","", "")"),"J0, J1, J2, J3, J5, J6, J7, JA, JC, JD, JF, K0, K1, K2, K3, K4, K5, K6, K7, K8, K9, KA, KB, KC, KD, KF, L1, L2, L3, L4, L7, L8, L9, LA, LC, LF, M0, M1, M3, M4, M5, M8, MB, MF, N2, N6, N7, NA, ")</f>
        <v>J0, J1, J2, J3, J5, J6, J7, JA, JC, JD, JF, K0, K1, K2, K3, K4, K5, K6, K7, K8, K9, KA, KB, KC, KD, KF, L1, L2, L3, L4, L7, L8, L9, LA, LC, LF, M0, M1, M3, M4, M5, M8, MB, MF, N2, N6, N7, NA, </v>
      </c>
      <c r="N44" s="236" t="str">
        <f t="shared" si="2"/>
        <v>J0 J1 J2 J3 J5 J6 J7 JA JC JD JF K0 K1 K2 K3 K4 K5 K6 K7 K8 K9 KA KB KC KD KF L1 L2 L3 L4 L7 L8 L9 LA LC LF M0 M1 M3 M4 M5 M8 MB MF N2 N6 N7 NA </v>
      </c>
      <c r="O44" s="236" t="str">
        <f>IFERROR(__xludf.DUMMYFUNCTION("if(countif(ecn.list,CO44),OFFSET(INDIRECT(CONCAT(""A"",to_text(match(CO44,ecn.list,0)))),0,1),"""")"),"J0 ")</f>
        <v>J0 </v>
      </c>
      <c r="P44" s="236" t="str">
        <f>IFERROR(__xludf.DUMMYFUNCTION("if(countif(ecn.list,CP44),OFFSET(INDIRECT(CONCAT(""A"",to_text(match(CP44,ecn.list,0)))),0,1),"""")"),"J1 ")</f>
        <v>J1 </v>
      </c>
      <c r="Q44" s="236" t="str">
        <f>IFERROR(__xludf.DUMMYFUNCTION("if(countif(ecn.list,CQ44),OFFSET(INDIRECT(CONCAT(""A"",to_text(match(CQ44,ecn.list,0)))),0,1),"""")"),"J2 ")</f>
        <v>J2 </v>
      </c>
      <c r="R44" s="236" t="str">
        <f>IFERROR(__xludf.DUMMYFUNCTION("if(countif(ecn.list,CR44),OFFSET(INDIRECT(CONCAT(""A"",to_text(match(CR44,ecn.list,0)))),0,1),"""")"),"J3 ")</f>
        <v>J3 </v>
      </c>
      <c r="S44" s="236" t="str">
        <f>IFERROR(__xludf.DUMMYFUNCTION("if(countif(ecn.list,CS44),OFFSET(INDIRECT(CONCAT(""A"",to_text(match(CS44,ecn.list,0)))),0,1),"""")"),"")</f>
        <v/>
      </c>
      <c r="T44" s="236" t="str">
        <f>IFERROR(__xludf.DUMMYFUNCTION("if(countif(ecn.list,CT44),OFFSET(INDIRECT(CONCAT(""A"",to_text(match(CT44,ecn.list,0)))),0,1),"""")"),"J5 ")</f>
        <v>J5 </v>
      </c>
      <c r="U44" s="236" t="str">
        <f>IFERROR(__xludf.DUMMYFUNCTION("if(countif(ecn.list,CU44),OFFSET(INDIRECT(CONCAT(""A"",to_text(match(CU44,ecn.list,0)))),0,1),"""")"),"J6 ")</f>
        <v>J6 </v>
      </c>
      <c r="V44" s="236" t="str">
        <f>IFERROR(__xludf.DUMMYFUNCTION("if(countif(ecn.list,CV44),OFFSET(INDIRECT(CONCAT(""A"",to_text(match(CV44,ecn.list,0)))),0,1),"""")"),"J7 ")</f>
        <v>J7 </v>
      </c>
      <c r="W44" s="236" t="str">
        <f>IFERROR(__xludf.DUMMYFUNCTION("if(countif(ecn.list,CW44),OFFSET(INDIRECT(CONCAT(""A"",to_text(match(CW44,ecn.list,0)))),0,1),"""")"),"")</f>
        <v/>
      </c>
      <c r="X44" s="236" t="str">
        <f>IFERROR(__xludf.DUMMYFUNCTION("if(countif(ecn.list,CX44),OFFSET(INDIRECT(CONCAT(""A"",to_text(match(CX44,ecn.list,0)))),0,1),"""")"),"")</f>
        <v/>
      </c>
      <c r="Y44" s="236" t="str">
        <f>IFERROR(__xludf.DUMMYFUNCTION("if(countif(ecn.list,CY44),OFFSET(INDIRECT(CONCAT(""A"",to_text(match(CY44,ecn.list,0)))),0,1),"""")"),"JA ")</f>
        <v>JA </v>
      </c>
      <c r="Z44" s="236" t="str">
        <f>IFERROR(__xludf.DUMMYFUNCTION("if(countif(ecn.list,CZ44),OFFSET(INDIRECT(CONCAT(""A"",to_text(match(CZ44,ecn.list,0)))),0,1),"""")"),"")</f>
        <v/>
      </c>
      <c r="AA44" s="236" t="str">
        <f>IFERROR(__xludf.DUMMYFUNCTION("if(countif(ecn.list,DA44),OFFSET(INDIRECT(CONCAT(""A"",to_text(match(DA44,ecn.list,0)))),0,1),"""")"),"JC ")</f>
        <v>JC </v>
      </c>
      <c r="AB44" s="236" t="str">
        <f>IFERROR(__xludf.DUMMYFUNCTION("if(countif(ecn.list,DB44),OFFSET(INDIRECT(CONCAT(""A"",to_text(match(DB44,ecn.list,0)))),0,1),"""")"),"JD ")</f>
        <v>JD </v>
      </c>
      <c r="AC44" s="236" t="str">
        <f>IFERROR(__xludf.DUMMYFUNCTION("if(countif(ecn.list,DC44),OFFSET(INDIRECT(CONCAT(""A"",to_text(match(DC44,ecn.list,0)))),0,1),"""")"),"")</f>
        <v/>
      </c>
      <c r="AD44" s="236" t="str">
        <f>IFERROR(__xludf.DUMMYFUNCTION("if(countif(ecn.list,DD44),OFFSET(INDIRECT(CONCAT(""A"",to_text(match(DD44,ecn.list,0)))),0,1),"""")"),"JF ")</f>
        <v>JF </v>
      </c>
      <c r="AE44" s="236" t="str">
        <f>IFERROR(__xludf.DUMMYFUNCTION("if(countif(ecn.list,DE44),OFFSET(INDIRECT(CONCAT(""A"",to_text(match(DE44,ecn.list,0)))),0,1),"""")"),"K0 ")</f>
        <v>K0 </v>
      </c>
      <c r="AF44" s="236" t="str">
        <f>IFERROR(__xludf.DUMMYFUNCTION("if(countif(ecn.list,DF44),OFFSET(INDIRECT(CONCAT(""A"",to_text(match(DF44,ecn.list,0)))),0,1),"""")"),"K1 ")</f>
        <v>K1 </v>
      </c>
      <c r="AG44" s="236" t="str">
        <f>IFERROR(__xludf.DUMMYFUNCTION("if(countif(ecn.list,DG44),OFFSET(INDIRECT(CONCAT(""A"",to_text(match(DG44,ecn.list,0)))),0,1),"""")"),"K2 ")</f>
        <v>K2 </v>
      </c>
      <c r="AH44" s="236" t="str">
        <f>IFERROR(__xludf.DUMMYFUNCTION("if(countif(ecn.list,DH44),OFFSET(INDIRECT(CONCAT(""A"",to_text(match(DH44,ecn.list,0)))),0,1),"""")"),"K3 ")</f>
        <v>K3 </v>
      </c>
      <c r="AI44" s="236" t="str">
        <f>IFERROR(__xludf.DUMMYFUNCTION("if(countif(ecn.list,DI44),OFFSET(INDIRECT(CONCAT(""A"",to_text(match(DI44,ecn.list,0)))),0,1),"""")"),"K4 ")</f>
        <v>K4 </v>
      </c>
      <c r="AJ44" s="236" t="str">
        <f>IFERROR(__xludf.DUMMYFUNCTION("if(countif(ecn.list,DJ44),OFFSET(INDIRECT(CONCAT(""A"",to_text(match(DJ44,ecn.list,0)))),0,1),"""")"),"K5 ")</f>
        <v>K5 </v>
      </c>
      <c r="AK44" s="236" t="str">
        <f>IFERROR(__xludf.DUMMYFUNCTION("if(countif(ecn.list,DK44),OFFSET(INDIRECT(CONCAT(""A"",to_text(match(DK44,ecn.list,0)))),0,1),"""")"),"K6 ")</f>
        <v>K6 </v>
      </c>
      <c r="AL44" s="236" t="str">
        <f>IFERROR(__xludf.DUMMYFUNCTION("if(countif(ecn.list,DL44),OFFSET(INDIRECT(CONCAT(""A"",to_text(match(DL44,ecn.list,0)))),0,1),"""")"),"K7 ")</f>
        <v>K7 </v>
      </c>
      <c r="AM44" s="236" t="str">
        <f>IFERROR(__xludf.DUMMYFUNCTION("if(countif(ecn.list,DM44),OFFSET(INDIRECT(CONCAT(""A"",to_text(match(DM44,ecn.list,0)))),0,1),"""")"),"K8 ")</f>
        <v>K8 </v>
      </c>
      <c r="AN44" s="236" t="str">
        <f>IFERROR(__xludf.DUMMYFUNCTION("if(countif(ecn.list,DN44),OFFSET(INDIRECT(CONCAT(""A"",to_text(match(DN44,ecn.list,0)))),0,1),"""")"),"K9 ")</f>
        <v>K9 </v>
      </c>
      <c r="AO44" s="236" t="str">
        <f>IFERROR(__xludf.DUMMYFUNCTION("if(countif(ecn.list,DO44),OFFSET(INDIRECT(CONCAT(""A"",to_text(match(DO44,ecn.list,0)))),0,1),"""")"),"KA ")</f>
        <v>KA </v>
      </c>
      <c r="AP44" s="236" t="str">
        <f>IFERROR(__xludf.DUMMYFUNCTION("if(countif(ecn.list,DP44),OFFSET(INDIRECT(CONCAT(""A"",to_text(match(DP44,ecn.list,0)))),0,1),"""")"),"KB ")</f>
        <v>KB </v>
      </c>
      <c r="AQ44" s="236" t="str">
        <f>IFERROR(__xludf.DUMMYFUNCTION("if(countif(ecn.list,DQ44),OFFSET(INDIRECT(CONCAT(""A"",to_text(match(DQ44,ecn.list,0)))),0,1),"""")"),"KC ")</f>
        <v>KC </v>
      </c>
      <c r="AR44" s="236" t="str">
        <f>IFERROR(__xludf.DUMMYFUNCTION("if(countif(ecn.list,DR44),OFFSET(INDIRECT(CONCAT(""A"",to_text(match(DR44,ecn.list,0)))),0,1),"""")"),"KD ")</f>
        <v>KD </v>
      </c>
      <c r="AS44" s="236" t="str">
        <f>IFERROR(__xludf.DUMMYFUNCTION("if(countif(ecn.list,DS44),OFFSET(INDIRECT(CONCAT(""A"",to_text(match(DS44,ecn.list,0)))),0,1),"""")"),"")</f>
        <v/>
      </c>
      <c r="AT44" s="236" t="str">
        <f>IFERROR(__xludf.DUMMYFUNCTION("if(countif(ecn.list,DT44),OFFSET(INDIRECT(CONCAT(""A"",to_text(match(DT44,ecn.list,0)))),0,1),"""")"),"KF ")</f>
        <v>KF </v>
      </c>
      <c r="AU44" s="236" t="str">
        <f>IFERROR(__xludf.DUMMYFUNCTION("if(countif(ecn.list,DU44),OFFSET(INDIRECT(CONCAT(""A"",to_text(match(DU44,ecn.list,0)))),0,1),"""")"),"")</f>
        <v/>
      </c>
      <c r="AV44" s="236" t="str">
        <f>IFERROR(__xludf.DUMMYFUNCTION("if(countif(ecn.list,DV44),OFFSET(INDIRECT(CONCAT(""A"",to_text(match(DV44,ecn.list,0)))),0,1),"""")"),"L1 ")</f>
        <v>L1 </v>
      </c>
      <c r="AW44" s="236" t="str">
        <f>IFERROR(__xludf.DUMMYFUNCTION("if(countif(ecn.list,DW44),OFFSET(INDIRECT(CONCAT(""A"",to_text(match(DW44,ecn.list,0)))),0,1),"""")"),"L2 ")</f>
        <v>L2 </v>
      </c>
      <c r="AX44" s="236" t="str">
        <f>IFERROR(__xludf.DUMMYFUNCTION("if(countif(ecn.list,DX44),OFFSET(INDIRECT(CONCAT(""A"",to_text(match(DX44,ecn.list,0)))),0,1),"""")"),"L3 ")</f>
        <v>L3 </v>
      </c>
      <c r="AY44" s="236" t="str">
        <f>IFERROR(__xludf.DUMMYFUNCTION("if(countif(ecn.list,DY44),OFFSET(INDIRECT(CONCAT(""A"",to_text(match(DY44,ecn.list,0)))),0,1),"""")"),"L4 ")</f>
        <v>L4 </v>
      </c>
      <c r="AZ44" s="236" t="str">
        <f>IFERROR(__xludf.DUMMYFUNCTION("if(countif(ecn.list,DZ44),OFFSET(INDIRECT(CONCAT(""A"",to_text(match(DZ44,ecn.list,0)))),0,1),"""")"),"")</f>
        <v/>
      </c>
      <c r="BA44" s="236" t="str">
        <f>IFERROR(__xludf.DUMMYFUNCTION("if(countif(ecn.list,EA44),OFFSET(INDIRECT(CONCAT(""A"",to_text(match(EA44,ecn.list,0)))),0,1),"""")"),"")</f>
        <v/>
      </c>
      <c r="BB44" s="236" t="str">
        <f>IFERROR(__xludf.DUMMYFUNCTION("if(countif(ecn.list,EB44),OFFSET(INDIRECT(CONCAT(""A"",to_text(match(EB44,ecn.list,0)))),0,1),"""")"),"L7 ")</f>
        <v>L7 </v>
      </c>
      <c r="BC44" s="236" t="str">
        <f>IFERROR(__xludf.DUMMYFUNCTION("if(countif(ecn.list,EC44),OFFSET(INDIRECT(CONCAT(""A"",to_text(match(EC44,ecn.list,0)))),0,1),"""")"),"L8 ")</f>
        <v>L8 </v>
      </c>
      <c r="BD44" s="236" t="str">
        <f>IFERROR(__xludf.DUMMYFUNCTION("if(countif(ecn.list,ED44),OFFSET(INDIRECT(CONCAT(""A"",to_text(match(ED44,ecn.list,0)))),0,1),"""")"),"L9 ")</f>
        <v>L9 </v>
      </c>
      <c r="BE44" s="236" t="str">
        <f>IFERROR(__xludf.DUMMYFUNCTION("if(countif(ecn.list,EE44),OFFSET(INDIRECT(CONCAT(""A"",to_text(match(EE44,ecn.list,0)))),0,1),"""")"),"LA ")</f>
        <v>LA </v>
      </c>
      <c r="BF44" s="236" t="str">
        <f>IFERROR(__xludf.DUMMYFUNCTION("if(countif(ecn.list,EF44),OFFSET(INDIRECT(CONCAT(""A"",to_text(match(EF44,ecn.list,0)))),0,1),"""")"),"")</f>
        <v/>
      </c>
      <c r="BG44" s="236" t="str">
        <f>IFERROR(__xludf.DUMMYFUNCTION("if(countif(ecn.list,EG44),OFFSET(INDIRECT(CONCAT(""A"",to_text(match(EG44,ecn.list,0)))),0,1),"""")"),"LC ")</f>
        <v>LC </v>
      </c>
      <c r="BH44" s="236" t="str">
        <f>IFERROR(__xludf.DUMMYFUNCTION("if(countif(ecn.list,EH44),OFFSET(INDIRECT(CONCAT(""A"",to_text(match(EH44,ecn.list,0)))),0,1),"""")"),"")</f>
        <v/>
      </c>
      <c r="BI44" s="236" t="str">
        <f>IFERROR(__xludf.DUMMYFUNCTION("if(countif(ecn.list,EI44),OFFSET(INDIRECT(CONCAT(""A"",to_text(match(EI44,ecn.list,0)))),0,1),"""")"),"")</f>
        <v/>
      </c>
      <c r="BJ44" s="236" t="str">
        <f>IFERROR(__xludf.DUMMYFUNCTION("if(countif(ecn.list,EJ44),OFFSET(INDIRECT(CONCAT(""A"",to_text(match(EJ44,ecn.list,0)))),0,1),"""")"),"LF ")</f>
        <v>LF </v>
      </c>
      <c r="BK44" s="236" t="str">
        <f>IFERROR(__xludf.DUMMYFUNCTION("if(countif(ecn.list,EK44),OFFSET(INDIRECT(CONCAT(""A"",to_text(match(EK44,ecn.list,0)))),0,1),"""")"),"M0 ")</f>
        <v>M0 </v>
      </c>
      <c r="BL44" s="236" t="str">
        <f>IFERROR(__xludf.DUMMYFUNCTION("if(countif(ecn.list,EL44),OFFSET(INDIRECT(CONCAT(""A"",to_text(match(EL44,ecn.list,0)))),0,1),"""")"),"M1 ")</f>
        <v>M1 </v>
      </c>
      <c r="BM44" s="236" t="str">
        <f>IFERROR(__xludf.DUMMYFUNCTION("if(countif(ecn.list,EM44),OFFSET(INDIRECT(CONCAT(""A"",to_text(match(EM44,ecn.list,0)))),0,1),"""")"),"")</f>
        <v/>
      </c>
      <c r="BN44" s="236" t="str">
        <f>IFERROR(__xludf.DUMMYFUNCTION("if(countif(ecn.list,EN44),OFFSET(INDIRECT(CONCAT(""A"",to_text(match(EN44,ecn.list,0)))),0,1),"""")"),"M3 ")</f>
        <v>M3 </v>
      </c>
      <c r="BO44" s="236" t="str">
        <f>IFERROR(__xludf.DUMMYFUNCTION("if(countif(ecn.list,EO44),OFFSET(INDIRECT(CONCAT(""A"",to_text(match(EO44,ecn.list,0)))),0,1),"""")"),"M4 ")</f>
        <v>M4 </v>
      </c>
      <c r="BP44" s="236" t="str">
        <f>IFERROR(__xludf.DUMMYFUNCTION("if(countif(ecn.list,EP44),OFFSET(INDIRECT(CONCAT(""A"",to_text(match(EP44,ecn.list,0)))),0,1),"""")"),"M5 ")</f>
        <v>M5 </v>
      </c>
      <c r="BQ44" s="236" t="str">
        <f>IFERROR(__xludf.DUMMYFUNCTION("if(countif(ecn.list,EQ44),OFFSET(INDIRECT(CONCAT(""A"",to_text(match(EQ44,ecn.list,0)))),0,1),"""")"),"")</f>
        <v/>
      </c>
      <c r="BR44" s="236" t="str">
        <f>IFERROR(__xludf.DUMMYFUNCTION("if(countif(ecn.list,ER44),OFFSET(INDIRECT(CONCAT(""A"",to_text(match(ER44,ecn.list,0)))),0,1),"""")"),"")</f>
        <v/>
      </c>
      <c r="BS44" s="236" t="str">
        <f>IFERROR(__xludf.DUMMYFUNCTION("if(countif(ecn.list,ES44),OFFSET(INDIRECT(CONCAT(""A"",to_text(match(ES44,ecn.list,0)))),0,1),"""")"),"M8 ")</f>
        <v>M8 </v>
      </c>
      <c r="BT44" s="236" t="str">
        <f>IFERROR(__xludf.DUMMYFUNCTION("if(countif(ecn.list,ET44),OFFSET(INDIRECT(CONCAT(""A"",to_text(match(ET44,ecn.list,0)))),0,1),"""")"),"")</f>
        <v/>
      </c>
      <c r="BU44" s="236" t="str">
        <f>IFERROR(__xludf.DUMMYFUNCTION("if(countif(ecn.list,EU44),OFFSET(INDIRECT(CONCAT(""A"",to_text(match(EU44,ecn.list,0)))),0,1),"""")"),"")</f>
        <v/>
      </c>
      <c r="BV44" s="236" t="str">
        <f>IFERROR(__xludf.DUMMYFUNCTION("if(countif(ecn.list,EV44),OFFSET(INDIRECT(CONCAT(""A"",to_text(match(EV44,ecn.list,0)))),0,1),"""")"),"MB ")</f>
        <v>MB </v>
      </c>
      <c r="BW44" s="236" t="str">
        <f>IFERROR(__xludf.DUMMYFUNCTION("if(countif(ecn.list,EW44),OFFSET(INDIRECT(CONCAT(""A"",to_text(match(EW44,ecn.list,0)))),0,1),"""")"),"")</f>
        <v/>
      </c>
      <c r="BX44" s="236" t="str">
        <f>IFERROR(__xludf.DUMMYFUNCTION("if(countif(ecn.list,EX44),OFFSET(INDIRECT(CONCAT(""A"",to_text(match(EX44,ecn.list,0)))),0,1),"""")"),"")</f>
        <v/>
      </c>
      <c r="BY44" s="236" t="str">
        <f>IFERROR(__xludf.DUMMYFUNCTION("if(countif(ecn.list,EY44),OFFSET(INDIRECT(CONCAT(""A"",to_text(match(EY44,ecn.list,0)))),0,1),"""")"),"")</f>
        <v/>
      </c>
      <c r="BZ44" s="236" t="str">
        <f>IFERROR(__xludf.DUMMYFUNCTION("if(countif(ecn.list,EZ44),OFFSET(INDIRECT(CONCAT(""A"",to_text(match(EZ44,ecn.list,0)))),0,1),"""")"),"MF ")</f>
        <v>MF </v>
      </c>
      <c r="CA44" s="236" t="str">
        <f>IFERROR(__xludf.DUMMYFUNCTION("if(countif(ecn.list,FA44),OFFSET(INDIRECT(CONCAT(""A"",to_text(match(FA44,ecn.list,0)))),0,1),"""")"),"")</f>
        <v/>
      </c>
      <c r="CB44" s="236" t="str">
        <f>IFERROR(__xludf.DUMMYFUNCTION("if(countif(ecn.list,FB44),OFFSET(INDIRECT(CONCAT(""A"",to_text(match(FB44,ecn.list,0)))),0,1),"""")"),"")</f>
        <v/>
      </c>
      <c r="CC44" s="236" t="str">
        <f>IFERROR(__xludf.DUMMYFUNCTION("if(countif(ecn.list,FC44),OFFSET(INDIRECT(CONCAT(""A"",to_text(match(FC44,ecn.list,0)))),0,1),"""")"),"N2 ")</f>
        <v>N2 </v>
      </c>
      <c r="CD44" s="236" t="str">
        <f>IFERROR(__xludf.DUMMYFUNCTION("if(countif(ecn.list,FD44),OFFSET(INDIRECT(CONCAT(""A"",to_text(match(FD44,ecn.list,0)))),0,1),"""")"),"")</f>
        <v/>
      </c>
      <c r="CE44" s="236" t="str">
        <f>IFERROR(__xludf.DUMMYFUNCTION("if(countif(ecn.list,FE44),OFFSET(INDIRECT(CONCAT(""A"",to_text(match(FE44,ecn.list,0)))),0,1),"""")"),"")</f>
        <v/>
      </c>
      <c r="CF44" s="236" t="str">
        <f>IFERROR(__xludf.DUMMYFUNCTION("if(countif(ecn.list,FF44),OFFSET(INDIRECT(CONCAT(""A"",to_text(match(FF44,ecn.list,0)))),0,1),"""")"),"")</f>
        <v/>
      </c>
      <c r="CG44" s="236" t="str">
        <f>IFERROR(__xludf.DUMMYFUNCTION("if(countif(ecn.list,FG44),OFFSET(INDIRECT(CONCAT(""A"",to_text(match(FG44,ecn.list,0)))),0,1),"""")"),"N6 ")</f>
        <v>N6 </v>
      </c>
      <c r="CH44" s="236" t="str">
        <f>IFERROR(__xludf.DUMMYFUNCTION("if(countif(ecn.list,FH44),OFFSET(INDIRECT(CONCAT(""A"",to_text(match(FH44,ecn.list,0)))),0,1),"""")"),"N7 ")</f>
        <v>N7 </v>
      </c>
      <c r="CI44" s="236" t="str">
        <f>IFERROR(__xludf.DUMMYFUNCTION("if(countif(ecn.list,FI44),OFFSET(INDIRECT(CONCAT(""A"",to_text(match(FI44,ecn.list,0)))),0,1),"""")"),"")</f>
        <v/>
      </c>
      <c r="CJ44" s="236" t="str">
        <f>IFERROR(__xludf.DUMMYFUNCTION("if(countif(ecn.list,FJ44),OFFSET(INDIRECT(CONCAT(""A"",to_text(match(FJ44,ecn.list,0)))),0,1),"""")"),"")</f>
        <v/>
      </c>
      <c r="CK44" s="236" t="str">
        <f>IFERROR(__xludf.DUMMYFUNCTION("if(countif(ecn.list,FK44),OFFSET(INDIRECT(CONCAT(""A"",to_text(match(FK44,ecn.list,0)))),0,1),"""")"),"NA ")</f>
        <v>NA </v>
      </c>
      <c r="CL44" s="236" t="str">
        <f>IFERROR(__xludf.DUMMYFUNCTION("if(countif(ecn.list,FL44),OFFSET(INDIRECT(CONCAT(""A"",to_text(match(FL44,ecn.list,0)))),0,1),"""")"),"")</f>
        <v/>
      </c>
      <c r="CM44" s="236" t="str">
        <f>IFERROR(__xludf.DUMMYFUNCTION("if(countif(ecn.list,FM44),OFFSET(INDIRECT(CONCAT(""A"",to_text(match(FM44,ecn.list,0)))),0,1),"""")"),"")</f>
        <v/>
      </c>
      <c r="CN44" s="198" t="s">
        <v>207</v>
      </c>
      <c r="CO44" s="198" t="s">
        <v>1447</v>
      </c>
      <c r="CP44" s="198" t="s">
        <v>1451</v>
      </c>
      <c r="CQ44" s="198" t="s">
        <v>1452</v>
      </c>
      <c r="CR44" s="198" t="s">
        <v>1490</v>
      </c>
      <c r="CS44" s="198" t="s">
        <v>1453</v>
      </c>
      <c r="CT44" s="198" t="s">
        <v>1454</v>
      </c>
      <c r="CU44" s="198" t="s">
        <v>1455</v>
      </c>
      <c r="CV44" s="198" t="s">
        <v>1456</v>
      </c>
      <c r="CW44" s="198" t="s">
        <v>1453</v>
      </c>
      <c r="CX44" s="198" t="s">
        <v>1453</v>
      </c>
      <c r="CY44" s="198" t="s">
        <v>1484</v>
      </c>
      <c r="CZ44" s="198" t="s">
        <v>1453</v>
      </c>
      <c r="DA44" s="198" t="s">
        <v>1457</v>
      </c>
      <c r="DB44" s="198" t="s">
        <v>1485</v>
      </c>
      <c r="DC44" s="198" t="s">
        <v>1453</v>
      </c>
      <c r="DD44" s="198" t="s">
        <v>1458</v>
      </c>
      <c r="DE44" s="198" t="s">
        <v>1459</v>
      </c>
      <c r="DF44" s="198" t="s">
        <v>1498</v>
      </c>
      <c r="DG44" s="198" t="s">
        <v>1499</v>
      </c>
      <c r="DH44" s="198" t="s">
        <v>1500</v>
      </c>
      <c r="DI44" s="198" t="s">
        <v>1501</v>
      </c>
      <c r="DJ44" s="198" t="s">
        <v>1460</v>
      </c>
      <c r="DK44" s="198" t="s">
        <v>1519</v>
      </c>
      <c r="DL44" s="198" t="s">
        <v>1461</v>
      </c>
      <c r="DM44" s="198" t="s">
        <v>1462</v>
      </c>
      <c r="DN44" s="198" t="s">
        <v>1463</v>
      </c>
      <c r="DO44" s="198" t="s">
        <v>1464</v>
      </c>
      <c r="DP44" s="198" t="s">
        <v>1465</v>
      </c>
      <c r="DQ44" s="198" t="s">
        <v>1466</v>
      </c>
      <c r="DR44" s="198" t="s">
        <v>1467</v>
      </c>
      <c r="DS44" s="198" t="s">
        <v>1453</v>
      </c>
      <c r="DT44" s="198" t="s">
        <v>1468</v>
      </c>
      <c r="DU44" s="198" t="s">
        <v>1453</v>
      </c>
      <c r="DV44" s="198" t="s">
        <v>1469</v>
      </c>
      <c r="DW44" s="198" t="s">
        <v>1502</v>
      </c>
      <c r="DX44" s="198" t="s">
        <v>1503</v>
      </c>
      <c r="DY44" s="198" t="s">
        <v>1521</v>
      </c>
      <c r="DZ44" s="198" t="s">
        <v>1453</v>
      </c>
      <c r="EA44" s="198" t="s">
        <v>1453</v>
      </c>
      <c r="EB44" s="198" t="s">
        <v>1504</v>
      </c>
      <c r="EC44" s="198" t="s">
        <v>1483</v>
      </c>
      <c r="ED44" s="198" t="s">
        <v>1516</v>
      </c>
      <c r="EE44" s="198" t="s">
        <v>1470</v>
      </c>
      <c r="EF44" s="198" t="s">
        <v>1453</v>
      </c>
      <c r="EG44" s="198" t="s">
        <v>1471</v>
      </c>
      <c r="EH44" s="198" t="s">
        <v>1453</v>
      </c>
      <c r="EI44" s="198" t="s">
        <v>1453</v>
      </c>
      <c r="EJ44" s="198" t="s">
        <v>1472</v>
      </c>
      <c r="EK44" s="198" t="s">
        <v>1487</v>
      </c>
      <c r="EL44" s="198" t="s">
        <v>1473</v>
      </c>
      <c r="EM44" s="198" t="s">
        <v>1453</v>
      </c>
      <c r="EN44" s="198" t="s">
        <v>1474</v>
      </c>
      <c r="EO44" s="198" t="s">
        <v>1475</v>
      </c>
      <c r="EP44" s="198" t="s">
        <v>1524</v>
      </c>
      <c r="EQ44" s="198" t="s">
        <v>1453</v>
      </c>
      <c r="ER44" s="198" t="s">
        <v>1453</v>
      </c>
      <c r="ES44" s="198" t="s">
        <v>1505</v>
      </c>
      <c r="ET44" s="198" t="s">
        <v>1453</v>
      </c>
      <c r="EU44" s="198" t="s">
        <v>1453</v>
      </c>
      <c r="EV44" s="198" t="s">
        <v>1476</v>
      </c>
      <c r="EW44" s="198" t="s">
        <v>1453</v>
      </c>
      <c r="EX44" s="198" t="s">
        <v>1453</v>
      </c>
      <c r="EY44" s="198" t="s">
        <v>1453</v>
      </c>
      <c r="EZ44" s="198" t="s">
        <v>1477</v>
      </c>
      <c r="FA44" s="198" t="s">
        <v>1453</v>
      </c>
      <c r="FB44" s="198" t="s">
        <v>1453</v>
      </c>
      <c r="FC44" s="198" t="s">
        <v>1478</v>
      </c>
      <c r="FD44" s="198" t="s">
        <v>1453</v>
      </c>
      <c r="FE44" s="198" t="s">
        <v>1453</v>
      </c>
      <c r="FF44" s="198" t="s">
        <v>1453</v>
      </c>
      <c r="FG44" s="198" t="s">
        <v>1517</v>
      </c>
      <c r="FH44" s="198" t="s">
        <v>1479</v>
      </c>
      <c r="FI44" s="198" t="s">
        <v>1453</v>
      </c>
      <c r="FJ44" s="198" t="s">
        <v>1453</v>
      </c>
      <c r="FK44" s="198" t="s">
        <v>1481</v>
      </c>
      <c r="FL44" s="198" t="s">
        <v>1482</v>
      </c>
      <c r="FM44" s="198" t="s">
        <v>1453</v>
      </c>
    </row>
    <row r="45" ht="15.75" customHeight="1">
      <c r="A45" s="198"/>
      <c r="B45" s="198"/>
      <c r="C45" s="234"/>
      <c r="D45" s="232" t="s">
        <v>770</v>
      </c>
      <c r="E45" s="232" t="s">
        <v>1448</v>
      </c>
      <c r="F45" s="232" t="s">
        <v>1449</v>
      </c>
      <c r="G45" s="232" t="s">
        <v>1450</v>
      </c>
      <c r="H45" s="232" t="s">
        <v>876</v>
      </c>
      <c r="I45" s="232" t="s">
        <v>987</v>
      </c>
      <c r="J45" s="232" t="s">
        <v>1497</v>
      </c>
      <c r="K45" s="232" t="s">
        <v>997</v>
      </c>
      <c r="L45" s="188" t="s">
        <v>210</v>
      </c>
      <c r="M45" s="236" t="str">
        <f>IFERROR(__xludf.DUMMYFUNCTION("regexreplace(N45,"" "","", "")"),"J0, J1, J2, J3, J5, J6, J7, JA, JC, JD, JF, K0, K1, K2, K3, K4, K5, K6, K7, K8, K9, KA, KB, KC, KD, KF, L1, L2, L3, L4, L7, L8, L9, LA, LC, LF, M0, M1, M3, M4, M5, M8, MB, MD, MF, N2, N6, N7, NA, ")</f>
        <v>J0, J1, J2, J3, J5, J6, J7, JA, JC, JD, JF, K0, K1, K2, K3, K4, K5, K6, K7, K8, K9, KA, KB, KC, KD, KF, L1, L2, L3, L4, L7, L8, L9, LA, LC, LF, M0, M1, M3, M4, M5, M8, MB, MD, MF, N2, N6, N7, NA, </v>
      </c>
      <c r="N45" s="236" t="str">
        <f t="shared" si="2"/>
        <v>J0 J1 J2 J3 J5 J6 J7 JA JC JD JF K0 K1 K2 K3 K4 K5 K6 K7 K8 K9 KA KB KC KD KF L1 L2 L3 L4 L7 L8 L9 LA LC LF M0 M1 M3 M4 M5 M8 MB MD MF N2 N6 N7 NA </v>
      </c>
      <c r="O45" s="236" t="str">
        <f>IFERROR(__xludf.DUMMYFUNCTION("if(countif(ecn.list,CO45),OFFSET(INDIRECT(CONCAT(""A"",to_text(match(CO45,ecn.list,0)))),0,1),"""")"),"J0 ")</f>
        <v>J0 </v>
      </c>
      <c r="P45" s="236" t="str">
        <f>IFERROR(__xludf.DUMMYFUNCTION("if(countif(ecn.list,CP45),OFFSET(INDIRECT(CONCAT(""A"",to_text(match(CP45,ecn.list,0)))),0,1),"""")"),"J1 ")</f>
        <v>J1 </v>
      </c>
      <c r="Q45" s="236" t="str">
        <f>IFERROR(__xludf.DUMMYFUNCTION("if(countif(ecn.list,CQ45),OFFSET(INDIRECT(CONCAT(""A"",to_text(match(CQ45,ecn.list,0)))),0,1),"""")"),"J2 ")</f>
        <v>J2 </v>
      </c>
      <c r="R45" s="236" t="str">
        <f>IFERROR(__xludf.DUMMYFUNCTION("if(countif(ecn.list,CR45),OFFSET(INDIRECT(CONCAT(""A"",to_text(match(CR45,ecn.list,0)))),0,1),"""")"),"J3 ")</f>
        <v>J3 </v>
      </c>
      <c r="S45" s="236" t="str">
        <f>IFERROR(__xludf.DUMMYFUNCTION("if(countif(ecn.list,CS45),OFFSET(INDIRECT(CONCAT(""A"",to_text(match(CS45,ecn.list,0)))),0,1),"""")"),"")</f>
        <v/>
      </c>
      <c r="T45" s="236" t="str">
        <f>IFERROR(__xludf.DUMMYFUNCTION("if(countif(ecn.list,CT45),OFFSET(INDIRECT(CONCAT(""A"",to_text(match(CT45,ecn.list,0)))),0,1),"""")"),"J5 ")</f>
        <v>J5 </v>
      </c>
      <c r="U45" s="236" t="str">
        <f>IFERROR(__xludf.DUMMYFUNCTION("if(countif(ecn.list,CU45),OFFSET(INDIRECT(CONCAT(""A"",to_text(match(CU45,ecn.list,0)))),0,1),"""")"),"J6 ")</f>
        <v>J6 </v>
      </c>
      <c r="V45" s="236" t="str">
        <f>IFERROR(__xludf.DUMMYFUNCTION("if(countif(ecn.list,CV45),OFFSET(INDIRECT(CONCAT(""A"",to_text(match(CV45,ecn.list,0)))),0,1),"""")"),"J7 ")</f>
        <v>J7 </v>
      </c>
      <c r="W45" s="236" t="str">
        <f>IFERROR(__xludf.DUMMYFUNCTION("if(countif(ecn.list,CW45),OFFSET(INDIRECT(CONCAT(""A"",to_text(match(CW45,ecn.list,0)))),0,1),"""")"),"")</f>
        <v/>
      </c>
      <c r="X45" s="236" t="str">
        <f>IFERROR(__xludf.DUMMYFUNCTION("if(countif(ecn.list,CX45),OFFSET(INDIRECT(CONCAT(""A"",to_text(match(CX45,ecn.list,0)))),0,1),"""")"),"")</f>
        <v/>
      </c>
      <c r="Y45" s="236" t="str">
        <f>IFERROR(__xludf.DUMMYFUNCTION("if(countif(ecn.list,CY45),OFFSET(INDIRECT(CONCAT(""A"",to_text(match(CY45,ecn.list,0)))),0,1),"""")"),"JA ")</f>
        <v>JA </v>
      </c>
      <c r="Z45" s="236" t="str">
        <f>IFERROR(__xludf.DUMMYFUNCTION("if(countif(ecn.list,CZ45),OFFSET(INDIRECT(CONCAT(""A"",to_text(match(CZ45,ecn.list,0)))),0,1),"""")"),"")</f>
        <v/>
      </c>
      <c r="AA45" s="236" t="str">
        <f>IFERROR(__xludf.DUMMYFUNCTION("if(countif(ecn.list,DA45),OFFSET(INDIRECT(CONCAT(""A"",to_text(match(DA45,ecn.list,0)))),0,1),"""")"),"JC ")</f>
        <v>JC </v>
      </c>
      <c r="AB45" s="236" t="str">
        <f>IFERROR(__xludf.DUMMYFUNCTION("if(countif(ecn.list,DB45),OFFSET(INDIRECT(CONCAT(""A"",to_text(match(DB45,ecn.list,0)))),0,1),"""")"),"JD ")</f>
        <v>JD </v>
      </c>
      <c r="AC45" s="236" t="str">
        <f>IFERROR(__xludf.DUMMYFUNCTION("if(countif(ecn.list,DC45),OFFSET(INDIRECT(CONCAT(""A"",to_text(match(DC45,ecn.list,0)))),0,1),"""")"),"")</f>
        <v/>
      </c>
      <c r="AD45" s="236" t="str">
        <f>IFERROR(__xludf.DUMMYFUNCTION("if(countif(ecn.list,DD45),OFFSET(INDIRECT(CONCAT(""A"",to_text(match(DD45,ecn.list,0)))),0,1),"""")"),"JF ")</f>
        <v>JF </v>
      </c>
      <c r="AE45" s="236" t="str">
        <f>IFERROR(__xludf.DUMMYFUNCTION("if(countif(ecn.list,DE45),OFFSET(INDIRECT(CONCAT(""A"",to_text(match(DE45,ecn.list,0)))),0,1),"""")"),"K0 ")</f>
        <v>K0 </v>
      </c>
      <c r="AF45" s="236" t="str">
        <f>IFERROR(__xludf.DUMMYFUNCTION("if(countif(ecn.list,DF45),OFFSET(INDIRECT(CONCAT(""A"",to_text(match(DF45,ecn.list,0)))),0,1),"""")"),"K1 ")</f>
        <v>K1 </v>
      </c>
      <c r="AG45" s="236" t="str">
        <f>IFERROR(__xludf.DUMMYFUNCTION("if(countif(ecn.list,DG45),OFFSET(INDIRECT(CONCAT(""A"",to_text(match(DG45,ecn.list,0)))),0,1),"""")"),"K2 ")</f>
        <v>K2 </v>
      </c>
      <c r="AH45" s="236" t="str">
        <f>IFERROR(__xludf.DUMMYFUNCTION("if(countif(ecn.list,DH45),OFFSET(INDIRECT(CONCAT(""A"",to_text(match(DH45,ecn.list,0)))),0,1),"""")"),"K3 ")</f>
        <v>K3 </v>
      </c>
      <c r="AI45" s="236" t="str">
        <f>IFERROR(__xludf.DUMMYFUNCTION("if(countif(ecn.list,DI45),OFFSET(INDIRECT(CONCAT(""A"",to_text(match(DI45,ecn.list,0)))),0,1),"""")"),"K4 ")</f>
        <v>K4 </v>
      </c>
      <c r="AJ45" s="236" t="str">
        <f>IFERROR(__xludf.DUMMYFUNCTION("if(countif(ecn.list,DJ45),OFFSET(INDIRECT(CONCAT(""A"",to_text(match(DJ45,ecn.list,0)))),0,1),"""")"),"K5 ")</f>
        <v>K5 </v>
      </c>
      <c r="AK45" s="236" t="str">
        <f>IFERROR(__xludf.DUMMYFUNCTION("if(countif(ecn.list,DK45),OFFSET(INDIRECT(CONCAT(""A"",to_text(match(DK45,ecn.list,0)))),0,1),"""")"),"K6 ")</f>
        <v>K6 </v>
      </c>
      <c r="AL45" s="236" t="str">
        <f>IFERROR(__xludf.DUMMYFUNCTION("if(countif(ecn.list,DL45),OFFSET(INDIRECT(CONCAT(""A"",to_text(match(DL45,ecn.list,0)))),0,1),"""")"),"K7 ")</f>
        <v>K7 </v>
      </c>
      <c r="AM45" s="236" t="str">
        <f>IFERROR(__xludf.DUMMYFUNCTION("if(countif(ecn.list,DM45),OFFSET(INDIRECT(CONCAT(""A"",to_text(match(DM45,ecn.list,0)))),0,1),"""")"),"K8 ")</f>
        <v>K8 </v>
      </c>
      <c r="AN45" s="236" t="str">
        <f>IFERROR(__xludf.DUMMYFUNCTION("if(countif(ecn.list,DN45),OFFSET(INDIRECT(CONCAT(""A"",to_text(match(DN45,ecn.list,0)))),0,1),"""")"),"K9 ")</f>
        <v>K9 </v>
      </c>
      <c r="AO45" s="236" t="str">
        <f>IFERROR(__xludf.DUMMYFUNCTION("if(countif(ecn.list,DO45),OFFSET(INDIRECT(CONCAT(""A"",to_text(match(DO45,ecn.list,0)))),0,1),"""")"),"KA ")</f>
        <v>KA </v>
      </c>
      <c r="AP45" s="236" t="str">
        <f>IFERROR(__xludf.DUMMYFUNCTION("if(countif(ecn.list,DP45),OFFSET(INDIRECT(CONCAT(""A"",to_text(match(DP45,ecn.list,0)))),0,1),"""")"),"KB ")</f>
        <v>KB </v>
      </c>
      <c r="AQ45" s="236" t="str">
        <f>IFERROR(__xludf.DUMMYFUNCTION("if(countif(ecn.list,DQ45),OFFSET(INDIRECT(CONCAT(""A"",to_text(match(DQ45,ecn.list,0)))),0,1),"""")"),"KC ")</f>
        <v>KC </v>
      </c>
      <c r="AR45" s="236" t="str">
        <f>IFERROR(__xludf.DUMMYFUNCTION("if(countif(ecn.list,DR45),OFFSET(INDIRECT(CONCAT(""A"",to_text(match(DR45,ecn.list,0)))),0,1),"""")"),"KD ")</f>
        <v>KD </v>
      </c>
      <c r="AS45" s="236" t="str">
        <f>IFERROR(__xludf.DUMMYFUNCTION("if(countif(ecn.list,DS45),OFFSET(INDIRECT(CONCAT(""A"",to_text(match(DS45,ecn.list,0)))),0,1),"""")"),"")</f>
        <v/>
      </c>
      <c r="AT45" s="236" t="str">
        <f>IFERROR(__xludf.DUMMYFUNCTION("if(countif(ecn.list,DT45),OFFSET(INDIRECT(CONCAT(""A"",to_text(match(DT45,ecn.list,0)))),0,1),"""")"),"KF ")</f>
        <v>KF </v>
      </c>
      <c r="AU45" s="236" t="str">
        <f>IFERROR(__xludf.DUMMYFUNCTION("if(countif(ecn.list,DU45),OFFSET(INDIRECT(CONCAT(""A"",to_text(match(DU45,ecn.list,0)))),0,1),"""")"),"")</f>
        <v/>
      </c>
      <c r="AV45" s="236" t="str">
        <f>IFERROR(__xludf.DUMMYFUNCTION("if(countif(ecn.list,DV45),OFFSET(INDIRECT(CONCAT(""A"",to_text(match(DV45,ecn.list,0)))),0,1),"""")"),"L1 ")</f>
        <v>L1 </v>
      </c>
      <c r="AW45" s="236" t="str">
        <f>IFERROR(__xludf.DUMMYFUNCTION("if(countif(ecn.list,DW45),OFFSET(INDIRECT(CONCAT(""A"",to_text(match(DW45,ecn.list,0)))),0,1),"""")"),"L2 ")</f>
        <v>L2 </v>
      </c>
      <c r="AX45" s="236" t="str">
        <f>IFERROR(__xludf.DUMMYFUNCTION("if(countif(ecn.list,DX45),OFFSET(INDIRECT(CONCAT(""A"",to_text(match(DX45,ecn.list,0)))),0,1),"""")"),"L3 ")</f>
        <v>L3 </v>
      </c>
      <c r="AY45" s="236" t="str">
        <f>IFERROR(__xludf.DUMMYFUNCTION("if(countif(ecn.list,DY45),OFFSET(INDIRECT(CONCAT(""A"",to_text(match(DY45,ecn.list,0)))),0,1),"""")"),"L4 ")</f>
        <v>L4 </v>
      </c>
      <c r="AZ45" s="236" t="str">
        <f>IFERROR(__xludf.DUMMYFUNCTION("if(countif(ecn.list,DZ45),OFFSET(INDIRECT(CONCAT(""A"",to_text(match(DZ45,ecn.list,0)))),0,1),"""")"),"")</f>
        <v/>
      </c>
      <c r="BA45" s="236" t="str">
        <f>IFERROR(__xludf.DUMMYFUNCTION("if(countif(ecn.list,EA45),OFFSET(INDIRECT(CONCAT(""A"",to_text(match(EA45,ecn.list,0)))),0,1),"""")"),"")</f>
        <v/>
      </c>
      <c r="BB45" s="236" t="str">
        <f>IFERROR(__xludf.DUMMYFUNCTION("if(countif(ecn.list,EB45),OFFSET(INDIRECT(CONCAT(""A"",to_text(match(EB45,ecn.list,0)))),0,1),"""")"),"L7 ")</f>
        <v>L7 </v>
      </c>
      <c r="BC45" s="236" t="str">
        <f>IFERROR(__xludf.DUMMYFUNCTION("if(countif(ecn.list,EC45),OFFSET(INDIRECT(CONCAT(""A"",to_text(match(EC45,ecn.list,0)))),0,1),"""")"),"L8 ")</f>
        <v>L8 </v>
      </c>
      <c r="BD45" s="236" t="str">
        <f>IFERROR(__xludf.DUMMYFUNCTION("if(countif(ecn.list,ED45),OFFSET(INDIRECT(CONCAT(""A"",to_text(match(ED45,ecn.list,0)))),0,1),"""")"),"L9 ")</f>
        <v>L9 </v>
      </c>
      <c r="BE45" s="236" t="str">
        <f>IFERROR(__xludf.DUMMYFUNCTION("if(countif(ecn.list,EE45),OFFSET(INDIRECT(CONCAT(""A"",to_text(match(EE45,ecn.list,0)))),0,1),"""")"),"LA ")</f>
        <v>LA </v>
      </c>
      <c r="BF45" s="236" t="str">
        <f>IFERROR(__xludf.DUMMYFUNCTION("if(countif(ecn.list,EF45),OFFSET(INDIRECT(CONCAT(""A"",to_text(match(EF45,ecn.list,0)))),0,1),"""")"),"")</f>
        <v/>
      </c>
      <c r="BG45" s="236" t="str">
        <f>IFERROR(__xludf.DUMMYFUNCTION("if(countif(ecn.list,EG45),OFFSET(INDIRECT(CONCAT(""A"",to_text(match(EG45,ecn.list,0)))),0,1),"""")"),"LC ")</f>
        <v>LC </v>
      </c>
      <c r="BH45" s="236" t="str">
        <f>IFERROR(__xludf.DUMMYFUNCTION("if(countif(ecn.list,EH45),OFFSET(INDIRECT(CONCAT(""A"",to_text(match(EH45,ecn.list,0)))),0,1),"""")"),"")</f>
        <v/>
      </c>
      <c r="BI45" s="236" t="str">
        <f>IFERROR(__xludf.DUMMYFUNCTION("if(countif(ecn.list,EI45),OFFSET(INDIRECT(CONCAT(""A"",to_text(match(EI45,ecn.list,0)))),0,1),"""")"),"")</f>
        <v/>
      </c>
      <c r="BJ45" s="236" t="str">
        <f>IFERROR(__xludf.DUMMYFUNCTION("if(countif(ecn.list,EJ45),OFFSET(INDIRECT(CONCAT(""A"",to_text(match(EJ45,ecn.list,0)))),0,1),"""")"),"LF ")</f>
        <v>LF </v>
      </c>
      <c r="BK45" s="236" t="str">
        <f>IFERROR(__xludf.DUMMYFUNCTION("if(countif(ecn.list,EK45),OFFSET(INDIRECT(CONCAT(""A"",to_text(match(EK45,ecn.list,0)))),0,1),"""")"),"M0 ")</f>
        <v>M0 </v>
      </c>
      <c r="BL45" s="236" t="str">
        <f>IFERROR(__xludf.DUMMYFUNCTION("if(countif(ecn.list,EL45),OFFSET(INDIRECT(CONCAT(""A"",to_text(match(EL45,ecn.list,0)))),0,1),"""")"),"M1 ")</f>
        <v>M1 </v>
      </c>
      <c r="BM45" s="236" t="str">
        <f>IFERROR(__xludf.DUMMYFUNCTION("if(countif(ecn.list,EM45),OFFSET(INDIRECT(CONCAT(""A"",to_text(match(EM45,ecn.list,0)))),0,1),"""")"),"")</f>
        <v/>
      </c>
      <c r="BN45" s="236" t="str">
        <f>IFERROR(__xludf.DUMMYFUNCTION("if(countif(ecn.list,EN45),OFFSET(INDIRECT(CONCAT(""A"",to_text(match(EN45,ecn.list,0)))),0,1),"""")"),"M3 ")</f>
        <v>M3 </v>
      </c>
      <c r="BO45" s="236" t="str">
        <f>IFERROR(__xludf.DUMMYFUNCTION("if(countif(ecn.list,EO45),OFFSET(INDIRECT(CONCAT(""A"",to_text(match(EO45,ecn.list,0)))),0,1),"""")"),"M4 ")</f>
        <v>M4 </v>
      </c>
      <c r="BP45" s="236" t="str">
        <f>IFERROR(__xludf.DUMMYFUNCTION("if(countif(ecn.list,EP45),OFFSET(INDIRECT(CONCAT(""A"",to_text(match(EP45,ecn.list,0)))),0,1),"""")"),"M5 ")</f>
        <v>M5 </v>
      </c>
      <c r="BQ45" s="236" t="str">
        <f>IFERROR(__xludf.DUMMYFUNCTION("if(countif(ecn.list,EQ45),OFFSET(INDIRECT(CONCAT(""A"",to_text(match(EQ45,ecn.list,0)))),0,1),"""")"),"")</f>
        <v/>
      </c>
      <c r="BR45" s="236" t="str">
        <f>IFERROR(__xludf.DUMMYFUNCTION("if(countif(ecn.list,ER45),OFFSET(INDIRECT(CONCAT(""A"",to_text(match(ER45,ecn.list,0)))),0,1),"""")"),"")</f>
        <v/>
      </c>
      <c r="BS45" s="236" t="str">
        <f>IFERROR(__xludf.DUMMYFUNCTION("if(countif(ecn.list,ES45),OFFSET(INDIRECT(CONCAT(""A"",to_text(match(ES45,ecn.list,0)))),0,1),"""")"),"M8 ")</f>
        <v>M8 </v>
      </c>
      <c r="BT45" s="236" t="str">
        <f>IFERROR(__xludf.DUMMYFUNCTION("if(countif(ecn.list,ET45),OFFSET(INDIRECT(CONCAT(""A"",to_text(match(ET45,ecn.list,0)))),0,1),"""")"),"")</f>
        <v/>
      </c>
      <c r="BU45" s="236" t="str">
        <f>IFERROR(__xludf.DUMMYFUNCTION("if(countif(ecn.list,EU45),OFFSET(INDIRECT(CONCAT(""A"",to_text(match(EU45,ecn.list,0)))),0,1),"""")"),"")</f>
        <v/>
      </c>
      <c r="BV45" s="236" t="str">
        <f>IFERROR(__xludf.DUMMYFUNCTION("if(countif(ecn.list,EV45),OFFSET(INDIRECT(CONCAT(""A"",to_text(match(EV45,ecn.list,0)))),0,1),"""")"),"MB ")</f>
        <v>MB </v>
      </c>
      <c r="BW45" s="236" t="str">
        <f>IFERROR(__xludf.DUMMYFUNCTION("if(countif(ecn.list,EW45),OFFSET(INDIRECT(CONCAT(""A"",to_text(match(EW45,ecn.list,0)))),0,1),"""")"),"")</f>
        <v/>
      </c>
      <c r="BX45" s="236" t="str">
        <f>IFERROR(__xludf.DUMMYFUNCTION("if(countif(ecn.list,EX45),OFFSET(INDIRECT(CONCAT(""A"",to_text(match(EX45,ecn.list,0)))),0,1),"""")"),"MD ")</f>
        <v>MD </v>
      </c>
      <c r="BY45" s="236" t="str">
        <f>IFERROR(__xludf.DUMMYFUNCTION("if(countif(ecn.list,EY45),OFFSET(INDIRECT(CONCAT(""A"",to_text(match(EY45,ecn.list,0)))),0,1),"""")"),"")</f>
        <v/>
      </c>
      <c r="BZ45" s="236" t="str">
        <f>IFERROR(__xludf.DUMMYFUNCTION("if(countif(ecn.list,EZ45),OFFSET(INDIRECT(CONCAT(""A"",to_text(match(EZ45,ecn.list,0)))),0,1),"""")"),"MF ")</f>
        <v>MF </v>
      </c>
      <c r="CA45" s="236" t="str">
        <f>IFERROR(__xludf.DUMMYFUNCTION("if(countif(ecn.list,FA45),OFFSET(INDIRECT(CONCAT(""A"",to_text(match(FA45,ecn.list,0)))),0,1),"""")"),"")</f>
        <v/>
      </c>
      <c r="CB45" s="236" t="str">
        <f>IFERROR(__xludf.DUMMYFUNCTION("if(countif(ecn.list,FB45),OFFSET(INDIRECT(CONCAT(""A"",to_text(match(FB45,ecn.list,0)))),0,1),"""")"),"")</f>
        <v/>
      </c>
      <c r="CC45" s="236" t="str">
        <f>IFERROR(__xludf.DUMMYFUNCTION("if(countif(ecn.list,FC45),OFFSET(INDIRECT(CONCAT(""A"",to_text(match(FC45,ecn.list,0)))),0,1),"""")"),"N2 ")</f>
        <v>N2 </v>
      </c>
      <c r="CD45" s="236" t="str">
        <f>IFERROR(__xludf.DUMMYFUNCTION("if(countif(ecn.list,FD45),OFFSET(INDIRECT(CONCAT(""A"",to_text(match(FD45,ecn.list,0)))),0,1),"""")"),"")</f>
        <v/>
      </c>
      <c r="CE45" s="236" t="str">
        <f>IFERROR(__xludf.DUMMYFUNCTION("if(countif(ecn.list,FE45),OFFSET(INDIRECT(CONCAT(""A"",to_text(match(FE45,ecn.list,0)))),0,1),"""")"),"")</f>
        <v/>
      </c>
      <c r="CF45" s="236" t="str">
        <f>IFERROR(__xludf.DUMMYFUNCTION("if(countif(ecn.list,FF45),OFFSET(INDIRECT(CONCAT(""A"",to_text(match(FF45,ecn.list,0)))),0,1),"""")"),"")</f>
        <v/>
      </c>
      <c r="CG45" s="236" t="str">
        <f>IFERROR(__xludf.DUMMYFUNCTION("if(countif(ecn.list,FG45),OFFSET(INDIRECT(CONCAT(""A"",to_text(match(FG45,ecn.list,0)))),0,1),"""")"),"N6 ")</f>
        <v>N6 </v>
      </c>
      <c r="CH45" s="236" t="str">
        <f>IFERROR(__xludf.DUMMYFUNCTION("if(countif(ecn.list,FH45),OFFSET(INDIRECT(CONCAT(""A"",to_text(match(FH45,ecn.list,0)))),0,1),"""")"),"N7 ")</f>
        <v>N7 </v>
      </c>
      <c r="CI45" s="236" t="str">
        <f>IFERROR(__xludf.DUMMYFUNCTION("if(countif(ecn.list,FI45),OFFSET(INDIRECT(CONCAT(""A"",to_text(match(FI45,ecn.list,0)))),0,1),"""")"),"")</f>
        <v/>
      </c>
      <c r="CJ45" s="236" t="str">
        <f>IFERROR(__xludf.DUMMYFUNCTION("if(countif(ecn.list,FJ45),OFFSET(INDIRECT(CONCAT(""A"",to_text(match(FJ45,ecn.list,0)))),0,1),"""")"),"")</f>
        <v/>
      </c>
      <c r="CK45" s="236" t="str">
        <f>IFERROR(__xludf.DUMMYFUNCTION("if(countif(ecn.list,FK45),OFFSET(INDIRECT(CONCAT(""A"",to_text(match(FK45,ecn.list,0)))),0,1),"""")"),"NA ")</f>
        <v>NA </v>
      </c>
      <c r="CL45" s="236" t="str">
        <f>IFERROR(__xludf.DUMMYFUNCTION("if(countif(ecn.list,FL45),OFFSET(INDIRECT(CONCAT(""A"",to_text(match(FL45,ecn.list,0)))),0,1),"""")"),"")</f>
        <v/>
      </c>
      <c r="CM45" s="236" t="str">
        <f>IFERROR(__xludf.DUMMYFUNCTION("if(countif(ecn.list,FM45),OFFSET(INDIRECT(CONCAT(""A"",to_text(match(FM45,ecn.list,0)))),0,1),"""")"),"")</f>
        <v/>
      </c>
      <c r="CN45" s="198" t="s">
        <v>210</v>
      </c>
      <c r="CO45" s="198" t="s">
        <v>1447</v>
      </c>
      <c r="CP45" s="198" t="s">
        <v>1451</v>
      </c>
      <c r="CQ45" s="198" t="s">
        <v>1452</v>
      </c>
      <c r="CR45" s="198" t="s">
        <v>1490</v>
      </c>
      <c r="CS45" s="198" t="s">
        <v>1453</v>
      </c>
      <c r="CT45" s="198" t="s">
        <v>1454</v>
      </c>
      <c r="CU45" s="198" t="s">
        <v>1455</v>
      </c>
      <c r="CV45" s="198" t="s">
        <v>1456</v>
      </c>
      <c r="CW45" s="198" t="s">
        <v>1453</v>
      </c>
      <c r="CX45" s="198" t="s">
        <v>1453</v>
      </c>
      <c r="CY45" s="198" t="s">
        <v>1484</v>
      </c>
      <c r="CZ45" s="198" t="s">
        <v>1453</v>
      </c>
      <c r="DA45" s="198" t="s">
        <v>1457</v>
      </c>
      <c r="DB45" s="198" t="s">
        <v>1485</v>
      </c>
      <c r="DC45" s="198" t="s">
        <v>1453</v>
      </c>
      <c r="DD45" s="198" t="s">
        <v>1458</v>
      </c>
      <c r="DE45" s="198" t="s">
        <v>1459</v>
      </c>
      <c r="DF45" s="198" t="s">
        <v>1498</v>
      </c>
      <c r="DG45" s="198" t="s">
        <v>1499</v>
      </c>
      <c r="DH45" s="198" t="s">
        <v>1500</v>
      </c>
      <c r="DI45" s="198" t="s">
        <v>1501</v>
      </c>
      <c r="DJ45" s="198" t="s">
        <v>1460</v>
      </c>
      <c r="DK45" s="198" t="s">
        <v>1519</v>
      </c>
      <c r="DL45" s="198" t="s">
        <v>1461</v>
      </c>
      <c r="DM45" s="198" t="s">
        <v>1462</v>
      </c>
      <c r="DN45" s="198" t="s">
        <v>1463</v>
      </c>
      <c r="DO45" s="198" t="s">
        <v>1464</v>
      </c>
      <c r="DP45" s="198" t="s">
        <v>1465</v>
      </c>
      <c r="DQ45" s="198" t="s">
        <v>1466</v>
      </c>
      <c r="DR45" s="198" t="s">
        <v>1467</v>
      </c>
      <c r="DS45" s="198" t="s">
        <v>1453</v>
      </c>
      <c r="DT45" s="198" t="s">
        <v>1468</v>
      </c>
      <c r="DU45" s="198" t="s">
        <v>1453</v>
      </c>
      <c r="DV45" s="198" t="s">
        <v>1469</v>
      </c>
      <c r="DW45" s="198" t="s">
        <v>1502</v>
      </c>
      <c r="DX45" s="198" t="s">
        <v>1503</v>
      </c>
      <c r="DY45" s="198" t="s">
        <v>1521</v>
      </c>
      <c r="DZ45" s="198" t="s">
        <v>1453</v>
      </c>
      <c r="EA45" s="198" t="s">
        <v>1453</v>
      </c>
      <c r="EB45" s="198" t="s">
        <v>1504</v>
      </c>
      <c r="EC45" s="198" t="s">
        <v>1483</v>
      </c>
      <c r="ED45" s="198" t="s">
        <v>1516</v>
      </c>
      <c r="EE45" s="198" t="s">
        <v>1470</v>
      </c>
      <c r="EF45" s="198" t="s">
        <v>1453</v>
      </c>
      <c r="EG45" s="198" t="s">
        <v>1471</v>
      </c>
      <c r="EH45" s="198" t="s">
        <v>1453</v>
      </c>
      <c r="EI45" s="198" t="s">
        <v>1453</v>
      </c>
      <c r="EJ45" s="198" t="s">
        <v>1472</v>
      </c>
      <c r="EK45" s="198" t="s">
        <v>1487</v>
      </c>
      <c r="EL45" s="198" t="s">
        <v>1473</v>
      </c>
      <c r="EM45" s="198" t="s">
        <v>1453</v>
      </c>
      <c r="EN45" s="198" t="s">
        <v>1474</v>
      </c>
      <c r="EO45" s="198" t="s">
        <v>1475</v>
      </c>
      <c r="EP45" s="198" t="s">
        <v>1524</v>
      </c>
      <c r="EQ45" s="198" t="s">
        <v>1453</v>
      </c>
      <c r="ER45" s="198" t="s">
        <v>1453</v>
      </c>
      <c r="ES45" s="198" t="s">
        <v>1505</v>
      </c>
      <c r="ET45" s="198" t="s">
        <v>1453</v>
      </c>
      <c r="EU45" s="198" t="s">
        <v>1453</v>
      </c>
      <c r="EV45" s="198" t="s">
        <v>1476</v>
      </c>
      <c r="EW45" s="198" t="s">
        <v>1453</v>
      </c>
      <c r="EX45" s="198" t="s">
        <v>1488</v>
      </c>
      <c r="EY45" s="198" t="s">
        <v>1453</v>
      </c>
      <c r="EZ45" s="198" t="s">
        <v>1477</v>
      </c>
      <c r="FA45" s="198" t="s">
        <v>1453</v>
      </c>
      <c r="FB45" s="198" t="s">
        <v>1453</v>
      </c>
      <c r="FC45" s="198" t="s">
        <v>1478</v>
      </c>
      <c r="FD45" s="198" t="s">
        <v>1453</v>
      </c>
      <c r="FE45" s="198" t="s">
        <v>1453</v>
      </c>
      <c r="FF45" s="198" t="s">
        <v>1453</v>
      </c>
      <c r="FG45" s="198" t="s">
        <v>1517</v>
      </c>
      <c r="FH45" s="198" t="s">
        <v>1479</v>
      </c>
      <c r="FI45" s="198" t="s">
        <v>1453</v>
      </c>
      <c r="FJ45" s="198" t="s">
        <v>1453</v>
      </c>
      <c r="FK45" s="198" t="s">
        <v>1481</v>
      </c>
      <c r="FL45" s="198" t="s">
        <v>1482</v>
      </c>
      <c r="FM45" s="198" t="s">
        <v>1453</v>
      </c>
    </row>
    <row r="46" ht="15.75" customHeight="1">
      <c r="A46" s="236" t="s">
        <v>1525</v>
      </c>
      <c r="B46" s="198" t="str">
        <f t="shared" ref="B46:B50" si="5">concatenate("L",C46," ")</f>
        <v>LB </v>
      </c>
      <c r="C46" s="234" t="s">
        <v>1510</v>
      </c>
      <c r="D46" s="232" t="s">
        <v>770</v>
      </c>
      <c r="E46" s="232" t="s">
        <v>1448</v>
      </c>
      <c r="F46" s="232" t="s">
        <v>1449</v>
      </c>
      <c r="G46" s="232" t="s">
        <v>1450</v>
      </c>
      <c r="H46" s="232" t="s">
        <v>876</v>
      </c>
      <c r="I46" s="232" t="s">
        <v>877</v>
      </c>
      <c r="J46" s="232" t="s">
        <v>986</v>
      </c>
      <c r="K46" s="232" t="s">
        <v>1045</v>
      </c>
      <c r="L46" s="188" t="s">
        <v>213</v>
      </c>
      <c r="M46" s="236" t="str">
        <f>IFERROR(__xludf.DUMMYFUNCTION("regexreplace(N46,"" "","", "")"),"J0, J1, J2, J5, J6, J7, JA, JC, JF, K0, K3, K4, K5, K7, K8, K9, KA, KB, KC, KD, KF, L1, L8, LA, LC, LF, M0, M1, M3, M4, M8, MB, MD, MF, N2, N7, NA, ")</f>
        <v>J0, J1, J2, J5, J6, J7, JA, JC, JF, K0, K3, K4, K5, K7, K8, K9, KA, KB, KC, KD, KF, L1, L8, LA, LC, LF, M0, M1, M3, M4, M8, MB, MD, MF, N2, N7, NA, </v>
      </c>
      <c r="N46" s="236" t="str">
        <f t="shared" si="2"/>
        <v>J0 J1 J2 J5 J6 J7 JA JC JF K0 K3 K4 K5 K7 K8 K9 KA KB KC KD KF L1 L8 LA LC LF M0 M1 M3 M4 M8 MB MD MF N2 N7 NA </v>
      </c>
      <c r="O46" s="236" t="str">
        <f>IFERROR(__xludf.DUMMYFUNCTION("if(countif(ecn.list,CO46),OFFSET(INDIRECT(CONCAT(""A"",to_text(match(CO46,ecn.list,0)))),0,1),"""")"),"J0 ")</f>
        <v>J0 </v>
      </c>
      <c r="P46" s="236" t="str">
        <f>IFERROR(__xludf.DUMMYFUNCTION("if(countif(ecn.list,CP46),OFFSET(INDIRECT(CONCAT(""A"",to_text(match(CP46,ecn.list,0)))),0,1),"""")"),"J1 ")</f>
        <v>J1 </v>
      </c>
      <c r="Q46" s="236" t="str">
        <f>IFERROR(__xludf.DUMMYFUNCTION("if(countif(ecn.list,CQ46),OFFSET(INDIRECT(CONCAT(""A"",to_text(match(CQ46,ecn.list,0)))),0,1),"""")"),"J2 ")</f>
        <v>J2 </v>
      </c>
      <c r="R46" s="236" t="str">
        <f>IFERROR(__xludf.DUMMYFUNCTION("if(countif(ecn.list,CR46),OFFSET(INDIRECT(CONCAT(""A"",to_text(match(CR46,ecn.list,0)))),0,1),"""")"),"")</f>
        <v/>
      </c>
      <c r="S46" s="236" t="str">
        <f>IFERROR(__xludf.DUMMYFUNCTION("if(countif(ecn.list,CS46),OFFSET(INDIRECT(CONCAT(""A"",to_text(match(CS46,ecn.list,0)))),0,1),"""")"),"")</f>
        <v/>
      </c>
      <c r="T46" s="236" t="str">
        <f>IFERROR(__xludf.DUMMYFUNCTION("if(countif(ecn.list,CT46),OFFSET(INDIRECT(CONCAT(""A"",to_text(match(CT46,ecn.list,0)))),0,1),"""")"),"J5 ")</f>
        <v>J5 </v>
      </c>
      <c r="U46" s="236" t="str">
        <f>IFERROR(__xludf.DUMMYFUNCTION("if(countif(ecn.list,CU46),OFFSET(INDIRECT(CONCAT(""A"",to_text(match(CU46,ecn.list,0)))),0,1),"""")"),"J6 ")</f>
        <v>J6 </v>
      </c>
      <c r="V46" s="236" t="str">
        <f>IFERROR(__xludf.DUMMYFUNCTION("if(countif(ecn.list,CV46),OFFSET(INDIRECT(CONCAT(""A"",to_text(match(CV46,ecn.list,0)))),0,1),"""")"),"J7 ")</f>
        <v>J7 </v>
      </c>
      <c r="W46" s="236" t="str">
        <f>IFERROR(__xludf.DUMMYFUNCTION("if(countif(ecn.list,CW46),OFFSET(INDIRECT(CONCAT(""A"",to_text(match(CW46,ecn.list,0)))),0,1),"""")"),"")</f>
        <v/>
      </c>
      <c r="X46" s="236" t="str">
        <f>IFERROR(__xludf.DUMMYFUNCTION("if(countif(ecn.list,CX46),OFFSET(INDIRECT(CONCAT(""A"",to_text(match(CX46,ecn.list,0)))),0,1),"""")"),"")</f>
        <v/>
      </c>
      <c r="Y46" s="236" t="str">
        <f>IFERROR(__xludf.DUMMYFUNCTION("if(countif(ecn.list,CY46),OFFSET(INDIRECT(CONCAT(""A"",to_text(match(CY46,ecn.list,0)))),0,1),"""")"),"JA ")</f>
        <v>JA </v>
      </c>
      <c r="Z46" s="236" t="str">
        <f>IFERROR(__xludf.DUMMYFUNCTION("if(countif(ecn.list,CZ46),OFFSET(INDIRECT(CONCAT(""A"",to_text(match(CZ46,ecn.list,0)))),0,1),"""")"),"")</f>
        <v/>
      </c>
      <c r="AA46" s="236" t="str">
        <f>IFERROR(__xludf.DUMMYFUNCTION("if(countif(ecn.list,DA46),OFFSET(INDIRECT(CONCAT(""A"",to_text(match(DA46,ecn.list,0)))),0,1),"""")"),"JC ")</f>
        <v>JC </v>
      </c>
      <c r="AB46" s="236" t="str">
        <f>IFERROR(__xludf.DUMMYFUNCTION("if(countif(ecn.list,DB46),OFFSET(INDIRECT(CONCAT(""A"",to_text(match(DB46,ecn.list,0)))),0,1),"""")"),"")</f>
        <v/>
      </c>
      <c r="AC46" s="236" t="str">
        <f>IFERROR(__xludf.DUMMYFUNCTION("if(countif(ecn.list,DC46),OFFSET(INDIRECT(CONCAT(""A"",to_text(match(DC46,ecn.list,0)))),0,1),"""")"),"")</f>
        <v/>
      </c>
      <c r="AD46" s="236" t="str">
        <f>IFERROR(__xludf.DUMMYFUNCTION("if(countif(ecn.list,DD46),OFFSET(INDIRECT(CONCAT(""A"",to_text(match(DD46,ecn.list,0)))),0,1),"""")"),"JF ")</f>
        <v>JF </v>
      </c>
      <c r="AE46" s="236" t="str">
        <f>IFERROR(__xludf.DUMMYFUNCTION("if(countif(ecn.list,DE46),OFFSET(INDIRECT(CONCAT(""A"",to_text(match(DE46,ecn.list,0)))),0,1),"""")"),"K0 ")</f>
        <v>K0 </v>
      </c>
      <c r="AF46" s="236" t="str">
        <f>IFERROR(__xludf.DUMMYFUNCTION("if(countif(ecn.list,DF46),OFFSET(INDIRECT(CONCAT(""A"",to_text(match(DF46,ecn.list,0)))),0,1),"""")"),"")</f>
        <v/>
      </c>
      <c r="AG46" s="236" t="str">
        <f>IFERROR(__xludf.DUMMYFUNCTION("if(countif(ecn.list,DG46),OFFSET(INDIRECT(CONCAT(""A"",to_text(match(DG46,ecn.list,0)))),0,1),"""")"),"")</f>
        <v/>
      </c>
      <c r="AH46" s="236" t="str">
        <f>IFERROR(__xludf.DUMMYFUNCTION("if(countif(ecn.list,DH46),OFFSET(INDIRECT(CONCAT(""A"",to_text(match(DH46,ecn.list,0)))),0,1),"""")"),"K3 ")</f>
        <v>K3 </v>
      </c>
      <c r="AI46" s="236" t="str">
        <f>IFERROR(__xludf.DUMMYFUNCTION("if(countif(ecn.list,DI46),OFFSET(INDIRECT(CONCAT(""A"",to_text(match(DI46,ecn.list,0)))),0,1),"""")"),"K4 ")</f>
        <v>K4 </v>
      </c>
      <c r="AJ46" s="236" t="str">
        <f>IFERROR(__xludf.DUMMYFUNCTION("if(countif(ecn.list,DJ46),OFFSET(INDIRECT(CONCAT(""A"",to_text(match(DJ46,ecn.list,0)))),0,1),"""")"),"K5 ")</f>
        <v>K5 </v>
      </c>
      <c r="AK46" s="236" t="str">
        <f>IFERROR(__xludf.DUMMYFUNCTION("if(countif(ecn.list,DK46),OFFSET(INDIRECT(CONCAT(""A"",to_text(match(DK46,ecn.list,0)))),0,1),"""")"),"")</f>
        <v/>
      </c>
      <c r="AL46" s="236" t="str">
        <f>IFERROR(__xludf.DUMMYFUNCTION("if(countif(ecn.list,DL46),OFFSET(INDIRECT(CONCAT(""A"",to_text(match(DL46,ecn.list,0)))),0,1),"""")"),"K7 ")</f>
        <v>K7 </v>
      </c>
      <c r="AM46" s="236" t="str">
        <f>IFERROR(__xludf.DUMMYFUNCTION("if(countif(ecn.list,DM46),OFFSET(INDIRECT(CONCAT(""A"",to_text(match(DM46,ecn.list,0)))),0,1),"""")"),"K8 ")</f>
        <v>K8 </v>
      </c>
      <c r="AN46" s="236" t="str">
        <f>IFERROR(__xludf.DUMMYFUNCTION("if(countif(ecn.list,DN46),OFFSET(INDIRECT(CONCAT(""A"",to_text(match(DN46,ecn.list,0)))),0,1),"""")"),"K9 ")</f>
        <v>K9 </v>
      </c>
      <c r="AO46" s="236" t="str">
        <f>IFERROR(__xludf.DUMMYFUNCTION("if(countif(ecn.list,DO46),OFFSET(INDIRECT(CONCAT(""A"",to_text(match(DO46,ecn.list,0)))),0,1),"""")"),"KA ")</f>
        <v>KA </v>
      </c>
      <c r="AP46" s="236" t="str">
        <f>IFERROR(__xludf.DUMMYFUNCTION("if(countif(ecn.list,DP46),OFFSET(INDIRECT(CONCAT(""A"",to_text(match(DP46,ecn.list,0)))),0,1),"""")"),"KB ")</f>
        <v>KB </v>
      </c>
      <c r="AQ46" s="236" t="str">
        <f>IFERROR(__xludf.DUMMYFUNCTION("if(countif(ecn.list,DQ46),OFFSET(INDIRECT(CONCAT(""A"",to_text(match(DQ46,ecn.list,0)))),0,1),"""")"),"KC ")</f>
        <v>KC </v>
      </c>
      <c r="AR46" s="236" t="str">
        <f>IFERROR(__xludf.DUMMYFUNCTION("if(countif(ecn.list,DR46),OFFSET(INDIRECT(CONCAT(""A"",to_text(match(DR46,ecn.list,0)))),0,1),"""")"),"KD ")</f>
        <v>KD </v>
      </c>
      <c r="AS46" s="236" t="str">
        <f>IFERROR(__xludf.DUMMYFUNCTION("if(countif(ecn.list,DS46),OFFSET(INDIRECT(CONCAT(""A"",to_text(match(DS46,ecn.list,0)))),0,1),"""")"),"")</f>
        <v/>
      </c>
      <c r="AT46" s="236" t="str">
        <f>IFERROR(__xludf.DUMMYFUNCTION("if(countif(ecn.list,DT46),OFFSET(INDIRECT(CONCAT(""A"",to_text(match(DT46,ecn.list,0)))),0,1),"""")"),"KF ")</f>
        <v>KF </v>
      </c>
      <c r="AU46" s="236" t="str">
        <f>IFERROR(__xludf.DUMMYFUNCTION("if(countif(ecn.list,DU46),OFFSET(INDIRECT(CONCAT(""A"",to_text(match(DU46,ecn.list,0)))),0,1),"""")"),"")</f>
        <v/>
      </c>
      <c r="AV46" s="236" t="str">
        <f>IFERROR(__xludf.DUMMYFUNCTION("if(countif(ecn.list,DV46),OFFSET(INDIRECT(CONCAT(""A"",to_text(match(DV46,ecn.list,0)))),0,1),"""")"),"L1 ")</f>
        <v>L1 </v>
      </c>
      <c r="AW46" s="236" t="str">
        <f>IFERROR(__xludf.DUMMYFUNCTION("if(countif(ecn.list,DW46),OFFSET(INDIRECT(CONCAT(""A"",to_text(match(DW46,ecn.list,0)))),0,1),"""")"),"")</f>
        <v/>
      </c>
      <c r="AX46" s="236" t="str">
        <f>IFERROR(__xludf.DUMMYFUNCTION("if(countif(ecn.list,DX46),OFFSET(INDIRECT(CONCAT(""A"",to_text(match(DX46,ecn.list,0)))),0,1),"""")"),"")</f>
        <v/>
      </c>
      <c r="AY46" s="236" t="str">
        <f>IFERROR(__xludf.DUMMYFUNCTION("if(countif(ecn.list,DY46),OFFSET(INDIRECT(CONCAT(""A"",to_text(match(DY46,ecn.list,0)))),0,1),"""")"),"")</f>
        <v/>
      </c>
      <c r="AZ46" s="236" t="str">
        <f>IFERROR(__xludf.DUMMYFUNCTION("if(countif(ecn.list,DZ46),OFFSET(INDIRECT(CONCAT(""A"",to_text(match(DZ46,ecn.list,0)))),0,1),"""")"),"")</f>
        <v/>
      </c>
      <c r="BA46" s="236" t="str">
        <f>IFERROR(__xludf.DUMMYFUNCTION("if(countif(ecn.list,EA46),OFFSET(INDIRECT(CONCAT(""A"",to_text(match(EA46,ecn.list,0)))),0,1),"""")"),"")</f>
        <v/>
      </c>
      <c r="BB46" s="236" t="str">
        <f>IFERROR(__xludf.DUMMYFUNCTION("if(countif(ecn.list,EB46),OFFSET(INDIRECT(CONCAT(""A"",to_text(match(EB46,ecn.list,0)))),0,1),"""")"),"")</f>
        <v/>
      </c>
      <c r="BC46" s="236" t="str">
        <f>IFERROR(__xludf.DUMMYFUNCTION("if(countif(ecn.list,EC46),OFFSET(INDIRECT(CONCAT(""A"",to_text(match(EC46,ecn.list,0)))),0,1),"""")"),"L8 ")</f>
        <v>L8 </v>
      </c>
      <c r="BD46" s="236" t="str">
        <f>IFERROR(__xludf.DUMMYFUNCTION("if(countif(ecn.list,ED46),OFFSET(INDIRECT(CONCAT(""A"",to_text(match(ED46,ecn.list,0)))),0,1),"""")"),"")</f>
        <v/>
      </c>
      <c r="BE46" s="236" t="str">
        <f>IFERROR(__xludf.DUMMYFUNCTION("if(countif(ecn.list,EE46),OFFSET(INDIRECT(CONCAT(""A"",to_text(match(EE46,ecn.list,0)))),0,1),"""")"),"LA ")</f>
        <v>LA </v>
      </c>
      <c r="BF46" s="236" t="str">
        <f>IFERROR(__xludf.DUMMYFUNCTION("if(countif(ecn.list,EF46),OFFSET(INDIRECT(CONCAT(""A"",to_text(match(EF46,ecn.list,0)))),0,1),"""")"),"")</f>
        <v/>
      </c>
      <c r="BG46" s="236" t="str">
        <f>IFERROR(__xludf.DUMMYFUNCTION("if(countif(ecn.list,EG46),OFFSET(INDIRECT(CONCAT(""A"",to_text(match(EG46,ecn.list,0)))),0,1),"""")"),"LC ")</f>
        <v>LC </v>
      </c>
      <c r="BH46" s="236" t="str">
        <f>IFERROR(__xludf.DUMMYFUNCTION("if(countif(ecn.list,EH46),OFFSET(INDIRECT(CONCAT(""A"",to_text(match(EH46,ecn.list,0)))),0,1),"""")"),"")</f>
        <v/>
      </c>
      <c r="BI46" s="236" t="str">
        <f>IFERROR(__xludf.DUMMYFUNCTION("if(countif(ecn.list,EI46),OFFSET(INDIRECT(CONCAT(""A"",to_text(match(EI46,ecn.list,0)))),0,1),"""")"),"")</f>
        <v/>
      </c>
      <c r="BJ46" s="236" t="str">
        <f>IFERROR(__xludf.DUMMYFUNCTION("if(countif(ecn.list,EJ46),OFFSET(INDIRECT(CONCAT(""A"",to_text(match(EJ46,ecn.list,0)))),0,1),"""")"),"LF ")</f>
        <v>LF </v>
      </c>
      <c r="BK46" s="236" t="str">
        <f>IFERROR(__xludf.DUMMYFUNCTION("if(countif(ecn.list,EK46),OFFSET(INDIRECT(CONCAT(""A"",to_text(match(EK46,ecn.list,0)))),0,1),"""")"),"M0 ")</f>
        <v>M0 </v>
      </c>
      <c r="BL46" s="236" t="str">
        <f>IFERROR(__xludf.DUMMYFUNCTION("if(countif(ecn.list,EL46),OFFSET(INDIRECT(CONCAT(""A"",to_text(match(EL46,ecn.list,0)))),0,1),"""")"),"M1 ")</f>
        <v>M1 </v>
      </c>
      <c r="BM46" s="236" t="str">
        <f>IFERROR(__xludf.DUMMYFUNCTION("if(countif(ecn.list,EM46),OFFSET(INDIRECT(CONCAT(""A"",to_text(match(EM46,ecn.list,0)))),0,1),"""")"),"")</f>
        <v/>
      </c>
      <c r="BN46" s="236" t="str">
        <f>IFERROR(__xludf.DUMMYFUNCTION("if(countif(ecn.list,EN46),OFFSET(INDIRECT(CONCAT(""A"",to_text(match(EN46,ecn.list,0)))),0,1),"""")"),"M3 ")</f>
        <v>M3 </v>
      </c>
      <c r="BO46" s="236" t="str">
        <f>IFERROR(__xludf.DUMMYFUNCTION("if(countif(ecn.list,EO46),OFFSET(INDIRECT(CONCAT(""A"",to_text(match(EO46,ecn.list,0)))),0,1),"""")"),"M4 ")</f>
        <v>M4 </v>
      </c>
      <c r="BP46" s="236" t="str">
        <f>IFERROR(__xludf.DUMMYFUNCTION("if(countif(ecn.list,EP46),OFFSET(INDIRECT(CONCAT(""A"",to_text(match(EP46,ecn.list,0)))),0,1),"""")"),"")</f>
        <v/>
      </c>
      <c r="BQ46" s="236" t="str">
        <f>IFERROR(__xludf.DUMMYFUNCTION("if(countif(ecn.list,EQ46),OFFSET(INDIRECT(CONCAT(""A"",to_text(match(EQ46,ecn.list,0)))),0,1),"""")"),"")</f>
        <v/>
      </c>
      <c r="BR46" s="236" t="str">
        <f>IFERROR(__xludf.DUMMYFUNCTION("if(countif(ecn.list,ER46),OFFSET(INDIRECT(CONCAT(""A"",to_text(match(ER46,ecn.list,0)))),0,1),"""")"),"")</f>
        <v/>
      </c>
      <c r="BS46" s="236" t="str">
        <f>IFERROR(__xludf.DUMMYFUNCTION("if(countif(ecn.list,ES46),OFFSET(INDIRECT(CONCAT(""A"",to_text(match(ES46,ecn.list,0)))),0,1),"""")"),"M8 ")</f>
        <v>M8 </v>
      </c>
      <c r="BT46" s="236" t="str">
        <f>IFERROR(__xludf.DUMMYFUNCTION("if(countif(ecn.list,ET46),OFFSET(INDIRECT(CONCAT(""A"",to_text(match(ET46,ecn.list,0)))),0,1),"""")"),"")</f>
        <v/>
      </c>
      <c r="BU46" s="236" t="str">
        <f>IFERROR(__xludf.DUMMYFUNCTION("if(countif(ecn.list,EU46),OFFSET(INDIRECT(CONCAT(""A"",to_text(match(EU46,ecn.list,0)))),0,1),"""")"),"")</f>
        <v/>
      </c>
      <c r="BV46" s="236" t="str">
        <f>IFERROR(__xludf.DUMMYFUNCTION("if(countif(ecn.list,EV46),OFFSET(INDIRECT(CONCAT(""A"",to_text(match(EV46,ecn.list,0)))),0,1),"""")"),"MB ")</f>
        <v>MB </v>
      </c>
      <c r="BW46" s="236" t="str">
        <f>IFERROR(__xludf.DUMMYFUNCTION("if(countif(ecn.list,EW46),OFFSET(INDIRECT(CONCAT(""A"",to_text(match(EW46,ecn.list,0)))),0,1),"""")"),"")</f>
        <v/>
      </c>
      <c r="BX46" s="236" t="str">
        <f>IFERROR(__xludf.DUMMYFUNCTION("if(countif(ecn.list,EX46),OFFSET(INDIRECT(CONCAT(""A"",to_text(match(EX46,ecn.list,0)))),0,1),"""")"),"MD ")</f>
        <v>MD </v>
      </c>
      <c r="BY46" s="236" t="str">
        <f>IFERROR(__xludf.DUMMYFUNCTION("if(countif(ecn.list,EY46),OFFSET(INDIRECT(CONCAT(""A"",to_text(match(EY46,ecn.list,0)))),0,1),"""")"),"")</f>
        <v/>
      </c>
      <c r="BZ46" s="236" t="str">
        <f>IFERROR(__xludf.DUMMYFUNCTION("if(countif(ecn.list,EZ46),OFFSET(INDIRECT(CONCAT(""A"",to_text(match(EZ46,ecn.list,0)))),0,1),"""")"),"MF ")</f>
        <v>MF </v>
      </c>
      <c r="CA46" s="236" t="str">
        <f>IFERROR(__xludf.DUMMYFUNCTION("if(countif(ecn.list,FA46),OFFSET(INDIRECT(CONCAT(""A"",to_text(match(FA46,ecn.list,0)))),0,1),"""")"),"")</f>
        <v/>
      </c>
      <c r="CB46" s="236" t="str">
        <f>IFERROR(__xludf.DUMMYFUNCTION("if(countif(ecn.list,FB46),OFFSET(INDIRECT(CONCAT(""A"",to_text(match(FB46,ecn.list,0)))),0,1),"""")"),"")</f>
        <v/>
      </c>
      <c r="CC46" s="236" t="str">
        <f>IFERROR(__xludf.DUMMYFUNCTION("if(countif(ecn.list,FC46),OFFSET(INDIRECT(CONCAT(""A"",to_text(match(FC46,ecn.list,0)))),0,1),"""")"),"N2 ")</f>
        <v>N2 </v>
      </c>
      <c r="CD46" s="236" t="str">
        <f>IFERROR(__xludf.DUMMYFUNCTION("if(countif(ecn.list,FD46),OFFSET(INDIRECT(CONCAT(""A"",to_text(match(FD46,ecn.list,0)))),0,1),"""")"),"")</f>
        <v/>
      </c>
      <c r="CE46" s="236" t="str">
        <f>IFERROR(__xludf.DUMMYFUNCTION("if(countif(ecn.list,FE46),OFFSET(INDIRECT(CONCAT(""A"",to_text(match(FE46,ecn.list,0)))),0,1),"""")"),"")</f>
        <v/>
      </c>
      <c r="CF46" s="236" t="str">
        <f>IFERROR(__xludf.DUMMYFUNCTION("if(countif(ecn.list,FF46),OFFSET(INDIRECT(CONCAT(""A"",to_text(match(FF46,ecn.list,0)))),0,1),"""")"),"")</f>
        <v/>
      </c>
      <c r="CG46" s="236" t="str">
        <f>IFERROR(__xludf.DUMMYFUNCTION("if(countif(ecn.list,FG46),OFFSET(INDIRECT(CONCAT(""A"",to_text(match(FG46,ecn.list,0)))),0,1),"""")"),"")</f>
        <v/>
      </c>
      <c r="CH46" s="236" t="str">
        <f>IFERROR(__xludf.DUMMYFUNCTION("if(countif(ecn.list,FH46),OFFSET(INDIRECT(CONCAT(""A"",to_text(match(FH46,ecn.list,0)))),0,1),"""")"),"N7 ")</f>
        <v>N7 </v>
      </c>
      <c r="CI46" s="236" t="str">
        <f>IFERROR(__xludf.DUMMYFUNCTION("if(countif(ecn.list,FI46),OFFSET(INDIRECT(CONCAT(""A"",to_text(match(FI46,ecn.list,0)))),0,1),"""")"),"")</f>
        <v/>
      </c>
      <c r="CJ46" s="236" t="str">
        <f>IFERROR(__xludf.DUMMYFUNCTION("if(countif(ecn.list,FJ46),OFFSET(INDIRECT(CONCAT(""A"",to_text(match(FJ46,ecn.list,0)))),0,1),"""")"),"")</f>
        <v/>
      </c>
      <c r="CK46" s="236" t="str">
        <f>IFERROR(__xludf.DUMMYFUNCTION("if(countif(ecn.list,FK46),OFFSET(INDIRECT(CONCAT(""A"",to_text(match(FK46,ecn.list,0)))),0,1),"""")"),"NA ")</f>
        <v>NA </v>
      </c>
      <c r="CL46" s="236" t="str">
        <f>IFERROR(__xludf.DUMMYFUNCTION("if(countif(ecn.list,FL46),OFFSET(INDIRECT(CONCAT(""A"",to_text(match(FL46,ecn.list,0)))),0,1),"""")"),"")</f>
        <v/>
      </c>
      <c r="CM46" s="236" t="str">
        <f>IFERROR(__xludf.DUMMYFUNCTION("if(countif(ecn.list,FM46),OFFSET(INDIRECT(CONCAT(""A"",to_text(match(FM46,ecn.list,0)))),0,1),"""")"),"")</f>
        <v/>
      </c>
      <c r="CN46" s="198" t="s">
        <v>213</v>
      </c>
      <c r="CO46" s="198" t="s">
        <v>1447</v>
      </c>
      <c r="CP46" s="198" t="s">
        <v>1451</v>
      </c>
      <c r="CQ46" s="198" t="s">
        <v>1452</v>
      </c>
      <c r="CR46" s="198" t="s">
        <v>1453</v>
      </c>
      <c r="CS46" s="198" t="s">
        <v>1453</v>
      </c>
      <c r="CT46" s="198" t="s">
        <v>1454</v>
      </c>
      <c r="CU46" s="198" t="s">
        <v>1455</v>
      </c>
      <c r="CV46" s="198" t="s">
        <v>1456</v>
      </c>
      <c r="CW46" s="198" t="s">
        <v>1453</v>
      </c>
      <c r="CX46" s="198" t="s">
        <v>1453</v>
      </c>
      <c r="CY46" s="198" t="s">
        <v>1484</v>
      </c>
      <c r="CZ46" s="198" t="s">
        <v>1453</v>
      </c>
      <c r="DA46" s="198" t="s">
        <v>1457</v>
      </c>
      <c r="DB46" s="198" t="s">
        <v>1453</v>
      </c>
      <c r="DC46" s="198" t="s">
        <v>1453</v>
      </c>
      <c r="DD46" s="198" t="s">
        <v>1458</v>
      </c>
      <c r="DE46" s="198" t="s">
        <v>1459</v>
      </c>
      <c r="DF46" s="198" t="s">
        <v>1453</v>
      </c>
      <c r="DG46" s="198" t="s">
        <v>1453</v>
      </c>
      <c r="DH46" s="198" t="s">
        <v>1500</v>
      </c>
      <c r="DI46" s="198" t="s">
        <v>1501</v>
      </c>
      <c r="DJ46" s="198" t="s">
        <v>1460</v>
      </c>
      <c r="DK46" s="198" t="s">
        <v>1453</v>
      </c>
      <c r="DL46" s="198" t="s">
        <v>1461</v>
      </c>
      <c r="DM46" s="198" t="s">
        <v>1462</v>
      </c>
      <c r="DN46" s="198" t="s">
        <v>1463</v>
      </c>
      <c r="DO46" s="198" t="s">
        <v>1464</v>
      </c>
      <c r="DP46" s="198" t="s">
        <v>1465</v>
      </c>
      <c r="DQ46" s="198" t="s">
        <v>1466</v>
      </c>
      <c r="DR46" s="198" t="s">
        <v>1467</v>
      </c>
      <c r="DS46" s="198" t="s">
        <v>1453</v>
      </c>
      <c r="DT46" s="198" t="s">
        <v>1468</v>
      </c>
      <c r="DU46" s="198" t="s">
        <v>1453</v>
      </c>
      <c r="DV46" s="198" t="s">
        <v>1469</v>
      </c>
      <c r="DW46" s="198" t="s">
        <v>1453</v>
      </c>
      <c r="DX46" s="198" t="s">
        <v>1453</v>
      </c>
      <c r="DY46" s="198" t="s">
        <v>1453</v>
      </c>
      <c r="DZ46" s="198" t="s">
        <v>1453</v>
      </c>
      <c r="EA46" s="198" t="s">
        <v>1453</v>
      </c>
      <c r="EB46" s="198" t="s">
        <v>1453</v>
      </c>
      <c r="EC46" s="198" t="s">
        <v>1483</v>
      </c>
      <c r="ED46" s="198" t="s">
        <v>1453</v>
      </c>
      <c r="EE46" s="198" t="s">
        <v>1470</v>
      </c>
      <c r="EF46" s="198" t="s">
        <v>1453</v>
      </c>
      <c r="EG46" s="198" t="s">
        <v>1471</v>
      </c>
      <c r="EH46" s="198" t="s">
        <v>1453</v>
      </c>
      <c r="EI46" s="198" t="s">
        <v>1453</v>
      </c>
      <c r="EJ46" s="198" t="s">
        <v>1472</v>
      </c>
      <c r="EK46" s="198" t="s">
        <v>1487</v>
      </c>
      <c r="EL46" s="198" t="s">
        <v>1473</v>
      </c>
      <c r="EM46" s="198" t="s">
        <v>1453</v>
      </c>
      <c r="EN46" s="198" t="s">
        <v>1474</v>
      </c>
      <c r="EO46" s="198" t="s">
        <v>1475</v>
      </c>
      <c r="EP46" s="198" t="s">
        <v>1453</v>
      </c>
      <c r="EQ46" s="198" t="s">
        <v>1453</v>
      </c>
      <c r="ER46" s="198" t="s">
        <v>1453</v>
      </c>
      <c r="ES46" s="198" t="s">
        <v>1505</v>
      </c>
      <c r="ET46" s="198" t="s">
        <v>1453</v>
      </c>
      <c r="EU46" s="198" t="s">
        <v>1453</v>
      </c>
      <c r="EV46" s="198" t="s">
        <v>1476</v>
      </c>
      <c r="EW46" s="198" t="s">
        <v>1453</v>
      </c>
      <c r="EX46" s="198" t="s">
        <v>1488</v>
      </c>
      <c r="EY46" s="198" t="s">
        <v>1453</v>
      </c>
      <c r="EZ46" s="198" t="s">
        <v>1477</v>
      </c>
      <c r="FA46" s="198" t="s">
        <v>1453</v>
      </c>
      <c r="FB46" s="198" t="s">
        <v>1453</v>
      </c>
      <c r="FC46" s="198" t="s">
        <v>1478</v>
      </c>
      <c r="FD46" s="198" t="s">
        <v>1453</v>
      </c>
      <c r="FE46" s="198" t="s">
        <v>1453</v>
      </c>
      <c r="FF46" s="198" t="s">
        <v>1453</v>
      </c>
      <c r="FG46" s="198" t="s">
        <v>1453</v>
      </c>
      <c r="FH46" s="198" t="s">
        <v>1479</v>
      </c>
      <c r="FI46" s="198" t="s">
        <v>1453</v>
      </c>
      <c r="FJ46" s="198" t="s">
        <v>1453</v>
      </c>
      <c r="FK46" s="198" t="s">
        <v>1481</v>
      </c>
      <c r="FL46" s="198" t="s">
        <v>1482</v>
      </c>
      <c r="FM46" s="198" t="s">
        <v>1453</v>
      </c>
    </row>
    <row r="47" ht="15.75" customHeight="1">
      <c r="A47" s="236" t="s">
        <v>1471</v>
      </c>
      <c r="B47" s="198" t="str">
        <f t="shared" si="5"/>
        <v>LC </v>
      </c>
      <c r="C47" s="234" t="s">
        <v>1511</v>
      </c>
      <c r="D47" s="232" t="s">
        <v>770</v>
      </c>
      <c r="E47" s="232" t="s">
        <v>1448</v>
      </c>
      <c r="F47" s="232" t="s">
        <v>1449</v>
      </c>
      <c r="G47" s="232" t="s">
        <v>1450</v>
      </c>
      <c r="H47" s="232" t="s">
        <v>876</v>
      </c>
      <c r="I47" s="232" t="s">
        <v>877</v>
      </c>
      <c r="J47" s="232" t="s">
        <v>986</v>
      </c>
      <c r="K47" s="232" t="s">
        <v>1045</v>
      </c>
      <c r="L47" s="188" t="s">
        <v>216</v>
      </c>
      <c r="M47" s="236" t="str">
        <f>IFERROR(__xludf.DUMMYFUNCTION("regexreplace(N47,"" "","", "")"),"J0, J1, J2, J5, J6, J7, JA, JC, JF, K0, K3, K4, K5, K7, K8, K9, KA, KB, KC, KD, KF, L1, L8, LA, LC, LF, M0, M1, M3, M4, M8, MB, MC, MD, MF, N2, N7, NA, ")</f>
        <v>J0, J1, J2, J5, J6, J7, JA, JC, JF, K0, K3, K4, K5, K7, K8, K9, KA, KB, KC, KD, KF, L1, L8, LA, LC, LF, M0, M1, M3, M4, M8, MB, MC, MD, MF, N2, N7, NA, </v>
      </c>
      <c r="N47" s="236" t="str">
        <f t="shared" si="2"/>
        <v>J0 J1 J2 J5 J6 J7 JA JC JF K0 K3 K4 K5 K7 K8 K9 KA KB KC KD KF L1 L8 LA LC LF M0 M1 M3 M4 M8 MB MC MD MF N2 N7 NA </v>
      </c>
      <c r="O47" s="236" t="str">
        <f>IFERROR(__xludf.DUMMYFUNCTION("if(countif(ecn.list,CO47),OFFSET(INDIRECT(CONCAT(""A"",to_text(match(CO47,ecn.list,0)))),0,1),"""")"),"J0 ")</f>
        <v>J0 </v>
      </c>
      <c r="P47" s="236" t="str">
        <f>IFERROR(__xludf.DUMMYFUNCTION("if(countif(ecn.list,CP47),OFFSET(INDIRECT(CONCAT(""A"",to_text(match(CP47,ecn.list,0)))),0,1),"""")"),"J1 ")</f>
        <v>J1 </v>
      </c>
      <c r="Q47" s="236" t="str">
        <f>IFERROR(__xludf.DUMMYFUNCTION("if(countif(ecn.list,CQ47),OFFSET(INDIRECT(CONCAT(""A"",to_text(match(CQ47,ecn.list,0)))),0,1),"""")"),"J2 ")</f>
        <v>J2 </v>
      </c>
      <c r="R47" s="236" t="str">
        <f>IFERROR(__xludf.DUMMYFUNCTION("if(countif(ecn.list,CR47),OFFSET(INDIRECT(CONCAT(""A"",to_text(match(CR47,ecn.list,0)))),0,1),"""")"),"")</f>
        <v/>
      </c>
      <c r="S47" s="236" t="str">
        <f>IFERROR(__xludf.DUMMYFUNCTION("if(countif(ecn.list,CS47),OFFSET(INDIRECT(CONCAT(""A"",to_text(match(CS47,ecn.list,0)))),0,1),"""")"),"")</f>
        <v/>
      </c>
      <c r="T47" s="236" t="str">
        <f>IFERROR(__xludf.DUMMYFUNCTION("if(countif(ecn.list,CT47),OFFSET(INDIRECT(CONCAT(""A"",to_text(match(CT47,ecn.list,0)))),0,1),"""")"),"J5 ")</f>
        <v>J5 </v>
      </c>
      <c r="U47" s="236" t="str">
        <f>IFERROR(__xludf.DUMMYFUNCTION("if(countif(ecn.list,CU47),OFFSET(INDIRECT(CONCAT(""A"",to_text(match(CU47,ecn.list,0)))),0,1),"""")"),"J6 ")</f>
        <v>J6 </v>
      </c>
      <c r="V47" s="236" t="str">
        <f>IFERROR(__xludf.DUMMYFUNCTION("if(countif(ecn.list,CV47),OFFSET(INDIRECT(CONCAT(""A"",to_text(match(CV47,ecn.list,0)))),0,1),"""")"),"J7 ")</f>
        <v>J7 </v>
      </c>
      <c r="W47" s="236" t="str">
        <f>IFERROR(__xludf.DUMMYFUNCTION("if(countif(ecn.list,CW47),OFFSET(INDIRECT(CONCAT(""A"",to_text(match(CW47,ecn.list,0)))),0,1),"""")"),"")</f>
        <v/>
      </c>
      <c r="X47" s="236" t="str">
        <f>IFERROR(__xludf.DUMMYFUNCTION("if(countif(ecn.list,CX47),OFFSET(INDIRECT(CONCAT(""A"",to_text(match(CX47,ecn.list,0)))),0,1),"""")"),"")</f>
        <v/>
      </c>
      <c r="Y47" s="236" t="str">
        <f>IFERROR(__xludf.DUMMYFUNCTION("if(countif(ecn.list,CY47),OFFSET(INDIRECT(CONCAT(""A"",to_text(match(CY47,ecn.list,0)))),0,1),"""")"),"JA ")</f>
        <v>JA </v>
      </c>
      <c r="Z47" s="236" t="str">
        <f>IFERROR(__xludf.DUMMYFUNCTION("if(countif(ecn.list,CZ47),OFFSET(INDIRECT(CONCAT(""A"",to_text(match(CZ47,ecn.list,0)))),0,1),"""")"),"")</f>
        <v/>
      </c>
      <c r="AA47" s="236" t="str">
        <f>IFERROR(__xludf.DUMMYFUNCTION("if(countif(ecn.list,DA47),OFFSET(INDIRECT(CONCAT(""A"",to_text(match(DA47,ecn.list,0)))),0,1),"""")"),"JC ")</f>
        <v>JC </v>
      </c>
      <c r="AB47" s="236" t="str">
        <f>IFERROR(__xludf.DUMMYFUNCTION("if(countif(ecn.list,DB47),OFFSET(INDIRECT(CONCAT(""A"",to_text(match(DB47,ecn.list,0)))),0,1),"""")"),"")</f>
        <v/>
      </c>
      <c r="AC47" s="236" t="str">
        <f>IFERROR(__xludf.DUMMYFUNCTION("if(countif(ecn.list,DC47),OFFSET(INDIRECT(CONCAT(""A"",to_text(match(DC47,ecn.list,0)))),0,1),"""")"),"")</f>
        <v/>
      </c>
      <c r="AD47" s="236" t="str">
        <f>IFERROR(__xludf.DUMMYFUNCTION("if(countif(ecn.list,DD47),OFFSET(INDIRECT(CONCAT(""A"",to_text(match(DD47,ecn.list,0)))),0,1),"""")"),"JF ")</f>
        <v>JF </v>
      </c>
      <c r="AE47" s="236" t="str">
        <f>IFERROR(__xludf.DUMMYFUNCTION("if(countif(ecn.list,DE47),OFFSET(INDIRECT(CONCAT(""A"",to_text(match(DE47,ecn.list,0)))),0,1),"""")"),"K0 ")</f>
        <v>K0 </v>
      </c>
      <c r="AF47" s="236" t="str">
        <f>IFERROR(__xludf.DUMMYFUNCTION("if(countif(ecn.list,DF47),OFFSET(INDIRECT(CONCAT(""A"",to_text(match(DF47,ecn.list,0)))),0,1),"""")"),"")</f>
        <v/>
      </c>
      <c r="AG47" s="236" t="str">
        <f>IFERROR(__xludf.DUMMYFUNCTION("if(countif(ecn.list,DG47),OFFSET(INDIRECT(CONCAT(""A"",to_text(match(DG47,ecn.list,0)))),0,1),"""")"),"")</f>
        <v/>
      </c>
      <c r="AH47" s="236" t="str">
        <f>IFERROR(__xludf.DUMMYFUNCTION("if(countif(ecn.list,DH47),OFFSET(INDIRECT(CONCAT(""A"",to_text(match(DH47,ecn.list,0)))),0,1),"""")"),"K3 ")</f>
        <v>K3 </v>
      </c>
      <c r="AI47" s="236" t="str">
        <f>IFERROR(__xludf.DUMMYFUNCTION("if(countif(ecn.list,DI47),OFFSET(INDIRECT(CONCAT(""A"",to_text(match(DI47,ecn.list,0)))),0,1),"""")"),"K4 ")</f>
        <v>K4 </v>
      </c>
      <c r="AJ47" s="236" t="str">
        <f>IFERROR(__xludf.DUMMYFUNCTION("if(countif(ecn.list,DJ47),OFFSET(INDIRECT(CONCAT(""A"",to_text(match(DJ47,ecn.list,0)))),0,1),"""")"),"K5 ")</f>
        <v>K5 </v>
      </c>
      <c r="AK47" s="236" t="str">
        <f>IFERROR(__xludf.DUMMYFUNCTION("if(countif(ecn.list,DK47),OFFSET(INDIRECT(CONCAT(""A"",to_text(match(DK47,ecn.list,0)))),0,1),"""")"),"")</f>
        <v/>
      </c>
      <c r="AL47" s="236" t="str">
        <f>IFERROR(__xludf.DUMMYFUNCTION("if(countif(ecn.list,DL47),OFFSET(INDIRECT(CONCAT(""A"",to_text(match(DL47,ecn.list,0)))),0,1),"""")"),"K7 ")</f>
        <v>K7 </v>
      </c>
      <c r="AM47" s="236" t="str">
        <f>IFERROR(__xludf.DUMMYFUNCTION("if(countif(ecn.list,DM47),OFFSET(INDIRECT(CONCAT(""A"",to_text(match(DM47,ecn.list,0)))),0,1),"""")"),"K8 ")</f>
        <v>K8 </v>
      </c>
      <c r="AN47" s="236" t="str">
        <f>IFERROR(__xludf.DUMMYFUNCTION("if(countif(ecn.list,DN47),OFFSET(INDIRECT(CONCAT(""A"",to_text(match(DN47,ecn.list,0)))),0,1),"""")"),"K9 ")</f>
        <v>K9 </v>
      </c>
      <c r="AO47" s="236" t="str">
        <f>IFERROR(__xludf.DUMMYFUNCTION("if(countif(ecn.list,DO47),OFFSET(INDIRECT(CONCAT(""A"",to_text(match(DO47,ecn.list,0)))),0,1),"""")"),"KA ")</f>
        <v>KA </v>
      </c>
      <c r="AP47" s="236" t="str">
        <f>IFERROR(__xludf.DUMMYFUNCTION("if(countif(ecn.list,DP47),OFFSET(INDIRECT(CONCAT(""A"",to_text(match(DP47,ecn.list,0)))),0,1),"""")"),"KB ")</f>
        <v>KB </v>
      </c>
      <c r="AQ47" s="236" t="str">
        <f>IFERROR(__xludf.DUMMYFUNCTION("if(countif(ecn.list,DQ47),OFFSET(INDIRECT(CONCAT(""A"",to_text(match(DQ47,ecn.list,0)))),0,1),"""")"),"KC ")</f>
        <v>KC </v>
      </c>
      <c r="AR47" s="236" t="str">
        <f>IFERROR(__xludf.DUMMYFUNCTION("if(countif(ecn.list,DR47),OFFSET(INDIRECT(CONCAT(""A"",to_text(match(DR47,ecn.list,0)))),0,1),"""")"),"KD ")</f>
        <v>KD </v>
      </c>
      <c r="AS47" s="236" t="str">
        <f>IFERROR(__xludf.DUMMYFUNCTION("if(countif(ecn.list,DS47),OFFSET(INDIRECT(CONCAT(""A"",to_text(match(DS47,ecn.list,0)))),0,1),"""")"),"")</f>
        <v/>
      </c>
      <c r="AT47" s="236" t="str">
        <f>IFERROR(__xludf.DUMMYFUNCTION("if(countif(ecn.list,DT47),OFFSET(INDIRECT(CONCAT(""A"",to_text(match(DT47,ecn.list,0)))),0,1),"""")"),"KF ")</f>
        <v>KF </v>
      </c>
      <c r="AU47" s="236" t="str">
        <f>IFERROR(__xludf.DUMMYFUNCTION("if(countif(ecn.list,DU47),OFFSET(INDIRECT(CONCAT(""A"",to_text(match(DU47,ecn.list,0)))),0,1),"""")"),"")</f>
        <v/>
      </c>
      <c r="AV47" s="236" t="str">
        <f>IFERROR(__xludf.DUMMYFUNCTION("if(countif(ecn.list,DV47),OFFSET(INDIRECT(CONCAT(""A"",to_text(match(DV47,ecn.list,0)))),0,1),"""")"),"L1 ")</f>
        <v>L1 </v>
      </c>
      <c r="AW47" s="236" t="str">
        <f>IFERROR(__xludf.DUMMYFUNCTION("if(countif(ecn.list,DW47),OFFSET(INDIRECT(CONCAT(""A"",to_text(match(DW47,ecn.list,0)))),0,1),"""")"),"")</f>
        <v/>
      </c>
      <c r="AX47" s="236" t="str">
        <f>IFERROR(__xludf.DUMMYFUNCTION("if(countif(ecn.list,DX47),OFFSET(INDIRECT(CONCAT(""A"",to_text(match(DX47,ecn.list,0)))),0,1),"""")"),"")</f>
        <v/>
      </c>
      <c r="AY47" s="236" t="str">
        <f>IFERROR(__xludf.DUMMYFUNCTION("if(countif(ecn.list,DY47),OFFSET(INDIRECT(CONCAT(""A"",to_text(match(DY47,ecn.list,0)))),0,1),"""")"),"")</f>
        <v/>
      </c>
      <c r="AZ47" s="236" t="str">
        <f>IFERROR(__xludf.DUMMYFUNCTION("if(countif(ecn.list,DZ47),OFFSET(INDIRECT(CONCAT(""A"",to_text(match(DZ47,ecn.list,0)))),0,1),"""")"),"")</f>
        <v/>
      </c>
      <c r="BA47" s="236" t="str">
        <f>IFERROR(__xludf.DUMMYFUNCTION("if(countif(ecn.list,EA47),OFFSET(INDIRECT(CONCAT(""A"",to_text(match(EA47,ecn.list,0)))),0,1),"""")"),"")</f>
        <v/>
      </c>
      <c r="BB47" s="236" t="str">
        <f>IFERROR(__xludf.DUMMYFUNCTION("if(countif(ecn.list,EB47),OFFSET(INDIRECT(CONCAT(""A"",to_text(match(EB47,ecn.list,0)))),0,1),"""")"),"")</f>
        <v/>
      </c>
      <c r="BC47" s="236" t="str">
        <f>IFERROR(__xludf.DUMMYFUNCTION("if(countif(ecn.list,EC47),OFFSET(INDIRECT(CONCAT(""A"",to_text(match(EC47,ecn.list,0)))),0,1),"""")"),"L8 ")</f>
        <v>L8 </v>
      </c>
      <c r="BD47" s="236" t="str">
        <f>IFERROR(__xludf.DUMMYFUNCTION("if(countif(ecn.list,ED47),OFFSET(INDIRECT(CONCAT(""A"",to_text(match(ED47,ecn.list,0)))),0,1),"""")"),"")</f>
        <v/>
      </c>
      <c r="BE47" s="236" t="str">
        <f>IFERROR(__xludf.DUMMYFUNCTION("if(countif(ecn.list,EE47),OFFSET(INDIRECT(CONCAT(""A"",to_text(match(EE47,ecn.list,0)))),0,1),"""")"),"LA ")</f>
        <v>LA </v>
      </c>
      <c r="BF47" s="236" t="str">
        <f>IFERROR(__xludf.DUMMYFUNCTION("if(countif(ecn.list,EF47),OFFSET(INDIRECT(CONCAT(""A"",to_text(match(EF47,ecn.list,0)))),0,1),"""")"),"")</f>
        <v/>
      </c>
      <c r="BG47" s="236" t="str">
        <f>IFERROR(__xludf.DUMMYFUNCTION("if(countif(ecn.list,EG47),OFFSET(INDIRECT(CONCAT(""A"",to_text(match(EG47,ecn.list,0)))),0,1),"""")"),"LC ")</f>
        <v>LC </v>
      </c>
      <c r="BH47" s="236" t="str">
        <f>IFERROR(__xludf.DUMMYFUNCTION("if(countif(ecn.list,EH47),OFFSET(INDIRECT(CONCAT(""A"",to_text(match(EH47,ecn.list,0)))),0,1),"""")"),"")</f>
        <v/>
      </c>
      <c r="BI47" s="236" t="str">
        <f>IFERROR(__xludf.DUMMYFUNCTION("if(countif(ecn.list,EI47),OFFSET(INDIRECT(CONCAT(""A"",to_text(match(EI47,ecn.list,0)))),0,1),"""")"),"")</f>
        <v/>
      </c>
      <c r="BJ47" s="236" t="str">
        <f>IFERROR(__xludf.DUMMYFUNCTION("if(countif(ecn.list,EJ47),OFFSET(INDIRECT(CONCAT(""A"",to_text(match(EJ47,ecn.list,0)))),0,1),"""")"),"LF ")</f>
        <v>LF </v>
      </c>
      <c r="BK47" s="236" t="str">
        <f>IFERROR(__xludf.DUMMYFUNCTION("if(countif(ecn.list,EK47),OFFSET(INDIRECT(CONCAT(""A"",to_text(match(EK47,ecn.list,0)))),0,1),"""")"),"M0 ")</f>
        <v>M0 </v>
      </c>
      <c r="BL47" s="236" t="str">
        <f>IFERROR(__xludf.DUMMYFUNCTION("if(countif(ecn.list,EL47),OFFSET(INDIRECT(CONCAT(""A"",to_text(match(EL47,ecn.list,0)))),0,1),"""")"),"M1 ")</f>
        <v>M1 </v>
      </c>
      <c r="BM47" s="236" t="str">
        <f>IFERROR(__xludf.DUMMYFUNCTION("if(countif(ecn.list,EM47),OFFSET(INDIRECT(CONCAT(""A"",to_text(match(EM47,ecn.list,0)))),0,1),"""")"),"")</f>
        <v/>
      </c>
      <c r="BN47" s="236" t="str">
        <f>IFERROR(__xludf.DUMMYFUNCTION("if(countif(ecn.list,EN47),OFFSET(INDIRECT(CONCAT(""A"",to_text(match(EN47,ecn.list,0)))),0,1),"""")"),"M3 ")</f>
        <v>M3 </v>
      </c>
      <c r="BO47" s="236" t="str">
        <f>IFERROR(__xludf.DUMMYFUNCTION("if(countif(ecn.list,EO47),OFFSET(INDIRECT(CONCAT(""A"",to_text(match(EO47,ecn.list,0)))),0,1),"""")"),"M4 ")</f>
        <v>M4 </v>
      </c>
      <c r="BP47" s="236" t="str">
        <f>IFERROR(__xludf.DUMMYFUNCTION("if(countif(ecn.list,EP47),OFFSET(INDIRECT(CONCAT(""A"",to_text(match(EP47,ecn.list,0)))),0,1),"""")"),"")</f>
        <v/>
      </c>
      <c r="BQ47" s="236" t="str">
        <f>IFERROR(__xludf.DUMMYFUNCTION("if(countif(ecn.list,EQ47),OFFSET(INDIRECT(CONCAT(""A"",to_text(match(EQ47,ecn.list,0)))),0,1),"""")"),"")</f>
        <v/>
      </c>
      <c r="BR47" s="236" t="str">
        <f>IFERROR(__xludf.DUMMYFUNCTION("if(countif(ecn.list,ER47),OFFSET(INDIRECT(CONCAT(""A"",to_text(match(ER47,ecn.list,0)))),0,1),"""")"),"")</f>
        <v/>
      </c>
      <c r="BS47" s="236" t="str">
        <f>IFERROR(__xludf.DUMMYFUNCTION("if(countif(ecn.list,ES47),OFFSET(INDIRECT(CONCAT(""A"",to_text(match(ES47,ecn.list,0)))),0,1),"""")"),"M8 ")</f>
        <v>M8 </v>
      </c>
      <c r="BT47" s="236" t="str">
        <f>IFERROR(__xludf.DUMMYFUNCTION("if(countif(ecn.list,ET47),OFFSET(INDIRECT(CONCAT(""A"",to_text(match(ET47,ecn.list,0)))),0,1),"""")"),"")</f>
        <v/>
      </c>
      <c r="BU47" s="236" t="str">
        <f>IFERROR(__xludf.DUMMYFUNCTION("if(countif(ecn.list,EU47),OFFSET(INDIRECT(CONCAT(""A"",to_text(match(EU47,ecn.list,0)))),0,1),"""")"),"")</f>
        <v/>
      </c>
      <c r="BV47" s="236" t="str">
        <f>IFERROR(__xludf.DUMMYFUNCTION("if(countif(ecn.list,EV47),OFFSET(INDIRECT(CONCAT(""A"",to_text(match(EV47,ecn.list,0)))),0,1),"""")"),"MB ")</f>
        <v>MB </v>
      </c>
      <c r="BW47" s="236" t="str">
        <f>IFERROR(__xludf.DUMMYFUNCTION("if(countif(ecn.list,EW47),OFFSET(INDIRECT(CONCAT(""A"",to_text(match(EW47,ecn.list,0)))),0,1),"""")"),"MC ")</f>
        <v>MC </v>
      </c>
      <c r="BX47" s="236" t="str">
        <f>IFERROR(__xludf.DUMMYFUNCTION("if(countif(ecn.list,EX47),OFFSET(INDIRECT(CONCAT(""A"",to_text(match(EX47,ecn.list,0)))),0,1),"""")"),"MD ")</f>
        <v>MD </v>
      </c>
      <c r="BY47" s="236" t="str">
        <f>IFERROR(__xludf.DUMMYFUNCTION("if(countif(ecn.list,EY47),OFFSET(INDIRECT(CONCAT(""A"",to_text(match(EY47,ecn.list,0)))),0,1),"""")"),"")</f>
        <v/>
      </c>
      <c r="BZ47" s="236" t="str">
        <f>IFERROR(__xludf.DUMMYFUNCTION("if(countif(ecn.list,EZ47),OFFSET(INDIRECT(CONCAT(""A"",to_text(match(EZ47,ecn.list,0)))),0,1),"""")"),"MF ")</f>
        <v>MF </v>
      </c>
      <c r="CA47" s="236" t="str">
        <f>IFERROR(__xludf.DUMMYFUNCTION("if(countif(ecn.list,FA47),OFFSET(INDIRECT(CONCAT(""A"",to_text(match(FA47,ecn.list,0)))),0,1),"""")"),"")</f>
        <v/>
      </c>
      <c r="CB47" s="236" t="str">
        <f>IFERROR(__xludf.DUMMYFUNCTION("if(countif(ecn.list,FB47),OFFSET(INDIRECT(CONCAT(""A"",to_text(match(FB47,ecn.list,0)))),0,1),"""")"),"")</f>
        <v/>
      </c>
      <c r="CC47" s="236" t="str">
        <f>IFERROR(__xludf.DUMMYFUNCTION("if(countif(ecn.list,FC47),OFFSET(INDIRECT(CONCAT(""A"",to_text(match(FC47,ecn.list,0)))),0,1),"""")"),"N2 ")</f>
        <v>N2 </v>
      </c>
      <c r="CD47" s="236" t="str">
        <f>IFERROR(__xludf.DUMMYFUNCTION("if(countif(ecn.list,FD47),OFFSET(INDIRECT(CONCAT(""A"",to_text(match(FD47,ecn.list,0)))),0,1),"""")"),"")</f>
        <v/>
      </c>
      <c r="CE47" s="236" t="str">
        <f>IFERROR(__xludf.DUMMYFUNCTION("if(countif(ecn.list,FE47),OFFSET(INDIRECT(CONCAT(""A"",to_text(match(FE47,ecn.list,0)))),0,1),"""")"),"")</f>
        <v/>
      </c>
      <c r="CF47" s="236" t="str">
        <f>IFERROR(__xludf.DUMMYFUNCTION("if(countif(ecn.list,FF47),OFFSET(INDIRECT(CONCAT(""A"",to_text(match(FF47,ecn.list,0)))),0,1),"""")"),"")</f>
        <v/>
      </c>
      <c r="CG47" s="236" t="str">
        <f>IFERROR(__xludf.DUMMYFUNCTION("if(countif(ecn.list,FG47),OFFSET(INDIRECT(CONCAT(""A"",to_text(match(FG47,ecn.list,0)))),0,1),"""")"),"")</f>
        <v/>
      </c>
      <c r="CH47" s="236" t="str">
        <f>IFERROR(__xludf.DUMMYFUNCTION("if(countif(ecn.list,FH47),OFFSET(INDIRECT(CONCAT(""A"",to_text(match(FH47,ecn.list,0)))),0,1),"""")"),"N7 ")</f>
        <v>N7 </v>
      </c>
      <c r="CI47" s="236" t="str">
        <f>IFERROR(__xludf.DUMMYFUNCTION("if(countif(ecn.list,FI47),OFFSET(INDIRECT(CONCAT(""A"",to_text(match(FI47,ecn.list,0)))),0,1),"""")"),"")</f>
        <v/>
      </c>
      <c r="CJ47" s="236" t="str">
        <f>IFERROR(__xludf.DUMMYFUNCTION("if(countif(ecn.list,FJ47),OFFSET(INDIRECT(CONCAT(""A"",to_text(match(FJ47,ecn.list,0)))),0,1),"""")"),"")</f>
        <v/>
      </c>
      <c r="CK47" s="236" t="str">
        <f>IFERROR(__xludf.DUMMYFUNCTION("if(countif(ecn.list,FK47),OFFSET(INDIRECT(CONCAT(""A"",to_text(match(FK47,ecn.list,0)))),0,1),"""")"),"NA ")</f>
        <v>NA </v>
      </c>
      <c r="CL47" s="236" t="str">
        <f>IFERROR(__xludf.DUMMYFUNCTION("if(countif(ecn.list,FL47),OFFSET(INDIRECT(CONCAT(""A"",to_text(match(FL47,ecn.list,0)))),0,1),"""")"),"")</f>
        <v/>
      </c>
      <c r="CM47" s="236" t="str">
        <f>IFERROR(__xludf.DUMMYFUNCTION("if(countif(ecn.list,FM47),OFFSET(INDIRECT(CONCAT(""A"",to_text(match(FM47,ecn.list,0)))),0,1),"""")"),"")</f>
        <v/>
      </c>
      <c r="CN47" s="198" t="s">
        <v>216</v>
      </c>
      <c r="CO47" s="198" t="s">
        <v>1447</v>
      </c>
      <c r="CP47" s="198" t="s">
        <v>1451</v>
      </c>
      <c r="CQ47" s="198" t="s">
        <v>1452</v>
      </c>
      <c r="CR47" s="198" t="s">
        <v>1453</v>
      </c>
      <c r="CS47" s="198" t="s">
        <v>1453</v>
      </c>
      <c r="CT47" s="198" t="s">
        <v>1454</v>
      </c>
      <c r="CU47" s="198" t="s">
        <v>1455</v>
      </c>
      <c r="CV47" s="198" t="s">
        <v>1456</v>
      </c>
      <c r="CW47" s="198" t="s">
        <v>1453</v>
      </c>
      <c r="CX47" s="198" t="s">
        <v>1453</v>
      </c>
      <c r="CY47" s="198" t="s">
        <v>1484</v>
      </c>
      <c r="CZ47" s="198" t="s">
        <v>1453</v>
      </c>
      <c r="DA47" s="198" t="s">
        <v>1457</v>
      </c>
      <c r="DB47" s="198" t="s">
        <v>1453</v>
      </c>
      <c r="DC47" s="198" t="s">
        <v>1453</v>
      </c>
      <c r="DD47" s="198" t="s">
        <v>1458</v>
      </c>
      <c r="DE47" s="198" t="s">
        <v>1459</v>
      </c>
      <c r="DF47" s="198" t="s">
        <v>1453</v>
      </c>
      <c r="DG47" s="198" t="s">
        <v>1453</v>
      </c>
      <c r="DH47" s="198" t="s">
        <v>1500</v>
      </c>
      <c r="DI47" s="198" t="s">
        <v>1501</v>
      </c>
      <c r="DJ47" s="198" t="s">
        <v>1460</v>
      </c>
      <c r="DK47" s="198" t="s">
        <v>1453</v>
      </c>
      <c r="DL47" s="198" t="s">
        <v>1461</v>
      </c>
      <c r="DM47" s="198" t="s">
        <v>1462</v>
      </c>
      <c r="DN47" s="198" t="s">
        <v>1463</v>
      </c>
      <c r="DO47" s="198" t="s">
        <v>1464</v>
      </c>
      <c r="DP47" s="198" t="s">
        <v>1465</v>
      </c>
      <c r="DQ47" s="198" t="s">
        <v>1466</v>
      </c>
      <c r="DR47" s="198" t="s">
        <v>1467</v>
      </c>
      <c r="DS47" s="198" t="s">
        <v>1453</v>
      </c>
      <c r="DT47" s="198" t="s">
        <v>1468</v>
      </c>
      <c r="DU47" s="198" t="s">
        <v>1453</v>
      </c>
      <c r="DV47" s="198" t="s">
        <v>1469</v>
      </c>
      <c r="DW47" s="198" t="s">
        <v>1453</v>
      </c>
      <c r="DX47" s="198" t="s">
        <v>1453</v>
      </c>
      <c r="DY47" s="198" t="s">
        <v>1453</v>
      </c>
      <c r="DZ47" s="198" t="s">
        <v>1453</v>
      </c>
      <c r="EA47" s="198" t="s">
        <v>1453</v>
      </c>
      <c r="EB47" s="198" t="s">
        <v>1453</v>
      </c>
      <c r="EC47" s="198" t="s">
        <v>1483</v>
      </c>
      <c r="ED47" s="198" t="s">
        <v>1453</v>
      </c>
      <c r="EE47" s="198" t="s">
        <v>1470</v>
      </c>
      <c r="EF47" s="198" t="s">
        <v>1453</v>
      </c>
      <c r="EG47" s="198" t="s">
        <v>1471</v>
      </c>
      <c r="EH47" s="198" t="s">
        <v>1453</v>
      </c>
      <c r="EI47" s="198" t="s">
        <v>1453</v>
      </c>
      <c r="EJ47" s="198" t="s">
        <v>1472</v>
      </c>
      <c r="EK47" s="198" t="s">
        <v>1487</v>
      </c>
      <c r="EL47" s="198" t="s">
        <v>1473</v>
      </c>
      <c r="EM47" s="198" t="s">
        <v>1453</v>
      </c>
      <c r="EN47" s="198" t="s">
        <v>1474</v>
      </c>
      <c r="EO47" s="198" t="s">
        <v>1475</v>
      </c>
      <c r="EP47" s="198" t="s">
        <v>1453</v>
      </c>
      <c r="EQ47" s="198" t="s">
        <v>1453</v>
      </c>
      <c r="ER47" s="198" t="s">
        <v>1453</v>
      </c>
      <c r="ES47" s="198" t="s">
        <v>1505</v>
      </c>
      <c r="ET47" s="198" t="s">
        <v>1453</v>
      </c>
      <c r="EU47" s="198" t="s">
        <v>1453</v>
      </c>
      <c r="EV47" s="198" t="s">
        <v>1476</v>
      </c>
      <c r="EW47" s="198" t="s">
        <v>1495</v>
      </c>
      <c r="EX47" s="198" t="s">
        <v>1488</v>
      </c>
      <c r="EY47" s="198" t="s">
        <v>1453</v>
      </c>
      <c r="EZ47" s="198" t="s">
        <v>1477</v>
      </c>
      <c r="FA47" s="198" t="s">
        <v>1453</v>
      </c>
      <c r="FB47" s="198" t="s">
        <v>1453</v>
      </c>
      <c r="FC47" s="198" t="s">
        <v>1478</v>
      </c>
      <c r="FD47" s="198" t="s">
        <v>1453</v>
      </c>
      <c r="FE47" s="198" t="s">
        <v>1453</v>
      </c>
      <c r="FF47" s="198" t="s">
        <v>1453</v>
      </c>
      <c r="FG47" s="198" t="s">
        <v>1453</v>
      </c>
      <c r="FH47" s="198" t="s">
        <v>1479</v>
      </c>
      <c r="FI47" s="198" t="s">
        <v>1453</v>
      </c>
      <c r="FJ47" s="198" t="s">
        <v>1453</v>
      </c>
      <c r="FK47" s="198" t="s">
        <v>1481</v>
      </c>
      <c r="FL47" s="198" t="s">
        <v>1482</v>
      </c>
      <c r="FM47" s="198" t="s">
        <v>1453</v>
      </c>
    </row>
    <row r="48" ht="15.75" customHeight="1">
      <c r="A48" s="198" t="s">
        <v>1492</v>
      </c>
      <c r="B48" s="198" t="str">
        <f t="shared" si="5"/>
        <v>LD </v>
      </c>
      <c r="C48" s="234" t="s">
        <v>1512</v>
      </c>
      <c r="D48" s="232" t="s">
        <v>770</v>
      </c>
      <c r="E48" s="232" t="s">
        <v>1448</v>
      </c>
      <c r="F48" s="232" t="s">
        <v>1449</v>
      </c>
      <c r="G48" s="232" t="s">
        <v>1450</v>
      </c>
      <c r="H48" s="232" t="s">
        <v>876</v>
      </c>
      <c r="I48" s="232" t="s">
        <v>877</v>
      </c>
      <c r="J48" s="232" t="s">
        <v>986</v>
      </c>
      <c r="K48" s="232" t="s">
        <v>1045</v>
      </c>
      <c r="L48" s="188" t="s">
        <v>219</v>
      </c>
      <c r="M48" s="236" t="str">
        <f>IFERROR(__xludf.DUMMYFUNCTION("regexreplace(N48,"" "","", "")"),"J0, J1, J2, J5, J6, J7, JA, JC, JF, K0, K3, K4, K5, K7, K8, K9, KA, KB, KC, KD, KF, L1, L8, LA, LC, LF, M0, M1, M3, M4, M8, MB, MF, N2, N7, NA, ")</f>
        <v>J0, J1, J2, J5, J6, J7, JA, JC, JF, K0, K3, K4, K5, K7, K8, K9, KA, KB, KC, KD, KF, L1, L8, LA, LC, LF, M0, M1, M3, M4, M8, MB, MF, N2, N7, NA, </v>
      </c>
      <c r="N48" s="236" t="str">
        <f t="shared" si="2"/>
        <v>J0 J1 J2 J5 J6 J7 JA JC JF K0 K3 K4 K5 K7 K8 K9 KA KB KC KD KF L1 L8 LA LC LF M0 M1 M3 M4 M8 MB MF N2 N7 NA </v>
      </c>
      <c r="O48" s="236" t="str">
        <f>IFERROR(__xludf.DUMMYFUNCTION("if(countif(ecn.list,CO48),OFFSET(INDIRECT(CONCAT(""A"",to_text(match(CO48,ecn.list,0)))),0,1),"""")"),"J0 ")</f>
        <v>J0 </v>
      </c>
      <c r="P48" s="236" t="str">
        <f>IFERROR(__xludf.DUMMYFUNCTION("if(countif(ecn.list,CP48),OFFSET(INDIRECT(CONCAT(""A"",to_text(match(CP48,ecn.list,0)))),0,1),"""")"),"J1 ")</f>
        <v>J1 </v>
      </c>
      <c r="Q48" s="236" t="str">
        <f>IFERROR(__xludf.DUMMYFUNCTION("if(countif(ecn.list,CQ48),OFFSET(INDIRECT(CONCAT(""A"",to_text(match(CQ48,ecn.list,0)))),0,1),"""")"),"J2 ")</f>
        <v>J2 </v>
      </c>
      <c r="R48" s="236" t="str">
        <f>IFERROR(__xludf.DUMMYFUNCTION("if(countif(ecn.list,CR48),OFFSET(INDIRECT(CONCAT(""A"",to_text(match(CR48,ecn.list,0)))),0,1),"""")"),"")</f>
        <v/>
      </c>
      <c r="S48" s="236" t="str">
        <f>IFERROR(__xludf.DUMMYFUNCTION("if(countif(ecn.list,CS48),OFFSET(INDIRECT(CONCAT(""A"",to_text(match(CS48,ecn.list,0)))),0,1),"""")"),"")</f>
        <v/>
      </c>
      <c r="T48" s="236" t="str">
        <f>IFERROR(__xludf.DUMMYFUNCTION("if(countif(ecn.list,CT48),OFFSET(INDIRECT(CONCAT(""A"",to_text(match(CT48,ecn.list,0)))),0,1),"""")"),"J5 ")</f>
        <v>J5 </v>
      </c>
      <c r="U48" s="236" t="str">
        <f>IFERROR(__xludf.DUMMYFUNCTION("if(countif(ecn.list,CU48),OFFSET(INDIRECT(CONCAT(""A"",to_text(match(CU48,ecn.list,0)))),0,1),"""")"),"J6 ")</f>
        <v>J6 </v>
      </c>
      <c r="V48" s="236" t="str">
        <f>IFERROR(__xludf.DUMMYFUNCTION("if(countif(ecn.list,CV48),OFFSET(INDIRECT(CONCAT(""A"",to_text(match(CV48,ecn.list,0)))),0,1),"""")"),"J7 ")</f>
        <v>J7 </v>
      </c>
      <c r="W48" s="236" t="str">
        <f>IFERROR(__xludf.DUMMYFUNCTION("if(countif(ecn.list,CW48),OFFSET(INDIRECT(CONCAT(""A"",to_text(match(CW48,ecn.list,0)))),0,1),"""")"),"")</f>
        <v/>
      </c>
      <c r="X48" s="236" t="str">
        <f>IFERROR(__xludf.DUMMYFUNCTION("if(countif(ecn.list,CX48),OFFSET(INDIRECT(CONCAT(""A"",to_text(match(CX48,ecn.list,0)))),0,1),"""")"),"")</f>
        <v/>
      </c>
      <c r="Y48" s="236" t="str">
        <f>IFERROR(__xludf.DUMMYFUNCTION("if(countif(ecn.list,CY48),OFFSET(INDIRECT(CONCAT(""A"",to_text(match(CY48,ecn.list,0)))),0,1),"""")"),"JA ")</f>
        <v>JA </v>
      </c>
      <c r="Z48" s="236" t="str">
        <f>IFERROR(__xludf.DUMMYFUNCTION("if(countif(ecn.list,CZ48),OFFSET(INDIRECT(CONCAT(""A"",to_text(match(CZ48,ecn.list,0)))),0,1),"""")"),"")</f>
        <v/>
      </c>
      <c r="AA48" s="236" t="str">
        <f>IFERROR(__xludf.DUMMYFUNCTION("if(countif(ecn.list,DA48),OFFSET(INDIRECT(CONCAT(""A"",to_text(match(DA48,ecn.list,0)))),0,1),"""")"),"JC ")</f>
        <v>JC </v>
      </c>
      <c r="AB48" s="236" t="str">
        <f>IFERROR(__xludf.DUMMYFUNCTION("if(countif(ecn.list,DB48),OFFSET(INDIRECT(CONCAT(""A"",to_text(match(DB48,ecn.list,0)))),0,1),"""")"),"")</f>
        <v/>
      </c>
      <c r="AC48" s="236" t="str">
        <f>IFERROR(__xludf.DUMMYFUNCTION("if(countif(ecn.list,DC48),OFFSET(INDIRECT(CONCAT(""A"",to_text(match(DC48,ecn.list,0)))),0,1),"""")"),"")</f>
        <v/>
      </c>
      <c r="AD48" s="236" t="str">
        <f>IFERROR(__xludf.DUMMYFUNCTION("if(countif(ecn.list,DD48),OFFSET(INDIRECT(CONCAT(""A"",to_text(match(DD48,ecn.list,0)))),0,1),"""")"),"JF ")</f>
        <v>JF </v>
      </c>
      <c r="AE48" s="236" t="str">
        <f>IFERROR(__xludf.DUMMYFUNCTION("if(countif(ecn.list,DE48),OFFSET(INDIRECT(CONCAT(""A"",to_text(match(DE48,ecn.list,0)))),0,1),"""")"),"K0 ")</f>
        <v>K0 </v>
      </c>
      <c r="AF48" s="236" t="str">
        <f>IFERROR(__xludf.DUMMYFUNCTION("if(countif(ecn.list,DF48),OFFSET(INDIRECT(CONCAT(""A"",to_text(match(DF48,ecn.list,0)))),0,1),"""")"),"")</f>
        <v/>
      </c>
      <c r="AG48" s="236" t="str">
        <f>IFERROR(__xludf.DUMMYFUNCTION("if(countif(ecn.list,DG48),OFFSET(INDIRECT(CONCAT(""A"",to_text(match(DG48,ecn.list,0)))),0,1),"""")"),"")</f>
        <v/>
      </c>
      <c r="AH48" s="236" t="str">
        <f>IFERROR(__xludf.DUMMYFUNCTION("if(countif(ecn.list,DH48),OFFSET(INDIRECT(CONCAT(""A"",to_text(match(DH48,ecn.list,0)))),0,1),"""")"),"K3 ")</f>
        <v>K3 </v>
      </c>
      <c r="AI48" s="236" t="str">
        <f>IFERROR(__xludf.DUMMYFUNCTION("if(countif(ecn.list,DI48),OFFSET(INDIRECT(CONCAT(""A"",to_text(match(DI48,ecn.list,0)))),0,1),"""")"),"K4 ")</f>
        <v>K4 </v>
      </c>
      <c r="AJ48" s="236" t="str">
        <f>IFERROR(__xludf.DUMMYFUNCTION("if(countif(ecn.list,DJ48),OFFSET(INDIRECT(CONCAT(""A"",to_text(match(DJ48,ecn.list,0)))),0,1),"""")"),"K5 ")</f>
        <v>K5 </v>
      </c>
      <c r="AK48" s="236" t="str">
        <f>IFERROR(__xludf.DUMMYFUNCTION("if(countif(ecn.list,DK48),OFFSET(INDIRECT(CONCAT(""A"",to_text(match(DK48,ecn.list,0)))),0,1),"""")"),"")</f>
        <v/>
      </c>
      <c r="AL48" s="236" t="str">
        <f>IFERROR(__xludf.DUMMYFUNCTION("if(countif(ecn.list,DL48),OFFSET(INDIRECT(CONCAT(""A"",to_text(match(DL48,ecn.list,0)))),0,1),"""")"),"K7 ")</f>
        <v>K7 </v>
      </c>
      <c r="AM48" s="236" t="str">
        <f>IFERROR(__xludf.DUMMYFUNCTION("if(countif(ecn.list,DM48),OFFSET(INDIRECT(CONCAT(""A"",to_text(match(DM48,ecn.list,0)))),0,1),"""")"),"K8 ")</f>
        <v>K8 </v>
      </c>
      <c r="AN48" s="236" t="str">
        <f>IFERROR(__xludf.DUMMYFUNCTION("if(countif(ecn.list,DN48),OFFSET(INDIRECT(CONCAT(""A"",to_text(match(DN48,ecn.list,0)))),0,1),"""")"),"K9 ")</f>
        <v>K9 </v>
      </c>
      <c r="AO48" s="236" t="str">
        <f>IFERROR(__xludf.DUMMYFUNCTION("if(countif(ecn.list,DO48),OFFSET(INDIRECT(CONCAT(""A"",to_text(match(DO48,ecn.list,0)))),0,1),"""")"),"KA ")</f>
        <v>KA </v>
      </c>
      <c r="AP48" s="236" t="str">
        <f>IFERROR(__xludf.DUMMYFUNCTION("if(countif(ecn.list,DP48),OFFSET(INDIRECT(CONCAT(""A"",to_text(match(DP48,ecn.list,0)))),0,1),"""")"),"KB ")</f>
        <v>KB </v>
      </c>
      <c r="AQ48" s="236" t="str">
        <f>IFERROR(__xludf.DUMMYFUNCTION("if(countif(ecn.list,DQ48),OFFSET(INDIRECT(CONCAT(""A"",to_text(match(DQ48,ecn.list,0)))),0,1),"""")"),"KC ")</f>
        <v>KC </v>
      </c>
      <c r="AR48" s="236" t="str">
        <f>IFERROR(__xludf.DUMMYFUNCTION("if(countif(ecn.list,DR48),OFFSET(INDIRECT(CONCAT(""A"",to_text(match(DR48,ecn.list,0)))),0,1),"""")"),"KD ")</f>
        <v>KD </v>
      </c>
      <c r="AS48" s="236" t="str">
        <f>IFERROR(__xludf.DUMMYFUNCTION("if(countif(ecn.list,DS48),OFFSET(INDIRECT(CONCAT(""A"",to_text(match(DS48,ecn.list,0)))),0,1),"""")"),"")</f>
        <v/>
      </c>
      <c r="AT48" s="236" t="str">
        <f>IFERROR(__xludf.DUMMYFUNCTION("if(countif(ecn.list,DT48),OFFSET(INDIRECT(CONCAT(""A"",to_text(match(DT48,ecn.list,0)))),0,1),"""")"),"KF ")</f>
        <v>KF </v>
      </c>
      <c r="AU48" s="236" t="str">
        <f>IFERROR(__xludf.DUMMYFUNCTION("if(countif(ecn.list,DU48),OFFSET(INDIRECT(CONCAT(""A"",to_text(match(DU48,ecn.list,0)))),0,1),"""")"),"")</f>
        <v/>
      </c>
      <c r="AV48" s="236" t="str">
        <f>IFERROR(__xludf.DUMMYFUNCTION("if(countif(ecn.list,DV48),OFFSET(INDIRECT(CONCAT(""A"",to_text(match(DV48,ecn.list,0)))),0,1),"""")"),"L1 ")</f>
        <v>L1 </v>
      </c>
      <c r="AW48" s="236" t="str">
        <f>IFERROR(__xludf.DUMMYFUNCTION("if(countif(ecn.list,DW48),OFFSET(INDIRECT(CONCAT(""A"",to_text(match(DW48,ecn.list,0)))),0,1),"""")"),"")</f>
        <v/>
      </c>
      <c r="AX48" s="236" t="str">
        <f>IFERROR(__xludf.DUMMYFUNCTION("if(countif(ecn.list,DX48),OFFSET(INDIRECT(CONCAT(""A"",to_text(match(DX48,ecn.list,0)))),0,1),"""")"),"")</f>
        <v/>
      </c>
      <c r="AY48" s="236" t="str">
        <f>IFERROR(__xludf.DUMMYFUNCTION("if(countif(ecn.list,DY48),OFFSET(INDIRECT(CONCAT(""A"",to_text(match(DY48,ecn.list,0)))),0,1),"""")"),"")</f>
        <v/>
      </c>
      <c r="AZ48" s="236" t="str">
        <f>IFERROR(__xludf.DUMMYFUNCTION("if(countif(ecn.list,DZ48),OFFSET(INDIRECT(CONCAT(""A"",to_text(match(DZ48,ecn.list,0)))),0,1),"""")"),"")</f>
        <v/>
      </c>
      <c r="BA48" s="236" t="str">
        <f>IFERROR(__xludf.DUMMYFUNCTION("if(countif(ecn.list,EA48),OFFSET(INDIRECT(CONCAT(""A"",to_text(match(EA48,ecn.list,0)))),0,1),"""")"),"")</f>
        <v/>
      </c>
      <c r="BB48" s="236" t="str">
        <f>IFERROR(__xludf.DUMMYFUNCTION("if(countif(ecn.list,EB48),OFFSET(INDIRECT(CONCAT(""A"",to_text(match(EB48,ecn.list,0)))),0,1),"""")"),"")</f>
        <v/>
      </c>
      <c r="BC48" s="236" t="str">
        <f>IFERROR(__xludf.DUMMYFUNCTION("if(countif(ecn.list,EC48),OFFSET(INDIRECT(CONCAT(""A"",to_text(match(EC48,ecn.list,0)))),0,1),"""")"),"L8 ")</f>
        <v>L8 </v>
      </c>
      <c r="BD48" s="236" t="str">
        <f>IFERROR(__xludf.DUMMYFUNCTION("if(countif(ecn.list,ED48),OFFSET(INDIRECT(CONCAT(""A"",to_text(match(ED48,ecn.list,0)))),0,1),"""")"),"")</f>
        <v/>
      </c>
      <c r="BE48" s="236" t="str">
        <f>IFERROR(__xludf.DUMMYFUNCTION("if(countif(ecn.list,EE48),OFFSET(INDIRECT(CONCAT(""A"",to_text(match(EE48,ecn.list,0)))),0,1),"""")"),"LA ")</f>
        <v>LA </v>
      </c>
      <c r="BF48" s="236" t="str">
        <f>IFERROR(__xludf.DUMMYFUNCTION("if(countif(ecn.list,EF48),OFFSET(INDIRECT(CONCAT(""A"",to_text(match(EF48,ecn.list,0)))),0,1),"""")"),"")</f>
        <v/>
      </c>
      <c r="BG48" s="236" t="str">
        <f>IFERROR(__xludf.DUMMYFUNCTION("if(countif(ecn.list,EG48),OFFSET(INDIRECT(CONCAT(""A"",to_text(match(EG48,ecn.list,0)))),0,1),"""")"),"LC ")</f>
        <v>LC </v>
      </c>
      <c r="BH48" s="236" t="str">
        <f>IFERROR(__xludf.DUMMYFUNCTION("if(countif(ecn.list,EH48),OFFSET(INDIRECT(CONCAT(""A"",to_text(match(EH48,ecn.list,0)))),0,1),"""")"),"")</f>
        <v/>
      </c>
      <c r="BI48" s="236" t="str">
        <f>IFERROR(__xludf.DUMMYFUNCTION("if(countif(ecn.list,EI48),OFFSET(INDIRECT(CONCAT(""A"",to_text(match(EI48,ecn.list,0)))),0,1),"""")"),"")</f>
        <v/>
      </c>
      <c r="BJ48" s="236" t="str">
        <f>IFERROR(__xludf.DUMMYFUNCTION("if(countif(ecn.list,EJ48),OFFSET(INDIRECT(CONCAT(""A"",to_text(match(EJ48,ecn.list,0)))),0,1),"""")"),"LF ")</f>
        <v>LF </v>
      </c>
      <c r="BK48" s="236" t="str">
        <f>IFERROR(__xludf.DUMMYFUNCTION("if(countif(ecn.list,EK48),OFFSET(INDIRECT(CONCAT(""A"",to_text(match(EK48,ecn.list,0)))),0,1),"""")"),"M0 ")</f>
        <v>M0 </v>
      </c>
      <c r="BL48" s="236" t="str">
        <f>IFERROR(__xludf.DUMMYFUNCTION("if(countif(ecn.list,EL48),OFFSET(INDIRECT(CONCAT(""A"",to_text(match(EL48,ecn.list,0)))),0,1),"""")"),"M1 ")</f>
        <v>M1 </v>
      </c>
      <c r="BM48" s="236" t="str">
        <f>IFERROR(__xludf.DUMMYFUNCTION("if(countif(ecn.list,EM48),OFFSET(INDIRECT(CONCAT(""A"",to_text(match(EM48,ecn.list,0)))),0,1),"""")"),"")</f>
        <v/>
      </c>
      <c r="BN48" s="236" t="str">
        <f>IFERROR(__xludf.DUMMYFUNCTION("if(countif(ecn.list,EN48),OFFSET(INDIRECT(CONCAT(""A"",to_text(match(EN48,ecn.list,0)))),0,1),"""")"),"M3 ")</f>
        <v>M3 </v>
      </c>
      <c r="BO48" s="236" t="str">
        <f>IFERROR(__xludf.DUMMYFUNCTION("if(countif(ecn.list,EO48),OFFSET(INDIRECT(CONCAT(""A"",to_text(match(EO48,ecn.list,0)))),0,1),"""")"),"M4 ")</f>
        <v>M4 </v>
      </c>
      <c r="BP48" s="236" t="str">
        <f>IFERROR(__xludf.DUMMYFUNCTION("if(countif(ecn.list,EP48),OFFSET(INDIRECT(CONCAT(""A"",to_text(match(EP48,ecn.list,0)))),0,1),"""")"),"")</f>
        <v/>
      </c>
      <c r="BQ48" s="236" t="str">
        <f>IFERROR(__xludf.DUMMYFUNCTION("if(countif(ecn.list,EQ48),OFFSET(INDIRECT(CONCAT(""A"",to_text(match(EQ48,ecn.list,0)))),0,1),"""")"),"")</f>
        <v/>
      </c>
      <c r="BR48" s="236" t="str">
        <f>IFERROR(__xludf.DUMMYFUNCTION("if(countif(ecn.list,ER48),OFFSET(INDIRECT(CONCAT(""A"",to_text(match(ER48,ecn.list,0)))),0,1),"""")"),"")</f>
        <v/>
      </c>
      <c r="BS48" s="236" t="str">
        <f>IFERROR(__xludf.DUMMYFUNCTION("if(countif(ecn.list,ES48),OFFSET(INDIRECT(CONCAT(""A"",to_text(match(ES48,ecn.list,0)))),0,1),"""")"),"M8 ")</f>
        <v>M8 </v>
      </c>
      <c r="BT48" s="236" t="str">
        <f>IFERROR(__xludf.DUMMYFUNCTION("if(countif(ecn.list,ET48),OFFSET(INDIRECT(CONCAT(""A"",to_text(match(ET48,ecn.list,0)))),0,1),"""")"),"")</f>
        <v/>
      </c>
      <c r="BU48" s="236" t="str">
        <f>IFERROR(__xludf.DUMMYFUNCTION("if(countif(ecn.list,EU48),OFFSET(INDIRECT(CONCAT(""A"",to_text(match(EU48,ecn.list,0)))),0,1),"""")"),"")</f>
        <v/>
      </c>
      <c r="BV48" s="236" t="str">
        <f>IFERROR(__xludf.DUMMYFUNCTION("if(countif(ecn.list,EV48),OFFSET(INDIRECT(CONCAT(""A"",to_text(match(EV48,ecn.list,0)))),0,1),"""")"),"MB ")</f>
        <v>MB </v>
      </c>
      <c r="BW48" s="236" t="str">
        <f>IFERROR(__xludf.DUMMYFUNCTION("if(countif(ecn.list,EW48),OFFSET(INDIRECT(CONCAT(""A"",to_text(match(EW48,ecn.list,0)))),0,1),"""")"),"")</f>
        <v/>
      </c>
      <c r="BX48" s="236" t="str">
        <f>IFERROR(__xludf.DUMMYFUNCTION("if(countif(ecn.list,EX48),OFFSET(INDIRECT(CONCAT(""A"",to_text(match(EX48,ecn.list,0)))),0,1),"""")"),"")</f>
        <v/>
      </c>
      <c r="BY48" s="236" t="str">
        <f>IFERROR(__xludf.DUMMYFUNCTION("if(countif(ecn.list,EY48),OFFSET(INDIRECT(CONCAT(""A"",to_text(match(EY48,ecn.list,0)))),0,1),"""")"),"")</f>
        <v/>
      </c>
      <c r="BZ48" s="236" t="str">
        <f>IFERROR(__xludf.DUMMYFUNCTION("if(countif(ecn.list,EZ48),OFFSET(INDIRECT(CONCAT(""A"",to_text(match(EZ48,ecn.list,0)))),0,1),"""")"),"MF ")</f>
        <v>MF </v>
      </c>
      <c r="CA48" s="236" t="str">
        <f>IFERROR(__xludf.DUMMYFUNCTION("if(countif(ecn.list,FA48),OFFSET(INDIRECT(CONCAT(""A"",to_text(match(FA48,ecn.list,0)))),0,1),"""")"),"")</f>
        <v/>
      </c>
      <c r="CB48" s="236" t="str">
        <f>IFERROR(__xludf.DUMMYFUNCTION("if(countif(ecn.list,FB48),OFFSET(INDIRECT(CONCAT(""A"",to_text(match(FB48,ecn.list,0)))),0,1),"""")"),"")</f>
        <v/>
      </c>
      <c r="CC48" s="236" t="str">
        <f>IFERROR(__xludf.DUMMYFUNCTION("if(countif(ecn.list,FC48),OFFSET(INDIRECT(CONCAT(""A"",to_text(match(FC48,ecn.list,0)))),0,1),"""")"),"N2 ")</f>
        <v>N2 </v>
      </c>
      <c r="CD48" s="236" t="str">
        <f>IFERROR(__xludf.DUMMYFUNCTION("if(countif(ecn.list,FD48),OFFSET(INDIRECT(CONCAT(""A"",to_text(match(FD48,ecn.list,0)))),0,1),"""")"),"")</f>
        <v/>
      </c>
      <c r="CE48" s="236" t="str">
        <f>IFERROR(__xludf.DUMMYFUNCTION("if(countif(ecn.list,FE48),OFFSET(INDIRECT(CONCAT(""A"",to_text(match(FE48,ecn.list,0)))),0,1),"""")"),"")</f>
        <v/>
      </c>
      <c r="CF48" s="236" t="str">
        <f>IFERROR(__xludf.DUMMYFUNCTION("if(countif(ecn.list,FF48),OFFSET(INDIRECT(CONCAT(""A"",to_text(match(FF48,ecn.list,0)))),0,1),"""")"),"")</f>
        <v/>
      </c>
      <c r="CG48" s="236" t="str">
        <f>IFERROR(__xludf.DUMMYFUNCTION("if(countif(ecn.list,FG48),OFFSET(INDIRECT(CONCAT(""A"",to_text(match(FG48,ecn.list,0)))),0,1),"""")"),"")</f>
        <v/>
      </c>
      <c r="CH48" s="236" t="str">
        <f>IFERROR(__xludf.DUMMYFUNCTION("if(countif(ecn.list,FH48),OFFSET(INDIRECT(CONCAT(""A"",to_text(match(FH48,ecn.list,0)))),0,1),"""")"),"N7 ")</f>
        <v>N7 </v>
      </c>
      <c r="CI48" s="236" t="str">
        <f>IFERROR(__xludf.DUMMYFUNCTION("if(countif(ecn.list,FI48),OFFSET(INDIRECT(CONCAT(""A"",to_text(match(FI48,ecn.list,0)))),0,1),"""")"),"")</f>
        <v/>
      </c>
      <c r="CJ48" s="236" t="str">
        <f>IFERROR(__xludf.DUMMYFUNCTION("if(countif(ecn.list,FJ48),OFFSET(INDIRECT(CONCAT(""A"",to_text(match(FJ48,ecn.list,0)))),0,1),"""")"),"")</f>
        <v/>
      </c>
      <c r="CK48" s="236" t="str">
        <f>IFERROR(__xludf.DUMMYFUNCTION("if(countif(ecn.list,FK48),OFFSET(INDIRECT(CONCAT(""A"",to_text(match(FK48,ecn.list,0)))),0,1),"""")"),"NA ")</f>
        <v>NA </v>
      </c>
      <c r="CL48" s="236" t="str">
        <f>IFERROR(__xludf.DUMMYFUNCTION("if(countif(ecn.list,FL48),OFFSET(INDIRECT(CONCAT(""A"",to_text(match(FL48,ecn.list,0)))),0,1),"""")"),"")</f>
        <v/>
      </c>
      <c r="CM48" s="236" t="str">
        <f>IFERROR(__xludf.DUMMYFUNCTION("if(countif(ecn.list,FM48),OFFSET(INDIRECT(CONCAT(""A"",to_text(match(FM48,ecn.list,0)))),0,1),"""")"),"")</f>
        <v/>
      </c>
      <c r="CN48" s="198" t="s">
        <v>219</v>
      </c>
      <c r="CO48" s="198" t="s">
        <v>1447</v>
      </c>
      <c r="CP48" s="198" t="s">
        <v>1451</v>
      </c>
      <c r="CQ48" s="198" t="s">
        <v>1452</v>
      </c>
      <c r="CR48" s="198" t="s">
        <v>1453</v>
      </c>
      <c r="CS48" s="198" t="s">
        <v>1453</v>
      </c>
      <c r="CT48" s="198" t="s">
        <v>1454</v>
      </c>
      <c r="CU48" s="198" t="s">
        <v>1455</v>
      </c>
      <c r="CV48" s="198" t="s">
        <v>1456</v>
      </c>
      <c r="CW48" s="198" t="s">
        <v>1453</v>
      </c>
      <c r="CX48" s="198" t="s">
        <v>1453</v>
      </c>
      <c r="CY48" s="198" t="s">
        <v>1484</v>
      </c>
      <c r="CZ48" s="198" t="s">
        <v>1453</v>
      </c>
      <c r="DA48" s="198" t="s">
        <v>1457</v>
      </c>
      <c r="DB48" s="198" t="s">
        <v>1453</v>
      </c>
      <c r="DC48" s="198" t="s">
        <v>1453</v>
      </c>
      <c r="DD48" s="198" t="s">
        <v>1458</v>
      </c>
      <c r="DE48" s="198" t="s">
        <v>1459</v>
      </c>
      <c r="DF48" s="198" t="s">
        <v>1453</v>
      </c>
      <c r="DG48" s="198" t="s">
        <v>1453</v>
      </c>
      <c r="DH48" s="198" t="s">
        <v>1500</v>
      </c>
      <c r="DI48" s="198" t="s">
        <v>1501</v>
      </c>
      <c r="DJ48" s="198" t="s">
        <v>1460</v>
      </c>
      <c r="DK48" s="198" t="s">
        <v>1453</v>
      </c>
      <c r="DL48" s="198" t="s">
        <v>1461</v>
      </c>
      <c r="DM48" s="198" t="s">
        <v>1462</v>
      </c>
      <c r="DN48" s="198" t="s">
        <v>1463</v>
      </c>
      <c r="DO48" s="198" t="s">
        <v>1464</v>
      </c>
      <c r="DP48" s="198" t="s">
        <v>1465</v>
      </c>
      <c r="DQ48" s="198" t="s">
        <v>1466</v>
      </c>
      <c r="DR48" s="198" t="s">
        <v>1467</v>
      </c>
      <c r="DS48" s="198" t="s">
        <v>1453</v>
      </c>
      <c r="DT48" s="198" t="s">
        <v>1468</v>
      </c>
      <c r="DU48" s="198" t="s">
        <v>1453</v>
      </c>
      <c r="DV48" s="198" t="s">
        <v>1469</v>
      </c>
      <c r="DW48" s="198" t="s">
        <v>1453</v>
      </c>
      <c r="DX48" s="198" t="s">
        <v>1453</v>
      </c>
      <c r="DY48" s="198" t="s">
        <v>1453</v>
      </c>
      <c r="DZ48" s="198" t="s">
        <v>1453</v>
      </c>
      <c r="EA48" s="198" t="s">
        <v>1453</v>
      </c>
      <c r="EB48" s="198" t="s">
        <v>1453</v>
      </c>
      <c r="EC48" s="198" t="s">
        <v>1483</v>
      </c>
      <c r="ED48" s="198" t="s">
        <v>1453</v>
      </c>
      <c r="EE48" s="198" t="s">
        <v>1470</v>
      </c>
      <c r="EF48" s="198" t="s">
        <v>1453</v>
      </c>
      <c r="EG48" s="198" t="s">
        <v>1471</v>
      </c>
      <c r="EH48" s="198" t="s">
        <v>1453</v>
      </c>
      <c r="EI48" s="198" t="s">
        <v>1453</v>
      </c>
      <c r="EJ48" s="198" t="s">
        <v>1472</v>
      </c>
      <c r="EK48" s="198" t="s">
        <v>1487</v>
      </c>
      <c r="EL48" s="198" t="s">
        <v>1473</v>
      </c>
      <c r="EM48" s="198" t="s">
        <v>1453</v>
      </c>
      <c r="EN48" s="198" t="s">
        <v>1474</v>
      </c>
      <c r="EO48" s="198" t="s">
        <v>1475</v>
      </c>
      <c r="EP48" s="198" t="s">
        <v>1453</v>
      </c>
      <c r="EQ48" s="198" t="s">
        <v>1453</v>
      </c>
      <c r="ER48" s="198" t="s">
        <v>1453</v>
      </c>
      <c r="ES48" s="198" t="s">
        <v>1505</v>
      </c>
      <c r="ET48" s="198" t="s">
        <v>1453</v>
      </c>
      <c r="EU48" s="198" t="s">
        <v>1453</v>
      </c>
      <c r="EV48" s="198" t="s">
        <v>1476</v>
      </c>
      <c r="EW48" s="198" t="s">
        <v>1453</v>
      </c>
      <c r="EX48" s="198" t="s">
        <v>1453</v>
      </c>
      <c r="EY48" s="198" t="s">
        <v>1453</v>
      </c>
      <c r="EZ48" s="198" t="s">
        <v>1477</v>
      </c>
      <c r="FA48" s="198" t="s">
        <v>1453</v>
      </c>
      <c r="FB48" s="198" t="s">
        <v>1453</v>
      </c>
      <c r="FC48" s="198" t="s">
        <v>1478</v>
      </c>
      <c r="FD48" s="198" t="s">
        <v>1453</v>
      </c>
      <c r="FE48" s="198" t="s">
        <v>1453</v>
      </c>
      <c r="FF48" s="198" t="s">
        <v>1453</v>
      </c>
      <c r="FG48" s="198" t="s">
        <v>1453</v>
      </c>
      <c r="FH48" s="198" t="s">
        <v>1479</v>
      </c>
      <c r="FI48" s="198" t="s">
        <v>1453</v>
      </c>
      <c r="FJ48" s="198" t="s">
        <v>1453</v>
      </c>
      <c r="FK48" s="198" t="s">
        <v>1481</v>
      </c>
      <c r="FL48" s="198" t="s">
        <v>1482</v>
      </c>
      <c r="FM48" s="198" t="s">
        <v>1453</v>
      </c>
    </row>
    <row r="49" ht="15.75" customHeight="1">
      <c r="A49" s="198" t="s">
        <v>1486</v>
      </c>
      <c r="B49" s="198" t="str">
        <f t="shared" si="5"/>
        <v>LE </v>
      </c>
      <c r="C49" s="234" t="s">
        <v>1514</v>
      </c>
      <c r="D49" s="232" t="s">
        <v>770</v>
      </c>
      <c r="E49" s="232" t="s">
        <v>1448</v>
      </c>
      <c r="F49" s="232" t="s">
        <v>1449</v>
      </c>
      <c r="G49" s="232" t="s">
        <v>1450</v>
      </c>
      <c r="H49" s="232" t="s">
        <v>804</v>
      </c>
      <c r="I49" s="232" t="s">
        <v>840</v>
      </c>
      <c r="J49" s="232" t="s">
        <v>813</v>
      </c>
      <c r="K49" s="232" t="s">
        <v>850</v>
      </c>
      <c r="L49" s="188" t="s">
        <v>222</v>
      </c>
      <c r="M49" s="236" t="str">
        <f>IFERROR(__xludf.DUMMYFUNCTION("regexreplace(N49,"" "","", "")"),"J0, J1, J2, J5, J6, J7, JA, JC, K0, K5, K7, K8, K9, KA, KB, KC, KD, L1, L8, LA, LC, M0, M1, M3, M4, MB, MF, N2, N7, NA, ")</f>
        <v>J0, J1, J2, J5, J6, J7, JA, JC, K0, K5, K7, K8, K9, KA, KB, KC, KD, L1, L8, LA, LC, M0, M1, M3, M4, MB, MF, N2, N7, NA, </v>
      </c>
      <c r="N49" s="236" t="str">
        <f t="shared" si="2"/>
        <v>J0 J1 J2 J5 J6 J7 JA JC K0 K5 K7 K8 K9 KA KB KC KD L1 L8 LA LC M0 M1 M3 M4 MB MF N2 N7 NA </v>
      </c>
      <c r="O49" s="236" t="str">
        <f>IFERROR(__xludf.DUMMYFUNCTION("if(countif(ecn.list,CO49),OFFSET(INDIRECT(CONCAT(""A"",to_text(match(CO49,ecn.list,0)))),0,1),"""")"),"J0 ")</f>
        <v>J0 </v>
      </c>
      <c r="P49" s="236" t="str">
        <f>IFERROR(__xludf.DUMMYFUNCTION("if(countif(ecn.list,CP49),OFFSET(INDIRECT(CONCAT(""A"",to_text(match(CP49,ecn.list,0)))),0,1),"""")"),"J1 ")</f>
        <v>J1 </v>
      </c>
      <c r="Q49" s="236" t="str">
        <f>IFERROR(__xludf.DUMMYFUNCTION("if(countif(ecn.list,CQ49),OFFSET(INDIRECT(CONCAT(""A"",to_text(match(CQ49,ecn.list,0)))),0,1),"""")"),"J2 ")</f>
        <v>J2 </v>
      </c>
      <c r="R49" s="236" t="str">
        <f>IFERROR(__xludf.DUMMYFUNCTION("if(countif(ecn.list,CR49),OFFSET(INDIRECT(CONCAT(""A"",to_text(match(CR49,ecn.list,0)))),0,1),"""")"),"")</f>
        <v/>
      </c>
      <c r="S49" s="236" t="str">
        <f>IFERROR(__xludf.DUMMYFUNCTION("if(countif(ecn.list,CS49),OFFSET(INDIRECT(CONCAT(""A"",to_text(match(CS49,ecn.list,0)))),0,1),"""")"),"")</f>
        <v/>
      </c>
      <c r="T49" s="236" t="str">
        <f>IFERROR(__xludf.DUMMYFUNCTION("if(countif(ecn.list,CT49),OFFSET(INDIRECT(CONCAT(""A"",to_text(match(CT49,ecn.list,0)))),0,1),"""")"),"J5 ")</f>
        <v>J5 </v>
      </c>
      <c r="U49" s="236" t="str">
        <f>IFERROR(__xludf.DUMMYFUNCTION("if(countif(ecn.list,CU49),OFFSET(INDIRECT(CONCAT(""A"",to_text(match(CU49,ecn.list,0)))),0,1),"""")"),"J6 ")</f>
        <v>J6 </v>
      </c>
      <c r="V49" s="236" t="str">
        <f>IFERROR(__xludf.DUMMYFUNCTION("if(countif(ecn.list,CV49),OFFSET(INDIRECT(CONCAT(""A"",to_text(match(CV49,ecn.list,0)))),0,1),"""")"),"J7 ")</f>
        <v>J7 </v>
      </c>
      <c r="W49" s="236" t="str">
        <f>IFERROR(__xludf.DUMMYFUNCTION("if(countif(ecn.list,CW49),OFFSET(INDIRECT(CONCAT(""A"",to_text(match(CW49,ecn.list,0)))),0,1),"""")"),"")</f>
        <v/>
      </c>
      <c r="X49" s="236" t="str">
        <f>IFERROR(__xludf.DUMMYFUNCTION("if(countif(ecn.list,CX49),OFFSET(INDIRECT(CONCAT(""A"",to_text(match(CX49,ecn.list,0)))),0,1),"""")"),"")</f>
        <v/>
      </c>
      <c r="Y49" s="236" t="str">
        <f>IFERROR(__xludf.DUMMYFUNCTION("if(countif(ecn.list,CY49),OFFSET(INDIRECT(CONCAT(""A"",to_text(match(CY49,ecn.list,0)))),0,1),"""")"),"JA ")</f>
        <v>JA </v>
      </c>
      <c r="Z49" s="236" t="str">
        <f>IFERROR(__xludf.DUMMYFUNCTION("if(countif(ecn.list,CZ49),OFFSET(INDIRECT(CONCAT(""A"",to_text(match(CZ49,ecn.list,0)))),0,1),"""")"),"")</f>
        <v/>
      </c>
      <c r="AA49" s="236" t="str">
        <f>IFERROR(__xludf.DUMMYFUNCTION("if(countif(ecn.list,DA49),OFFSET(INDIRECT(CONCAT(""A"",to_text(match(DA49,ecn.list,0)))),0,1),"""")"),"JC ")</f>
        <v>JC </v>
      </c>
      <c r="AB49" s="236" t="str">
        <f>IFERROR(__xludf.DUMMYFUNCTION("if(countif(ecn.list,DB49),OFFSET(INDIRECT(CONCAT(""A"",to_text(match(DB49,ecn.list,0)))),0,1),"""")"),"")</f>
        <v/>
      </c>
      <c r="AC49" s="236" t="str">
        <f>IFERROR(__xludf.DUMMYFUNCTION("if(countif(ecn.list,DC49),OFFSET(INDIRECT(CONCAT(""A"",to_text(match(DC49,ecn.list,0)))),0,1),"""")"),"")</f>
        <v/>
      </c>
      <c r="AD49" s="236" t="str">
        <f>IFERROR(__xludf.DUMMYFUNCTION("if(countif(ecn.list,DD49),OFFSET(INDIRECT(CONCAT(""A"",to_text(match(DD49,ecn.list,0)))),0,1),"""")"),"")</f>
        <v/>
      </c>
      <c r="AE49" s="236" t="str">
        <f>IFERROR(__xludf.DUMMYFUNCTION("if(countif(ecn.list,DE49),OFFSET(INDIRECT(CONCAT(""A"",to_text(match(DE49,ecn.list,0)))),0,1),"""")"),"K0 ")</f>
        <v>K0 </v>
      </c>
      <c r="AF49" s="236" t="str">
        <f>IFERROR(__xludf.DUMMYFUNCTION("if(countif(ecn.list,DF49),OFFSET(INDIRECT(CONCAT(""A"",to_text(match(DF49,ecn.list,0)))),0,1),"""")"),"")</f>
        <v/>
      </c>
      <c r="AG49" s="236" t="str">
        <f>IFERROR(__xludf.DUMMYFUNCTION("if(countif(ecn.list,DG49),OFFSET(INDIRECT(CONCAT(""A"",to_text(match(DG49,ecn.list,0)))),0,1),"""")"),"")</f>
        <v/>
      </c>
      <c r="AH49" s="236" t="str">
        <f>IFERROR(__xludf.DUMMYFUNCTION("if(countif(ecn.list,DH49),OFFSET(INDIRECT(CONCAT(""A"",to_text(match(DH49,ecn.list,0)))),0,1),"""")"),"")</f>
        <v/>
      </c>
      <c r="AI49" s="236" t="str">
        <f>IFERROR(__xludf.DUMMYFUNCTION("if(countif(ecn.list,DI49),OFFSET(INDIRECT(CONCAT(""A"",to_text(match(DI49,ecn.list,0)))),0,1),"""")"),"")</f>
        <v/>
      </c>
      <c r="AJ49" s="236" t="str">
        <f>IFERROR(__xludf.DUMMYFUNCTION("if(countif(ecn.list,DJ49),OFFSET(INDIRECT(CONCAT(""A"",to_text(match(DJ49,ecn.list,0)))),0,1),"""")"),"K5 ")</f>
        <v>K5 </v>
      </c>
      <c r="AK49" s="236" t="str">
        <f>IFERROR(__xludf.DUMMYFUNCTION("if(countif(ecn.list,DK49),OFFSET(INDIRECT(CONCAT(""A"",to_text(match(DK49,ecn.list,0)))),0,1),"""")"),"")</f>
        <v/>
      </c>
      <c r="AL49" s="236" t="str">
        <f>IFERROR(__xludf.DUMMYFUNCTION("if(countif(ecn.list,DL49),OFFSET(INDIRECT(CONCAT(""A"",to_text(match(DL49,ecn.list,0)))),0,1),"""")"),"K7 ")</f>
        <v>K7 </v>
      </c>
      <c r="AM49" s="236" t="str">
        <f>IFERROR(__xludf.DUMMYFUNCTION("if(countif(ecn.list,DM49),OFFSET(INDIRECT(CONCAT(""A"",to_text(match(DM49,ecn.list,0)))),0,1),"""")"),"K8 ")</f>
        <v>K8 </v>
      </c>
      <c r="AN49" s="236" t="str">
        <f>IFERROR(__xludf.DUMMYFUNCTION("if(countif(ecn.list,DN49),OFFSET(INDIRECT(CONCAT(""A"",to_text(match(DN49,ecn.list,0)))),0,1),"""")"),"K9 ")</f>
        <v>K9 </v>
      </c>
      <c r="AO49" s="236" t="str">
        <f>IFERROR(__xludf.DUMMYFUNCTION("if(countif(ecn.list,DO49),OFFSET(INDIRECT(CONCAT(""A"",to_text(match(DO49,ecn.list,0)))),0,1),"""")"),"KA ")</f>
        <v>KA </v>
      </c>
      <c r="AP49" s="236" t="str">
        <f>IFERROR(__xludf.DUMMYFUNCTION("if(countif(ecn.list,DP49),OFFSET(INDIRECT(CONCAT(""A"",to_text(match(DP49,ecn.list,0)))),0,1),"""")"),"KB ")</f>
        <v>KB </v>
      </c>
      <c r="AQ49" s="236" t="str">
        <f>IFERROR(__xludf.DUMMYFUNCTION("if(countif(ecn.list,DQ49),OFFSET(INDIRECT(CONCAT(""A"",to_text(match(DQ49,ecn.list,0)))),0,1),"""")"),"KC ")</f>
        <v>KC </v>
      </c>
      <c r="AR49" s="236" t="str">
        <f>IFERROR(__xludf.DUMMYFUNCTION("if(countif(ecn.list,DR49),OFFSET(INDIRECT(CONCAT(""A"",to_text(match(DR49,ecn.list,0)))),0,1),"""")"),"KD ")</f>
        <v>KD </v>
      </c>
      <c r="AS49" s="236" t="str">
        <f>IFERROR(__xludf.DUMMYFUNCTION("if(countif(ecn.list,DS49),OFFSET(INDIRECT(CONCAT(""A"",to_text(match(DS49,ecn.list,0)))),0,1),"""")"),"")</f>
        <v/>
      </c>
      <c r="AT49" s="236" t="str">
        <f>IFERROR(__xludf.DUMMYFUNCTION("if(countif(ecn.list,DT49),OFFSET(INDIRECT(CONCAT(""A"",to_text(match(DT49,ecn.list,0)))),0,1),"""")"),"")</f>
        <v/>
      </c>
      <c r="AU49" s="236" t="str">
        <f>IFERROR(__xludf.DUMMYFUNCTION("if(countif(ecn.list,DU49),OFFSET(INDIRECT(CONCAT(""A"",to_text(match(DU49,ecn.list,0)))),0,1),"""")"),"")</f>
        <v/>
      </c>
      <c r="AV49" s="236" t="str">
        <f>IFERROR(__xludf.DUMMYFUNCTION("if(countif(ecn.list,DV49),OFFSET(INDIRECT(CONCAT(""A"",to_text(match(DV49,ecn.list,0)))),0,1),"""")"),"L1 ")</f>
        <v>L1 </v>
      </c>
      <c r="AW49" s="236" t="str">
        <f>IFERROR(__xludf.DUMMYFUNCTION("if(countif(ecn.list,DW49),OFFSET(INDIRECT(CONCAT(""A"",to_text(match(DW49,ecn.list,0)))),0,1),"""")"),"")</f>
        <v/>
      </c>
      <c r="AX49" s="236" t="str">
        <f>IFERROR(__xludf.DUMMYFUNCTION("if(countif(ecn.list,DX49),OFFSET(INDIRECT(CONCAT(""A"",to_text(match(DX49,ecn.list,0)))),0,1),"""")"),"")</f>
        <v/>
      </c>
      <c r="AY49" s="236" t="str">
        <f>IFERROR(__xludf.DUMMYFUNCTION("if(countif(ecn.list,DY49),OFFSET(INDIRECT(CONCAT(""A"",to_text(match(DY49,ecn.list,0)))),0,1),"""")"),"")</f>
        <v/>
      </c>
      <c r="AZ49" s="236" t="str">
        <f>IFERROR(__xludf.DUMMYFUNCTION("if(countif(ecn.list,DZ49),OFFSET(INDIRECT(CONCAT(""A"",to_text(match(DZ49,ecn.list,0)))),0,1),"""")"),"")</f>
        <v/>
      </c>
      <c r="BA49" s="236" t="str">
        <f>IFERROR(__xludf.DUMMYFUNCTION("if(countif(ecn.list,EA49),OFFSET(INDIRECT(CONCAT(""A"",to_text(match(EA49,ecn.list,0)))),0,1),"""")"),"")</f>
        <v/>
      </c>
      <c r="BB49" s="236" t="str">
        <f>IFERROR(__xludf.DUMMYFUNCTION("if(countif(ecn.list,EB49),OFFSET(INDIRECT(CONCAT(""A"",to_text(match(EB49,ecn.list,0)))),0,1),"""")"),"")</f>
        <v/>
      </c>
      <c r="BC49" s="236" t="str">
        <f>IFERROR(__xludf.DUMMYFUNCTION("if(countif(ecn.list,EC49),OFFSET(INDIRECT(CONCAT(""A"",to_text(match(EC49,ecn.list,0)))),0,1),"""")"),"L8 ")</f>
        <v>L8 </v>
      </c>
      <c r="BD49" s="236" t="str">
        <f>IFERROR(__xludf.DUMMYFUNCTION("if(countif(ecn.list,ED49),OFFSET(INDIRECT(CONCAT(""A"",to_text(match(ED49,ecn.list,0)))),0,1),"""")"),"")</f>
        <v/>
      </c>
      <c r="BE49" s="236" t="str">
        <f>IFERROR(__xludf.DUMMYFUNCTION("if(countif(ecn.list,EE49),OFFSET(INDIRECT(CONCAT(""A"",to_text(match(EE49,ecn.list,0)))),0,1),"""")"),"LA ")</f>
        <v>LA </v>
      </c>
      <c r="BF49" s="236" t="str">
        <f>IFERROR(__xludf.DUMMYFUNCTION("if(countif(ecn.list,EF49),OFFSET(INDIRECT(CONCAT(""A"",to_text(match(EF49,ecn.list,0)))),0,1),"""")"),"")</f>
        <v/>
      </c>
      <c r="BG49" s="236" t="str">
        <f>IFERROR(__xludf.DUMMYFUNCTION("if(countif(ecn.list,EG49),OFFSET(INDIRECT(CONCAT(""A"",to_text(match(EG49,ecn.list,0)))),0,1),"""")"),"LC ")</f>
        <v>LC </v>
      </c>
      <c r="BH49" s="236" t="str">
        <f>IFERROR(__xludf.DUMMYFUNCTION("if(countif(ecn.list,EH49),OFFSET(INDIRECT(CONCAT(""A"",to_text(match(EH49,ecn.list,0)))),0,1),"""")"),"")</f>
        <v/>
      </c>
      <c r="BI49" s="236" t="str">
        <f>IFERROR(__xludf.DUMMYFUNCTION("if(countif(ecn.list,EI49),OFFSET(INDIRECT(CONCAT(""A"",to_text(match(EI49,ecn.list,0)))),0,1),"""")"),"")</f>
        <v/>
      </c>
      <c r="BJ49" s="236" t="str">
        <f>IFERROR(__xludf.DUMMYFUNCTION("if(countif(ecn.list,EJ49),OFFSET(INDIRECT(CONCAT(""A"",to_text(match(EJ49,ecn.list,0)))),0,1),"""")"),"")</f>
        <v/>
      </c>
      <c r="BK49" s="236" t="str">
        <f>IFERROR(__xludf.DUMMYFUNCTION("if(countif(ecn.list,EK49),OFFSET(INDIRECT(CONCAT(""A"",to_text(match(EK49,ecn.list,0)))),0,1),"""")"),"M0 ")</f>
        <v>M0 </v>
      </c>
      <c r="BL49" s="236" t="str">
        <f>IFERROR(__xludf.DUMMYFUNCTION("if(countif(ecn.list,EL49),OFFSET(INDIRECT(CONCAT(""A"",to_text(match(EL49,ecn.list,0)))),0,1),"""")"),"M1 ")</f>
        <v>M1 </v>
      </c>
      <c r="BM49" s="236" t="str">
        <f>IFERROR(__xludf.DUMMYFUNCTION("if(countif(ecn.list,EM49),OFFSET(INDIRECT(CONCAT(""A"",to_text(match(EM49,ecn.list,0)))),0,1),"""")"),"")</f>
        <v/>
      </c>
      <c r="BN49" s="236" t="str">
        <f>IFERROR(__xludf.DUMMYFUNCTION("if(countif(ecn.list,EN49),OFFSET(INDIRECT(CONCAT(""A"",to_text(match(EN49,ecn.list,0)))),0,1),"""")"),"M3 ")</f>
        <v>M3 </v>
      </c>
      <c r="BO49" s="236" t="str">
        <f>IFERROR(__xludf.DUMMYFUNCTION("if(countif(ecn.list,EO49),OFFSET(INDIRECT(CONCAT(""A"",to_text(match(EO49,ecn.list,0)))),0,1),"""")"),"M4 ")</f>
        <v>M4 </v>
      </c>
      <c r="BP49" s="236" t="str">
        <f>IFERROR(__xludf.DUMMYFUNCTION("if(countif(ecn.list,EP49),OFFSET(INDIRECT(CONCAT(""A"",to_text(match(EP49,ecn.list,0)))),0,1),"""")"),"")</f>
        <v/>
      </c>
      <c r="BQ49" s="236" t="str">
        <f>IFERROR(__xludf.DUMMYFUNCTION("if(countif(ecn.list,EQ49),OFFSET(INDIRECT(CONCAT(""A"",to_text(match(EQ49,ecn.list,0)))),0,1),"""")"),"")</f>
        <v/>
      </c>
      <c r="BR49" s="236" t="str">
        <f>IFERROR(__xludf.DUMMYFUNCTION("if(countif(ecn.list,ER49),OFFSET(INDIRECT(CONCAT(""A"",to_text(match(ER49,ecn.list,0)))),0,1),"""")"),"")</f>
        <v/>
      </c>
      <c r="BS49" s="236" t="str">
        <f>IFERROR(__xludf.DUMMYFUNCTION("if(countif(ecn.list,ES49),OFFSET(INDIRECT(CONCAT(""A"",to_text(match(ES49,ecn.list,0)))),0,1),"""")"),"")</f>
        <v/>
      </c>
      <c r="BT49" s="236" t="str">
        <f>IFERROR(__xludf.DUMMYFUNCTION("if(countif(ecn.list,ET49),OFFSET(INDIRECT(CONCAT(""A"",to_text(match(ET49,ecn.list,0)))),0,1),"""")"),"")</f>
        <v/>
      </c>
      <c r="BU49" s="236" t="str">
        <f>IFERROR(__xludf.DUMMYFUNCTION("if(countif(ecn.list,EU49),OFFSET(INDIRECT(CONCAT(""A"",to_text(match(EU49,ecn.list,0)))),0,1),"""")"),"")</f>
        <v/>
      </c>
      <c r="BV49" s="236" t="str">
        <f>IFERROR(__xludf.DUMMYFUNCTION("if(countif(ecn.list,EV49),OFFSET(INDIRECT(CONCAT(""A"",to_text(match(EV49,ecn.list,0)))),0,1),"""")"),"MB ")</f>
        <v>MB </v>
      </c>
      <c r="BW49" s="236" t="str">
        <f>IFERROR(__xludf.DUMMYFUNCTION("if(countif(ecn.list,EW49),OFFSET(INDIRECT(CONCAT(""A"",to_text(match(EW49,ecn.list,0)))),0,1),"""")"),"")</f>
        <v/>
      </c>
      <c r="BX49" s="236" t="str">
        <f>IFERROR(__xludf.DUMMYFUNCTION("if(countif(ecn.list,EX49),OFFSET(INDIRECT(CONCAT(""A"",to_text(match(EX49,ecn.list,0)))),0,1),"""")"),"")</f>
        <v/>
      </c>
      <c r="BY49" s="236" t="str">
        <f>IFERROR(__xludf.DUMMYFUNCTION("if(countif(ecn.list,EY49),OFFSET(INDIRECT(CONCAT(""A"",to_text(match(EY49,ecn.list,0)))),0,1),"""")"),"")</f>
        <v/>
      </c>
      <c r="BZ49" s="236" t="str">
        <f>IFERROR(__xludf.DUMMYFUNCTION("if(countif(ecn.list,EZ49),OFFSET(INDIRECT(CONCAT(""A"",to_text(match(EZ49,ecn.list,0)))),0,1),"""")"),"MF ")</f>
        <v>MF </v>
      </c>
      <c r="CA49" s="236" t="str">
        <f>IFERROR(__xludf.DUMMYFUNCTION("if(countif(ecn.list,FA49),OFFSET(INDIRECT(CONCAT(""A"",to_text(match(FA49,ecn.list,0)))),0,1),"""")"),"")</f>
        <v/>
      </c>
      <c r="CB49" s="236" t="str">
        <f>IFERROR(__xludf.DUMMYFUNCTION("if(countif(ecn.list,FB49),OFFSET(INDIRECT(CONCAT(""A"",to_text(match(FB49,ecn.list,0)))),0,1),"""")"),"")</f>
        <v/>
      </c>
      <c r="CC49" s="236" t="str">
        <f>IFERROR(__xludf.DUMMYFUNCTION("if(countif(ecn.list,FC49),OFFSET(INDIRECT(CONCAT(""A"",to_text(match(FC49,ecn.list,0)))),0,1),"""")"),"N2 ")</f>
        <v>N2 </v>
      </c>
      <c r="CD49" s="236" t="str">
        <f>IFERROR(__xludf.DUMMYFUNCTION("if(countif(ecn.list,FD49),OFFSET(INDIRECT(CONCAT(""A"",to_text(match(FD49,ecn.list,0)))),0,1),"""")"),"")</f>
        <v/>
      </c>
      <c r="CE49" s="236" t="str">
        <f>IFERROR(__xludf.DUMMYFUNCTION("if(countif(ecn.list,FE49),OFFSET(INDIRECT(CONCAT(""A"",to_text(match(FE49,ecn.list,0)))),0,1),"""")"),"")</f>
        <v/>
      </c>
      <c r="CF49" s="236" t="str">
        <f>IFERROR(__xludf.DUMMYFUNCTION("if(countif(ecn.list,FF49),OFFSET(INDIRECT(CONCAT(""A"",to_text(match(FF49,ecn.list,0)))),0,1),"""")"),"")</f>
        <v/>
      </c>
      <c r="CG49" s="236" t="str">
        <f>IFERROR(__xludf.DUMMYFUNCTION("if(countif(ecn.list,FG49),OFFSET(INDIRECT(CONCAT(""A"",to_text(match(FG49,ecn.list,0)))),0,1),"""")"),"")</f>
        <v/>
      </c>
      <c r="CH49" s="236" t="str">
        <f>IFERROR(__xludf.DUMMYFUNCTION("if(countif(ecn.list,FH49),OFFSET(INDIRECT(CONCAT(""A"",to_text(match(FH49,ecn.list,0)))),0,1),"""")"),"N7 ")</f>
        <v>N7 </v>
      </c>
      <c r="CI49" s="236" t="str">
        <f>IFERROR(__xludf.DUMMYFUNCTION("if(countif(ecn.list,FI49),OFFSET(INDIRECT(CONCAT(""A"",to_text(match(FI49,ecn.list,0)))),0,1),"""")"),"")</f>
        <v/>
      </c>
      <c r="CJ49" s="236" t="str">
        <f>IFERROR(__xludf.DUMMYFUNCTION("if(countif(ecn.list,FJ49),OFFSET(INDIRECT(CONCAT(""A"",to_text(match(FJ49,ecn.list,0)))),0,1),"""")"),"")</f>
        <v/>
      </c>
      <c r="CK49" s="236" t="str">
        <f>IFERROR(__xludf.DUMMYFUNCTION("if(countif(ecn.list,FK49),OFFSET(INDIRECT(CONCAT(""A"",to_text(match(FK49,ecn.list,0)))),0,1),"""")"),"NA ")</f>
        <v>NA </v>
      </c>
      <c r="CL49" s="236" t="str">
        <f>IFERROR(__xludf.DUMMYFUNCTION("if(countif(ecn.list,FL49),OFFSET(INDIRECT(CONCAT(""A"",to_text(match(FL49,ecn.list,0)))),0,1),"""")"),"")</f>
        <v/>
      </c>
      <c r="CM49" s="236" t="str">
        <f>IFERROR(__xludf.DUMMYFUNCTION("if(countif(ecn.list,FM49),OFFSET(INDIRECT(CONCAT(""A"",to_text(match(FM49,ecn.list,0)))),0,1),"""")"),"")</f>
        <v/>
      </c>
      <c r="CN49" s="198" t="s">
        <v>222</v>
      </c>
      <c r="CO49" s="198" t="s">
        <v>1447</v>
      </c>
      <c r="CP49" s="198" t="s">
        <v>1451</v>
      </c>
      <c r="CQ49" s="198" t="s">
        <v>1452</v>
      </c>
      <c r="CR49" s="198" t="s">
        <v>1453</v>
      </c>
      <c r="CS49" s="198" t="s">
        <v>1453</v>
      </c>
      <c r="CT49" s="198" t="s">
        <v>1454</v>
      </c>
      <c r="CU49" s="198" t="s">
        <v>1455</v>
      </c>
      <c r="CV49" s="198" t="s">
        <v>1456</v>
      </c>
      <c r="CW49" s="198" t="s">
        <v>1453</v>
      </c>
      <c r="CX49" s="198" t="s">
        <v>1453</v>
      </c>
      <c r="CY49" s="198" t="s">
        <v>1484</v>
      </c>
      <c r="CZ49" s="198" t="s">
        <v>1453</v>
      </c>
      <c r="DA49" s="198" t="s">
        <v>1457</v>
      </c>
      <c r="DB49" s="198" t="s">
        <v>1453</v>
      </c>
      <c r="DC49" s="198" t="s">
        <v>1453</v>
      </c>
      <c r="DD49" s="198" t="s">
        <v>1453</v>
      </c>
      <c r="DE49" s="198" t="s">
        <v>1459</v>
      </c>
      <c r="DF49" s="198" t="s">
        <v>1453</v>
      </c>
      <c r="DG49" s="198" t="s">
        <v>1453</v>
      </c>
      <c r="DH49" s="198" t="s">
        <v>1453</v>
      </c>
      <c r="DI49" s="198" t="s">
        <v>1453</v>
      </c>
      <c r="DJ49" s="198" t="s">
        <v>1460</v>
      </c>
      <c r="DK49" s="198" t="s">
        <v>1453</v>
      </c>
      <c r="DL49" s="198" t="s">
        <v>1461</v>
      </c>
      <c r="DM49" s="198" t="s">
        <v>1462</v>
      </c>
      <c r="DN49" s="198" t="s">
        <v>1463</v>
      </c>
      <c r="DO49" s="198" t="s">
        <v>1464</v>
      </c>
      <c r="DP49" s="198" t="s">
        <v>1465</v>
      </c>
      <c r="DQ49" s="198" t="s">
        <v>1466</v>
      </c>
      <c r="DR49" s="198" t="s">
        <v>1467</v>
      </c>
      <c r="DS49" s="198" t="s">
        <v>1453</v>
      </c>
      <c r="DT49" s="198" t="s">
        <v>1453</v>
      </c>
      <c r="DU49" s="198" t="s">
        <v>1453</v>
      </c>
      <c r="DV49" s="198" t="s">
        <v>1469</v>
      </c>
      <c r="DW49" s="198" t="s">
        <v>1453</v>
      </c>
      <c r="DX49" s="198" t="s">
        <v>1453</v>
      </c>
      <c r="DY49" s="198" t="s">
        <v>1453</v>
      </c>
      <c r="DZ49" s="198" t="s">
        <v>1453</v>
      </c>
      <c r="EA49" s="198" t="s">
        <v>1453</v>
      </c>
      <c r="EB49" s="198" t="s">
        <v>1453</v>
      </c>
      <c r="EC49" s="198" t="s">
        <v>1483</v>
      </c>
      <c r="ED49" s="198" t="s">
        <v>1453</v>
      </c>
      <c r="EE49" s="198" t="s">
        <v>1470</v>
      </c>
      <c r="EF49" s="198" t="s">
        <v>1453</v>
      </c>
      <c r="EG49" s="198" t="s">
        <v>1471</v>
      </c>
      <c r="EH49" s="198" t="s">
        <v>1453</v>
      </c>
      <c r="EI49" s="198" t="s">
        <v>1453</v>
      </c>
      <c r="EJ49" s="198" t="s">
        <v>1453</v>
      </c>
      <c r="EK49" s="198" t="s">
        <v>1487</v>
      </c>
      <c r="EL49" s="198" t="s">
        <v>1473</v>
      </c>
      <c r="EM49" s="198" t="s">
        <v>1453</v>
      </c>
      <c r="EN49" s="198" t="s">
        <v>1474</v>
      </c>
      <c r="EO49" s="198" t="s">
        <v>1475</v>
      </c>
      <c r="EP49" s="198" t="s">
        <v>1453</v>
      </c>
      <c r="EQ49" s="198" t="s">
        <v>1453</v>
      </c>
      <c r="ER49" s="198" t="s">
        <v>1453</v>
      </c>
      <c r="ES49" s="198" t="s">
        <v>1453</v>
      </c>
      <c r="ET49" s="198" t="s">
        <v>1453</v>
      </c>
      <c r="EU49" s="198" t="s">
        <v>1453</v>
      </c>
      <c r="EV49" s="198" t="s">
        <v>1476</v>
      </c>
      <c r="EW49" s="198" t="s">
        <v>1453</v>
      </c>
      <c r="EX49" s="198" t="s">
        <v>1453</v>
      </c>
      <c r="EY49" s="198" t="s">
        <v>1453</v>
      </c>
      <c r="EZ49" s="198" t="s">
        <v>1477</v>
      </c>
      <c r="FA49" s="198" t="s">
        <v>1453</v>
      </c>
      <c r="FB49" s="198" t="s">
        <v>1453</v>
      </c>
      <c r="FC49" s="198" t="s">
        <v>1478</v>
      </c>
      <c r="FD49" s="198" t="s">
        <v>1453</v>
      </c>
      <c r="FE49" s="198" t="s">
        <v>1453</v>
      </c>
      <c r="FF49" s="198" t="s">
        <v>1453</v>
      </c>
      <c r="FG49" s="198" t="s">
        <v>1453</v>
      </c>
      <c r="FH49" s="198" t="s">
        <v>1479</v>
      </c>
      <c r="FI49" s="198" t="s">
        <v>1453</v>
      </c>
      <c r="FJ49" s="198" t="s">
        <v>1453</v>
      </c>
      <c r="FK49" s="198" t="s">
        <v>1481</v>
      </c>
      <c r="FL49" s="198" t="s">
        <v>1482</v>
      </c>
      <c r="FM49" s="198" t="s">
        <v>1453</v>
      </c>
    </row>
    <row r="50" ht="15.75" customHeight="1">
      <c r="A50" s="236" t="s">
        <v>1472</v>
      </c>
      <c r="B50" s="198" t="str">
        <f t="shared" si="5"/>
        <v>LF </v>
      </c>
      <c r="C50" s="234" t="s">
        <v>1518</v>
      </c>
      <c r="D50" s="232" t="s">
        <v>770</v>
      </c>
      <c r="E50" s="232" t="s">
        <v>1448</v>
      </c>
      <c r="F50" s="232" t="s">
        <v>1449</v>
      </c>
      <c r="G50" s="232" t="s">
        <v>1450</v>
      </c>
      <c r="H50" s="232" t="s">
        <v>876</v>
      </c>
      <c r="I50" s="232" t="s">
        <v>970</v>
      </c>
      <c r="J50" s="232" t="s">
        <v>838</v>
      </c>
      <c r="K50" s="232" t="s">
        <v>973</v>
      </c>
      <c r="L50" s="188" t="s">
        <v>225</v>
      </c>
      <c r="M50" s="236" t="str">
        <f>IFERROR(__xludf.DUMMYFUNCTION("regexreplace(N50,"" "","", "")"),"J0, J1, J2, J5, J6, J7, JA, JC, JF, K0, K3, K4, K5, K7, K8, K9, KA, KB, KC, KD, KF, L1, L8, LA, LC, LF, M0, M1, M3, M4, M8, MB, MF, N2, N7, NA, ")</f>
        <v>J0, J1, J2, J5, J6, J7, JA, JC, JF, K0, K3, K4, K5, K7, K8, K9, KA, KB, KC, KD, KF, L1, L8, LA, LC, LF, M0, M1, M3, M4, M8, MB, MF, N2, N7, NA, </v>
      </c>
      <c r="N50" s="236" t="str">
        <f t="shared" si="2"/>
        <v>J0 J1 J2 J5 J6 J7 JA JC JF K0 K3 K4 K5 K7 K8 K9 KA KB KC KD KF L1 L8 LA LC LF M0 M1 M3 M4 M8 MB MF N2 N7 NA </v>
      </c>
      <c r="O50" s="236" t="str">
        <f>IFERROR(__xludf.DUMMYFUNCTION("if(countif(ecn.list,CO50),OFFSET(INDIRECT(CONCAT(""A"",to_text(match(CO50,ecn.list,0)))),0,1),"""")"),"J0 ")</f>
        <v>J0 </v>
      </c>
      <c r="P50" s="236" t="str">
        <f>IFERROR(__xludf.DUMMYFUNCTION("if(countif(ecn.list,CP50),OFFSET(INDIRECT(CONCAT(""A"",to_text(match(CP50,ecn.list,0)))),0,1),"""")"),"J1 ")</f>
        <v>J1 </v>
      </c>
      <c r="Q50" s="236" t="str">
        <f>IFERROR(__xludf.DUMMYFUNCTION("if(countif(ecn.list,CQ50),OFFSET(INDIRECT(CONCAT(""A"",to_text(match(CQ50,ecn.list,0)))),0,1),"""")"),"J2 ")</f>
        <v>J2 </v>
      </c>
      <c r="R50" s="236" t="str">
        <f>IFERROR(__xludf.DUMMYFUNCTION("if(countif(ecn.list,CR50),OFFSET(INDIRECT(CONCAT(""A"",to_text(match(CR50,ecn.list,0)))),0,1),"""")"),"")</f>
        <v/>
      </c>
      <c r="S50" s="236" t="str">
        <f>IFERROR(__xludf.DUMMYFUNCTION("if(countif(ecn.list,CS50),OFFSET(INDIRECT(CONCAT(""A"",to_text(match(CS50,ecn.list,0)))),0,1),"""")"),"")</f>
        <v/>
      </c>
      <c r="T50" s="236" t="str">
        <f>IFERROR(__xludf.DUMMYFUNCTION("if(countif(ecn.list,CT50),OFFSET(INDIRECT(CONCAT(""A"",to_text(match(CT50,ecn.list,0)))),0,1),"""")"),"J5 ")</f>
        <v>J5 </v>
      </c>
      <c r="U50" s="236" t="str">
        <f>IFERROR(__xludf.DUMMYFUNCTION("if(countif(ecn.list,CU50),OFFSET(INDIRECT(CONCAT(""A"",to_text(match(CU50,ecn.list,0)))),0,1),"""")"),"J6 ")</f>
        <v>J6 </v>
      </c>
      <c r="V50" s="236" t="str">
        <f>IFERROR(__xludf.DUMMYFUNCTION("if(countif(ecn.list,CV50),OFFSET(INDIRECT(CONCAT(""A"",to_text(match(CV50,ecn.list,0)))),0,1),"""")"),"J7 ")</f>
        <v>J7 </v>
      </c>
      <c r="W50" s="236" t="str">
        <f>IFERROR(__xludf.DUMMYFUNCTION("if(countif(ecn.list,CW50),OFFSET(INDIRECT(CONCAT(""A"",to_text(match(CW50,ecn.list,0)))),0,1),"""")"),"")</f>
        <v/>
      </c>
      <c r="X50" s="236" t="str">
        <f>IFERROR(__xludf.DUMMYFUNCTION("if(countif(ecn.list,CX50),OFFSET(INDIRECT(CONCAT(""A"",to_text(match(CX50,ecn.list,0)))),0,1),"""")"),"")</f>
        <v/>
      </c>
      <c r="Y50" s="236" t="str">
        <f>IFERROR(__xludf.DUMMYFUNCTION("if(countif(ecn.list,CY50),OFFSET(INDIRECT(CONCAT(""A"",to_text(match(CY50,ecn.list,0)))),0,1),"""")"),"JA ")</f>
        <v>JA </v>
      </c>
      <c r="Z50" s="236" t="str">
        <f>IFERROR(__xludf.DUMMYFUNCTION("if(countif(ecn.list,CZ50),OFFSET(INDIRECT(CONCAT(""A"",to_text(match(CZ50,ecn.list,0)))),0,1),"""")"),"")</f>
        <v/>
      </c>
      <c r="AA50" s="236" t="str">
        <f>IFERROR(__xludf.DUMMYFUNCTION("if(countif(ecn.list,DA50),OFFSET(INDIRECT(CONCAT(""A"",to_text(match(DA50,ecn.list,0)))),0,1),"""")"),"JC ")</f>
        <v>JC </v>
      </c>
      <c r="AB50" s="236" t="str">
        <f>IFERROR(__xludf.DUMMYFUNCTION("if(countif(ecn.list,DB50),OFFSET(INDIRECT(CONCAT(""A"",to_text(match(DB50,ecn.list,0)))),0,1),"""")"),"")</f>
        <v/>
      </c>
      <c r="AC50" s="236" t="str">
        <f>IFERROR(__xludf.DUMMYFUNCTION("if(countif(ecn.list,DC50),OFFSET(INDIRECT(CONCAT(""A"",to_text(match(DC50,ecn.list,0)))),0,1),"""")"),"")</f>
        <v/>
      </c>
      <c r="AD50" s="236" t="str">
        <f>IFERROR(__xludf.DUMMYFUNCTION("if(countif(ecn.list,DD50),OFFSET(INDIRECT(CONCAT(""A"",to_text(match(DD50,ecn.list,0)))),0,1),"""")"),"JF ")</f>
        <v>JF </v>
      </c>
      <c r="AE50" s="236" t="str">
        <f>IFERROR(__xludf.DUMMYFUNCTION("if(countif(ecn.list,DE50),OFFSET(INDIRECT(CONCAT(""A"",to_text(match(DE50,ecn.list,0)))),0,1),"""")"),"K0 ")</f>
        <v>K0 </v>
      </c>
      <c r="AF50" s="236" t="str">
        <f>IFERROR(__xludf.DUMMYFUNCTION("if(countif(ecn.list,DF50),OFFSET(INDIRECT(CONCAT(""A"",to_text(match(DF50,ecn.list,0)))),0,1),"""")"),"")</f>
        <v/>
      </c>
      <c r="AG50" s="236" t="str">
        <f>IFERROR(__xludf.DUMMYFUNCTION("if(countif(ecn.list,DG50),OFFSET(INDIRECT(CONCAT(""A"",to_text(match(DG50,ecn.list,0)))),0,1),"""")"),"")</f>
        <v/>
      </c>
      <c r="AH50" s="236" t="str">
        <f>IFERROR(__xludf.DUMMYFUNCTION("if(countif(ecn.list,DH50),OFFSET(INDIRECT(CONCAT(""A"",to_text(match(DH50,ecn.list,0)))),0,1),"""")"),"K3 ")</f>
        <v>K3 </v>
      </c>
      <c r="AI50" s="236" t="str">
        <f>IFERROR(__xludf.DUMMYFUNCTION("if(countif(ecn.list,DI50),OFFSET(INDIRECT(CONCAT(""A"",to_text(match(DI50,ecn.list,0)))),0,1),"""")"),"K4 ")</f>
        <v>K4 </v>
      </c>
      <c r="AJ50" s="236" t="str">
        <f>IFERROR(__xludf.DUMMYFUNCTION("if(countif(ecn.list,DJ50),OFFSET(INDIRECT(CONCAT(""A"",to_text(match(DJ50,ecn.list,0)))),0,1),"""")"),"K5 ")</f>
        <v>K5 </v>
      </c>
      <c r="AK50" s="236" t="str">
        <f>IFERROR(__xludf.DUMMYFUNCTION("if(countif(ecn.list,DK50),OFFSET(INDIRECT(CONCAT(""A"",to_text(match(DK50,ecn.list,0)))),0,1),"""")"),"")</f>
        <v/>
      </c>
      <c r="AL50" s="236" t="str">
        <f>IFERROR(__xludf.DUMMYFUNCTION("if(countif(ecn.list,DL50),OFFSET(INDIRECT(CONCAT(""A"",to_text(match(DL50,ecn.list,0)))),0,1),"""")"),"K7 ")</f>
        <v>K7 </v>
      </c>
      <c r="AM50" s="236" t="str">
        <f>IFERROR(__xludf.DUMMYFUNCTION("if(countif(ecn.list,DM50),OFFSET(INDIRECT(CONCAT(""A"",to_text(match(DM50,ecn.list,0)))),0,1),"""")"),"K8 ")</f>
        <v>K8 </v>
      </c>
      <c r="AN50" s="236" t="str">
        <f>IFERROR(__xludf.DUMMYFUNCTION("if(countif(ecn.list,DN50),OFFSET(INDIRECT(CONCAT(""A"",to_text(match(DN50,ecn.list,0)))),0,1),"""")"),"K9 ")</f>
        <v>K9 </v>
      </c>
      <c r="AO50" s="236" t="str">
        <f>IFERROR(__xludf.DUMMYFUNCTION("if(countif(ecn.list,DO50),OFFSET(INDIRECT(CONCAT(""A"",to_text(match(DO50,ecn.list,0)))),0,1),"""")"),"KA ")</f>
        <v>KA </v>
      </c>
      <c r="AP50" s="236" t="str">
        <f>IFERROR(__xludf.DUMMYFUNCTION("if(countif(ecn.list,DP50),OFFSET(INDIRECT(CONCAT(""A"",to_text(match(DP50,ecn.list,0)))),0,1),"""")"),"KB ")</f>
        <v>KB </v>
      </c>
      <c r="AQ50" s="236" t="str">
        <f>IFERROR(__xludf.DUMMYFUNCTION("if(countif(ecn.list,DQ50),OFFSET(INDIRECT(CONCAT(""A"",to_text(match(DQ50,ecn.list,0)))),0,1),"""")"),"KC ")</f>
        <v>KC </v>
      </c>
      <c r="AR50" s="236" t="str">
        <f>IFERROR(__xludf.DUMMYFUNCTION("if(countif(ecn.list,DR50),OFFSET(INDIRECT(CONCAT(""A"",to_text(match(DR50,ecn.list,0)))),0,1),"""")"),"KD ")</f>
        <v>KD </v>
      </c>
      <c r="AS50" s="236" t="str">
        <f>IFERROR(__xludf.DUMMYFUNCTION("if(countif(ecn.list,DS50),OFFSET(INDIRECT(CONCAT(""A"",to_text(match(DS50,ecn.list,0)))),0,1),"""")"),"")</f>
        <v/>
      </c>
      <c r="AT50" s="236" t="str">
        <f>IFERROR(__xludf.DUMMYFUNCTION("if(countif(ecn.list,DT50),OFFSET(INDIRECT(CONCAT(""A"",to_text(match(DT50,ecn.list,0)))),0,1),"""")"),"KF ")</f>
        <v>KF </v>
      </c>
      <c r="AU50" s="236" t="str">
        <f>IFERROR(__xludf.DUMMYFUNCTION("if(countif(ecn.list,DU50),OFFSET(INDIRECT(CONCAT(""A"",to_text(match(DU50,ecn.list,0)))),0,1),"""")"),"")</f>
        <v/>
      </c>
      <c r="AV50" s="236" t="str">
        <f>IFERROR(__xludf.DUMMYFUNCTION("if(countif(ecn.list,DV50),OFFSET(INDIRECT(CONCAT(""A"",to_text(match(DV50,ecn.list,0)))),0,1),"""")"),"L1 ")</f>
        <v>L1 </v>
      </c>
      <c r="AW50" s="236" t="str">
        <f>IFERROR(__xludf.DUMMYFUNCTION("if(countif(ecn.list,DW50),OFFSET(INDIRECT(CONCAT(""A"",to_text(match(DW50,ecn.list,0)))),0,1),"""")"),"")</f>
        <v/>
      </c>
      <c r="AX50" s="236" t="str">
        <f>IFERROR(__xludf.DUMMYFUNCTION("if(countif(ecn.list,DX50),OFFSET(INDIRECT(CONCAT(""A"",to_text(match(DX50,ecn.list,0)))),0,1),"""")"),"")</f>
        <v/>
      </c>
      <c r="AY50" s="236" t="str">
        <f>IFERROR(__xludf.DUMMYFUNCTION("if(countif(ecn.list,DY50),OFFSET(INDIRECT(CONCAT(""A"",to_text(match(DY50,ecn.list,0)))),0,1),"""")"),"")</f>
        <v/>
      </c>
      <c r="AZ50" s="236" t="str">
        <f>IFERROR(__xludf.DUMMYFUNCTION("if(countif(ecn.list,DZ50),OFFSET(INDIRECT(CONCAT(""A"",to_text(match(DZ50,ecn.list,0)))),0,1),"""")"),"")</f>
        <v/>
      </c>
      <c r="BA50" s="236" t="str">
        <f>IFERROR(__xludf.DUMMYFUNCTION("if(countif(ecn.list,EA50),OFFSET(INDIRECT(CONCAT(""A"",to_text(match(EA50,ecn.list,0)))),0,1),"""")"),"")</f>
        <v/>
      </c>
      <c r="BB50" s="236" t="str">
        <f>IFERROR(__xludf.DUMMYFUNCTION("if(countif(ecn.list,EB50),OFFSET(INDIRECT(CONCAT(""A"",to_text(match(EB50,ecn.list,0)))),0,1),"""")"),"")</f>
        <v/>
      </c>
      <c r="BC50" s="236" t="str">
        <f>IFERROR(__xludf.DUMMYFUNCTION("if(countif(ecn.list,EC50),OFFSET(INDIRECT(CONCAT(""A"",to_text(match(EC50,ecn.list,0)))),0,1),"""")"),"L8 ")</f>
        <v>L8 </v>
      </c>
      <c r="BD50" s="236" t="str">
        <f>IFERROR(__xludf.DUMMYFUNCTION("if(countif(ecn.list,ED50),OFFSET(INDIRECT(CONCAT(""A"",to_text(match(ED50,ecn.list,0)))),0,1),"""")"),"")</f>
        <v/>
      </c>
      <c r="BE50" s="236" t="str">
        <f>IFERROR(__xludf.DUMMYFUNCTION("if(countif(ecn.list,EE50),OFFSET(INDIRECT(CONCAT(""A"",to_text(match(EE50,ecn.list,0)))),0,1),"""")"),"LA ")</f>
        <v>LA </v>
      </c>
      <c r="BF50" s="236" t="str">
        <f>IFERROR(__xludf.DUMMYFUNCTION("if(countif(ecn.list,EF50),OFFSET(INDIRECT(CONCAT(""A"",to_text(match(EF50,ecn.list,0)))),0,1),"""")"),"")</f>
        <v/>
      </c>
      <c r="BG50" s="236" t="str">
        <f>IFERROR(__xludf.DUMMYFUNCTION("if(countif(ecn.list,EG50),OFFSET(INDIRECT(CONCAT(""A"",to_text(match(EG50,ecn.list,0)))),0,1),"""")"),"LC ")</f>
        <v>LC </v>
      </c>
      <c r="BH50" s="236" t="str">
        <f>IFERROR(__xludf.DUMMYFUNCTION("if(countif(ecn.list,EH50),OFFSET(INDIRECT(CONCAT(""A"",to_text(match(EH50,ecn.list,0)))),0,1),"""")"),"")</f>
        <v/>
      </c>
      <c r="BI50" s="236" t="str">
        <f>IFERROR(__xludf.DUMMYFUNCTION("if(countif(ecn.list,EI50),OFFSET(INDIRECT(CONCAT(""A"",to_text(match(EI50,ecn.list,0)))),0,1),"""")"),"")</f>
        <v/>
      </c>
      <c r="BJ50" s="236" t="str">
        <f>IFERROR(__xludf.DUMMYFUNCTION("if(countif(ecn.list,EJ50),OFFSET(INDIRECT(CONCAT(""A"",to_text(match(EJ50,ecn.list,0)))),0,1),"""")"),"LF ")</f>
        <v>LF </v>
      </c>
      <c r="BK50" s="236" t="str">
        <f>IFERROR(__xludf.DUMMYFUNCTION("if(countif(ecn.list,EK50),OFFSET(INDIRECT(CONCAT(""A"",to_text(match(EK50,ecn.list,0)))),0,1),"""")"),"M0 ")</f>
        <v>M0 </v>
      </c>
      <c r="BL50" s="236" t="str">
        <f>IFERROR(__xludf.DUMMYFUNCTION("if(countif(ecn.list,EL50),OFFSET(INDIRECT(CONCAT(""A"",to_text(match(EL50,ecn.list,0)))),0,1),"""")"),"M1 ")</f>
        <v>M1 </v>
      </c>
      <c r="BM50" s="236" t="str">
        <f>IFERROR(__xludf.DUMMYFUNCTION("if(countif(ecn.list,EM50),OFFSET(INDIRECT(CONCAT(""A"",to_text(match(EM50,ecn.list,0)))),0,1),"""")"),"")</f>
        <v/>
      </c>
      <c r="BN50" s="236" t="str">
        <f>IFERROR(__xludf.DUMMYFUNCTION("if(countif(ecn.list,EN50),OFFSET(INDIRECT(CONCAT(""A"",to_text(match(EN50,ecn.list,0)))),0,1),"""")"),"M3 ")</f>
        <v>M3 </v>
      </c>
      <c r="BO50" s="236" t="str">
        <f>IFERROR(__xludf.DUMMYFUNCTION("if(countif(ecn.list,EO50),OFFSET(INDIRECT(CONCAT(""A"",to_text(match(EO50,ecn.list,0)))),0,1),"""")"),"M4 ")</f>
        <v>M4 </v>
      </c>
      <c r="BP50" s="236" t="str">
        <f>IFERROR(__xludf.DUMMYFUNCTION("if(countif(ecn.list,EP50),OFFSET(INDIRECT(CONCAT(""A"",to_text(match(EP50,ecn.list,0)))),0,1),"""")"),"")</f>
        <v/>
      </c>
      <c r="BQ50" s="236" t="str">
        <f>IFERROR(__xludf.DUMMYFUNCTION("if(countif(ecn.list,EQ50),OFFSET(INDIRECT(CONCAT(""A"",to_text(match(EQ50,ecn.list,0)))),0,1),"""")"),"")</f>
        <v/>
      </c>
      <c r="BR50" s="236" t="str">
        <f>IFERROR(__xludf.DUMMYFUNCTION("if(countif(ecn.list,ER50),OFFSET(INDIRECT(CONCAT(""A"",to_text(match(ER50,ecn.list,0)))),0,1),"""")"),"")</f>
        <v/>
      </c>
      <c r="BS50" s="236" t="str">
        <f>IFERROR(__xludf.DUMMYFUNCTION("if(countif(ecn.list,ES50),OFFSET(INDIRECT(CONCAT(""A"",to_text(match(ES50,ecn.list,0)))),0,1),"""")"),"M8 ")</f>
        <v>M8 </v>
      </c>
      <c r="BT50" s="236" t="str">
        <f>IFERROR(__xludf.DUMMYFUNCTION("if(countif(ecn.list,ET50),OFFSET(INDIRECT(CONCAT(""A"",to_text(match(ET50,ecn.list,0)))),0,1),"""")"),"")</f>
        <v/>
      </c>
      <c r="BU50" s="236" t="str">
        <f>IFERROR(__xludf.DUMMYFUNCTION("if(countif(ecn.list,EU50),OFFSET(INDIRECT(CONCAT(""A"",to_text(match(EU50,ecn.list,0)))),0,1),"""")"),"")</f>
        <v/>
      </c>
      <c r="BV50" s="236" t="str">
        <f>IFERROR(__xludf.DUMMYFUNCTION("if(countif(ecn.list,EV50),OFFSET(INDIRECT(CONCAT(""A"",to_text(match(EV50,ecn.list,0)))),0,1),"""")"),"MB ")</f>
        <v>MB </v>
      </c>
      <c r="BW50" s="236" t="str">
        <f>IFERROR(__xludf.DUMMYFUNCTION("if(countif(ecn.list,EW50),OFFSET(INDIRECT(CONCAT(""A"",to_text(match(EW50,ecn.list,0)))),0,1),"""")"),"")</f>
        <v/>
      </c>
      <c r="BX50" s="236" t="str">
        <f>IFERROR(__xludf.DUMMYFUNCTION("if(countif(ecn.list,EX50),OFFSET(INDIRECT(CONCAT(""A"",to_text(match(EX50,ecn.list,0)))),0,1),"""")"),"")</f>
        <v/>
      </c>
      <c r="BY50" s="236" t="str">
        <f>IFERROR(__xludf.DUMMYFUNCTION("if(countif(ecn.list,EY50),OFFSET(INDIRECT(CONCAT(""A"",to_text(match(EY50,ecn.list,0)))),0,1),"""")"),"")</f>
        <v/>
      </c>
      <c r="BZ50" s="236" t="str">
        <f>IFERROR(__xludf.DUMMYFUNCTION("if(countif(ecn.list,EZ50),OFFSET(INDIRECT(CONCAT(""A"",to_text(match(EZ50,ecn.list,0)))),0,1),"""")"),"MF ")</f>
        <v>MF </v>
      </c>
      <c r="CA50" s="236" t="str">
        <f>IFERROR(__xludf.DUMMYFUNCTION("if(countif(ecn.list,FA50),OFFSET(INDIRECT(CONCAT(""A"",to_text(match(FA50,ecn.list,0)))),0,1),"""")"),"")</f>
        <v/>
      </c>
      <c r="CB50" s="236" t="str">
        <f>IFERROR(__xludf.DUMMYFUNCTION("if(countif(ecn.list,FB50),OFFSET(INDIRECT(CONCAT(""A"",to_text(match(FB50,ecn.list,0)))),0,1),"""")"),"")</f>
        <v/>
      </c>
      <c r="CC50" s="236" t="str">
        <f>IFERROR(__xludf.DUMMYFUNCTION("if(countif(ecn.list,FC50),OFFSET(INDIRECT(CONCAT(""A"",to_text(match(FC50,ecn.list,0)))),0,1),"""")"),"N2 ")</f>
        <v>N2 </v>
      </c>
      <c r="CD50" s="236" t="str">
        <f>IFERROR(__xludf.DUMMYFUNCTION("if(countif(ecn.list,FD50),OFFSET(INDIRECT(CONCAT(""A"",to_text(match(FD50,ecn.list,0)))),0,1),"""")"),"")</f>
        <v/>
      </c>
      <c r="CE50" s="236" t="str">
        <f>IFERROR(__xludf.DUMMYFUNCTION("if(countif(ecn.list,FE50),OFFSET(INDIRECT(CONCAT(""A"",to_text(match(FE50,ecn.list,0)))),0,1),"""")"),"")</f>
        <v/>
      </c>
      <c r="CF50" s="236" t="str">
        <f>IFERROR(__xludf.DUMMYFUNCTION("if(countif(ecn.list,FF50),OFFSET(INDIRECT(CONCAT(""A"",to_text(match(FF50,ecn.list,0)))),0,1),"""")"),"")</f>
        <v/>
      </c>
      <c r="CG50" s="236" t="str">
        <f>IFERROR(__xludf.DUMMYFUNCTION("if(countif(ecn.list,FG50),OFFSET(INDIRECT(CONCAT(""A"",to_text(match(FG50,ecn.list,0)))),0,1),"""")"),"")</f>
        <v/>
      </c>
      <c r="CH50" s="236" t="str">
        <f>IFERROR(__xludf.DUMMYFUNCTION("if(countif(ecn.list,FH50),OFFSET(INDIRECT(CONCAT(""A"",to_text(match(FH50,ecn.list,0)))),0,1),"""")"),"N7 ")</f>
        <v>N7 </v>
      </c>
      <c r="CI50" s="236" t="str">
        <f>IFERROR(__xludf.DUMMYFUNCTION("if(countif(ecn.list,FI50),OFFSET(INDIRECT(CONCAT(""A"",to_text(match(FI50,ecn.list,0)))),0,1),"""")"),"")</f>
        <v/>
      </c>
      <c r="CJ50" s="236" t="str">
        <f>IFERROR(__xludf.DUMMYFUNCTION("if(countif(ecn.list,FJ50),OFFSET(INDIRECT(CONCAT(""A"",to_text(match(FJ50,ecn.list,0)))),0,1),"""")"),"")</f>
        <v/>
      </c>
      <c r="CK50" s="236" t="str">
        <f>IFERROR(__xludf.DUMMYFUNCTION("if(countif(ecn.list,FK50),OFFSET(INDIRECT(CONCAT(""A"",to_text(match(FK50,ecn.list,0)))),0,1),"""")"),"NA ")</f>
        <v>NA </v>
      </c>
      <c r="CL50" s="236" t="str">
        <f>IFERROR(__xludf.DUMMYFUNCTION("if(countif(ecn.list,FL50),OFFSET(INDIRECT(CONCAT(""A"",to_text(match(FL50,ecn.list,0)))),0,1),"""")"),"")</f>
        <v/>
      </c>
      <c r="CM50" s="236" t="str">
        <f>IFERROR(__xludf.DUMMYFUNCTION("if(countif(ecn.list,FM50),OFFSET(INDIRECT(CONCAT(""A"",to_text(match(FM50,ecn.list,0)))),0,1),"""")"),"")</f>
        <v/>
      </c>
      <c r="CN50" s="198" t="s">
        <v>225</v>
      </c>
      <c r="CO50" s="198" t="s">
        <v>1447</v>
      </c>
      <c r="CP50" s="198" t="s">
        <v>1451</v>
      </c>
      <c r="CQ50" s="198" t="s">
        <v>1452</v>
      </c>
      <c r="CR50" s="198" t="s">
        <v>1453</v>
      </c>
      <c r="CS50" s="198" t="s">
        <v>1453</v>
      </c>
      <c r="CT50" s="198" t="s">
        <v>1454</v>
      </c>
      <c r="CU50" s="198" t="s">
        <v>1455</v>
      </c>
      <c r="CV50" s="198" t="s">
        <v>1456</v>
      </c>
      <c r="CW50" s="198" t="s">
        <v>1453</v>
      </c>
      <c r="CX50" s="198" t="s">
        <v>1453</v>
      </c>
      <c r="CY50" s="198" t="s">
        <v>1484</v>
      </c>
      <c r="CZ50" s="198" t="s">
        <v>1453</v>
      </c>
      <c r="DA50" s="198" t="s">
        <v>1457</v>
      </c>
      <c r="DB50" s="198" t="s">
        <v>1453</v>
      </c>
      <c r="DC50" s="198" t="s">
        <v>1453</v>
      </c>
      <c r="DD50" s="198" t="s">
        <v>1458</v>
      </c>
      <c r="DE50" s="198" t="s">
        <v>1459</v>
      </c>
      <c r="DF50" s="198" t="s">
        <v>1453</v>
      </c>
      <c r="DG50" s="198" t="s">
        <v>1453</v>
      </c>
      <c r="DH50" s="198" t="s">
        <v>1500</v>
      </c>
      <c r="DI50" s="198" t="s">
        <v>1501</v>
      </c>
      <c r="DJ50" s="198" t="s">
        <v>1460</v>
      </c>
      <c r="DK50" s="198" t="s">
        <v>1453</v>
      </c>
      <c r="DL50" s="198" t="s">
        <v>1461</v>
      </c>
      <c r="DM50" s="198" t="s">
        <v>1462</v>
      </c>
      <c r="DN50" s="198" t="s">
        <v>1463</v>
      </c>
      <c r="DO50" s="198" t="s">
        <v>1464</v>
      </c>
      <c r="DP50" s="198" t="s">
        <v>1465</v>
      </c>
      <c r="DQ50" s="198" t="s">
        <v>1466</v>
      </c>
      <c r="DR50" s="198" t="s">
        <v>1467</v>
      </c>
      <c r="DS50" s="198" t="s">
        <v>1453</v>
      </c>
      <c r="DT50" s="198" t="s">
        <v>1468</v>
      </c>
      <c r="DU50" s="198" t="s">
        <v>1453</v>
      </c>
      <c r="DV50" s="198" t="s">
        <v>1469</v>
      </c>
      <c r="DW50" s="198" t="s">
        <v>1453</v>
      </c>
      <c r="DX50" s="198" t="s">
        <v>1453</v>
      </c>
      <c r="DY50" s="198" t="s">
        <v>1453</v>
      </c>
      <c r="DZ50" s="198" t="s">
        <v>1453</v>
      </c>
      <c r="EA50" s="198" t="s">
        <v>1453</v>
      </c>
      <c r="EB50" s="198" t="s">
        <v>1453</v>
      </c>
      <c r="EC50" s="198" t="s">
        <v>1483</v>
      </c>
      <c r="ED50" s="198" t="s">
        <v>1453</v>
      </c>
      <c r="EE50" s="198" t="s">
        <v>1470</v>
      </c>
      <c r="EF50" s="198" t="s">
        <v>1453</v>
      </c>
      <c r="EG50" s="198" t="s">
        <v>1471</v>
      </c>
      <c r="EH50" s="198" t="s">
        <v>1453</v>
      </c>
      <c r="EI50" s="198" t="s">
        <v>1453</v>
      </c>
      <c r="EJ50" s="198" t="s">
        <v>1472</v>
      </c>
      <c r="EK50" s="198" t="s">
        <v>1487</v>
      </c>
      <c r="EL50" s="198" t="s">
        <v>1473</v>
      </c>
      <c r="EM50" s="198" t="s">
        <v>1453</v>
      </c>
      <c r="EN50" s="198" t="s">
        <v>1474</v>
      </c>
      <c r="EO50" s="198" t="s">
        <v>1475</v>
      </c>
      <c r="EP50" s="198" t="s">
        <v>1453</v>
      </c>
      <c r="EQ50" s="198" t="s">
        <v>1453</v>
      </c>
      <c r="ER50" s="198" t="s">
        <v>1453</v>
      </c>
      <c r="ES50" s="198" t="s">
        <v>1505</v>
      </c>
      <c r="ET50" s="198" t="s">
        <v>1453</v>
      </c>
      <c r="EU50" s="198" t="s">
        <v>1453</v>
      </c>
      <c r="EV50" s="198" t="s">
        <v>1476</v>
      </c>
      <c r="EW50" s="198" t="s">
        <v>1453</v>
      </c>
      <c r="EX50" s="198" t="s">
        <v>1453</v>
      </c>
      <c r="EY50" s="198" t="s">
        <v>1453</v>
      </c>
      <c r="EZ50" s="198" t="s">
        <v>1477</v>
      </c>
      <c r="FA50" s="198" t="s">
        <v>1453</v>
      </c>
      <c r="FB50" s="198" t="s">
        <v>1453</v>
      </c>
      <c r="FC50" s="198" t="s">
        <v>1478</v>
      </c>
      <c r="FD50" s="198" t="s">
        <v>1453</v>
      </c>
      <c r="FE50" s="198" t="s">
        <v>1453</v>
      </c>
      <c r="FF50" s="198" t="s">
        <v>1453</v>
      </c>
      <c r="FG50" s="198" t="s">
        <v>1453</v>
      </c>
      <c r="FH50" s="198" t="s">
        <v>1479</v>
      </c>
      <c r="FI50" s="198" t="s">
        <v>1453</v>
      </c>
      <c r="FJ50" s="198" t="s">
        <v>1453</v>
      </c>
      <c r="FK50" s="198" t="s">
        <v>1481</v>
      </c>
      <c r="FL50" s="198" t="s">
        <v>1482</v>
      </c>
      <c r="FM50" s="198" t="s">
        <v>1453</v>
      </c>
    </row>
    <row r="51" ht="15.75" customHeight="1">
      <c r="A51" s="236" t="s">
        <v>1487</v>
      </c>
      <c r="B51" s="198" t="str">
        <f t="shared" ref="B51:B58" si="6">concatenate("M",C51," ")</f>
        <v>M0 </v>
      </c>
      <c r="C51" s="234">
        <v>0.0</v>
      </c>
      <c r="D51" s="232" t="s">
        <v>770</v>
      </c>
      <c r="E51" s="232" t="s">
        <v>1448</v>
      </c>
      <c r="F51" s="232" t="s">
        <v>1449</v>
      </c>
      <c r="G51" s="232" t="s">
        <v>1450</v>
      </c>
      <c r="H51" s="232" t="s">
        <v>804</v>
      </c>
      <c r="I51" s="232" t="s">
        <v>941</v>
      </c>
      <c r="J51" s="232" t="s">
        <v>942</v>
      </c>
      <c r="K51" s="232" t="s">
        <v>944</v>
      </c>
      <c r="L51" s="188" t="s">
        <v>228</v>
      </c>
      <c r="M51" s="236" t="str">
        <f>IFERROR(__xludf.DUMMYFUNCTION("regexreplace(N51,"" "","", "")"),"J0, J1, J2, J5, J6, J7, JA, JB, JC, K0, K3, K4, K5, K7, K9, KA, KC, KD, L1, L8, LA, LC, M0, M1, M3, M4, M9, MD, MF, N2, N7, NA, ")</f>
        <v>J0, J1, J2, J5, J6, J7, JA, JB, JC, K0, K3, K4, K5, K7, K9, KA, KC, KD, L1, L8, LA, LC, M0, M1, M3, M4, M9, MD, MF, N2, N7, NA, </v>
      </c>
      <c r="N51" s="236" t="str">
        <f t="shared" si="2"/>
        <v>J0 J1 J2 J5 J6 J7 JA JB JC K0 K3 K4 K5 K7 K9 KA KC KD L1 L8 LA LC M0 M1 M3 M4 M9 MD MF N2 N7 NA </v>
      </c>
      <c r="O51" s="236" t="str">
        <f>IFERROR(__xludf.DUMMYFUNCTION("if(countif(ecn.list,CO51),OFFSET(INDIRECT(CONCAT(""A"",to_text(match(CO51,ecn.list,0)))),0,1),"""")"),"J0 ")</f>
        <v>J0 </v>
      </c>
      <c r="P51" s="236" t="str">
        <f>IFERROR(__xludf.DUMMYFUNCTION("if(countif(ecn.list,CP51),OFFSET(INDIRECT(CONCAT(""A"",to_text(match(CP51,ecn.list,0)))),0,1),"""")"),"J1 ")</f>
        <v>J1 </v>
      </c>
      <c r="Q51" s="236" t="str">
        <f>IFERROR(__xludf.DUMMYFUNCTION("if(countif(ecn.list,CQ51),OFFSET(INDIRECT(CONCAT(""A"",to_text(match(CQ51,ecn.list,0)))),0,1),"""")"),"J2 ")</f>
        <v>J2 </v>
      </c>
      <c r="R51" s="236" t="str">
        <f>IFERROR(__xludf.DUMMYFUNCTION("if(countif(ecn.list,CR51),OFFSET(INDIRECT(CONCAT(""A"",to_text(match(CR51,ecn.list,0)))),0,1),"""")"),"")</f>
        <v/>
      </c>
      <c r="S51" s="236" t="str">
        <f>IFERROR(__xludf.DUMMYFUNCTION("if(countif(ecn.list,CS51),OFFSET(INDIRECT(CONCAT(""A"",to_text(match(CS51,ecn.list,0)))),0,1),"""")"),"")</f>
        <v/>
      </c>
      <c r="T51" s="236" t="str">
        <f>IFERROR(__xludf.DUMMYFUNCTION("if(countif(ecn.list,CT51),OFFSET(INDIRECT(CONCAT(""A"",to_text(match(CT51,ecn.list,0)))),0,1),"""")"),"J5 ")</f>
        <v>J5 </v>
      </c>
      <c r="U51" s="236" t="str">
        <f>IFERROR(__xludf.DUMMYFUNCTION("if(countif(ecn.list,CU51),OFFSET(INDIRECT(CONCAT(""A"",to_text(match(CU51,ecn.list,0)))),0,1),"""")"),"J6 ")</f>
        <v>J6 </v>
      </c>
      <c r="V51" s="236" t="str">
        <f>IFERROR(__xludf.DUMMYFUNCTION("if(countif(ecn.list,CV51),OFFSET(INDIRECT(CONCAT(""A"",to_text(match(CV51,ecn.list,0)))),0,1),"""")"),"J7 ")</f>
        <v>J7 </v>
      </c>
      <c r="W51" s="236" t="str">
        <f>IFERROR(__xludf.DUMMYFUNCTION("if(countif(ecn.list,CW51),OFFSET(INDIRECT(CONCAT(""A"",to_text(match(CW51,ecn.list,0)))),0,1),"""")"),"")</f>
        <v/>
      </c>
      <c r="X51" s="236" t="str">
        <f>IFERROR(__xludf.DUMMYFUNCTION("if(countif(ecn.list,CX51),OFFSET(INDIRECT(CONCAT(""A"",to_text(match(CX51,ecn.list,0)))),0,1),"""")"),"")</f>
        <v/>
      </c>
      <c r="Y51" s="236" t="str">
        <f>IFERROR(__xludf.DUMMYFUNCTION("if(countif(ecn.list,CY51),OFFSET(INDIRECT(CONCAT(""A"",to_text(match(CY51,ecn.list,0)))),0,1),"""")"),"JA ")</f>
        <v>JA </v>
      </c>
      <c r="Z51" s="236" t="str">
        <f>IFERROR(__xludf.DUMMYFUNCTION("if(countif(ecn.list,CZ51),OFFSET(INDIRECT(CONCAT(""A"",to_text(match(CZ51,ecn.list,0)))),0,1),"""")"),"JB ")</f>
        <v>JB </v>
      </c>
      <c r="AA51" s="236" t="str">
        <f>IFERROR(__xludf.DUMMYFUNCTION("if(countif(ecn.list,DA51),OFFSET(INDIRECT(CONCAT(""A"",to_text(match(DA51,ecn.list,0)))),0,1),"""")"),"JC ")</f>
        <v>JC </v>
      </c>
      <c r="AB51" s="236" t="str">
        <f>IFERROR(__xludf.DUMMYFUNCTION("if(countif(ecn.list,DB51),OFFSET(INDIRECT(CONCAT(""A"",to_text(match(DB51,ecn.list,0)))),0,1),"""")"),"")</f>
        <v/>
      </c>
      <c r="AC51" s="236" t="str">
        <f>IFERROR(__xludf.DUMMYFUNCTION("if(countif(ecn.list,DC51),OFFSET(INDIRECT(CONCAT(""A"",to_text(match(DC51,ecn.list,0)))),0,1),"""")"),"")</f>
        <v/>
      </c>
      <c r="AD51" s="236" t="str">
        <f>IFERROR(__xludf.DUMMYFUNCTION("if(countif(ecn.list,DD51),OFFSET(INDIRECT(CONCAT(""A"",to_text(match(DD51,ecn.list,0)))),0,1),"""")"),"")</f>
        <v/>
      </c>
      <c r="AE51" s="236" t="str">
        <f>IFERROR(__xludf.DUMMYFUNCTION("if(countif(ecn.list,DE51),OFFSET(INDIRECT(CONCAT(""A"",to_text(match(DE51,ecn.list,0)))),0,1),"""")"),"K0 ")</f>
        <v>K0 </v>
      </c>
      <c r="AF51" s="236" t="str">
        <f>IFERROR(__xludf.DUMMYFUNCTION("if(countif(ecn.list,DF51),OFFSET(INDIRECT(CONCAT(""A"",to_text(match(DF51,ecn.list,0)))),0,1),"""")"),"")</f>
        <v/>
      </c>
      <c r="AG51" s="236" t="str">
        <f>IFERROR(__xludf.DUMMYFUNCTION("if(countif(ecn.list,DG51),OFFSET(INDIRECT(CONCAT(""A"",to_text(match(DG51,ecn.list,0)))),0,1),"""")"),"")</f>
        <v/>
      </c>
      <c r="AH51" s="236" t="str">
        <f>IFERROR(__xludf.DUMMYFUNCTION("if(countif(ecn.list,DH51),OFFSET(INDIRECT(CONCAT(""A"",to_text(match(DH51,ecn.list,0)))),0,1),"""")"),"K3 ")</f>
        <v>K3 </v>
      </c>
      <c r="AI51" s="236" t="str">
        <f>IFERROR(__xludf.DUMMYFUNCTION("if(countif(ecn.list,DI51),OFFSET(INDIRECT(CONCAT(""A"",to_text(match(DI51,ecn.list,0)))),0,1),"""")"),"K4 ")</f>
        <v>K4 </v>
      </c>
      <c r="AJ51" s="236" t="str">
        <f>IFERROR(__xludf.DUMMYFUNCTION("if(countif(ecn.list,DJ51),OFFSET(INDIRECT(CONCAT(""A"",to_text(match(DJ51,ecn.list,0)))),0,1),"""")"),"K5 ")</f>
        <v>K5 </v>
      </c>
      <c r="AK51" s="236" t="str">
        <f>IFERROR(__xludf.DUMMYFUNCTION("if(countif(ecn.list,DK51),OFFSET(INDIRECT(CONCAT(""A"",to_text(match(DK51,ecn.list,0)))),0,1),"""")"),"")</f>
        <v/>
      </c>
      <c r="AL51" s="236" t="str">
        <f>IFERROR(__xludf.DUMMYFUNCTION("if(countif(ecn.list,DL51),OFFSET(INDIRECT(CONCAT(""A"",to_text(match(DL51,ecn.list,0)))),0,1),"""")"),"K7 ")</f>
        <v>K7 </v>
      </c>
      <c r="AM51" s="236" t="str">
        <f>IFERROR(__xludf.DUMMYFUNCTION("if(countif(ecn.list,DM51),OFFSET(INDIRECT(CONCAT(""A"",to_text(match(DM51,ecn.list,0)))),0,1),"""")"),"")</f>
        <v/>
      </c>
      <c r="AN51" s="236" t="str">
        <f>IFERROR(__xludf.DUMMYFUNCTION("if(countif(ecn.list,DN51),OFFSET(INDIRECT(CONCAT(""A"",to_text(match(DN51,ecn.list,0)))),0,1),"""")"),"K9 ")</f>
        <v>K9 </v>
      </c>
      <c r="AO51" s="236" t="str">
        <f>IFERROR(__xludf.DUMMYFUNCTION("if(countif(ecn.list,DO51),OFFSET(INDIRECT(CONCAT(""A"",to_text(match(DO51,ecn.list,0)))),0,1),"""")"),"KA ")</f>
        <v>KA </v>
      </c>
      <c r="AP51" s="236" t="str">
        <f>IFERROR(__xludf.DUMMYFUNCTION("if(countif(ecn.list,DP51),OFFSET(INDIRECT(CONCAT(""A"",to_text(match(DP51,ecn.list,0)))),0,1),"""")"),"")</f>
        <v/>
      </c>
      <c r="AQ51" s="236" t="str">
        <f>IFERROR(__xludf.DUMMYFUNCTION("if(countif(ecn.list,DQ51),OFFSET(INDIRECT(CONCAT(""A"",to_text(match(DQ51,ecn.list,0)))),0,1),"""")"),"KC ")</f>
        <v>KC </v>
      </c>
      <c r="AR51" s="236" t="str">
        <f>IFERROR(__xludf.DUMMYFUNCTION("if(countif(ecn.list,DR51),OFFSET(INDIRECT(CONCAT(""A"",to_text(match(DR51,ecn.list,0)))),0,1),"""")"),"KD ")</f>
        <v>KD </v>
      </c>
      <c r="AS51" s="236" t="str">
        <f>IFERROR(__xludf.DUMMYFUNCTION("if(countif(ecn.list,DS51),OFFSET(INDIRECT(CONCAT(""A"",to_text(match(DS51,ecn.list,0)))),0,1),"""")"),"")</f>
        <v/>
      </c>
      <c r="AT51" s="236" t="str">
        <f>IFERROR(__xludf.DUMMYFUNCTION("if(countif(ecn.list,DT51),OFFSET(INDIRECT(CONCAT(""A"",to_text(match(DT51,ecn.list,0)))),0,1),"""")"),"")</f>
        <v/>
      </c>
      <c r="AU51" s="236" t="str">
        <f>IFERROR(__xludf.DUMMYFUNCTION("if(countif(ecn.list,DU51),OFFSET(INDIRECT(CONCAT(""A"",to_text(match(DU51,ecn.list,0)))),0,1),"""")"),"")</f>
        <v/>
      </c>
      <c r="AV51" s="236" t="str">
        <f>IFERROR(__xludf.DUMMYFUNCTION("if(countif(ecn.list,DV51),OFFSET(INDIRECT(CONCAT(""A"",to_text(match(DV51,ecn.list,0)))),0,1),"""")"),"L1 ")</f>
        <v>L1 </v>
      </c>
      <c r="AW51" s="236" t="str">
        <f>IFERROR(__xludf.DUMMYFUNCTION("if(countif(ecn.list,DW51),OFFSET(INDIRECT(CONCAT(""A"",to_text(match(DW51,ecn.list,0)))),0,1),"""")"),"")</f>
        <v/>
      </c>
      <c r="AX51" s="236" t="str">
        <f>IFERROR(__xludf.DUMMYFUNCTION("if(countif(ecn.list,DX51),OFFSET(INDIRECT(CONCAT(""A"",to_text(match(DX51,ecn.list,0)))),0,1),"""")"),"")</f>
        <v/>
      </c>
      <c r="AY51" s="236" t="str">
        <f>IFERROR(__xludf.DUMMYFUNCTION("if(countif(ecn.list,DY51),OFFSET(INDIRECT(CONCAT(""A"",to_text(match(DY51,ecn.list,0)))),0,1),"""")"),"")</f>
        <v/>
      </c>
      <c r="AZ51" s="236" t="str">
        <f>IFERROR(__xludf.DUMMYFUNCTION("if(countif(ecn.list,DZ51),OFFSET(INDIRECT(CONCAT(""A"",to_text(match(DZ51,ecn.list,0)))),0,1),"""")"),"")</f>
        <v/>
      </c>
      <c r="BA51" s="236" t="str">
        <f>IFERROR(__xludf.DUMMYFUNCTION("if(countif(ecn.list,EA51),OFFSET(INDIRECT(CONCAT(""A"",to_text(match(EA51,ecn.list,0)))),0,1),"""")"),"")</f>
        <v/>
      </c>
      <c r="BB51" s="236" t="str">
        <f>IFERROR(__xludf.DUMMYFUNCTION("if(countif(ecn.list,EB51),OFFSET(INDIRECT(CONCAT(""A"",to_text(match(EB51,ecn.list,0)))),0,1),"""")"),"")</f>
        <v/>
      </c>
      <c r="BC51" s="236" t="str">
        <f>IFERROR(__xludf.DUMMYFUNCTION("if(countif(ecn.list,EC51),OFFSET(INDIRECT(CONCAT(""A"",to_text(match(EC51,ecn.list,0)))),0,1),"""")"),"L8 ")</f>
        <v>L8 </v>
      </c>
      <c r="BD51" s="236" t="str">
        <f>IFERROR(__xludf.DUMMYFUNCTION("if(countif(ecn.list,ED51),OFFSET(INDIRECT(CONCAT(""A"",to_text(match(ED51,ecn.list,0)))),0,1),"""")"),"")</f>
        <v/>
      </c>
      <c r="BE51" s="236" t="str">
        <f>IFERROR(__xludf.DUMMYFUNCTION("if(countif(ecn.list,EE51),OFFSET(INDIRECT(CONCAT(""A"",to_text(match(EE51,ecn.list,0)))),0,1),"""")"),"LA ")</f>
        <v>LA </v>
      </c>
      <c r="BF51" s="236" t="str">
        <f>IFERROR(__xludf.DUMMYFUNCTION("if(countif(ecn.list,EF51),OFFSET(INDIRECT(CONCAT(""A"",to_text(match(EF51,ecn.list,0)))),0,1),"""")"),"")</f>
        <v/>
      </c>
      <c r="BG51" s="236" t="str">
        <f>IFERROR(__xludf.DUMMYFUNCTION("if(countif(ecn.list,EG51),OFFSET(INDIRECT(CONCAT(""A"",to_text(match(EG51,ecn.list,0)))),0,1),"""")"),"LC ")</f>
        <v>LC </v>
      </c>
      <c r="BH51" s="236" t="str">
        <f>IFERROR(__xludf.DUMMYFUNCTION("if(countif(ecn.list,EH51),OFFSET(INDIRECT(CONCAT(""A"",to_text(match(EH51,ecn.list,0)))),0,1),"""")"),"")</f>
        <v/>
      </c>
      <c r="BI51" s="236" t="str">
        <f>IFERROR(__xludf.DUMMYFUNCTION("if(countif(ecn.list,EI51),OFFSET(INDIRECT(CONCAT(""A"",to_text(match(EI51,ecn.list,0)))),0,1),"""")"),"")</f>
        <v/>
      </c>
      <c r="BJ51" s="236" t="str">
        <f>IFERROR(__xludf.DUMMYFUNCTION("if(countif(ecn.list,EJ51),OFFSET(INDIRECT(CONCAT(""A"",to_text(match(EJ51,ecn.list,0)))),0,1),"""")"),"")</f>
        <v/>
      </c>
      <c r="BK51" s="236" t="str">
        <f>IFERROR(__xludf.DUMMYFUNCTION("if(countif(ecn.list,EK51),OFFSET(INDIRECT(CONCAT(""A"",to_text(match(EK51,ecn.list,0)))),0,1),"""")"),"M0 ")</f>
        <v>M0 </v>
      </c>
      <c r="BL51" s="236" t="str">
        <f>IFERROR(__xludf.DUMMYFUNCTION("if(countif(ecn.list,EL51),OFFSET(INDIRECT(CONCAT(""A"",to_text(match(EL51,ecn.list,0)))),0,1),"""")"),"M1 ")</f>
        <v>M1 </v>
      </c>
      <c r="BM51" s="236" t="str">
        <f>IFERROR(__xludf.DUMMYFUNCTION("if(countif(ecn.list,EM51),OFFSET(INDIRECT(CONCAT(""A"",to_text(match(EM51,ecn.list,0)))),0,1),"""")"),"")</f>
        <v/>
      </c>
      <c r="BN51" s="236" t="str">
        <f>IFERROR(__xludf.DUMMYFUNCTION("if(countif(ecn.list,EN51),OFFSET(INDIRECT(CONCAT(""A"",to_text(match(EN51,ecn.list,0)))),0,1),"""")"),"M3 ")</f>
        <v>M3 </v>
      </c>
      <c r="BO51" s="236" t="str">
        <f>IFERROR(__xludf.DUMMYFUNCTION("if(countif(ecn.list,EO51),OFFSET(INDIRECT(CONCAT(""A"",to_text(match(EO51,ecn.list,0)))),0,1),"""")"),"M4 ")</f>
        <v>M4 </v>
      </c>
      <c r="BP51" s="236" t="str">
        <f>IFERROR(__xludf.DUMMYFUNCTION("if(countif(ecn.list,EP51),OFFSET(INDIRECT(CONCAT(""A"",to_text(match(EP51,ecn.list,0)))),0,1),"""")"),"")</f>
        <v/>
      </c>
      <c r="BQ51" s="236" t="str">
        <f>IFERROR(__xludf.DUMMYFUNCTION("if(countif(ecn.list,EQ51),OFFSET(INDIRECT(CONCAT(""A"",to_text(match(EQ51,ecn.list,0)))),0,1),"""")"),"")</f>
        <v/>
      </c>
      <c r="BR51" s="236" t="str">
        <f>IFERROR(__xludf.DUMMYFUNCTION("if(countif(ecn.list,ER51),OFFSET(INDIRECT(CONCAT(""A"",to_text(match(ER51,ecn.list,0)))),0,1),"""")"),"")</f>
        <v/>
      </c>
      <c r="BS51" s="236" t="str">
        <f>IFERROR(__xludf.DUMMYFUNCTION("if(countif(ecn.list,ES51),OFFSET(INDIRECT(CONCAT(""A"",to_text(match(ES51,ecn.list,0)))),0,1),"""")"),"")</f>
        <v/>
      </c>
      <c r="BT51" s="236" t="str">
        <f>IFERROR(__xludf.DUMMYFUNCTION("if(countif(ecn.list,ET51),OFFSET(INDIRECT(CONCAT(""A"",to_text(match(ET51,ecn.list,0)))),0,1),"""")"),"M9 ")</f>
        <v>M9 </v>
      </c>
      <c r="BU51" s="236" t="str">
        <f>IFERROR(__xludf.DUMMYFUNCTION("if(countif(ecn.list,EU51),OFFSET(INDIRECT(CONCAT(""A"",to_text(match(EU51,ecn.list,0)))),0,1),"""")"),"")</f>
        <v/>
      </c>
      <c r="BV51" s="236" t="str">
        <f>IFERROR(__xludf.DUMMYFUNCTION("if(countif(ecn.list,EV51),OFFSET(INDIRECT(CONCAT(""A"",to_text(match(EV51,ecn.list,0)))),0,1),"""")"),"")</f>
        <v/>
      </c>
      <c r="BW51" s="236" t="str">
        <f>IFERROR(__xludf.DUMMYFUNCTION("if(countif(ecn.list,EW51),OFFSET(INDIRECT(CONCAT(""A"",to_text(match(EW51,ecn.list,0)))),0,1),"""")"),"")</f>
        <v/>
      </c>
      <c r="BX51" s="236" t="str">
        <f>IFERROR(__xludf.DUMMYFUNCTION("if(countif(ecn.list,EX51),OFFSET(INDIRECT(CONCAT(""A"",to_text(match(EX51,ecn.list,0)))),0,1),"""")"),"MD ")</f>
        <v>MD </v>
      </c>
      <c r="BY51" s="236" t="str">
        <f>IFERROR(__xludf.DUMMYFUNCTION("if(countif(ecn.list,EY51),OFFSET(INDIRECT(CONCAT(""A"",to_text(match(EY51,ecn.list,0)))),0,1),"""")"),"")</f>
        <v/>
      </c>
      <c r="BZ51" s="236" t="str">
        <f>IFERROR(__xludf.DUMMYFUNCTION("if(countif(ecn.list,EZ51),OFFSET(INDIRECT(CONCAT(""A"",to_text(match(EZ51,ecn.list,0)))),0,1),"""")"),"MF ")</f>
        <v>MF </v>
      </c>
      <c r="CA51" s="236" t="str">
        <f>IFERROR(__xludf.DUMMYFUNCTION("if(countif(ecn.list,FA51),OFFSET(INDIRECT(CONCAT(""A"",to_text(match(FA51,ecn.list,0)))),0,1),"""")"),"")</f>
        <v/>
      </c>
      <c r="CB51" s="236" t="str">
        <f>IFERROR(__xludf.DUMMYFUNCTION("if(countif(ecn.list,FB51),OFFSET(INDIRECT(CONCAT(""A"",to_text(match(FB51,ecn.list,0)))),0,1),"""")"),"")</f>
        <v/>
      </c>
      <c r="CC51" s="236" t="str">
        <f>IFERROR(__xludf.DUMMYFUNCTION("if(countif(ecn.list,FC51),OFFSET(INDIRECT(CONCAT(""A"",to_text(match(FC51,ecn.list,0)))),0,1),"""")"),"N2 ")</f>
        <v>N2 </v>
      </c>
      <c r="CD51" s="236" t="str">
        <f>IFERROR(__xludf.DUMMYFUNCTION("if(countif(ecn.list,FD51),OFFSET(INDIRECT(CONCAT(""A"",to_text(match(FD51,ecn.list,0)))),0,1),"""")"),"")</f>
        <v/>
      </c>
      <c r="CE51" s="236" t="str">
        <f>IFERROR(__xludf.DUMMYFUNCTION("if(countif(ecn.list,FE51),OFFSET(INDIRECT(CONCAT(""A"",to_text(match(FE51,ecn.list,0)))),0,1),"""")"),"")</f>
        <v/>
      </c>
      <c r="CF51" s="236" t="str">
        <f>IFERROR(__xludf.DUMMYFUNCTION("if(countif(ecn.list,FF51),OFFSET(INDIRECT(CONCAT(""A"",to_text(match(FF51,ecn.list,0)))),0,1),"""")"),"")</f>
        <v/>
      </c>
      <c r="CG51" s="236" t="str">
        <f>IFERROR(__xludf.DUMMYFUNCTION("if(countif(ecn.list,FG51),OFFSET(INDIRECT(CONCAT(""A"",to_text(match(FG51,ecn.list,0)))),0,1),"""")"),"")</f>
        <v/>
      </c>
      <c r="CH51" s="236" t="str">
        <f>IFERROR(__xludf.DUMMYFUNCTION("if(countif(ecn.list,FH51),OFFSET(INDIRECT(CONCAT(""A"",to_text(match(FH51,ecn.list,0)))),0,1),"""")"),"N7 ")</f>
        <v>N7 </v>
      </c>
      <c r="CI51" s="236" t="str">
        <f>IFERROR(__xludf.DUMMYFUNCTION("if(countif(ecn.list,FI51),OFFSET(INDIRECT(CONCAT(""A"",to_text(match(FI51,ecn.list,0)))),0,1),"""")"),"")</f>
        <v/>
      </c>
      <c r="CJ51" s="236" t="str">
        <f>IFERROR(__xludf.DUMMYFUNCTION("if(countif(ecn.list,FJ51),OFFSET(INDIRECT(CONCAT(""A"",to_text(match(FJ51,ecn.list,0)))),0,1),"""")"),"")</f>
        <v/>
      </c>
      <c r="CK51" s="236" t="str">
        <f>IFERROR(__xludf.DUMMYFUNCTION("if(countif(ecn.list,FK51),OFFSET(INDIRECT(CONCAT(""A"",to_text(match(FK51,ecn.list,0)))),0,1),"""")"),"NA ")</f>
        <v>NA </v>
      </c>
      <c r="CL51" s="236" t="str">
        <f>IFERROR(__xludf.DUMMYFUNCTION("if(countif(ecn.list,FL51),OFFSET(INDIRECT(CONCAT(""A"",to_text(match(FL51,ecn.list,0)))),0,1),"""")"),"")</f>
        <v/>
      </c>
      <c r="CM51" s="236" t="str">
        <f>IFERROR(__xludf.DUMMYFUNCTION("if(countif(ecn.list,FM51),OFFSET(INDIRECT(CONCAT(""A"",to_text(match(FM51,ecn.list,0)))),0,1),"""")"),"")</f>
        <v/>
      </c>
      <c r="CN51" s="198" t="s">
        <v>228</v>
      </c>
      <c r="CO51" s="198" t="s">
        <v>1447</v>
      </c>
      <c r="CP51" s="198" t="s">
        <v>1451</v>
      </c>
      <c r="CQ51" s="198" t="s">
        <v>1452</v>
      </c>
      <c r="CR51" s="198" t="s">
        <v>1453</v>
      </c>
      <c r="CS51" s="198" t="s">
        <v>1453</v>
      </c>
      <c r="CT51" s="198" t="s">
        <v>1454</v>
      </c>
      <c r="CU51" s="198" t="s">
        <v>1455</v>
      </c>
      <c r="CV51" s="198" t="s">
        <v>1456</v>
      </c>
      <c r="CW51" s="198" t="s">
        <v>1453</v>
      </c>
      <c r="CX51" s="198" t="s">
        <v>1453</v>
      </c>
      <c r="CY51" s="198" t="s">
        <v>1484</v>
      </c>
      <c r="CZ51" s="198" t="s">
        <v>1509</v>
      </c>
      <c r="DA51" s="198" t="s">
        <v>1457</v>
      </c>
      <c r="DB51" s="198" t="s">
        <v>1453</v>
      </c>
      <c r="DC51" s="198" t="s">
        <v>1453</v>
      </c>
      <c r="DD51" s="198" t="s">
        <v>1453</v>
      </c>
      <c r="DE51" s="198" t="s">
        <v>1459</v>
      </c>
      <c r="DF51" s="198" t="s">
        <v>1453</v>
      </c>
      <c r="DG51" s="198" t="s">
        <v>1453</v>
      </c>
      <c r="DH51" s="198" t="s">
        <v>1500</v>
      </c>
      <c r="DI51" s="198" t="s">
        <v>1501</v>
      </c>
      <c r="DJ51" s="198" t="s">
        <v>1460</v>
      </c>
      <c r="DK51" s="198" t="s">
        <v>1453</v>
      </c>
      <c r="DL51" s="198" t="s">
        <v>1461</v>
      </c>
      <c r="DM51" s="198" t="s">
        <v>1453</v>
      </c>
      <c r="DN51" s="198" t="s">
        <v>1463</v>
      </c>
      <c r="DO51" s="198" t="s">
        <v>1464</v>
      </c>
      <c r="DP51" s="198" t="s">
        <v>1453</v>
      </c>
      <c r="DQ51" s="198" t="s">
        <v>1466</v>
      </c>
      <c r="DR51" s="198" t="s">
        <v>1467</v>
      </c>
      <c r="DS51" s="198" t="s">
        <v>1453</v>
      </c>
      <c r="DT51" s="198" t="s">
        <v>1453</v>
      </c>
      <c r="DU51" s="198" t="s">
        <v>1453</v>
      </c>
      <c r="DV51" s="198" t="s">
        <v>1469</v>
      </c>
      <c r="DW51" s="198" t="s">
        <v>1453</v>
      </c>
      <c r="DX51" s="198" t="s">
        <v>1453</v>
      </c>
      <c r="DY51" s="198" t="s">
        <v>1453</v>
      </c>
      <c r="DZ51" s="198" t="s">
        <v>1453</v>
      </c>
      <c r="EA51" s="198" t="s">
        <v>1453</v>
      </c>
      <c r="EB51" s="198" t="s">
        <v>1453</v>
      </c>
      <c r="EC51" s="198" t="s">
        <v>1483</v>
      </c>
      <c r="ED51" s="198" t="s">
        <v>1453</v>
      </c>
      <c r="EE51" s="198" t="s">
        <v>1470</v>
      </c>
      <c r="EF51" s="198" t="s">
        <v>1453</v>
      </c>
      <c r="EG51" s="198" t="s">
        <v>1471</v>
      </c>
      <c r="EH51" s="198" t="s">
        <v>1453</v>
      </c>
      <c r="EI51" s="198" t="s">
        <v>1453</v>
      </c>
      <c r="EJ51" s="198" t="s">
        <v>1453</v>
      </c>
      <c r="EK51" s="198" t="s">
        <v>1487</v>
      </c>
      <c r="EL51" s="198" t="s">
        <v>1473</v>
      </c>
      <c r="EM51" s="198" t="s">
        <v>1453</v>
      </c>
      <c r="EN51" s="198" t="s">
        <v>1474</v>
      </c>
      <c r="EO51" s="198" t="s">
        <v>1475</v>
      </c>
      <c r="EP51" s="198" t="s">
        <v>1453</v>
      </c>
      <c r="EQ51" s="198" t="s">
        <v>1453</v>
      </c>
      <c r="ER51" s="198" t="s">
        <v>1453</v>
      </c>
      <c r="ES51" s="198" t="s">
        <v>1453</v>
      </c>
      <c r="ET51" s="198" t="s">
        <v>1526</v>
      </c>
      <c r="EU51" s="198" t="s">
        <v>1453</v>
      </c>
      <c r="EV51" s="198" t="s">
        <v>1453</v>
      </c>
      <c r="EW51" s="198" t="s">
        <v>1453</v>
      </c>
      <c r="EX51" s="198" t="s">
        <v>1488</v>
      </c>
      <c r="EY51" s="198" t="s">
        <v>1453</v>
      </c>
      <c r="EZ51" s="198" t="s">
        <v>1477</v>
      </c>
      <c r="FA51" s="198" t="s">
        <v>1453</v>
      </c>
      <c r="FB51" s="198" t="s">
        <v>1453</v>
      </c>
      <c r="FC51" s="198" t="s">
        <v>1478</v>
      </c>
      <c r="FD51" s="198" t="s">
        <v>1453</v>
      </c>
      <c r="FE51" s="198" t="s">
        <v>1453</v>
      </c>
      <c r="FF51" s="198" t="s">
        <v>1453</v>
      </c>
      <c r="FG51" s="198" t="s">
        <v>1453</v>
      </c>
      <c r="FH51" s="198" t="s">
        <v>1479</v>
      </c>
      <c r="FI51" s="198" t="s">
        <v>1453</v>
      </c>
      <c r="FJ51" s="198" t="s">
        <v>1453</v>
      </c>
      <c r="FK51" s="198" t="s">
        <v>1481</v>
      </c>
      <c r="FL51" s="198" t="s">
        <v>1482</v>
      </c>
      <c r="FM51" s="198" t="s">
        <v>1453</v>
      </c>
    </row>
    <row r="52" ht="15.75" customHeight="1">
      <c r="A52" s="198" t="s">
        <v>1473</v>
      </c>
      <c r="B52" s="198" t="str">
        <f t="shared" si="6"/>
        <v>M1 </v>
      </c>
      <c r="C52" s="234">
        <v>1.0</v>
      </c>
      <c r="D52" s="232" t="s">
        <v>770</v>
      </c>
      <c r="E52" s="232" t="s">
        <v>1448</v>
      </c>
      <c r="F52" s="232" t="s">
        <v>1449</v>
      </c>
      <c r="G52" s="232" t="s">
        <v>1450</v>
      </c>
      <c r="H52" s="232" t="s">
        <v>876</v>
      </c>
      <c r="I52" s="232" t="s">
        <v>970</v>
      </c>
      <c r="J52" s="232" t="s">
        <v>838</v>
      </c>
      <c r="K52" s="232" t="s">
        <v>976</v>
      </c>
      <c r="L52" s="188" t="s">
        <v>231</v>
      </c>
      <c r="M52" s="236" t="str">
        <f>IFERROR(__xludf.DUMMYFUNCTION("regexreplace(N52,"" "","", "")"),"J0, J1, J2, J5, J6, J7, JA, JC, JF, K0, K3, K4, K5, K7, K8, K9, KA, KB, KC, KD, KF, L1, L8, LA, LC, LF, M0, M1, M3, M8, MB, MF, N2, N7, NA, ")</f>
        <v>J0, J1, J2, J5, J6, J7, JA, JC, JF, K0, K3, K4, K5, K7, K8, K9, KA, KB, KC, KD, KF, L1, L8, LA, LC, LF, M0, M1, M3, M8, MB, MF, N2, N7, NA, </v>
      </c>
      <c r="N52" s="236" t="str">
        <f t="shared" si="2"/>
        <v>J0 J1 J2 J5 J6 J7 JA JC JF K0 K3 K4 K5 K7 K8 K9 KA KB KC KD KF L1 L8 LA LC LF M0 M1 M3 M8 MB MF N2 N7 NA </v>
      </c>
      <c r="O52" s="236" t="str">
        <f>IFERROR(__xludf.DUMMYFUNCTION("if(countif(ecn.list,CO52),OFFSET(INDIRECT(CONCAT(""A"",to_text(match(CO52,ecn.list,0)))),0,1),"""")"),"J0 ")</f>
        <v>J0 </v>
      </c>
      <c r="P52" s="236" t="str">
        <f>IFERROR(__xludf.DUMMYFUNCTION("if(countif(ecn.list,CP52),OFFSET(INDIRECT(CONCAT(""A"",to_text(match(CP52,ecn.list,0)))),0,1),"""")"),"J1 ")</f>
        <v>J1 </v>
      </c>
      <c r="Q52" s="236" t="str">
        <f>IFERROR(__xludf.DUMMYFUNCTION("if(countif(ecn.list,CQ52),OFFSET(INDIRECT(CONCAT(""A"",to_text(match(CQ52,ecn.list,0)))),0,1),"""")"),"J2 ")</f>
        <v>J2 </v>
      </c>
      <c r="R52" s="236" t="str">
        <f>IFERROR(__xludf.DUMMYFUNCTION("if(countif(ecn.list,CR52),OFFSET(INDIRECT(CONCAT(""A"",to_text(match(CR52,ecn.list,0)))),0,1),"""")"),"")</f>
        <v/>
      </c>
      <c r="S52" s="236" t="str">
        <f>IFERROR(__xludf.DUMMYFUNCTION("if(countif(ecn.list,CS52),OFFSET(INDIRECT(CONCAT(""A"",to_text(match(CS52,ecn.list,0)))),0,1),"""")"),"")</f>
        <v/>
      </c>
      <c r="T52" s="236" t="str">
        <f>IFERROR(__xludf.DUMMYFUNCTION("if(countif(ecn.list,CT52),OFFSET(INDIRECT(CONCAT(""A"",to_text(match(CT52,ecn.list,0)))),0,1),"""")"),"J5 ")</f>
        <v>J5 </v>
      </c>
      <c r="U52" s="236" t="str">
        <f>IFERROR(__xludf.DUMMYFUNCTION("if(countif(ecn.list,CU52),OFFSET(INDIRECT(CONCAT(""A"",to_text(match(CU52,ecn.list,0)))),0,1),"""")"),"J6 ")</f>
        <v>J6 </v>
      </c>
      <c r="V52" s="236" t="str">
        <f>IFERROR(__xludf.DUMMYFUNCTION("if(countif(ecn.list,CV52),OFFSET(INDIRECT(CONCAT(""A"",to_text(match(CV52,ecn.list,0)))),0,1),"""")"),"J7 ")</f>
        <v>J7 </v>
      </c>
      <c r="W52" s="236" t="str">
        <f>IFERROR(__xludf.DUMMYFUNCTION("if(countif(ecn.list,CW52),OFFSET(INDIRECT(CONCAT(""A"",to_text(match(CW52,ecn.list,0)))),0,1),"""")"),"")</f>
        <v/>
      </c>
      <c r="X52" s="236" t="str">
        <f>IFERROR(__xludf.DUMMYFUNCTION("if(countif(ecn.list,CX52),OFFSET(INDIRECT(CONCAT(""A"",to_text(match(CX52,ecn.list,0)))),0,1),"""")"),"")</f>
        <v/>
      </c>
      <c r="Y52" s="236" t="str">
        <f>IFERROR(__xludf.DUMMYFUNCTION("if(countif(ecn.list,CY52),OFFSET(INDIRECT(CONCAT(""A"",to_text(match(CY52,ecn.list,0)))),0,1),"""")"),"JA ")</f>
        <v>JA </v>
      </c>
      <c r="Z52" s="236" t="str">
        <f>IFERROR(__xludf.DUMMYFUNCTION("if(countif(ecn.list,CZ52),OFFSET(INDIRECT(CONCAT(""A"",to_text(match(CZ52,ecn.list,0)))),0,1),"""")"),"")</f>
        <v/>
      </c>
      <c r="AA52" s="236" t="str">
        <f>IFERROR(__xludf.DUMMYFUNCTION("if(countif(ecn.list,DA52),OFFSET(INDIRECT(CONCAT(""A"",to_text(match(DA52,ecn.list,0)))),0,1),"""")"),"JC ")</f>
        <v>JC </v>
      </c>
      <c r="AB52" s="236" t="str">
        <f>IFERROR(__xludf.DUMMYFUNCTION("if(countif(ecn.list,DB52),OFFSET(INDIRECT(CONCAT(""A"",to_text(match(DB52,ecn.list,0)))),0,1),"""")"),"")</f>
        <v/>
      </c>
      <c r="AC52" s="236" t="str">
        <f>IFERROR(__xludf.DUMMYFUNCTION("if(countif(ecn.list,DC52),OFFSET(INDIRECT(CONCAT(""A"",to_text(match(DC52,ecn.list,0)))),0,1),"""")"),"")</f>
        <v/>
      </c>
      <c r="AD52" s="236" t="str">
        <f>IFERROR(__xludf.DUMMYFUNCTION("if(countif(ecn.list,DD52),OFFSET(INDIRECT(CONCAT(""A"",to_text(match(DD52,ecn.list,0)))),0,1),"""")"),"JF ")</f>
        <v>JF </v>
      </c>
      <c r="AE52" s="236" t="str">
        <f>IFERROR(__xludf.DUMMYFUNCTION("if(countif(ecn.list,DE52),OFFSET(INDIRECT(CONCAT(""A"",to_text(match(DE52,ecn.list,0)))),0,1),"""")"),"K0 ")</f>
        <v>K0 </v>
      </c>
      <c r="AF52" s="236" t="str">
        <f>IFERROR(__xludf.DUMMYFUNCTION("if(countif(ecn.list,DF52),OFFSET(INDIRECT(CONCAT(""A"",to_text(match(DF52,ecn.list,0)))),0,1),"""")"),"")</f>
        <v/>
      </c>
      <c r="AG52" s="236" t="str">
        <f>IFERROR(__xludf.DUMMYFUNCTION("if(countif(ecn.list,DG52),OFFSET(INDIRECT(CONCAT(""A"",to_text(match(DG52,ecn.list,0)))),0,1),"""")"),"")</f>
        <v/>
      </c>
      <c r="AH52" s="236" t="str">
        <f>IFERROR(__xludf.DUMMYFUNCTION("if(countif(ecn.list,DH52),OFFSET(INDIRECT(CONCAT(""A"",to_text(match(DH52,ecn.list,0)))),0,1),"""")"),"K3 ")</f>
        <v>K3 </v>
      </c>
      <c r="AI52" s="236" t="str">
        <f>IFERROR(__xludf.DUMMYFUNCTION("if(countif(ecn.list,DI52),OFFSET(INDIRECT(CONCAT(""A"",to_text(match(DI52,ecn.list,0)))),0,1),"""")"),"K4 ")</f>
        <v>K4 </v>
      </c>
      <c r="AJ52" s="236" t="str">
        <f>IFERROR(__xludf.DUMMYFUNCTION("if(countif(ecn.list,DJ52),OFFSET(INDIRECT(CONCAT(""A"",to_text(match(DJ52,ecn.list,0)))),0,1),"""")"),"K5 ")</f>
        <v>K5 </v>
      </c>
      <c r="AK52" s="236" t="str">
        <f>IFERROR(__xludf.DUMMYFUNCTION("if(countif(ecn.list,DK52),OFFSET(INDIRECT(CONCAT(""A"",to_text(match(DK52,ecn.list,0)))),0,1),"""")"),"")</f>
        <v/>
      </c>
      <c r="AL52" s="236" t="str">
        <f>IFERROR(__xludf.DUMMYFUNCTION("if(countif(ecn.list,DL52),OFFSET(INDIRECT(CONCAT(""A"",to_text(match(DL52,ecn.list,0)))),0,1),"""")"),"K7 ")</f>
        <v>K7 </v>
      </c>
      <c r="AM52" s="236" t="str">
        <f>IFERROR(__xludf.DUMMYFUNCTION("if(countif(ecn.list,DM52),OFFSET(INDIRECT(CONCAT(""A"",to_text(match(DM52,ecn.list,0)))),0,1),"""")"),"K8 ")</f>
        <v>K8 </v>
      </c>
      <c r="AN52" s="236" t="str">
        <f>IFERROR(__xludf.DUMMYFUNCTION("if(countif(ecn.list,DN52),OFFSET(INDIRECT(CONCAT(""A"",to_text(match(DN52,ecn.list,0)))),0,1),"""")"),"K9 ")</f>
        <v>K9 </v>
      </c>
      <c r="AO52" s="236" t="str">
        <f>IFERROR(__xludf.DUMMYFUNCTION("if(countif(ecn.list,DO52),OFFSET(INDIRECT(CONCAT(""A"",to_text(match(DO52,ecn.list,0)))),0,1),"""")"),"KA ")</f>
        <v>KA </v>
      </c>
      <c r="AP52" s="236" t="str">
        <f>IFERROR(__xludf.DUMMYFUNCTION("if(countif(ecn.list,DP52),OFFSET(INDIRECT(CONCAT(""A"",to_text(match(DP52,ecn.list,0)))),0,1),"""")"),"KB ")</f>
        <v>KB </v>
      </c>
      <c r="AQ52" s="236" t="str">
        <f>IFERROR(__xludf.DUMMYFUNCTION("if(countif(ecn.list,DQ52),OFFSET(INDIRECT(CONCAT(""A"",to_text(match(DQ52,ecn.list,0)))),0,1),"""")"),"KC ")</f>
        <v>KC </v>
      </c>
      <c r="AR52" s="236" t="str">
        <f>IFERROR(__xludf.DUMMYFUNCTION("if(countif(ecn.list,DR52),OFFSET(INDIRECT(CONCAT(""A"",to_text(match(DR52,ecn.list,0)))),0,1),"""")"),"KD ")</f>
        <v>KD </v>
      </c>
      <c r="AS52" s="236" t="str">
        <f>IFERROR(__xludf.DUMMYFUNCTION("if(countif(ecn.list,DS52),OFFSET(INDIRECT(CONCAT(""A"",to_text(match(DS52,ecn.list,0)))),0,1),"""")"),"")</f>
        <v/>
      </c>
      <c r="AT52" s="236" t="str">
        <f>IFERROR(__xludf.DUMMYFUNCTION("if(countif(ecn.list,DT52),OFFSET(INDIRECT(CONCAT(""A"",to_text(match(DT52,ecn.list,0)))),0,1),"""")"),"KF ")</f>
        <v>KF </v>
      </c>
      <c r="AU52" s="236" t="str">
        <f>IFERROR(__xludf.DUMMYFUNCTION("if(countif(ecn.list,DU52),OFFSET(INDIRECT(CONCAT(""A"",to_text(match(DU52,ecn.list,0)))),0,1),"""")"),"")</f>
        <v/>
      </c>
      <c r="AV52" s="236" t="str">
        <f>IFERROR(__xludf.DUMMYFUNCTION("if(countif(ecn.list,DV52),OFFSET(INDIRECT(CONCAT(""A"",to_text(match(DV52,ecn.list,0)))),0,1),"""")"),"L1 ")</f>
        <v>L1 </v>
      </c>
      <c r="AW52" s="236" t="str">
        <f>IFERROR(__xludf.DUMMYFUNCTION("if(countif(ecn.list,DW52),OFFSET(INDIRECT(CONCAT(""A"",to_text(match(DW52,ecn.list,0)))),0,1),"""")"),"")</f>
        <v/>
      </c>
      <c r="AX52" s="236" t="str">
        <f>IFERROR(__xludf.DUMMYFUNCTION("if(countif(ecn.list,DX52),OFFSET(INDIRECT(CONCAT(""A"",to_text(match(DX52,ecn.list,0)))),0,1),"""")"),"")</f>
        <v/>
      </c>
      <c r="AY52" s="236" t="str">
        <f>IFERROR(__xludf.DUMMYFUNCTION("if(countif(ecn.list,DY52),OFFSET(INDIRECT(CONCAT(""A"",to_text(match(DY52,ecn.list,0)))),0,1),"""")"),"")</f>
        <v/>
      </c>
      <c r="AZ52" s="236" t="str">
        <f>IFERROR(__xludf.DUMMYFUNCTION("if(countif(ecn.list,DZ52),OFFSET(INDIRECT(CONCAT(""A"",to_text(match(DZ52,ecn.list,0)))),0,1),"""")"),"")</f>
        <v/>
      </c>
      <c r="BA52" s="236" t="str">
        <f>IFERROR(__xludf.DUMMYFUNCTION("if(countif(ecn.list,EA52),OFFSET(INDIRECT(CONCAT(""A"",to_text(match(EA52,ecn.list,0)))),0,1),"""")"),"")</f>
        <v/>
      </c>
      <c r="BB52" s="236" t="str">
        <f>IFERROR(__xludf.DUMMYFUNCTION("if(countif(ecn.list,EB52),OFFSET(INDIRECT(CONCAT(""A"",to_text(match(EB52,ecn.list,0)))),0,1),"""")"),"")</f>
        <v/>
      </c>
      <c r="BC52" s="236" t="str">
        <f>IFERROR(__xludf.DUMMYFUNCTION("if(countif(ecn.list,EC52),OFFSET(INDIRECT(CONCAT(""A"",to_text(match(EC52,ecn.list,0)))),0,1),"""")"),"L8 ")</f>
        <v>L8 </v>
      </c>
      <c r="BD52" s="236" t="str">
        <f>IFERROR(__xludf.DUMMYFUNCTION("if(countif(ecn.list,ED52),OFFSET(INDIRECT(CONCAT(""A"",to_text(match(ED52,ecn.list,0)))),0,1),"""")"),"")</f>
        <v/>
      </c>
      <c r="BE52" s="236" t="str">
        <f>IFERROR(__xludf.DUMMYFUNCTION("if(countif(ecn.list,EE52),OFFSET(INDIRECT(CONCAT(""A"",to_text(match(EE52,ecn.list,0)))),0,1),"""")"),"LA ")</f>
        <v>LA </v>
      </c>
      <c r="BF52" s="236" t="str">
        <f>IFERROR(__xludf.DUMMYFUNCTION("if(countif(ecn.list,EF52),OFFSET(INDIRECT(CONCAT(""A"",to_text(match(EF52,ecn.list,0)))),0,1),"""")"),"")</f>
        <v/>
      </c>
      <c r="BG52" s="236" t="str">
        <f>IFERROR(__xludf.DUMMYFUNCTION("if(countif(ecn.list,EG52),OFFSET(INDIRECT(CONCAT(""A"",to_text(match(EG52,ecn.list,0)))),0,1),"""")"),"LC ")</f>
        <v>LC </v>
      </c>
      <c r="BH52" s="236" t="str">
        <f>IFERROR(__xludf.DUMMYFUNCTION("if(countif(ecn.list,EH52),OFFSET(INDIRECT(CONCAT(""A"",to_text(match(EH52,ecn.list,0)))),0,1),"""")"),"")</f>
        <v/>
      </c>
      <c r="BI52" s="236" t="str">
        <f>IFERROR(__xludf.DUMMYFUNCTION("if(countif(ecn.list,EI52),OFFSET(INDIRECT(CONCAT(""A"",to_text(match(EI52,ecn.list,0)))),0,1),"""")"),"")</f>
        <v/>
      </c>
      <c r="BJ52" s="236" t="str">
        <f>IFERROR(__xludf.DUMMYFUNCTION("if(countif(ecn.list,EJ52),OFFSET(INDIRECT(CONCAT(""A"",to_text(match(EJ52,ecn.list,0)))),0,1),"""")"),"LF ")</f>
        <v>LF </v>
      </c>
      <c r="BK52" s="236" t="str">
        <f>IFERROR(__xludf.DUMMYFUNCTION("if(countif(ecn.list,EK52),OFFSET(INDIRECT(CONCAT(""A"",to_text(match(EK52,ecn.list,0)))),0,1),"""")"),"M0 ")</f>
        <v>M0 </v>
      </c>
      <c r="BL52" s="236" t="str">
        <f>IFERROR(__xludf.DUMMYFUNCTION("if(countif(ecn.list,EL52),OFFSET(INDIRECT(CONCAT(""A"",to_text(match(EL52,ecn.list,0)))),0,1),"""")"),"M1 ")</f>
        <v>M1 </v>
      </c>
      <c r="BM52" s="236" t="str">
        <f>IFERROR(__xludf.DUMMYFUNCTION("if(countif(ecn.list,EM52),OFFSET(INDIRECT(CONCAT(""A"",to_text(match(EM52,ecn.list,0)))),0,1),"""")"),"")</f>
        <v/>
      </c>
      <c r="BN52" s="236" t="str">
        <f>IFERROR(__xludf.DUMMYFUNCTION("if(countif(ecn.list,EN52),OFFSET(INDIRECT(CONCAT(""A"",to_text(match(EN52,ecn.list,0)))),0,1),"""")"),"M3 ")</f>
        <v>M3 </v>
      </c>
      <c r="BO52" s="236" t="str">
        <f>IFERROR(__xludf.DUMMYFUNCTION("if(countif(ecn.list,EO52),OFFSET(INDIRECT(CONCAT(""A"",to_text(match(EO52,ecn.list,0)))),0,1),"""")"),"")</f>
        <v/>
      </c>
      <c r="BP52" s="236" t="str">
        <f>IFERROR(__xludf.DUMMYFUNCTION("if(countif(ecn.list,EP52),OFFSET(INDIRECT(CONCAT(""A"",to_text(match(EP52,ecn.list,0)))),0,1),"""")"),"")</f>
        <v/>
      </c>
      <c r="BQ52" s="236" t="str">
        <f>IFERROR(__xludf.DUMMYFUNCTION("if(countif(ecn.list,EQ52),OFFSET(INDIRECT(CONCAT(""A"",to_text(match(EQ52,ecn.list,0)))),0,1),"""")"),"")</f>
        <v/>
      </c>
      <c r="BR52" s="236" t="str">
        <f>IFERROR(__xludf.DUMMYFUNCTION("if(countif(ecn.list,ER52),OFFSET(INDIRECT(CONCAT(""A"",to_text(match(ER52,ecn.list,0)))),0,1),"""")"),"")</f>
        <v/>
      </c>
      <c r="BS52" s="236" t="str">
        <f>IFERROR(__xludf.DUMMYFUNCTION("if(countif(ecn.list,ES52),OFFSET(INDIRECT(CONCAT(""A"",to_text(match(ES52,ecn.list,0)))),0,1),"""")"),"M8 ")</f>
        <v>M8 </v>
      </c>
      <c r="BT52" s="236" t="str">
        <f>IFERROR(__xludf.DUMMYFUNCTION("if(countif(ecn.list,ET52),OFFSET(INDIRECT(CONCAT(""A"",to_text(match(ET52,ecn.list,0)))),0,1),"""")"),"")</f>
        <v/>
      </c>
      <c r="BU52" s="236" t="str">
        <f>IFERROR(__xludf.DUMMYFUNCTION("if(countif(ecn.list,EU52),OFFSET(INDIRECT(CONCAT(""A"",to_text(match(EU52,ecn.list,0)))),0,1),"""")"),"")</f>
        <v/>
      </c>
      <c r="BV52" s="236" t="str">
        <f>IFERROR(__xludf.DUMMYFUNCTION("if(countif(ecn.list,EV52),OFFSET(INDIRECT(CONCAT(""A"",to_text(match(EV52,ecn.list,0)))),0,1),"""")"),"MB ")</f>
        <v>MB </v>
      </c>
      <c r="BW52" s="236" t="str">
        <f>IFERROR(__xludf.DUMMYFUNCTION("if(countif(ecn.list,EW52),OFFSET(INDIRECT(CONCAT(""A"",to_text(match(EW52,ecn.list,0)))),0,1),"""")"),"")</f>
        <v/>
      </c>
      <c r="BX52" s="236" t="str">
        <f>IFERROR(__xludf.DUMMYFUNCTION("if(countif(ecn.list,EX52),OFFSET(INDIRECT(CONCAT(""A"",to_text(match(EX52,ecn.list,0)))),0,1),"""")"),"")</f>
        <v/>
      </c>
      <c r="BY52" s="236" t="str">
        <f>IFERROR(__xludf.DUMMYFUNCTION("if(countif(ecn.list,EY52),OFFSET(INDIRECT(CONCAT(""A"",to_text(match(EY52,ecn.list,0)))),0,1),"""")"),"")</f>
        <v/>
      </c>
      <c r="BZ52" s="236" t="str">
        <f>IFERROR(__xludf.DUMMYFUNCTION("if(countif(ecn.list,EZ52),OFFSET(INDIRECT(CONCAT(""A"",to_text(match(EZ52,ecn.list,0)))),0,1),"""")"),"MF ")</f>
        <v>MF </v>
      </c>
      <c r="CA52" s="236" t="str">
        <f>IFERROR(__xludf.DUMMYFUNCTION("if(countif(ecn.list,FA52),OFFSET(INDIRECT(CONCAT(""A"",to_text(match(FA52,ecn.list,0)))),0,1),"""")"),"")</f>
        <v/>
      </c>
      <c r="CB52" s="236" t="str">
        <f>IFERROR(__xludf.DUMMYFUNCTION("if(countif(ecn.list,FB52),OFFSET(INDIRECT(CONCAT(""A"",to_text(match(FB52,ecn.list,0)))),0,1),"""")"),"")</f>
        <v/>
      </c>
      <c r="CC52" s="236" t="str">
        <f>IFERROR(__xludf.DUMMYFUNCTION("if(countif(ecn.list,FC52),OFFSET(INDIRECT(CONCAT(""A"",to_text(match(FC52,ecn.list,0)))),0,1),"""")"),"N2 ")</f>
        <v>N2 </v>
      </c>
      <c r="CD52" s="236" t="str">
        <f>IFERROR(__xludf.DUMMYFUNCTION("if(countif(ecn.list,FD52),OFFSET(INDIRECT(CONCAT(""A"",to_text(match(FD52,ecn.list,0)))),0,1),"""")"),"")</f>
        <v/>
      </c>
      <c r="CE52" s="236" t="str">
        <f>IFERROR(__xludf.DUMMYFUNCTION("if(countif(ecn.list,FE52),OFFSET(INDIRECT(CONCAT(""A"",to_text(match(FE52,ecn.list,0)))),0,1),"""")"),"")</f>
        <v/>
      </c>
      <c r="CF52" s="236" t="str">
        <f>IFERROR(__xludf.DUMMYFUNCTION("if(countif(ecn.list,FF52),OFFSET(INDIRECT(CONCAT(""A"",to_text(match(FF52,ecn.list,0)))),0,1),"""")"),"")</f>
        <v/>
      </c>
      <c r="CG52" s="236" t="str">
        <f>IFERROR(__xludf.DUMMYFUNCTION("if(countif(ecn.list,FG52),OFFSET(INDIRECT(CONCAT(""A"",to_text(match(FG52,ecn.list,0)))),0,1),"""")"),"")</f>
        <v/>
      </c>
      <c r="CH52" s="236" t="str">
        <f>IFERROR(__xludf.DUMMYFUNCTION("if(countif(ecn.list,FH52),OFFSET(INDIRECT(CONCAT(""A"",to_text(match(FH52,ecn.list,0)))),0,1),"""")"),"N7 ")</f>
        <v>N7 </v>
      </c>
      <c r="CI52" s="236" t="str">
        <f>IFERROR(__xludf.DUMMYFUNCTION("if(countif(ecn.list,FI52),OFFSET(INDIRECT(CONCAT(""A"",to_text(match(FI52,ecn.list,0)))),0,1),"""")"),"")</f>
        <v/>
      </c>
      <c r="CJ52" s="236" t="str">
        <f>IFERROR(__xludf.DUMMYFUNCTION("if(countif(ecn.list,FJ52),OFFSET(INDIRECT(CONCAT(""A"",to_text(match(FJ52,ecn.list,0)))),0,1),"""")"),"")</f>
        <v/>
      </c>
      <c r="CK52" s="236" t="str">
        <f>IFERROR(__xludf.DUMMYFUNCTION("if(countif(ecn.list,FK52),OFFSET(INDIRECT(CONCAT(""A"",to_text(match(FK52,ecn.list,0)))),0,1),"""")"),"NA ")</f>
        <v>NA </v>
      </c>
      <c r="CL52" s="236" t="str">
        <f>IFERROR(__xludf.DUMMYFUNCTION("if(countif(ecn.list,FL52),OFFSET(INDIRECT(CONCAT(""A"",to_text(match(FL52,ecn.list,0)))),0,1),"""")"),"")</f>
        <v/>
      </c>
      <c r="CM52" s="236" t="str">
        <f>IFERROR(__xludf.DUMMYFUNCTION("if(countif(ecn.list,FM52),OFFSET(INDIRECT(CONCAT(""A"",to_text(match(FM52,ecn.list,0)))),0,1),"""")"),"")</f>
        <v/>
      </c>
      <c r="CN52" s="198" t="s">
        <v>231</v>
      </c>
      <c r="CO52" s="198" t="s">
        <v>1447</v>
      </c>
      <c r="CP52" s="198" t="s">
        <v>1451</v>
      </c>
      <c r="CQ52" s="198" t="s">
        <v>1452</v>
      </c>
      <c r="CR52" s="198" t="s">
        <v>1453</v>
      </c>
      <c r="CS52" s="198" t="s">
        <v>1453</v>
      </c>
      <c r="CT52" s="198" t="s">
        <v>1454</v>
      </c>
      <c r="CU52" s="198" t="s">
        <v>1455</v>
      </c>
      <c r="CV52" s="198" t="s">
        <v>1456</v>
      </c>
      <c r="CW52" s="198" t="s">
        <v>1453</v>
      </c>
      <c r="CX52" s="198" t="s">
        <v>1453</v>
      </c>
      <c r="CY52" s="198" t="s">
        <v>1484</v>
      </c>
      <c r="CZ52" s="198" t="s">
        <v>1453</v>
      </c>
      <c r="DA52" s="198" t="s">
        <v>1457</v>
      </c>
      <c r="DB52" s="198" t="s">
        <v>1453</v>
      </c>
      <c r="DC52" s="198" t="s">
        <v>1453</v>
      </c>
      <c r="DD52" s="198" t="s">
        <v>1458</v>
      </c>
      <c r="DE52" s="198" t="s">
        <v>1459</v>
      </c>
      <c r="DF52" s="198" t="s">
        <v>1453</v>
      </c>
      <c r="DG52" s="198" t="s">
        <v>1453</v>
      </c>
      <c r="DH52" s="198" t="s">
        <v>1500</v>
      </c>
      <c r="DI52" s="198" t="s">
        <v>1501</v>
      </c>
      <c r="DJ52" s="198" t="s">
        <v>1460</v>
      </c>
      <c r="DK52" s="198" t="s">
        <v>1453</v>
      </c>
      <c r="DL52" s="198" t="s">
        <v>1461</v>
      </c>
      <c r="DM52" s="198" t="s">
        <v>1462</v>
      </c>
      <c r="DN52" s="198" t="s">
        <v>1463</v>
      </c>
      <c r="DO52" s="198" t="s">
        <v>1464</v>
      </c>
      <c r="DP52" s="198" t="s">
        <v>1465</v>
      </c>
      <c r="DQ52" s="198" t="s">
        <v>1466</v>
      </c>
      <c r="DR52" s="198" t="s">
        <v>1467</v>
      </c>
      <c r="DS52" s="198" t="s">
        <v>1453</v>
      </c>
      <c r="DT52" s="198" t="s">
        <v>1468</v>
      </c>
      <c r="DU52" s="198" t="s">
        <v>1453</v>
      </c>
      <c r="DV52" s="198" t="s">
        <v>1469</v>
      </c>
      <c r="DW52" s="198" t="s">
        <v>1453</v>
      </c>
      <c r="DX52" s="198" t="s">
        <v>1453</v>
      </c>
      <c r="DY52" s="198" t="s">
        <v>1453</v>
      </c>
      <c r="DZ52" s="198" t="s">
        <v>1453</v>
      </c>
      <c r="EA52" s="198" t="s">
        <v>1453</v>
      </c>
      <c r="EB52" s="198" t="s">
        <v>1453</v>
      </c>
      <c r="EC52" s="198" t="s">
        <v>1483</v>
      </c>
      <c r="ED52" s="198" t="s">
        <v>1453</v>
      </c>
      <c r="EE52" s="198" t="s">
        <v>1470</v>
      </c>
      <c r="EF52" s="198" t="s">
        <v>1453</v>
      </c>
      <c r="EG52" s="198" t="s">
        <v>1471</v>
      </c>
      <c r="EH52" s="198" t="s">
        <v>1453</v>
      </c>
      <c r="EI52" s="198" t="s">
        <v>1453</v>
      </c>
      <c r="EJ52" s="198" t="s">
        <v>1472</v>
      </c>
      <c r="EK52" s="198" t="s">
        <v>1487</v>
      </c>
      <c r="EL52" s="198" t="s">
        <v>1473</v>
      </c>
      <c r="EM52" s="198" t="s">
        <v>1453</v>
      </c>
      <c r="EN52" s="198" t="s">
        <v>1474</v>
      </c>
      <c r="EO52" s="198" t="s">
        <v>1453</v>
      </c>
      <c r="EP52" s="198" t="s">
        <v>1453</v>
      </c>
      <c r="EQ52" s="198" t="s">
        <v>1453</v>
      </c>
      <c r="ER52" s="198" t="s">
        <v>1453</v>
      </c>
      <c r="ES52" s="198" t="s">
        <v>1505</v>
      </c>
      <c r="ET52" s="198" t="s">
        <v>1453</v>
      </c>
      <c r="EU52" s="198" t="s">
        <v>1453</v>
      </c>
      <c r="EV52" s="198" t="s">
        <v>1476</v>
      </c>
      <c r="EW52" s="198" t="s">
        <v>1453</v>
      </c>
      <c r="EX52" s="198" t="s">
        <v>1453</v>
      </c>
      <c r="EY52" s="198" t="s">
        <v>1453</v>
      </c>
      <c r="EZ52" s="198" t="s">
        <v>1477</v>
      </c>
      <c r="FA52" s="198" t="s">
        <v>1453</v>
      </c>
      <c r="FB52" s="198" t="s">
        <v>1453</v>
      </c>
      <c r="FC52" s="198" t="s">
        <v>1478</v>
      </c>
      <c r="FD52" s="198" t="s">
        <v>1453</v>
      </c>
      <c r="FE52" s="198" t="s">
        <v>1453</v>
      </c>
      <c r="FF52" s="198" t="s">
        <v>1453</v>
      </c>
      <c r="FG52" s="198" t="s">
        <v>1453</v>
      </c>
      <c r="FH52" s="198" t="s">
        <v>1479</v>
      </c>
      <c r="FI52" s="198" t="s">
        <v>1453</v>
      </c>
      <c r="FJ52" s="198" t="s">
        <v>1453</v>
      </c>
      <c r="FK52" s="198" t="s">
        <v>1481</v>
      </c>
      <c r="FL52" s="198" t="s">
        <v>1482</v>
      </c>
      <c r="FM52" s="198" t="s">
        <v>1453</v>
      </c>
    </row>
    <row r="53" ht="15.75" customHeight="1">
      <c r="A53" s="198" t="s">
        <v>1493</v>
      </c>
      <c r="B53" s="198" t="str">
        <f t="shared" si="6"/>
        <v>M2 </v>
      </c>
      <c r="C53" s="234">
        <v>2.0</v>
      </c>
      <c r="D53" s="232" t="s">
        <v>770</v>
      </c>
      <c r="E53" s="232" t="s">
        <v>1448</v>
      </c>
      <c r="F53" s="232" t="s">
        <v>1449</v>
      </c>
      <c r="G53" s="232" t="s">
        <v>1450</v>
      </c>
      <c r="H53" s="232" t="s">
        <v>876</v>
      </c>
      <c r="I53" s="232" t="s">
        <v>1019</v>
      </c>
      <c r="J53" s="232" t="s">
        <v>1527</v>
      </c>
      <c r="K53" s="232" t="s">
        <v>1041</v>
      </c>
      <c r="L53" s="188" t="s">
        <v>234</v>
      </c>
      <c r="M53" s="236" t="str">
        <f>IFERROR(__xludf.DUMMYFUNCTION("regexreplace(N53,"" "","", "")"),"J0, J1, J2, J5, J6, J7, JA, JC, JF, K0, K3, K4, K5, K7, K9, KA, KB, KC, KD, KF, L1, L8, LA, LC, LF, M0, M3, M8, MB, MF, N2, N7, NA, ")</f>
        <v>J0, J1, J2, J5, J6, J7, JA, JC, JF, K0, K3, K4, K5, K7, K9, KA, KB, KC, KD, KF, L1, L8, LA, LC, LF, M0, M3, M8, MB, MF, N2, N7, NA, </v>
      </c>
      <c r="N53" s="236" t="str">
        <f t="shared" si="2"/>
        <v>J0 J1 J2 J5 J6 J7 JA JC JF K0 K3 K4 K5 K7 K9 KA KB KC KD KF L1 L8 LA LC LF M0 M3 M8 MB MF N2 N7 NA </v>
      </c>
      <c r="O53" s="236" t="str">
        <f>IFERROR(__xludf.DUMMYFUNCTION("if(countif(ecn.list,CO53),OFFSET(INDIRECT(CONCAT(""A"",to_text(match(CO53,ecn.list,0)))),0,1),"""")"),"J0 ")</f>
        <v>J0 </v>
      </c>
      <c r="P53" s="236" t="str">
        <f>IFERROR(__xludf.DUMMYFUNCTION("if(countif(ecn.list,CP53),OFFSET(INDIRECT(CONCAT(""A"",to_text(match(CP53,ecn.list,0)))),0,1),"""")"),"J1 ")</f>
        <v>J1 </v>
      </c>
      <c r="Q53" s="236" t="str">
        <f>IFERROR(__xludf.DUMMYFUNCTION("if(countif(ecn.list,CQ53),OFFSET(INDIRECT(CONCAT(""A"",to_text(match(CQ53,ecn.list,0)))),0,1),"""")"),"J2 ")</f>
        <v>J2 </v>
      </c>
      <c r="R53" s="236" t="str">
        <f>IFERROR(__xludf.DUMMYFUNCTION("if(countif(ecn.list,CR53),OFFSET(INDIRECT(CONCAT(""A"",to_text(match(CR53,ecn.list,0)))),0,1),"""")"),"")</f>
        <v/>
      </c>
      <c r="S53" s="236" t="str">
        <f>IFERROR(__xludf.DUMMYFUNCTION("if(countif(ecn.list,CS53),OFFSET(INDIRECT(CONCAT(""A"",to_text(match(CS53,ecn.list,0)))),0,1),"""")"),"")</f>
        <v/>
      </c>
      <c r="T53" s="236" t="str">
        <f>IFERROR(__xludf.DUMMYFUNCTION("if(countif(ecn.list,CT53),OFFSET(INDIRECT(CONCAT(""A"",to_text(match(CT53,ecn.list,0)))),0,1),"""")"),"J5 ")</f>
        <v>J5 </v>
      </c>
      <c r="U53" s="236" t="str">
        <f>IFERROR(__xludf.DUMMYFUNCTION("if(countif(ecn.list,CU53),OFFSET(INDIRECT(CONCAT(""A"",to_text(match(CU53,ecn.list,0)))),0,1),"""")"),"J6 ")</f>
        <v>J6 </v>
      </c>
      <c r="V53" s="236" t="str">
        <f>IFERROR(__xludf.DUMMYFUNCTION("if(countif(ecn.list,CV53),OFFSET(INDIRECT(CONCAT(""A"",to_text(match(CV53,ecn.list,0)))),0,1),"""")"),"J7 ")</f>
        <v>J7 </v>
      </c>
      <c r="W53" s="236" t="str">
        <f>IFERROR(__xludf.DUMMYFUNCTION("if(countif(ecn.list,CW53),OFFSET(INDIRECT(CONCAT(""A"",to_text(match(CW53,ecn.list,0)))),0,1),"""")"),"")</f>
        <v/>
      </c>
      <c r="X53" s="236" t="str">
        <f>IFERROR(__xludf.DUMMYFUNCTION("if(countif(ecn.list,CX53),OFFSET(INDIRECT(CONCAT(""A"",to_text(match(CX53,ecn.list,0)))),0,1),"""")"),"")</f>
        <v/>
      </c>
      <c r="Y53" s="236" t="str">
        <f>IFERROR(__xludf.DUMMYFUNCTION("if(countif(ecn.list,CY53),OFFSET(INDIRECT(CONCAT(""A"",to_text(match(CY53,ecn.list,0)))),0,1),"""")"),"JA ")</f>
        <v>JA </v>
      </c>
      <c r="Z53" s="236" t="str">
        <f>IFERROR(__xludf.DUMMYFUNCTION("if(countif(ecn.list,CZ53),OFFSET(INDIRECT(CONCAT(""A"",to_text(match(CZ53,ecn.list,0)))),0,1),"""")"),"")</f>
        <v/>
      </c>
      <c r="AA53" s="236" t="str">
        <f>IFERROR(__xludf.DUMMYFUNCTION("if(countif(ecn.list,DA53),OFFSET(INDIRECT(CONCAT(""A"",to_text(match(DA53,ecn.list,0)))),0,1),"""")"),"JC ")</f>
        <v>JC </v>
      </c>
      <c r="AB53" s="236" t="str">
        <f>IFERROR(__xludf.DUMMYFUNCTION("if(countif(ecn.list,DB53),OFFSET(INDIRECT(CONCAT(""A"",to_text(match(DB53,ecn.list,0)))),0,1),"""")"),"")</f>
        <v/>
      </c>
      <c r="AC53" s="236" t="str">
        <f>IFERROR(__xludf.DUMMYFUNCTION("if(countif(ecn.list,DC53),OFFSET(INDIRECT(CONCAT(""A"",to_text(match(DC53,ecn.list,0)))),0,1),"""")"),"")</f>
        <v/>
      </c>
      <c r="AD53" s="236" t="str">
        <f>IFERROR(__xludf.DUMMYFUNCTION("if(countif(ecn.list,DD53),OFFSET(INDIRECT(CONCAT(""A"",to_text(match(DD53,ecn.list,0)))),0,1),"""")"),"JF ")</f>
        <v>JF </v>
      </c>
      <c r="AE53" s="236" t="str">
        <f>IFERROR(__xludf.DUMMYFUNCTION("if(countif(ecn.list,DE53),OFFSET(INDIRECT(CONCAT(""A"",to_text(match(DE53,ecn.list,0)))),0,1),"""")"),"K0 ")</f>
        <v>K0 </v>
      </c>
      <c r="AF53" s="236" t="str">
        <f>IFERROR(__xludf.DUMMYFUNCTION("if(countif(ecn.list,DF53),OFFSET(INDIRECT(CONCAT(""A"",to_text(match(DF53,ecn.list,0)))),0,1),"""")"),"")</f>
        <v/>
      </c>
      <c r="AG53" s="236" t="str">
        <f>IFERROR(__xludf.DUMMYFUNCTION("if(countif(ecn.list,DG53),OFFSET(INDIRECT(CONCAT(""A"",to_text(match(DG53,ecn.list,0)))),0,1),"""")"),"")</f>
        <v/>
      </c>
      <c r="AH53" s="236" t="str">
        <f>IFERROR(__xludf.DUMMYFUNCTION("if(countif(ecn.list,DH53),OFFSET(INDIRECT(CONCAT(""A"",to_text(match(DH53,ecn.list,0)))),0,1),"""")"),"K3 ")</f>
        <v>K3 </v>
      </c>
      <c r="AI53" s="236" t="str">
        <f>IFERROR(__xludf.DUMMYFUNCTION("if(countif(ecn.list,DI53),OFFSET(INDIRECT(CONCAT(""A"",to_text(match(DI53,ecn.list,0)))),0,1),"""")"),"K4 ")</f>
        <v>K4 </v>
      </c>
      <c r="AJ53" s="236" t="str">
        <f>IFERROR(__xludf.DUMMYFUNCTION("if(countif(ecn.list,DJ53),OFFSET(INDIRECT(CONCAT(""A"",to_text(match(DJ53,ecn.list,0)))),0,1),"""")"),"K5 ")</f>
        <v>K5 </v>
      </c>
      <c r="AK53" s="236" t="str">
        <f>IFERROR(__xludf.DUMMYFUNCTION("if(countif(ecn.list,DK53),OFFSET(INDIRECT(CONCAT(""A"",to_text(match(DK53,ecn.list,0)))),0,1),"""")"),"")</f>
        <v/>
      </c>
      <c r="AL53" s="236" t="str">
        <f>IFERROR(__xludf.DUMMYFUNCTION("if(countif(ecn.list,DL53),OFFSET(INDIRECT(CONCAT(""A"",to_text(match(DL53,ecn.list,0)))),0,1),"""")"),"K7 ")</f>
        <v>K7 </v>
      </c>
      <c r="AM53" s="236" t="str">
        <f>IFERROR(__xludf.DUMMYFUNCTION("if(countif(ecn.list,DM53),OFFSET(INDIRECT(CONCAT(""A"",to_text(match(DM53,ecn.list,0)))),0,1),"""")"),"")</f>
        <v/>
      </c>
      <c r="AN53" s="236" t="str">
        <f>IFERROR(__xludf.DUMMYFUNCTION("if(countif(ecn.list,DN53),OFFSET(INDIRECT(CONCAT(""A"",to_text(match(DN53,ecn.list,0)))),0,1),"""")"),"K9 ")</f>
        <v>K9 </v>
      </c>
      <c r="AO53" s="236" t="str">
        <f>IFERROR(__xludf.DUMMYFUNCTION("if(countif(ecn.list,DO53),OFFSET(INDIRECT(CONCAT(""A"",to_text(match(DO53,ecn.list,0)))),0,1),"""")"),"KA ")</f>
        <v>KA </v>
      </c>
      <c r="AP53" s="236" t="str">
        <f>IFERROR(__xludf.DUMMYFUNCTION("if(countif(ecn.list,DP53),OFFSET(INDIRECT(CONCAT(""A"",to_text(match(DP53,ecn.list,0)))),0,1),"""")"),"KB ")</f>
        <v>KB </v>
      </c>
      <c r="AQ53" s="236" t="str">
        <f>IFERROR(__xludf.DUMMYFUNCTION("if(countif(ecn.list,DQ53),OFFSET(INDIRECT(CONCAT(""A"",to_text(match(DQ53,ecn.list,0)))),0,1),"""")"),"KC ")</f>
        <v>KC </v>
      </c>
      <c r="AR53" s="236" t="str">
        <f>IFERROR(__xludf.DUMMYFUNCTION("if(countif(ecn.list,DR53),OFFSET(INDIRECT(CONCAT(""A"",to_text(match(DR53,ecn.list,0)))),0,1),"""")"),"KD ")</f>
        <v>KD </v>
      </c>
      <c r="AS53" s="236" t="str">
        <f>IFERROR(__xludf.DUMMYFUNCTION("if(countif(ecn.list,DS53),OFFSET(INDIRECT(CONCAT(""A"",to_text(match(DS53,ecn.list,0)))),0,1),"""")"),"")</f>
        <v/>
      </c>
      <c r="AT53" s="236" t="str">
        <f>IFERROR(__xludf.DUMMYFUNCTION("if(countif(ecn.list,DT53),OFFSET(INDIRECT(CONCAT(""A"",to_text(match(DT53,ecn.list,0)))),0,1),"""")"),"KF ")</f>
        <v>KF </v>
      </c>
      <c r="AU53" s="236" t="str">
        <f>IFERROR(__xludf.DUMMYFUNCTION("if(countif(ecn.list,DU53),OFFSET(INDIRECT(CONCAT(""A"",to_text(match(DU53,ecn.list,0)))),0,1),"""")"),"")</f>
        <v/>
      </c>
      <c r="AV53" s="236" t="str">
        <f>IFERROR(__xludf.DUMMYFUNCTION("if(countif(ecn.list,DV53),OFFSET(INDIRECT(CONCAT(""A"",to_text(match(DV53,ecn.list,0)))),0,1),"""")"),"L1 ")</f>
        <v>L1 </v>
      </c>
      <c r="AW53" s="236" t="str">
        <f>IFERROR(__xludf.DUMMYFUNCTION("if(countif(ecn.list,DW53),OFFSET(INDIRECT(CONCAT(""A"",to_text(match(DW53,ecn.list,0)))),0,1),"""")"),"")</f>
        <v/>
      </c>
      <c r="AX53" s="236" t="str">
        <f>IFERROR(__xludf.DUMMYFUNCTION("if(countif(ecn.list,DX53),OFFSET(INDIRECT(CONCAT(""A"",to_text(match(DX53,ecn.list,0)))),0,1),"""")"),"")</f>
        <v/>
      </c>
      <c r="AY53" s="236" t="str">
        <f>IFERROR(__xludf.DUMMYFUNCTION("if(countif(ecn.list,DY53),OFFSET(INDIRECT(CONCAT(""A"",to_text(match(DY53,ecn.list,0)))),0,1),"""")"),"")</f>
        <v/>
      </c>
      <c r="AZ53" s="236" t="str">
        <f>IFERROR(__xludf.DUMMYFUNCTION("if(countif(ecn.list,DZ53),OFFSET(INDIRECT(CONCAT(""A"",to_text(match(DZ53,ecn.list,0)))),0,1),"""")"),"")</f>
        <v/>
      </c>
      <c r="BA53" s="236" t="str">
        <f>IFERROR(__xludf.DUMMYFUNCTION("if(countif(ecn.list,EA53),OFFSET(INDIRECT(CONCAT(""A"",to_text(match(EA53,ecn.list,0)))),0,1),"""")"),"")</f>
        <v/>
      </c>
      <c r="BB53" s="236" t="str">
        <f>IFERROR(__xludf.DUMMYFUNCTION("if(countif(ecn.list,EB53),OFFSET(INDIRECT(CONCAT(""A"",to_text(match(EB53,ecn.list,0)))),0,1),"""")"),"")</f>
        <v/>
      </c>
      <c r="BC53" s="236" t="str">
        <f>IFERROR(__xludf.DUMMYFUNCTION("if(countif(ecn.list,EC53),OFFSET(INDIRECT(CONCAT(""A"",to_text(match(EC53,ecn.list,0)))),0,1),"""")"),"L8 ")</f>
        <v>L8 </v>
      </c>
      <c r="BD53" s="236" t="str">
        <f>IFERROR(__xludf.DUMMYFUNCTION("if(countif(ecn.list,ED53),OFFSET(INDIRECT(CONCAT(""A"",to_text(match(ED53,ecn.list,0)))),0,1),"""")"),"")</f>
        <v/>
      </c>
      <c r="BE53" s="236" t="str">
        <f>IFERROR(__xludf.DUMMYFUNCTION("if(countif(ecn.list,EE53),OFFSET(INDIRECT(CONCAT(""A"",to_text(match(EE53,ecn.list,0)))),0,1),"""")"),"LA ")</f>
        <v>LA </v>
      </c>
      <c r="BF53" s="236" t="str">
        <f>IFERROR(__xludf.DUMMYFUNCTION("if(countif(ecn.list,EF53),OFFSET(INDIRECT(CONCAT(""A"",to_text(match(EF53,ecn.list,0)))),0,1),"""")"),"")</f>
        <v/>
      </c>
      <c r="BG53" s="236" t="str">
        <f>IFERROR(__xludf.DUMMYFUNCTION("if(countif(ecn.list,EG53),OFFSET(INDIRECT(CONCAT(""A"",to_text(match(EG53,ecn.list,0)))),0,1),"""")"),"LC ")</f>
        <v>LC </v>
      </c>
      <c r="BH53" s="236" t="str">
        <f>IFERROR(__xludf.DUMMYFUNCTION("if(countif(ecn.list,EH53),OFFSET(INDIRECT(CONCAT(""A"",to_text(match(EH53,ecn.list,0)))),0,1),"""")"),"")</f>
        <v/>
      </c>
      <c r="BI53" s="236" t="str">
        <f>IFERROR(__xludf.DUMMYFUNCTION("if(countif(ecn.list,EI53),OFFSET(INDIRECT(CONCAT(""A"",to_text(match(EI53,ecn.list,0)))),0,1),"""")"),"")</f>
        <v/>
      </c>
      <c r="BJ53" s="236" t="str">
        <f>IFERROR(__xludf.DUMMYFUNCTION("if(countif(ecn.list,EJ53),OFFSET(INDIRECT(CONCAT(""A"",to_text(match(EJ53,ecn.list,0)))),0,1),"""")"),"LF ")</f>
        <v>LF </v>
      </c>
      <c r="BK53" s="236" t="str">
        <f>IFERROR(__xludf.DUMMYFUNCTION("if(countif(ecn.list,EK53),OFFSET(INDIRECT(CONCAT(""A"",to_text(match(EK53,ecn.list,0)))),0,1),"""")"),"M0 ")</f>
        <v>M0 </v>
      </c>
      <c r="BL53" s="236" t="str">
        <f>IFERROR(__xludf.DUMMYFUNCTION("if(countif(ecn.list,EL53),OFFSET(INDIRECT(CONCAT(""A"",to_text(match(EL53,ecn.list,0)))),0,1),"""")"),"")</f>
        <v/>
      </c>
      <c r="BM53" s="236" t="str">
        <f>IFERROR(__xludf.DUMMYFUNCTION("if(countif(ecn.list,EM53),OFFSET(INDIRECT(CONCAT(""A"",to_text(match(EM53,ecn.list,0)))),0,1),"""")"),"")</f>
        <v/>
      </c>
      <c r="BN53" s="236" t="str">
        <f>IFERROR(__xludf.DUMMYFUNCTION("if(countif(ecn.list,EN53),OFFSET(INDIRECT(CONCAT(""A"",to_text(match(EN53,ecn.list,0)))),0,1),"""")"),"M3 ")</f>
        <v>M3 </v>
      </c>
      <c r="BO53" s="236" t="str">
        <f>IFERROR(__xludf.DUMMYFUNCTION("if(countif(ecn.list,EO53),OFFSET(INDIRECT(CONCAT(""A"",to_text(match(EO53,ecn.list,0)))),0,1),"""")"),"")</f>
        <v/>
      </c>
      <c r="BP53" s="236" t="str">
        <f>IFERROR(__xludf.DUMMYFUNCTION("if(countif(ecn.list,EP53),OFFSET(INDIRECT(CONCAT(""A"",to_text(match(EP53,ecn.list,0)))),0,1),"""")"),"")</f>
        <v/>
      </c>
      <c r="BQ53" s="236" t="str">
        <f>IFERROR(__xludf.DUMMYFUNCTION("if(countif(ecn.list,EQ53),OFFSET(INDIRECT(CONCAT(""A"",to_text(match(EQ53,ecn.list,0)))),0,1),"""")"),"")</f>
        <v/>
      </c>
      <c r="BR53" s="236" t="str">
        <f>IFERROR(__xludf.DUMMYFUNCTION("if(countif(ecn.list,ER53),OFFSET(INDIRECT(CONCAT(""A"",to_text(match(ER53,ecn.list,0)))),0,1),"""")"),"")</f>
        <v/>
      </c>
      <c r="BS53" s="236" t="str">
        <f>IFERROR(__xludf.DUMMYFUNCTION("if(countif(ecn.list,ES53),OFFSET(INDIRECT(CONCAT(""A"",to_text(match(ES53,ecn.list,0)))),0,1),"""")"),"M8 ")</f>
        <v>M8 </v>
      </c>
      <c r="BT53" s="236" t="str">
        <f>IFERROR(__xludf.DUMMYFUNCTION("if(countif(ecn.list,ET53),OFFSET(INDIRECT(CONCAT(""A"",to_text(match(ET53,ecn.list,0)))),0,1),"""")"),"")</f>
        <v/>
      </c>
      <c r="BU53" s="236" t="str">
        <f>IFERROR(__xludf.DUMMYFUNCTION("if(countif(ecn.list,EU53),OFFSET(INDIRECT(CONCAT(""A"",to_text(match(EU53,ecn.list,0)))),0,1),"""")"),"")</f>
        <v/>
      </c>
      <c r="BV53" s="236" t="str">
        <f>IFERROR(__xludf.DUMMYFUNCTION("if(countif(ecn.list,EV53),OFFSET(INDIRECT(CONCAT(""A"",to_text(match(EV53,ecn.list,0)))),0,1),"""")"),"MB ")</f>
        <v>MB </v>
      </c>
      <c r="BW53" s="236" t="str">
        <f>IFERROR(__xludf.DUMMYFUNCTION("if(countif(ecn.list,EW53),OFFSET(INDIRECT(CONCAT(""A"",to_text(match(EW53,ecn.list,0)))),0,1),"""")"),"")</f>
        <v/>
      </c>
      <c r="BX53" s="236" t="str">
        <f>IFERROR(__xludf.DUMMYFUNCTION("if(countif(ecn.list,EX53),OFFSET(INDIRECT(CONCAT(""A"",to_text(match(EX53,ecn.list,0)))),0,1),"""")"),"")</f>
        <v/>
      </c>
      <c r="BY53" s="236" t="str">
        <f>IFERROR(__xludf.DUMMYFUNCTION("if(countif(ecn.list,EY53),OFFSET(INDIRECT(CONCAT(""A"",to_text(match(EY53,ecn.list,0)))),0,1),"""")"),"")</f>
        <v/>
      </c>
      <c r="BZ53" s="236" t="str">
        <f>IFERROR(__xludf.DUMMYFUNCTION("if(countif(ecn.list,EZ53),OFFSET(INDIRECT(CONCAT(""A"",to_text(match(EZ53,ecn.list,0)))),0,1),"""")"),"MF ")</f>
        <v>MF </v>
      </c>
      <c r="CA53" s="236" t="str">
        <f>IFERROR(__xludf.DUMMYFUNCTION("if(countif(ecn.list,FA53),OFFSET(INDIRECT(CONCAT(""A"",to_text(match(FA53,ecn.list,0)))),0,1),"""")"),"")</f>
        <v/>
      </c>
      <c r="CB53" s="236" t="str">
        <f>IFERROR(__xludf.DUMMYFUNCTION("if(countif(ecn.list,FB53),OFFSET(INDIRECT(CONCAT(""A"",to_text(match(FB53,ecn.list,0)))),0,1),"""")"),"")</f>
        <v/>
      </c>
      <c r="CC53" s="236" t="str">
        <f>IFERROR(__xludf.DUMMYFUNCTION("if(countif(ecn.list,FC53),OFFSET(INDIRECT(CONCAT(""A"",to_text(match(FC53,ecn.list,0)))),0,1),"""")"),"N2 ")</f>
        <v>N2 </v>
      </c>
      <c r="CD53" s="236" t="str">
        <f>IFERROR(__xludf.DUMMYFUNCTION("if(countif(ecn.list,FD53),OFFSET(INDIRECT(CONCAT(""A"",to_text(match(FD53,ecn.list,0)))),0,1),"""")"),"")</f>
        <v/>
      </c>
      <c r="CE53" s="236" t="str">
        <f>IFERROR(__xludf.DUMMYFUNCTION("if(countif(ecn.list,FE53),OFFSET(INDIRECT(CONCAT(""A"",to_text(match(FE53,ecn.list,0)))),0,1),"""")"),"")</f>
        <v/>
      </c>
      <c r="CF53" s="236" t="str">
        <f>IFERROR(__xludf.DUMMYFUNCTION("if(countif(ecn.list,FF53),OFFSET(INDIRECT(CONCAT(""A"",to_text(match(FF53,ecn.list,0)))),0,1),"""")"),"")</f>
        <v/>
      </c>
      <c r="CG53" s="236" t="str">
        <f>IFERROR(__xludf.DUMMYFUNCTION("if(countif(ecn.list,FG53),OFFSET(INDIRECT(CONCAT(""A"",to_text(match(FG53,ecn.list,0)))),0,1),"""")"),"")</f>
        <v/>
      </c>
      <c r="CH53" s="236" t="str">
        <f>IFERROR(__xludf.DUMMYFUNCTION("if(countif(ecn.list,FH53),OFFSET(INDIRECT(CONCAT(""A"",to_text(match(FH53,ecn.list,0)))),0,1),"""")"),"N7 ")</f>
        <v>N7 </v>
      </c>
      <c r="CI53" s="236" t="str">
        <f>IFERROR(__xludf.DUMMYFUNCTION("if(countif(ecn.list,FI53),OFFSET(INDIRECT(CONCAT(""A"",to_text(match(FI53,ecn.list,0)))),0,1),"""")"),"")</f>
        <v/>
      </c>
      <c r="CJ53" s="236" t="str">
        <f>IFERROR(__xludf.DUMMYFUNCTION("if(countif(ecn.list,FJ53),OFFSET(INDIRECT(CONCAT(""A"",to_text(match(FJ53,ecn.list,0)))),0,1),"""")"),"")</f>
        <v/>
      </c>
      <c r="CK53" s="236" t="str">
        <f>IFERROR(__xludf.DUMMYFUNCTION("if(countif(ecn.list,FK53),OFFSET(INDIRECT(CONCAT(""A"",to_text(match(FK53,ecn.list,0)))),0,1),"""")"),"NA ")</f>
        <v>NA </v>
      </c>
      <c r="CL53" s="236" t="str">
        <f>IFERROR(__xludf.DUMMYFUNCTION("if(countif(ecn.list,FL53),OFFSET(INDIRECT(CONCAT(""A"",to_text(match(FL53,ecn.list,0)))),0,1),"""")"),"")</f>
        <v/>
      </c>
      <c r="CM53" s="236" t="str">
        <f>IFERROR(__xludf.DUMMYFUNCTION("if(countif(ecn.list,FM53),OFFSET(INDIRECT(CONCAT(""A"",to_text(match(FM53,ecn.list,0)))),0,1),"""")"),"")</f>
        <v/>
      </c>
      <c r="CN53" s="198" t="s">
        <v>234</v>
      </c>
      <c r="CO53" s="198" t="s">
        <v>1447</v>
      </c>
      <c r="CP53" s="198" t="s">
        <v>1451</v>
      </c>
      <c r="CQ53" s="198" t="s">
        <v>1452</v>
      </c>
      <c r="CR53" s="198" t="s">
        <v>1453</v>
      </c>
      <c r="CS53" s="198" t="s">
        <v>1453</v>
      </c>
      <c r="CT53" s="198" t="s">
        <v>1454</v>
      </c>
      <c r="CU53" s="198" t="s">
        <v>1455</v>
      </c>
      <c r="CV53" s="198" t="s">
        <v>1456</v>
      </c>
      <c r="CW53" s="198" t="s">
        <v>1453</v>
      </c>
      <c r="CX53" s="198" t="s">
        <v>1453</v>
      </c>
      <c r="CY53" s="198" t="s">
        <v>1484</v>
      </c>
      <c r="CZ53" s="198" t="s">
        <v>1453</v>
      </c>
      <c r="DA53" s="198" t="s">
        <v>1457</v>
      </c>
      <c r="DB53" s="198" t="s">
        <v>1453</v>
      </c>
      <c r="DC53" s="198" t="s">
        <v>1453</v>
      </c>
      <c r="DD53" s="198" t="s">
        <v>1458</v>
      </c>
      <c r="DE53" s="198" t="s">
        <v>1459</v>
      </c>
      <c r="DF53" s="198" t="s">
        <v>1453</v>
      </c>
      <c r="DG53" s="198" t="s">
        <v>1453</v>
      </c>
      <c r="DH53" s="198" t="s">
        <v>1500</v>
      </c>
      <c r="DI53" s="198" t="s">
        <v>1501</v>
      </c>
      <c r="DJ53" s="198" t="s">
        <v>1460</v>
      </c>
      <c r="DK53" s="198" t="s">
        <v>1453</v>
      </c>
      <c r="DL53" s="198" t="s">
        <v>1461</v>
      </c>
      <c r="DM53" s="198" t="s">
        <v>1453</v>
      </c>
      <c r="DN53" s="198" t="s">
        <v>1463</v>
      </c>
      <c r="DO53" s="198" t="s">
        <v>1464</v>
      </c>
      <c r="DP53" s="198" t="s">
        <v>1465</v>
      </c>
      <c r="DQ53" s="198" t="s">
        <v>1466</v>
      </c>
      <c r="DR53" s="198" t="s">
        <v>1467</v>
      </c>
      <c r="DS53" s="198" t="s">
        <v>1453</v>
      </c>
      <c r="DT53" s="198" t="s">
        <v>1468</v>
      </c>
      <c r="DU53" s="198" t="s">
        <v>1453</v>
      </c>
      <c r="DV53" s="198" t="s">
        <v>1469</v>
      </c>
      <c r="DW53" s="198" t="s">
        <v>1453</v>
      </c>
      <c r="DX53" s="198" t="s">
        <v>1453</v>
      </c>
      <c r="DY53" s="198" t="s">
        <v>1453</v>
      </c>
      <c r="DZ53" s="198" t="s">
        <v>1453</v>
      </c>
      <c r="EA53" s="198" t="s">
        <v>1453</v>
      </c>
      <c r="EB53" s="198" t="s">
        <v>1453</v>
      </c>
      <c r="EC53" s="198" t="s">
        <v>1483</v>
      </c>
      <c r="ED53" s="198" t="s">
        <v>1453</v>
      </c>
      <c r="EE53" s="198" t="s">
        <v>1470</v>
      </c>
      <c r="EF53" s="198" t="s">
        <v>1453</v>
      </c>
      <c r="EG53" s="198" t="s">
        <v>1471</v>
      </c>
      <c r="EH53" s="198" t="s">
        <v>1453</v>
      </c>
      <c r="EI53" s="198" t="s">
        <v>1453</v>
      </c>
      <c r="EJ53" s="198" t="s">
        <v>1472</v>
      </c>
      <c r="EK53" s="198" t="s">
        <v>1487</v>
      </c>
      <c r="EL53" s="198" t="s">
        <v>1453</v>
      </c>
      <c r="EM53" s="198" t="s">
        <v>1453</v>
      </c>
      <c r="EN53" s="198" t="s">
        <v>1474</v>
      </c>
      <c r="EO53" s="198" t="s">
        <v>1453</v>
      </c>
      <c r="EP53" s="198" t="s">
        <v>1453</v>
      </c>
      <c r="EQ53" s="198" t="s">
        <v>1453</v>
      </c>
      <c r="ER53" s="198" t="s">
        <v>1453</v>
      </c>
      <c r="ES53" s="198" t="s">
        <v>1505</v>
      </c>
      <c r="ET53" s="198" t="s">
        <v>1453</v>
      </c>
      <c r="EU53" s="198" t="s">
        <v>1453</v>
      </c>
      <c r="EV53" s="198" t="s">
        <v>1476</v>
      </c>
      <c r="EW53" s="198" t="s">
        <v>1453</v>
      </c>
      <c r="EX53" s="198" t="s">
        <v>1453</v>
      </c>
      <c r="EY53" s="198" t="s">
        <v>1453</v>
      </c>
      <c r="EZ53" s="198" t="s">
        <v>1477</v>
      </c>
      <c r="FA53" s="198" t="s">
        <v>1453</v>
      </c>
      <c r="FB53" s="198" t="s">
        <v>1453</v>
      </c>
      <c r="FC53" s="198" t="s">
        <v>1478</v>
      </c>
      <c r="FD53" s="198" t="s">
        <v>1453</v>
      </c>
      <c r="FE53" s="198" t="s">
        <v>1453</v>
      </c>
      <c r="FF53" s="198" t="s">
        <v>1453</v>
      </c>
      <c r="FG53" s="198" t="s">
        <v>1453</v>
      </c>
      <c r="FH53" s="198" t="s">
        <v>1479</v>
      </c>
      <c r="FI53" s="198" t="s">
        <v>1453</v>
      </c>
      <c r="FJ53" s="198" t="s">
        <v>1453</v>
      </c>
      <c r="FK53" s="198" t="s">
        <v>1481</v>
      </c>
      <c r="FL53" s="198" t="s">
        <v>1482</v>
      </c>
      <c r="FM53" s="198" t="s">
        <v>1453</v>
      </c>
    </row>
    <row r="54" ht="15.75" customHeight="1">
      <c r="A54" s="236" t="s">
        <v>1474</v>
      </c>
      <c r="B54" s="198" t="str">
        <f t="shared" si="6"/>
        <v>M3 </v>
      </c>
      <c r="C54" s="234">
        <v>3.0</v>
      </c>
      <c r="D54" s="232" t="s">
        <v>770</v>
      </c>
      <c r="E54" s="232" t="s">
        <v>1448</v>
      </c>
      <c r="F54" s="232" t="s">
        <v>1449</v>
      </c>
      <c r="G54" s="232" t="s">
        <v>1450</v>
      </c>
      <c r="H54" s="232" t="s">
        <v>804</v>
      </c>
      <c r="I54" s="232" t="s">
        <v>840</v>
      </c>
      <c r="J54" s="232" t="s">
        <v>813</v>
      </c>
      <c r="K54" s="232" t="s">
        <v>857</v>
      </c>
      <c r="L54" s="188" t="s">
        <v>237</v>
      </c>
      <c r="M54" s="236" t="str">
        <f>IFERROR(__xludf.DUMMYFUNCTION("regexreplace(N54,"" "","", "")"),"J0, J1, J2, J5, J6, J7, JA, JC, K0, K5, K7, K8, KA, KC, KD, L1, L8, LA, LC, M0, M1, M3, M4, MB, MF, N2, N7, NA, ")</f>
        <v>J0, J1, J2, J5, J6, J7, JA, JC, K0, K5, K7, K8, KA, KC, KD, L1, L8, LA, LC, M0, M1, M3, M4, MB, MF, N2, N7, NA, </v>
      </c>
      <c r="N54" s="236" t="str">
        <f t="shared" si="2"/>
        <v>J0 J1 J2 J5 J6 J7 JA JC K0 K5 K7 K8 KA KC KD L1 L8 LA LC M0 M1 M3 M4 MB MF N2 N7 NA </v>
      </c>
      <c r="O54" s="236" t="str">
        <f>IFERROR(__xludf.DUMMYFUNCTION("if(countif(ecn.list,CO54),OFFSET(INDIRECT(CONCAT(""A"",to_text(match(CO54,ecn.list,0)))),0,1),"""")"),"J0 ")</f>
        <v>J0 </v>
      </c>
      <c r="P54" s="236" t="str">
        <f>IFERROR(__xludf.DUMMYFUNCTION("if(countif(ecn.list,CP54),OFFSET(INDIRECT(CONCAT(""A"",to_text(match(CP54,ecn.list,0)))),0,1),"""")"),"J1 ")</f>
        <v>J1 </v>
      </c>
      <c r="Q54" s="236" t="str">
        <f>IFERROR(__xludf.DUMMYFUNCTION("if(countif(ecn.list,CQ54),OFFSET(INDIRECT(CONCAT(""A"",to_text(match(CQ54,ecn.list,0)))),0,1),"""")"),"J2 ")</f>
        <v>J2 </v>
      </c>
      <c r="R54" s="236" t="str">
        <f>IFERROR(__xludf.DUMMYFUNCTION("if(countif(ecn.list,CR54),OFFSET(INDIRECT(CONCAT(""A"",to_text(match(CR54,ecn.list,0)))),0,1),"""")"),"")</f>
        <v/>
      </c>
      <c r="S54" s="236" t="str">
        <f>IFERROR(__xludf.DUMMYFUNCTION("if(countif(ecn.list,CS54),OFFSET(INDIRECT(CONCAT(""A"",to_text(match(CS54,ecn.list,0)))),0,1),"""")"),"")</f>
        <v/>
      </c>
      <c r="T54" s="236" t="str">
        <f>IFERROR(__xludf.DUMMYFUNCTION("if(countif(ecn.list,CT54),OFFSET(INDIRECT(CONCAT(""A"",to_text(match(CT54,ecn.list,0)))),0,1),"""")"),"J5 ")</f>
        <v>J5 </v>
      </c>
      <c r="U54" s="236" t="str">
        <f>IFERROR(__xludf.DUMMYFUNCTION("if(countif(ecn.list,CU54),OFFSET(INDIRECT(CONCAT(""A"",to_text(match(CU54,ecn.list,0)))),0,1),"""")"),"J6 ")</f>
        <v>J6 </v>
      </c>
      <c r="V54" s="236" t="str">
        <f>IFERROR(__xludf.DUMMYFUNCTION("if(countif(ecn.list,CV54),OFFSET(INDIRECT(CONCAT(""A"",to_text(match(CV54,ecn.list,0)))),0,1),"""")"),"J7 ")</f>
        <v>J7 </v>
      </c>
      <c r="W54" s="236" t="str">
        <f>IFERROR(__xludf.DUMMYFUNCTION("if(countif(ecn.list,CW54),OFFSET(INDIRECT(CONCAT(""A"",to_text(match(CW54,ecn.list,0)))),0,1),"""")"),"")</f>
        <v/>
      </c>
      <c r="X54" s="236" t="str">
        <f>IFERROR(__xludf.DUMMYFUNCTION("if(countif(ecn.list,CX54),OFFSET(INDIRECT(CONCAT(""A"",to_text(match(CX54,ecn.list,0)))),0,1),"""")"),"")</f>
        <v/>
      </c>
      <c r="Y54" s="236" t="str">
        <f>IFERROR(__xludf.DUMMYFUNCTION("if(countif(ecn.list,CY54),OFFSET(INDIRECT(CONCAT(""A"",to_text(match(CY54,ecn.list,0)))),0,1),"""")"),"JA ")</f>
        <v>JA </v>
      </c>
      <c r="Z54" s="236" t="str">
        <f>IFERROR(__xludf.DUMMYFUNCTION("if(countif(ecn.list,CZ54),OFFSET(INDIRECT(CONCAT(""A"",to_text(match(CZ54,ecn.list,0)))),0,1),"""")"),"")</f>
        <v/>
      </c>
      <c r="AA54" s="236" t="str">
        <f>IFERROR(__xludf.DUMMYFUNCTION("if(countif(ecn.list,DA54),OFFSET(INDIRECT(CONCAT(""A"",to_text(match(DA54,ecn.list,0)))),0,1),"""")"),"JC ")</f>
        <v>JC </v>
      </c>
      <c r="AB54" s="236" t="str">
        <f>IFERROR(__xludf.DUMMYFUNCTION("if(countif(ecn.list,DB54),OFFSET(INDIRECT(CONCAT(""A"",to_text(match(DB54,ecn.list,0)))),0,1),"""")"),"")</f>
        <v/>
      </c>
      <c r="AC54" s="236" t="str">
        <f>IFERROR(__xludf.DUMMYFUNCTION("if(countif(ecn.list,DC54),OFFSET(INDIRECT(CONCAT(""A"",to_text(match(DC54,ecn.list,0)))),0,1),"""")"),"")</f>
        <v/>
      </c>
      <c r="AD54" s="236" t="str">
        <f>IFERROR(__xludf.DUMMYFUNCTION("if(countif(ecn.list,DD54),OFFSET(INDIRECT(CONCAT(""A"",to_text(match(DD54,ecn.list,0)))),0,1),"""")"),"")</f>
        <v/>
      </c>
      <c r="AE54" s="236" t="str">
        <f>IFERROR(__xludf.DUMMYFUNCTION("if(countif(ecn.list,DE54),OFFSET(INDIRECT(CONCAT(""A"",to_text(match(DE54,ecn.list,0)))),0,1),"""")"),"K0 ")</f>
        <v>K0 </v>
      </c>
      <c r="AF54" s="236" t="str">
        <f>IFERROR(__xludf.DUMMYFUNCTION("if(countif(ecn.list,DF54),OFFSET(INDIRECT(CONCAT(""A"",to_text(match(DF54,ecn.list,0)))),0,1),"""")"),"")</f>
        <v/>
      </c>
      <c r="AG54" s="236" t="str">
        <f>IFERROR(__xludf.DUMMYFUNCTION("if(countif(ecn.list,DG54),OFFSET(INDIRECT(CONCAT(""A"",to_text(match(DG54,ecn.list,0)))),0,1),"""")"),"")</f>
        <v/>
      </c>
      <c r="AH54" s="236" t="str">
        <f>IFERROR(__xludf.DUMMYFUNCTION("if(countif(ecn.list,DH54),OFFSET(INDIRECT(CONCAT(""A"",to_text(match(DH54,ecn.list,0)))),0,1),"""")"),"")</f>
        <v/>
      </c>
      <c r="AI54" s="236" t="str">
        <f>IFERROR(__xludf.DUMMYFUNCTION("if(countif(ecn.list,DI54),OFFSET(INDIRECT(CONCAT(""A"",to_text(match(DI54,ecn.list,0)))),0,1),"""")"),"")</f>
        <v/>
      </c>
      <c r="AJ54" s="236" t="str">
        <f>IFERROR(__xludf.DUMMYFUNCTION("if(countif(ecn.list,DJ54),OFFSET(INDIRECT(CONCAT(""A"",to_text(match(DJ54,ecn.list,0)))),0,1),"""")"),"K5 ")</f>
        <v>K5 </v>
      </c>
      <c r="AK54" s="236" t="str">
        <f>IFERROR(__xludf.DUMMYFUNCTION("if(countif(ecn.list,DK54),OFFSET(INDIRECT(CONCAT(""A"",to_text(match(DK54,ecn.list,0)))),0,1),"""")"),"")</f>
        <v/>
      </c>
      <c r="AL54" s="236" t="str">
        <f>IFERROR(__xludf.DUMMYFUNCTION("if(countif(ecn.list,DL54),OFFSET(INDIRECT(CONCAT(""A"",to_text(match(DL54,ecn.list,0)))),0,1),"""")"),"K7 ")</f>
        <v>K7 </v>
      </c>
      <c r="AM54" s="236" t="str">
        <f>IFERROR(__xludf.DUMMYFUNCTION("if(countif(ecn.list,DM54),OFFSET(INDIRECT(CONCAT(""A"",to_text(match(DM54,ecn.list,0)))),0,1),"""")"),"K8 ")</f>
        <v>K8 </v>
      </c>
      <c r="AN54" s="236" t="str">
        <f>IFERROR(__xludf.DUMMYFUNCTION("if(countif(ecn.list,DN54),OFFSET(INDIRECT(CONCAT(""A"",to_text(match(DN54,ecn.list,0)))),0,1),"""")"),"")</f>
        <v/>
      </c>
      <c r="AO54" s="236" t="str">
        <f>IFERROR(__xludf.DUMMYFUNCTION("if(countif(ecn.list,DO54),OFFSET(INDIRECT(CONCAT(""A"",to_text(match(DO54,ecn.list,0)))),0,1),"""")"),"KA ")</f>
        <v>KA </v>
      </c>
      <c r="AP54" s="236" t="str">
        <f>IFERROR(__xludf.DUMMYFUNCTION("if(countif(ecn.list,DP54),OFFSET(INDIRECT(CONCAT(""A"",to_text(match(DP54,ecn.list,0)))),0,1),"""")"),"")</f>
        <v/>
      </c>
      <c r="AQ54" s="236" t="str">
        <f>IFERROR(__xludf.DUMMYFUNCTION("if(countif(ecn.list,DQ54),OFFSET(INDIRECT(CONCAT(""A"",to_text(match(DQ54,ecn.list,0)))),0,1),"""")"),"KC ")</f>
        <v>KC </v>
      </c>
      <c r="AR54" s="236" t="str">
        <f>IFERROR(__xludf.DUMMYFUNCTION("if(countif(ecn.list,DR54),OFFSET(INDIRECT(CONCAT(""A"",to_text(match(DR54,ecn.list,0)))),0,1),"""")"),"KD ")</f>
        <v>KD </v>
      </c>
      <c r="AS54" s="236" t="str">
        <f>IFERROR(__xludf.DUMMYFUNCTION("if(countif(ecn.list,DS54),OFFSET(INDIRECT(CONCAT(""A"",to_text(match(DS54,ecn.list,0)))),0,1),"""")"),"")</f>
        <v/>
      </c>
      <c r="AT54" s="236" t="str">
        <f>IFERROR(__xludf.DUMMYFUNCTION("if(countif(ecn.list,DT54),OFFSET(INDIRECT(CONCAT(""A"",to_text(match(DT54,ecn.list,0)))),0,1),"""")"),"")</f>
        <v/>
      </c>
      <c r="AU54" s="236" t="str">
        <f>IFERROR(__xludf.DUMMYFUNCTION("if(countif(ecn.list,DU54),OFFSET(INDIRECT(CONCAT(""A"",to_text(match(DU54,ecn.list,0)))),0,1),"""")"),"")</f>
        <v/>
      </c>
      <c r="AV54" s="236" t="str">
        <f>IFERROR(__xludf.DUMMYFUNCTION("if(countif(ecn.list,DV54),OFFSET(INDIRECT(CONCAT(""A"",to_text(match(DV54,ecn.list,0)))),0,1),"""")"),"L1 ")</f>
        <v>L1 </v>
      </c>
      <c r="AW54" s="236" t="str">
        <f>IFERROR(__xludf.DUMMYFUNCTION("if(countif(ecn.list,DW54),OFFSET(INDIRECT(CONCAT(""A"",to_text(match(DW54,ecn.list,0)))),0,1),"""")"),"")</f>
        <v/>
      </c>
      <c r="AX54" s="236" t="str">
        <f>IFERROR(__xludf.DUMMYFUNCTION("if(countif(ecn.list,DX54),OFFSET(INDIRECT(CONCAT(""A"",to_text(match(DX54,ecn.list,0)))),0,1),"""")"),"")</f>
        <v/>
      </c>
      <c r="AY54" s="236" t="str">
        <f>IFERROR(__xludf.DUMMYFUNCTION("if(countif(ecn.list,DY54),OFFSET(INDIRECT(CONCAT(""A"",to_text(match(DY54,ecn.list,0)))),0,1),"""")"),"")</f>
        <v/>
      </c>
      <c r="AZ54" s="236" t="str">
        <f>IFERROR(__xludf.DUMMYFUNCTION("if(countif(ecn.list,DZ54),OFFSET(INDIRECT(CONCAT(""A"",to_text(match(DZ54,ecn.list,0)))),0,1),"""")"),"")</f>
        <v/>
      </c>
      <c r="BA54" s="236" t="str">
        <f>IFERROR(__xludf.DUMMYFUNCTION("if(countif(ecn.list,EA54),OFFSET(INDIRECT(CONCAT(""A"",to_text(match(EA54,ecn.list,0)))),0,1),"""")"),"")</f>
        <v/>
      </c>
      <c r="BB54" s="236" t="str">
        <f>IFERROR(__xludf.DUMMYFUNCTION("if(countif(ecn.list,EB54),OFFSET(INDIRECT(CONCAT(""A"",to_text(match(EB54,ecn.list,0)))),0,1),"""")"),"")</f>
        <v/>
      </c>
      <c r="BC54" s="236" t="str">
        <f>IFERROR(__xludf.DUMMYFUNCTION("if(countif(ecn.list,EC54),OFFSET(INDIRECT(CONCAT(""A"",to_text(match(EC54,ecn.list,0)))),0,1),"""")"),"L8 ")</f>
        <v>L8 </v>
      </c>
      <c r="BD54" s="236" t="str">
        <f>IFERROR(__xludf.DUMMYFUNCTION("if(countif(ecn.list,ED54),OFFSET(INDIRECT(CONCAT(""A"",to_text(match(ED54,ecn.list,0)))),0,1),"""")"),"")</f>
        <v/>
      </c>
      <c r="BE54" s="236" t="str">
        <f>IFERROR(__xludf.DUMMYFUNCTION("if(countif(ecn.list,EE54),OFFSET(INDIRECT(CONCAT(""A"",to_text(match(EE54,ecn.list,0)))),0,1),"""")"),"LA ")</f>
        <v>LA </v>
      </c>
      <c r="BF54" s="236" t="str">
        <f>IFERROR(__xludf.DUMMYFUNCTION("if(countif(ecn.list,EF54),OFFSET(INDIRECT(CONCAT(""A"",to_text(match(EF54,ecn.list,0)))),0,1),"""")"),"")</f>
        <v/>
      </c>
      <c r="BG54" s="236" t="str">
        <f>IFERROR(__xludf.DUMMYFUNCTION("if(countif(ecn.list,EG54),OFFSET(INDIRECT(CONCAT(""A"",to_text(match(EG54,ecn.list,0)))),0,1),"""")"),"LC ")</f>
        <v>LC </v>
      </c>
      <c r="BH54" s="236" t="str">
        <f>IFERROR(__xludf.DUMMYFUNCTION("if(countif(ecn.list,EH54),OFFSET(INDIRECT(CONCAT(""A"",to_text(match(EH54,ecn.list,0)))),0,1),"""")"),"")</f>
        <v/>
      </c>
      <c r="BI54" s="236" t="str">
        <f>IFERROR(__xludf.DUMMYFUNCTION("if(countif(ecn.list,EI54),OFFSET(INDIRECT(CONCAT(""A"",to_text(match(EI54,ecn.list,0)))),0,1),"""")"),"")</f>
        <v/>
      </c>
      <c r="BJ54" s="236" t="str">
        <f>IFERROR(__xludf.DUMMYFUNCTION("if(countif(ecn.list,EJ54),OFFSET(INDIRECT(CONCAT(""A"",to_text(match(EJ54,ecn.list,0)))),0,1),"""")"),"")</f>
        <v/>
      </c>
      <c r="BK54" s="236" t="str">
        <f>IFERROR(__xludf.DUMMYFUNCTION("if(countif(ecn.list,EK54),OFFSET(INDIRECT(CONCAT(""A"",to_text(match(EK54,ecn.list,0)))),0,1),"""")"),"M0 ")</f>
        <v>M0 </v>
      </c>
      <c r="BL54" s="236" t="str">
        <f>IFERROR(__xludf.DUMMYFUNCTION("if(countif(ecn.list,EL54),OFFSET(INDIRECT(CONCAT(""A"",to_text(match(EL54,ecn.list,0)))),0,1),"""")"),"M1 ")</f>
        <v>M1 </v>
      </c>
      <c r="BM54" s="236" t="str">
        <f>IFERROR(__xludf.DUMMYFUNCTION("if(countif(ecn.list,EM54),OFFSET(INDIRECT(CONCAT(""A"",to_text(match(EM54,ecn.list,0)))),0,1),"""")"),"")</f>
        <v/>
      </c>
      <c r="BN54" s="236" t="str">
        <f>IFERROR(__xludf.DUMMYFUNCTION("if(countif(ecn.list,EN54),OFFSET(INDIRECT(CONCAT(""A"",to_text(match(EN54,ecn.list,0)))),0,1),"""")"),"M3 ")</f>
        <v>M3 </v>
      </c>
      <c r="BO54" s="236" t="str">
        <f>IFERROR(__xludf.DUMMYFUNCTION("if(countif(ecn.list,EO54),OFFSET(INDIRECT(CONCAT(""A"",to_text(match(EO54,ecn.list,0)))),0,1),"""")"),"M4 ")</f>
        <v>M4 </v>
      </c>
      <c r="BP54" s="236" t="str">
        <f>IFERROR(__xludf.DUMMYFUNCTION("if(countif(ecn.list,EP54),OFFSET(INDIRECT(CONCAT(""A"",to_text(match(EP54,ecn.list,0)))),0,1),"""")"),"")</f>
        <v/>
      </c>
      <c r="BQ54" s="236" t="str">
        <f>IFERROR(__xludf.DUMMYFUNCTION("if(countif(ecn.list,EQ54),OFFSET(INDIRECT(CONCAT(""A"",to_text(match(EQ54,ecn.list,0)))),0,1),"""")"),"")</f>
        <v/>
      </c>
      <c r="BR54" s="236" t="str">
        <f>IFERROR(__xludf.DUMMYFUNCTION("if(countif(ecn.list,ER54),OFFSET(INDIRECT(CONCAT(""A"",to_text(match(ER54,ecn.list,0)))),0,1),"""")"),"")</f>
        <v/>
      </c>
      <c r="BS54" s="236" t="str">
        <f>IFERROR(__xludf.DUMMYFUNCTION("if(countif(ecn.list,ES54),OFFSET(INDIRECT(CONCAT(""A"",to_text(match(ES54,ecn.list,0)))),0,1),"""")"),"")</f>
        <v/>
      </c>
      <c r="BT54" s="236" t="str">
        <f>IFERROR(__xludf.DUMMYFUNCTION("if(countif(ecn.list,ET54),OFFSET(INDIRECT(CONCAT(""A"",to_text(match(ET54,ecn.list,0)))),0,1),"""")"),"")</f>
        <v/>
      </c>
      <c r="BU54" s="236" t="str">
        <f>IFERROR(__xludf.DUMMYFUNCTION("if(countif(ecn.list,EU54),OFFSET(INDIRECT(CONCAT(""A"",to_text(match(EU54,ecn.list,0)))),0,1),"""")"),"")</f>
        <v/>
      </c>
      <c r="BV54" s="236" t="str">
        <f>IFERROR(__xludf.DUMMYFUNCTION("if(countif(ecn.list,EV54),OFFSET(INDIRECT(CONCAT(""A"",to_text(match(EV54,ecn.list,0)))),0,1),"""")"),"MB ")</f>
        <v>MB </v>
      </c>
      <c r="BW54" s="236" t="str">
        <f>IFERROR(__xludf.DUMMYFUNCTION("if(countif(ecn.list,EW54),OFFSET(INDIRECT(CONCAT(""A"",to_text(match(EW54,ecn.list,0)))),0,1),"""")"),"")</f>
        <v/>
      </c>
      <c r="BX54" s="236" t="str">
        <f>IFERROR(__xludf.DUMMYFUNCTION("if(countif(ecn.list,EX54),OFFSET(INDIRECT(CONCAT(""A"",to_text(match(EX54,ecn.list,0)))),0,1),"""")"),"")</f>
        <v/>
      </c>
      <c r="BY54" s="236" t="str">
        <f>IFERROR(__xludf.DUMMYFUNCTION("if(countif(ecn.list,EY54),OFFSET(INDIRECT(CONCAT(""A"",to_text(match(EY54,ecn.list,0)))),0,1),"""")"),"")</f>
        <v/>
      </c>
      <c r="BZ54" s="236" t="str">
        <f>IFERROR(__xludf.DUMMYFUNCTION("if(countif(ecn.list,EZ54),OFFSET(INDIRECT(CONCAT(""A"",to_text(match(EZ54,ecn.list,0)))),0,1),"""")"),"MF ")</f>
        <v>MF </v>
      </c>
      <c r="CA54" s="236" t="str">
        <f>IFERROR(__xludf.DUMMYFUNCTION("if(countif(ecn.list,FA54),OFFSET(INDIRECT(CONCAT(""A"",to_text(match(FA54,ecn.list,0)))),0,1),"""")"),"")</f>
        <v/>
      </c>
      <c r="CB54" s="236" t="str">
        <f>IFERROR(__xludf.DUMMYFUNCTION("if(countif(ecn.list,FB54),OFFSET(INDIRECT(CONCAT(""A"",to_text(match(FB54,ecn.list,0)))),0,1),"""")"),"")</f>
        <v/>
      </c>
      <c r="CC54" s="236" t="str">
        <f>IFERROR(__xludf.DUMMYFUNCTION("if(countif(ecn.list,FC54),OFFSET(INDIRECT(CONCAT(""A"",to_text(match(FC54,ecn.list,0)))),0,1),"""")"),"N2 ")</f>
        <v>N2 </v>
      </c>
      <c r="CD54" s="236" t="str">
        <f>IFERROR(__xludf.DUMMYFUNCTION("if(countif(ecn.list,FD54),OFFSET(INDIRECT(CONCAT(""A"",to_text(match(FD54,ecn.list,0)))),0,1),"""")"),"")</f>
        <v/>
      </c>
      <c r="CE54" s="236" t="str">
        <f>IFERROR(__xludf.DUMMYFUNCTION("if(countif(ecn.list,FE54),OFFSET(INDIRECT(CONCAT(""A"",to_text(match(FE54,ecn.list,0)))),0,1),"""")"),"")</f>
        <v/>
      </c>
      <c r="CF54" s="236" t="str">
        <f>IFERROR(__xludf.DUMMYFUNCTION("if(countif(ecn.list,FF54),OFFSET(INDIRECT(CONCAT(""A"",to_text(match(FF54,ecn.list,0)))),0,1),"""")"),"")</f>
        <v/>
      </c>
      <c r="CG54" s="236" t="str">
        <f>IFERROR(__xludf.DUMMYFUNCTION("if(countif(ecn.list,FG54),OFFSET(INDIRECT(CONCAT(""A"",to_text(match(FG54,ecn.list,0)))),0,1),"""")"),"")</f>
        <v/>
      </c>
      <c r="CH54" s="236" t="str">
        <f>IFERROR(__xludf.DUMMYFUNCTION("if(countif(ecn.list,FH54),OFFSET(INDIRECT(CONCAT(""A"",to_text(match(FH54,ecn.list,0)))),0,1),"""")"),"N7 ")</f>
        <v>N7 </v>
      </c>
      <c r="CI54" s="236" t="str">
        <f>IFERROR(__xludf.DUMMYFUNCTION("if(countif(ecn.list,FI54),OFFSET(INDIRECT(CONCAT(""A"",to_text(match(FI54,ecn.list,0)))),0,1),"""")"),"")</f>
        <v/>
      </c>
      <c r="CJ54" s="236" t="str">
        <f>IFERROR(__xludf.DUMMYFUNCTION("if(countif(ecn.list,FJ54),OFFSET(INDIRECT(CONCAT(""A"",to_text(match(FJ54,ecn.list,0)))),0,1),"""")"),"")</f>
        <v/>
      </c>
      <c r="CK54" s="236" t="str">
        <f>IFERROR(__xludf.DUMMYFUNCTION("if(countif(ecn.list,FK54),OFFSET(INDIRECT(CONCAT(""A"",to_text(match(FK54,ecn.list,0)))),0,1),"""")"),"NA ")</f>
        <v>NA </v>
      </c>
      <c r="CL54" s="236" t="str">
        <f>IFERROR(__xludf.DUMMYFUNCTION("if(countif(ecn.list,FL54),OFFSET(INDIRECT(CONCAT(""A"",to_text(match(FL54,ecn.list,0)))),0,1),"""")"),"")</f>
        <v/>
      </c>
      <c r="CM54" s="236" t="str">
        <f>IFERROR(__xludf.DUMMYFUNCTION("if(countif(ecn.list,FM54),OFFSET(INDIRECT(CONCAT(""A"",to_text(match(FM54,ecn.list,0)))),0,1),"""")"),"")</f>
        <v/>
      </c>
      <c r="CN54" s="198" t="s">
        <v>237</v>
      </c>
      <c r="CO54" s="198" t="s">
        <v>1447</v>
      </c>
      <c r="CP54" s="198" t="s">
        <v>1451</v>
      </c>
      <c r="CQ54" s="198" t="s">
        <v>1452</v>
      </c>
      <c r="CR54" s="198" t="s">
        <v>1453</v>
      </c>
      <c r="CS54" s="198" t="s">
        <v>1453</v>
      </c>
      <c r="CT54" s="198" t="s">
        <v>1454</v>
      </c>
      <c r="CU54" s="198" t="s">
        <v>1455</v>
      </c>
      <c r="CV54" s="198" t="s">
        <v>1456</v>
      </c>
      <c r="CW54" s="198" t="s">
        <v>1453</v>
      </c>
      <c r="CX54" s="198" t="s">
        <v>1453</v>
      </c>
      <c r="CY54" s="198" t="s">
        <v>1484</v>
      </c>
      <c r="CZ54" s="198" t="s">
        <v>1453</v>
      </c>
      <c r="DA54" s="198" t="s">
        <v>1457</v>
      </c>
      <c r="DB54" s="198" t="s">
        <v>1453</v>
      </c>
      <c r="DC54" s="198" t="s">
        <v>1453</v>
      </c>
      <c r="DD54" s="198" t="s">
        <v>1453</v>
      </c>
      <c r="DE54" s="198" t="s">
        <v>1459</v>
      </c>
      <c r="DF54" s="198" t="s">
        <v>1453</v>
      </c>
      <c r="DG54" s="198" t="s">
        <v>1453</v>
      </c>
      <c r="DH54" s="198" t="s">
        <v>1453</v>
      </c>
      <c r="DI54" s="198" t="s">
        <v>1453</v>
      </c>
      <c r="DJ54" s="198" t="s">
        <v>1460</v>
      </c>
      <c r="DK54" s="198" t="s">
        <v>1453</v>
      </c>
      <c r="DL54" s="198" t="s">
        <v>1461</v>
      </c>
      <c r="DM54" s="198" t="s">
        <v>1462</v>
      </c>
      <c r="DN54" s="198" t="s">
        <v>1453</v>
      </c>
      <c r="DO54" s="198" t="s">
        <v>1464</v>
      </c>
      <c r="DP54" s="198" t="s">
        <v>1453</v>
      </c>
      <c r="DQ54" s="198" t="s">
        <v>1466</v>
      </c>
      <c r="DR54" s="198" t="s">
        <v>1467</v>
      </c>
      <c r="DS54" s="198" t="s">
        <v>1453</v>
      </c>
      <c r="DT54" s="198" t="s">
        <v>1453</v>
      </c>
      <c r="DU54" s="198" t="s">
        <v>1453</v>
      </c>
      <c r="DV54" s="198" t="s">
        <v>1469</v>
      </c>
      <c r="DW54" s="198" t="s">
        <v>1453</v>
      </c>
      <c r="DX54" s="198" t="s">
        <v>1453</v>
      </c>
      <c r="DY54" s="198" t="s">
        <v>1453</v>
      </c>
      <c r="DZ54" s="198" t="s">
        <v>1453</v>
      </c>
      <c r="EA54" s="198" t="s">
        <v>1453</v>
      </c>
      <c r="EB54" s="198" t="s">
        <v>1453</v>
      </c>
      <c r="EC54" s="198" t="s">
        <v>1483</v>
      </c>
      <c r="ED54" s="198" t="s">
        <v>1453</v>
      </c>
      <c r="EE54" s="198" t="s">
        <v>1470</v>
      </c>
      <c r="EF54" s="198" t="s">
        <v>1453</v>
      </c>
      <c r="EG54" s="198" t="s">
        <v>1471</v>
      </c>
      <c r="EH54" s="198" t="s">
        <v>1453</v>
      </c>
      <c r="EI54" s="198" t="s">
        <v>1453</v>
      </c>
      <c r="EJ54" s="198" t="s">
        <v>1453</v>
      </c>
      <c r="EK54" s="198" t="s">
        <v>1487</v>
      </c>
      <c r="EL54" s="198" t="s">
        <v>1473</v>
      </c>
      <c r="EM54" s="198" t="s">
        <v>1453</v>
      </c>
      <c r="EN54" s="198" t="s">
        <v>1474</v>
      </c>
      <c r="EO54" s="198" t="s">
        <v>1475</v>
      </c>
      <c r="EP54" s="198" t="s">
        <v>1453</v>
      </c>
      <c r="EQ54" s="198" t="s">
        <v>1453</v>
      </c>
      <c r="ER54" s="198" t="s">
        <v>1453</v>
      </c>
      <c r="ES54" s="198" t="s">
        <v>1453</v>
      </c>
      <c r="ET54" s="198" t="s">
        <v>1453</v>
      </c>
      <c r="EU54" s="198" t="s">
        <v>1453</v>
      </c>
      <c r="EV54" s="198" t="s">
        <v>1476</v>
      </c>
      <c r="EW54" s="198" t="s">
        <v>1453</v>
      </c>
      <c r="EX54" s="198" t="s">
        <v>1453</v>
      </c>
      <c r="EY54" s="198" t="s">
        <v>1453</v>
      </c>
      <c r="EZ54" s="198" t="s">
        <v>1477</v>
      </c>
      <c r="FA54" s="198" t="s">
        <v>1453</v>
      </c>
      <c r="FB54" s="198" t="s">
        <v>1453</v>
      </c>
      <c r="FC54" s="198" t="s">
        <v>1478</v>
      </c>
      <c r="FD54" s="198" t="s">
        <v>1453</v>
      </c>
      <c r="FE54" s="198" t="s">
        <v>1453</v>
      </c>
      <c r="FF54" s="198" t="s">
        <v>1453</v>
      </c>
      <c r="FG54" s="198" t="s">
        <v>1453</v>
      </c>
      <c r="FH54" s="198" t="s">
        <v>1479</v>
      </c>
      <c r="FI54" s="198" t="s">
        <v>1453</v>
      </c>
      <c r="FJ54" s="198" t="s">
        <v>1453</v>
      </c>
      <c r="FK54" s="198" t="s">
        <v>1481</v>
      </c>
      <c r="FL54" s="198" t="s">
        <v>1482</v>
      </c>
      <c r="FM54" s="198" t="s">
        <v>1453</v>
      </c>
    </row>
    <row r="55" ht="15.75" customHeight="1">
      <c r="A55" s="198" t="s">
        <v>1475</v>
      </c>
      <c r="B55" s="198" t="str">
        <f t="shared" si="6"/>
        <v>M4 </v>
      </c>
      <c r="C55" s="234">
        <v>4.0</v>
      </c>
      <c r="D55" s="232" t="s">
        <v>770</v>
      </c>
      <c r="E55" s="232" t="s">
        <v>1448</v>
      </c>
      <c r="F55" s="232" t="s">
        <v>1449</v>
      </c>
      <c r="G55" s="232" t="s">
        <v>1450</v>
      </c>
      <c r="H55" s="232" t="s">
        <v>876</v>
      </c>
      <c r="I55" s="232" t="s">
        <v>987</v>
      </c>
      <c r="J55" s="232" t="s">
        <v>1497</v>
      </c>
      <c r="K55" s="232" t="s">
        <v>1000</v>
      </c>
      <c r="L55" s="188" t="s">
        <v>240</v>
      </c>
      <c r="M55" s="236" t="str">
        <f>IFERROR(__xludf.DUMMYFUNCTION("regexreplace(N55,"" "","", "")"),"J0, J1, J2, J3, J5, J6, JA, JC, JF, K0, K1, K3, K4, K5, K7, K9, KA, KB, KC, KD, KE, KF, L1, L2, L3, L7, L8, L9, LA, LC, LF, M0, M1, M3, M8, MB, MF, N2, N7, NA, ")</f>
        <v>J0, J1, J2, J3, J5, J6, JA, JC, JF, K0, K1, K3, K4, K5, K7, K9, KA, KB, KC, KD, KE, KF, L1, L2, L3, L7, L8, L9, LA, LC, LF, M0, M1, M3, M8, MB, MF, N2, N7, NA, </v>
      </c>
      <c r="N55" s="236" t="str">
        <f t="shared" si="2"/>
        <v>J0 J1 J2 J3 J5 J6 JA JC JF K0 K1 K3 K4 K5 K7 K9 KA KB KC KD KE KF L1 L2 L3 L7 L8 L9 LA LC LF M0 M1 M3 M8 MB MF N2 N7 NA </v>
      </c>
      <c r="O55" s="236" t="str">
        <f>IFERROR(__xludf.DUMMYFUNCTION("if(countif(ecn.list,CO55),OFFSET(INDIRECT(CONCAT(""A"",to_text(match(CO55,ecn.list,0)))),0,1),"""")"),"J0 ")</f>
        <v>J0 </v>
      </c>
      <c r="P55" s="236" t="str">
        <f>IFERROR(__xludf.DUMMYFUNCTION("if(countif(ecn.list,CP55),OFFSET(INDIRECT(CONCAT(""A"",to_text(match(CP55,ecn.list,0)))),0,1),"""")"),"J1 ")</f>
        <v>J1 </v>
      </c>
      <c r="Q55" s="236" t="str">
        <f>IFERROR(__xludf.DUMMYFUNCTION("if(countif(ecn.list,CQ55),OFFSET(INDIRECT(CONCAT(""A"",to_text(match(CQ55,ecn.list,0)))),0,1),"""")"),"J2 ")</f>
        <v>J2 </v>
      </c>
      <c r="R55" s="236" t="str">
        <f>IFERROR(__xludf.DUMMYFUNCTION("if(countif(ecn.list,CR55),OFFSET(INDIRECT(CONCAT(""A"",to_text(match(CR55,ecn.list,0)))),0,1),"""")"),"J3 ")</f>
        <v>J3 </v>
      </c>
      <c r="S55" s="236" t="str">
        <f>IFERROR(__xludf.DUMMYFUNCTION("if(countif(ecn.list,CS55),OFFSET(INDIRECT(CONCAT(""A"",to_text(match(CS55,ecn.list,0)))),0,1),"""")"),"")</f>
        <v/>
      </c>
      <c r="T55" s="236" t="str">
        <f>IFERROR(__xludf.DUMMYFUNCTION("if(countif(ecn.list,CT55),OFFSET(INDIRECT(CONCAT(""A"",to_text(match(CT55,ecn.list,0)))),0,1),"""")"),"J5 ")</f>
        <v>J5 </v>
      </c>
      <c r="U55" s="236" t="str">
        <f>IFERROR(__xludf.DUMMYFUNCTION("if(countif(ecn.list,CU55),OFFSET(INDIRECT(CONCAT(""A"",to_text(match(CU55,ecn.list,0)))),0,1),"""")"),"J6 ")</f>
        <v>J6 </v>
      </c>
      <c r="V55" s="236" t="str">
        <f>IFERROR(__xludf.DUMMYFUNCTION("if(countif(ecn.list,CV55),OFFSET(INDIRECT(CONCAT(""A"",to_text(match(CV55,ecn.list,0)))),0,1),"""")"),"")</f>
        <v/>
      </c>
      <c r="W55" s="236" t="str">
        <f>IFERROR(__xludf.DUMMYFUNCTION("if(countif(ecn.list,CW55),OFFSET(INDIRECT(CONCAT(""A"",to_text(match(CW55,ecn.list,0)))),0,1),"""")"),"")</f>
        <v/>
      </c>
      <c r="X55" s="236" t="str">
        <f>IFERROR(__xludf.DUMMYFUNCTION("if(countif(ecn.list,CX55),OFFSET(INDIRECT(CONCAT(""A"",to_text(match(CX55,ecn.list,0)))),0,1),"""")"),"")</f>
        <v/>
      </c>
      <c r="Y55" s="236" t="str">
        <f>IFERROR(__xludf.DUMMYFUNCTION("if(countif(ecn.list,CY55),OFFSET(INDIRECT(CONCAT(""A"",to_text(match(CY55,ecn.list,0)))),0,1),"""")"),"JA ")</f>
        <v>JA </v>
      </c>
      <c r="Z55" s="236" t="str">
        <f>IFERROR(__xludf.DUMMYFUNCTION("if(countif(ecn.list,CZ55),OFFSET(INDIRECT(CONCAT(""A"",to_text(match(CZ55,ecn.list,0)))),0,1),"""")"),"")</f>
        <v/>
      </c>
      <c r="AA55" s="236" t="str">
        <f>IFERROR(__xludf.DUMMYFUNCTION("if(countif(ecn.list,DA55),OFFSET(INDIRECT(CONCAT(""A"",to_text(match(DA55,ecn.list,0)))),0,1),"""")"),"JC ")</f>
        <v>JC </v>
      </c>
      <c r="AB55" s="236" t="str">
        <f>IFERROR(__xludf.DUMMYFUNCTION("if(countif(ecn.list,DB55),OFFSET(INDIRECT(CONCAT(""A"",to_text(match(DB55,ecn.list,0)))),0,1),"""")"),"")</f>
        <v/>
      </c>
      <c r="AC55" s="236" t="str">
        <f>IFERROR(__xludf.DUMMYFUNCTION("if(countif(ecn.list,DC55),OFFSET(INDIRECT(CONCAT(""A"",to_text(match(DC55,ecn.list,0)))),0,1),"""")"),"")</f>
        <v/>
      </c>
      <c r="AD55" s="236" t="str">
        <f>IFERROR(__xludf.DUMMYFUNCTION("if(countif(ecn.list,DD55),OFFSET(INDIRECT(CONCAT(""A"",to_text(match(DD55,ecn.list,0)))),0,1),"""")"),"JF ")</f>
        <v>JF </v>
      </c>
      <c r="AE55" s="236" t="str">
        <f>IFERROR(__xludf.DUMMYFUNCTION("if(countif(ecn.list,DE55),OFFSET(INDIRECT(CONCAT(""A"",to_text(match(DE55,ecn.list,0)))),0,1),"""")"),"K0 ")</f>
        <v>K0 </v>
      </c>
      <c r="AF55" s="236" t="str">
        <f>IFERROR(__xludf.DUMMYFUNCTION("if(countif(ecn.list,DF55),OFFSET(INDIRECT(CONCAT(""A"",to_text(match(DF55,ecn.list,0)))),0,1),"""")"),"K1 ")</f>
        <v>K1 </v>
      </c>
      <c r="AG55" s="236" t="str">
        <f>IFERROR(__xludf.DUMMYFUNCTION("if(countif(ecn.list,DG55),OFFSET(INDIRECT(CONCAT(""A"",to_text(match(DG55,ecn.list,0)))),0,1),"""")"),"")</f>
        <v/>
      </c>
      <c r="AH55" s="236" t="str">
        <f>IFERROR(__xludf.DUMMYFUNCTION("if(countif(ecn.list,DH55),OFFSET(INDIRECT(CONCAT(""A"",to_text(match(DH55,ecn.list,0)))),0,1),"""")"),"K3 ")</f>
        <v>K3 </v>
      </c>
      <c r="AI55" s="236" t="str">
        <f>IFERROR(__xludf.DUMMYFUNCTION("if(countif(ecn.list,DI55),OFFSET(INDIRECT(CONCAT(""A"",to_text(match(DI55,ecn.list,0)))),0,1),"""")"),"K4 ")</f>
        <v>K4 </v>
      </c>
      <c r="AJ55" s="236" t="str">
        <f>IFERROR(__xludf.DUMMYFUNCTION("if(countif(ecn.list,DJ55),OFFSET(INDIRECT(CONCAT(""A"",to_text(match(DJ55,ecn.list,0)))),0,1),"""")"),"K5 ")</f>
        <v>K5 </v>
      </c>
      <c r="AK55" s="236" t="str">
        <f>IFERROR(__xludf.DUMMYFUNCTION("if(countif(ecn.list,DK55),OFFSET(INDIRECT(CONCAT(""A"",to_text(match(DK55,ecn.list,0)))),0,1),"""")"),"")</f>
        <v/>
      </c>
      <c r="AL55" s="236" t="str">
        <f>IFERROR(__xludf.DUMMYFUNCTION("if(countif(ecn.list,DL55),OFFSET(INDIRECT(CONCAT(""A"",to_text(match(DL55,ecn.list,0)))),0,1),"""")"),"K7 ")</f>
        <v>K7 </v>
      </c>
      <c r="AM55" s="236" t="str">
        <f>IFERROR(__xludf.DUMMYFUNCTION("if(countif(ecn.list,DM55),OFFSET(INDIRECT(CONCAT(""A"",to_text(match(DM55,ecn.list,0)))),0,1),"""")"),"")</f>
        <v/>
      </c>
      <c r="AN55" s="236" t="str">
        <f>IFERROR(__xludf.DUMMYFUNCTION("if(countif(ecn.list,DN55),OFFSET(INDIRECT(CONCAT(""A"",to_text(match(DN55,ecn.list,0)))),0,1),"""")"),"K9 ")</f>
        <v>K9 </v>
      </c>
      <c r="AO55" s="236" t="str">
        <f>IFERROR(__xludf.DUMMYFUNCTION("if(countif(ecn.list,DO55),OFFSET(INDIRECT(CONCAT(""A"",to_text(match(DO55,ecn.list,0)))),0,1),"""")"),"KA ")</f>
        <v>KA </v>
      </c>
      <c r="AP55" s="236" t="str">
        <f>IFERROR(__xludf.DUMMYFUNCTION("if(countif(ecn.list,DP55),OFFSET(INDIRECT(CONCAT(""A"",to_text(match(DP55,ecn.list,0)))),0,1),"""")"),"KB ")</f>
        <v>KB </v>
      </c>
      <c r="AQ55" s="236" t="str">
        <f>IFERROR(__xludf.DUMMYFUNCTION("if(countif(ecn.list,DQ55),OFFSET(INDIRECT(CONCAT(""A"",to_text(match(DQ55,ecn.list,0)))),0,1),"""")"),"KC ")</f>
        <v>KC </v>
      </c>
      <c r="AR55" s="236" t="str">
        <f>IFERROR(__xludf.DUMMYFUNCTION("if(countif(ecn.list,DR55),OFFSET(INDIRECT(CONCAT(""A"",to_text(match(DR55,ecn.list,0)))),0,1),"""")"),"KD ")</f>
        <v>KD </v>
      </c>
      <c r="AS55" s="236" t="str">
        <f>IFERROR(__xludf.DUMMYFUNCTION("if(countif(ecn.list,DS55),OFFSET(INDIRECT(CONCAT(""A"",to_text(match(DS55,ecn.list,0)))),0,1),"""")"),"KE ")</f>
        <v>KE </v>
      </c>
      <c r="AT55" s="236" t="str">
        <f>IFERROR(__xludf.DUMMYFUNCTION("if(countif(ecn.list,DT55),OFFSET(INDIRECT(CONCAT(""A"",to_text(match(DT55,ecn.list,0)))),0,1),"""")"),"KF ")</f>
        <v>KF </v>
      </c>
      <c r="AU55" s="236" t="str">
        <f>IFERROR(__xludf.DUMMYFUNCTION("if(countif(ecn.list,DU55),OFFSET(INDIRECT(CONCAT(""A"",to_text(match(DU55,ecn.list,0)))),0,1),"""")"),"")</f>
        <v/>
      </c>
      <c r="AV55" s="236" t="str">
        <f>IFERROR(__xludf.DUMMYFUNCTION("if(countif(ecn.list,DV55),OFFSET(INDIRECT(CONCAT(""A"",to_text(match(DV55,ecn.list,0)))),0,1),"""")"),"L1 ")</f>
        <v>L1 </v>
      </c>
      <c r="AW55" s="236" t="str">
        <f>IFERROR(__xludf.DUMMYFUNCTION("if(countif(ecn.list,DW55),OFFSET(INDIRECT(CONCAT(""A"",to_text(match(DW55,ecn.list,0)))),0,1),"""")"),"L2 ")</f>
        <v>L2 </v>
      </c>
      <c r="AX55" s="236" t="str">
        <f>IFERROR(__xludf.DUMMYFUNCTION("if(countif(ecn.list,DX55),OFFSET(INDIRECT(CONCAT(""A"",to_text(match(DX55,ecn.list,0)))),0,1),"""")"),"L3 ")</f>
        <v>L3 </v>
      </c>
      <c r="AY55" s="236" t="str">
        <f>IFERROR(__xludf.DUMMYFUNCTION("if(countif(ecn.list,DY55),OFFSET(INDIRECT(CONCAT(""A"",to_text(match(DY55,ecn.list,0)))),0,1),"""")"),"")</f>
        <v/>
      </c>
      <c r="AZ55" s="236" t="str">
        <f>IFERROR(__xludf.DUMMYFUNCTION("if(countif(ecn.list,DZ55),OFFSET(INDIRECT(CONCAT(""A"",to_text(match(DZ55,ecn.list,0)))),0,1),"""")"),"")</f>
        <v/>
      </c>
      <c r="BA55" s="236" t="str">
        <f>IFERROR(__xludf.DUMMYFUNCTION("if(countif(ecn.list,EA55),OFFSET(INDIRECT(CONCAT(""A"",to_text(match(EA55,ecn.list,0)))),0,1),"""")"),"")</f>
        <v/>
      </c>
      <c r="BB55" s="236" t="str">
        <f>IFERROR(__xludf.DUMMYFUNCTION("if(countif(ecn.list,EB55),OFFSET(INDIRECT(CONCAT(""A"",to_text(match(EB55,ecn.list,0)))),0,1),"""")"),"L7 ")</f>
        <v>L7 </v>
      </c>
      <c r="BC55" s="236" t="str">
        <f>IFERROR(__xludf.DUMMYFUNCTION("if(countif(ecn.list,EC55),OFFSET(INDIRECT(CONCAT(""A"",to_text(match(EC55,ecn.list,0)))),0,1),"""")"),"L8 ")</f>
        <v>L8 </v>
      </c>
      <c r="BD55" s="236" t="str">
        <f>IFERROR(__xludf.DUMMYFUNCTION("if(countif(ecn.list,ED55),OFFSET(INDIRECT(CONCAT(""A"",to_text(match(ED55,ecn.list,0)))),0,1),"""")"),"L9 ")</f>
        <v>L9 </v>
      </c>
      <c r="BE55" s="236" t="str">
        <f>IFERROR(__xludf.DUMMYFUNCTION("if(countif(ecn.list,EE55),OFFSET(INDIRECT(CONCAT(""A"",to_text(match(EE55,ecn.list,0)))),0,1),"""")"),"LA ")</f>
        <v>LA </v>
      </c>
      <c r="BF55" s="236" t="str">
        <f>IFERROR(__xludf.DUMMYFUNCTION("if(countif(ecn.list,EF55),OFFSET(INDIRECT(CONCAT(""A"",to_text(match(EF55,ecn.list,0)))),0,1),"""")"),"")</f>
        <v/>
      </c>
      <c r="BG55" s="236" t="str">
        <f>IFERROR(__xludf.DUMMYFUNCTION("if(countif(ecn.list,EG55),OFFSET(INDIRECT(CONCAT(""A"",to_text(match(EG55,ecn.list,0)))),0,1),"""")"),"LC ")</f>
        <v>LC </v>
      </c>
      <c r="BH55" s="236" t="str">
        <f>IFERROR(__xludf.DUMMYFUNCTION("if(countif(ecn.list,EH55),OFFSET(INDIRECT(CONCAT(""A"",to_text(match(EH55,ecn.list,0)))),0,1),"""")"),"")</f>
        <v/>
      </c>
      <c r="BI55" s="236" t="str">
        <f>IFERROR(__xludf.DUMMYFUNCTION("if(countif(ecn.list,EI55),OFFSET(INDIRECT(CONCAT(""A"",to_text(match(EI55,ecn.list,0)))),0,1),"""")"),"")</f>
        <v/>
      </c>
      <c r="BJ55" s="236" t="str">
        <f>IFERROR(__xludf.DUMMYFUNCTION("if(countif(ecn.list,EJ55),OFFSET(INDIRECT(CONCAT(""A"",to_text(match(EJ55,ecn.list,0)))),0,1),"""")"),"LF ")</f>
        <v>LF </v>
      </c>
      <c r="BK55" s="236" t="str">
        <f>IFERROR(__xludf.DUMMYFUNCTION("if(countif(ecn.list,EK55),OFFSET(INDIRECT(CONCAT(""A"",to_text(match(EK55,ecn.list,0)))),0,1),"""")"),"M0 ")</f>
        <v>M0 </v>
      </c>
      <c r="BL55" s="236" t="str">
        <f>IFERROR(__xludf.DUMMYFUNCTION("if(countif(ecn.list,EL55),OFFSET(INDIRECT(CONCAT(""A"",to_text(match(EL55,ecn.list,0)))),0,1),"""")"),"M1 ")</f>
        <v>M1 </v>
      </c>
      <c r="BM55" s="236" t="str">
        <f>IFERROR(__xludf.DUMMYFUNCTION("if(countif(ecn.list,EM55),OFFSET(INDIRECT(CONCAT(""A"",to_text(match(EM55,ecn.list,0)))),0,1),"""")"),"")</f>
        <v/>
      </c>
      <c r="BN55" s="236" t="str">
        <f>IFERROR(__xludf.DUMMYFUNCTION("if(countif(ecn.list,EN55),OFFSET(INDIRECT(CONCAT(""A"",to_text(match(EN55,ecn.list,0)))),0,1),"""")"),"M3 ")</f>
        <v>M3 </v>
      </c>
      <c r="BO55" s="236" t="str">
        <f>IFERROR(__xludf.DUMMYFUNCTION("if(countif(ecn.list,EO55),OFFSET(INDIRECT(CONCAT(""A"",to_text(match(EO55,ecn.list,0)))),0,1),"""")"),"")</f>
        <v/>
      </c>
      <c r="BP55" s="236" t="str">
        <f>IFERROR(__xludf.DUMMYFUNCTION("if(countif(ecn.list,EP55),OFFSET(INDIRECT(CONCAT(""A"",to_text(match(EP55,ecn.list,0)))),0,1),"""")"),"")</f>
        <v/>
      </c>
      <c r="BQ55" s="236" t="str">
        <f>IFERROR(__xludf.DUMMYFUNCTION("if(countif(ecn.list,EQ55),OFFSET(INDIRECT(CONCAT(""A"",to_text(match(EQ55,ecn.list,0)))),0,1),"""")"),"")</f>
        <v/>
      </c>
      <c r="BR55" s="236" t="str">
        <f>IFERROR(__xludf.DUMMYFUNCTION("if(countif(ecn.list,ER55),OFFSET(INDIRECT(CONCAT(""A"",to_text(match(ER55,ecn.list,0)))),0,1),"""")"),"")</f>
        <v/>
      </c>
      <c r="BS55" s="236" t="str">
        <f>IFERROR(__xludf.DUMMYFUNCTION("if(countif(ecn.list,ES55),OFFSET(INDIRECT(CONCAT(""A"",to_text(match(ES55,ecn.list,0)))),0,1),"""")"),"M8 ")</f>
        <v>M8 </v>
      </c>
      <c r="BT55" s="236" t="str">
        <f>IFERROR(__xludf.DUMMYFUNCTION("if(countif(ecn.list,ET55),OFFSET(INDIRECT(CONCAT(""A"",to_text(match(ET55,ecn.list,0)))),0,1),"""")"),"")</f>
        <v/>
      </c>
      <c r="BU55" s="236" t="str">
        <f>IFERROR(__xludf.DUMMYFUNCTION("if(countif(ecn.list,EU55),OFFSET(INDIRECT(CONCAT(""A"",to_text(match(EU55,ecn.list,0)))),0,1),"""")"),"")</f>
        <v/>
      </c>
      <c r="BV55" s="236" t="str">
        <f>IFERROR(__xludf.DUMMYFUNCTION("if(countif(ecn.list,EV55),OFFSET(INDIRECT(CONCAT(""A"",to_text(match(EV55,ecn.list,0)))),0,1),"""")"),"MB ")</f>
        <v>MB </v>
      </c>
      <c r="BW55" s="236" t="str">
        <f>IFERROR(__xludf.DUMMYFUNCTION("if(countif(ecn.list,EW55),OFFSET(INDIRECT(CONCAT(""A"",to_text(match(EW55,ecn.list,0)))),0,1),"""")"),"")</f>
        <v/>
      </c>
      <c r="BX55" s="236" t="str">
        <f>IFERROR(__xludf.DUMMYFUNCTION("if(countif(ecn.list,EX55),OFFSET(INDIRECT(CONCAT(""A"",to_text(match(EX55,ecn.list,0)))),0,1),"""")"),"")</f>
        <v/>
      </c>
      <c r="BY55" s="236" t="str">
        <f>IFERROR(__xludf.DUMMYFUNCTION("if(countif(ecn.list,EY55),OFFSET(INDIRECT(CONCAT(""A"",to_text(match(EY55,ecn.list,0)))),0,1),"""")"),"")</f>
        <v/>
      </c>
      <c r="BZ55" s="236" t="str">
        <f>IFERROR(__xludf.DUMMYFUNCTION("if(countif(ecn.list,EZ55),OFFSET(INDIRECT(CONCAT(""A"",to_text(match(EZ55,ecn.list,0)))),0,1),"""")"),"MF ")</f>
        <v>MF </v>
      </c>
      <c r="CA55" s="236" t="str">
        <f>IFERROR(__xludf.DUMMYFUNCTION("if(countif(ecn.list,FA55),OFFSET(INDIRECT(CONCAT(""A"",to_text(match(FA55,ecn.list,0)))),0,1),"""")"),"")</f>
        <v/>
      </c>
      <c r="CB55" s="236" t="str">
        <f>IFERROR(__xludf.DUMMYFUNCTION("if(countif(ecn.list,FB55),OFFSET(INDIRECT(CONCAT(""A"",to_text(match(FB55,ecn.list,0)))),0,1),"""")"),"")</f>
        <v/>
      </c>
      <c r="CC55" s="236" t="str">
        <f>IFERROR(__xludf.DUMMYFUNCTION("if(countif(ecn.list,FC55),OFFSET(INDIRECT(CONCAT(""A"",to_text(match(FC55,ecn.list,0)))),0,1),"""")"),"N2 ")</f>
        <v>N2 </v>
      </c>
      <c r="CD55" s="236" t="str">
        <f>IFERROR(__xludf.DUMMYFUNCTION("if(countif(ecn.list,FD55),OFFSET(INDIRECT(CONCAT(""A"",to_text(match(FD55,ecn.list,0)))),0,1),"""")"),"")</f>
        <v/>
      </c>
      <c r="CE55" s="236" t="str">
        <f>IFERROR(__xludf.DUMMYFUNCTION("if(countif(ecn.list,FE55),OFFSET(INDIRECT(CONCAT(""A"",to_text(match(FE55,ecn.list,0)))),0,1),"""")"),"")</f>
        <v/>
      </c>
      <c r="CF55" s="236" t="str">
        <f>IFERROR(__xludf.DUMMYFUNCTION("if(countif(ecn.list,FF55),OFFSET(INDIRECT(CONCAT(""A"",to_text(match(FF55,ecn.list,0)))),0,1),"""")"),"")</f>
        <v/>
      </c>
      <c r="CG55" s="236" t="str">
        <f>IFERROR(__xludf.DUMMYFUNCTION("if(countif(ecn.list,FG55),OFFSET(INDIRECT(CONCAT(""A"",to_text(match(FG55,ecn.list,0)))),0,1),"""")"),"")</f>
        <v/>
      </c>
      <c r="CH55" s="236" t="str">
        <f>IFERROR(__xludf.DUMMYFUNCTION("if(countif(ecn.list,FH55),OFFSET(INDIRECT(CONCAT(""A"",to_text(match(FH55,ecn.list,0)))),0,1),"""")"),"N7 ")</f>
        <v>N7 </v>
      </c>
      <c r="CI55" s="236" t="str">
        <f>IFERROR(__xludf.DUMMYFUNCTION("if(countif(ecn.list,FI55),OFFSET(INDIRECT(CONCAT(""A"",to_text(match(FI55,ecn.list,0)))),0,1),"""")"),"")</f>
        <v/>
      </c>
      <c r="CJ55" s="236" t="str">
        <f>IFERROR(__xludf.DUMMYFUNCTION("if(countif(ecn.list,FJ55),OFFSET(INDIRECT(CONCAT(""A"",to_text(match(FJ55,ecn.list,0)))),0,1),"""")"),"")</f>
        <v/>
      </c>
      <c r="CK55" s="236" t="str">
        <f>IFERROR(__xludf.DUMMYFUNCTION("if(countif(ecn.list,FK55),OFFSET(INDIRECT(CONCAT(""A"",to_text(match(FK55,ecn.list,0)))),0,1),"""")"),"NA ")</f>
        <v>NA </v>
      </c>
      <c r="CL55" s="236" t="str">
        <f>IFERROR(__xludf.DUMMYFUNCTION("if(countif(ecn.list,FL55),OFFSET(INDIRECT(CONCAT(""A"",to_text(match(FL55,ecn.list,0)))),0,1),"""")"),"")</f>
        <v/>
      </c>
      <c r="CM55" s="236" t="str">
        <f>IFERROR(__xludf.DUMMYFUNCTION("if(countif(ecn.list,FM55),OFFSET(INDIRECT(CONCAT(""A"",to_text(match(FM55,ecn.list,0)))),0,1),"""")"),"")</f>
        <v/>
      </c>
      <c r="CN55" s="198" t="s">
        <v>240</v>
      </c>
      <c r="CO55" s="198" t="s">
        <v>1447</v>
      </c>
      <c r="CP55" s="198" t="s">
        <v>1451</v>
      </c>
      <c r="CQ55" s="198" t="s">
        <v>1452</v>
      </c>
      <c r="CR55" s="198" t="s">
        <v>1490</v>
      </c>
      <c r="CS55" s="198" t="s">
        <v>1453</v>
      </c>
      <c r="CT55" s="198" t="s">
        <v>1454</v>
      </c>
      <c r="CU55" s="198" t="s">
        <v>1455</v>
      </c>
      <c r="CV55" s="198" t="s">
        <v>1453</v>
      </c>
      <c r="CW55" s="198" t="s">
        <v>1453</v>
      </c>
      <c r="CX55" s="198" t="s">
        <v>1453</v>
      </c>
      <c r="CY55" s="198" t="s">
        <v>1484</v>
      </c>
      <c r="CZ55" s="198" t="s">
        <v>1453</v>
      </c>
      <c r="DA55" s="198" t="s">
        <v>1457</v>
      </c>
      <c r="DB55" s="198" t="s">
        <v>1453</v>
      </c>
      <c r="DC55" s="198" t="s">
        <v>1453</v>
      </c>
      <c r="DD55" s="198" t="s">
        <v>1458</v>
      </c>
      <c r="DE55" s="198" t="s">
        <v>1459</v>
      </c>
      <c r="DF55" s="198" t="s">
        <v>1498</v>
      </c>
      <c r="DG55" s="198" t="s">
        <v>1453</v>
      </c>
      <c r="DH55" s="198" t="s">
        <v>1500</v>
      </c>
      <c r="DI55" s="198" t="s">
        <v>1501</v>
      </c>
      <c r="DJ55" s="198" t="s">
        <v>1460</v>
      </c>
      <c r="DK55" s="198" t="s">
        <v>1453</v>
      </c>
      <c r="DL55" s="198" t="s">
        <v>1461</v>
      </c>
      <c r="DM55" s="198" t="s">
        <v>1453</v>
      </c>
      <c r="DN55" s="198" t="s">
        <v>1463</v>
      </c>
      <c r="DO55" s="198" t="s">
        <v>1464</v>
      </c>
      <c r="DP55" s="198" t="s">
        <v>1465</v>
      </c>
      <c r="DQ55" s="198" t="s">
        <v>1466</v>
      </c>
      <c r="DR55" s="198" t="s">
        <v>1467</v>
      </c>
      <c r="DS55" s="198" t="s">
        <v>1515</v>
      </c>
      <c r="DT55" s="198" t="s">
        <v>1468</v>
      </c>
      <c r="DU55" s="198" t="s">
        <v>1453</v>
      </c>
      <c r="DV55" s="198" t="s">
        <v>1469</v>
      </c>
      <c r="DW55" s="198" t="s">
        <v>1502</v>
      </c>
      <c r="DX55" s="198" t="s">
        <v>1503</v>
      </c>
      <c r="DY55" s="198" t="s">
        <v>1453</v>
      </c>
      <c r="DZ55" s="198" t="s">
        <v>1453</v>
      </c>
      <c r="EA55" s="198" t="s">
        <v>1453</v>
      </c>
      <c r="EB55" s="198" t="s">
        <v>1504</v>
      </c>
      <c r="EC55" s="198" t="s">
        <v>1483</v>
      </c>
      <c r="ED55" s="198" t="s">
        <v>1516</v>
      </c>
      <c r="EE55" s="198" t="s">
        <v>1470</v>
      </c>
      <c r="EF55" s="198" t="s">
        <v>1453</v>
      </c>
      <c r="EG55" s="198" t="s">
        <v>1471</v>
      </c>
      <c r="EH55" s="198" t="s">
        <v>1453</v>
      </c>
      <c r="EI55" s="198" t="s">
        <v>1453</v>
      </c>
      <c r="EJ55" s="198" t="s">
        <v>1472</v>
      </c>
      <c r="EK55" s="198" t="s">
        <v>1487</v>
      </c>
      <c r="EL55" s="198" t="s">
        <v>1473</v>
      </c>
      <c r="EM55" s="198" t="s">
        <v>1453</v>
      </c>
      <c r="EN55" s="198" t="s">
        <v>1474</v>
      </c>
      <c r="EO55" s="198" t="s">
        <v>1453</v>
      </c>
      <c r="EP55" s="198" t="s">
        <v>1453</v>
      </c>
      <c r="EQ55" s="198" t="s">
        <v>1453</v>
      </c>
      <c r="ER55" s="198" t="s">
        <v>1453</v>
      </c>
      <c r="ES55" s="198" t="s">
        <v>1505</v>
      </c>
      <c r="ET55" s="198" t="s">
        <v>1453</v>
      </c>
      <c r="EU55" s="198" t="s">
        <v>1453</v>
      </c>
      <c r="EV55" s="198" t="s">
        <v>1476</v>
      </c>
      <c r="EW55" s="198" t="s">
        <v>1453</v>
      </c>
      <c r="EX55" s="198" t="s">
        <v>1453</v>
      </c>
      <c r="EY55" s="198" t="s">
        <v>1453</v>
      </c>
      <c r="EZ55" s="198" t="s">
        <v>1477</v>
      </c>
      <c r="FA55" s="198" t="s">
        <v>1453</v>
      </c>
      <c r="FB55" s="198" t="s">
        <v>1453</v>
      </c>
      <c r="FC55" s="198" t="s">
        <v>1478</v>
      </c>
      <c r="FD55" s="198" t="s">
        <v>1453</v>
      </c>
      <c r="FE55" s="198" t="s">
        <v>1453</v>
      </c>
      <c r="FF55" s="198" t="s">
        <v>1453</v>
      </c>
      <c r="FG55" s="198" t="s">
        <v>1453</v>
      </c>
      <c r="FH55" s="198" t="s">
        <v>1479</v>
      </c>
      <c r="FI55" s="198" t="s">
        <v>1453</v>
      </c>
      <c r="FJ55" s="198" t="s">
        <v>1453</v>
      </c>
      <c r="FK55" s="198" t="s">
        <v>1481</v>
      </c>
      <c r="FL55" s="198" t="s">
        <v>1482</v>
      </c>
      <c r="FM55" s="198" t="s">
        <v>1453</v>
      </c>
    </row>
    <row r="56" ht="15.75" customHeight="1">
      <c r="A56" s="236" t="s">
        <v>1524</v>
      </c>
      <c r="B56" s="198" t="str">
        <f t="shared" si="6"/>
        <v>M5 </v>
      </c>
      <c r="C56" s="234">
        <v>5.0</v>
      </c>
      <c r="D56" s="232" t="s">
        <v>770</v>
      </c>
      <c r="E56" s="232" t="s">
        <v>1448</v>
      </c>
      <c r="F56" s="232" t="s">
        <v>1449</v>
      </c>
      <c r="G56" s="232" t="s">
        <v>1450</v>
      </c>
      <c r="H56" s="232" t="s">
        <v>876</v>
      </c>
      <c r="I56" s="232" t="s">
        <v>987</v>
      </c>
      <c r="J56" s="232" t="s">
        <v>1497</v>
      </c>
      <c r="K56" s="232" t="s">
        <v>1003</v>
      </c>
      <c r="L56" s="188" t="s">
        <v>243</v>
      </c>
      <c r="M56" s="236" t="str">
        <f>IFERROR(__xludf.DUMMYFUNCTION("regexreplace(N56,"" "","", "")"),"J0, J1, J2, J5, J6, J7, JA, JC, JD, JF, K0, K1, K3, K4, K5, K7, K8, K9, KA, KB, KC, KD, KF, L1, L2, L3, L7, L8, L9, LA, LC, LF, M0, M3, M4, M8, MB, MD, MF, N2, N6, N7, NA, ")</f>
        <v>J0, J1, J2, J5, J6, J7, JA, JC, JD, JF, K0, K1, K3, K4, K5, K7, K8, K9, KA, KB, KC, KD, KF, L1, L2, L3, L7, L8, L9, LA, LC, LF, M0, M3, M4, M8, MB, MD, MF, N2, N6, N7, NA, </v>
      </c>
      <c r="N56" s="236" t="str">
        <f t="shared" si="2"/>
        <v>J0 J1 J2 J5 J6 J7 JA JC JD JF K0 K1 K3 K4 K5 K7 K8 K9 KA KB KC KD KF L1 L2 L3 L7 L8 L9 LA LC LF M0 M3 M4 M8 MB MD MF N2 N6 N7 NA </v>
      </c>
      <c r="O56" s="236" t="str">
        <f>IFERROR(__xludf.DUMMYFUNCTION("if(countif(ecn.list,CO56),OFFSET(INDIRECT(CONCAT(""A"",to_text(match(CO56,ecn.list,0)))),0,1),"""")"),"J0 ")</f>
        <v>J0 </v>
      </c>
      <c r="P56" s="236" t="str">
        <f>IFERROR(__xludf.DUMMYFUNCTION("if(countif(ecn.list,CP56),OFFSET(INDIRECT(CONCAT(""A"",to_text(match(CP56,ecn.list,0)))),0,1),"""")"),"J1 ")</f>
        <v>J1 </v>
      </c>
      <c r="Q56" s="236" t="str">
        <f>IFERROR(__xludf.DUMMYFUNCTION("if(countif(ecn.list,CQ56),OFFSET(INDIRECT(CONCAT(""A"",to_text(match(CQ56,ecn.list,0)))),0,1),"""")"),"J2 ")</f>
        <v>J2 </v>
      </c>
      <c r="R56" s="236" t="str">
        <f>IFERROR(__xludf.DUMMYFUNCTION("if(countif(ecn.list,CR56),OFFSET(INDIRECT(CONCAT(""A"",to_text(match(CR56,ecn.list,0)))),0,1),"""")"),"")</f>
        <v/>
      </c>
      <c r="S56" s="236" t="str">
        <f>IFERROR(__xludf.DUMMYFUNCTION("if(countif(ecn.list,CS56),OFFSET(INDIRECT(CONCAT(""A"",to_text(match(CS56,ecn.list,0)))),0,1),"""")"),"")</f>
        <v/>
      </c>
      <c r="T56" s="236" t="str">
        <f>IFERROR(__xludf.DUMMYFUNCTION("if(countif(ecn.list,CT56),OFFSET(INDIRECT(CONCAT(""A"",to_text(match(CT56,ecn.list,0)))),0,1),"""")"),"J5 ")</f>
        <v>J5 </v>
      </c>
      <c r="U56" s="236" t="str">
        <f>IFERROR(__xludf.DUMMYFUNCTION("if(countif(ecn.list,CU56),OFFSET(INDIRECT(CONCAT(""A"",to_text(match(CU56,ecn.list,0)))),0,1),"""")"),"J6 ")</f>
        <v>J6 </v>
      </c>
      <c r="V56" s="236" t="str">
        <f>IFERROR(__xludf.DUMMYFUNCTION("if(countif(ecn.list,CV56),OFFSET(INDIRECT(CONCAT(""A"",to_text(match(CV56,ecn.list,0)))),0,1),"""")"),"J7 ")</f>
        <v>J7 </v>
      </c>
      <c r="W56" s="236" t="str">
        <f>IFERROR(__xludf.DUMMYFUNCTION("if(countif(ecn.list,CW56),OFFSET(INDIRECT(CONCAT(""A"",to_text(match(CW56,ecn.list,0)))),0,1),"""")"),"")</f>
        <v/>
      </c>
      <c r="X56" s="236" t="str">
        <f>IFERROR(__xludf.DUMMYFUNCTION("if(countif(ecn.list,CX56),OFFSET(INDIRECT(CONCAT(""A"",to_text(match(CX56,ecn.list,0)))),0,1),"""")"),"")</f>
        <v/>
      </c>
      <c r="Y56" s="236" t="str">
        <f>IFERROR(__xludf.DUMMYFUNCTION("if(countif(ecn.list,CY56),OFFSET(INDIRECT(CONCAT(""A"",to_text(match(CY56,ecn.list,0)))),0,1),"""")"),"JA ")</f>
        <v>JA </v>
      </c>
      <c r="Z56" s="236" t="str">
        <f>IFERROR(__xludf.DUMMYFUNCTION("if(countif(ecn.list,CZ56),OFFSET(INDIRECT(CONCAT(""A"",to_text(match(CZ56,ecn.list,0)))),0,1),"""")"),"")</f>
        <v/>
      </c>
      <c r="AA56" s="236" t="str">
        <f>IFERROR(__xludf.DUMMYFUNCTION("if(countif(ecn.list,DA56),OFFSET(INDIRECT(CONCAT(""A"",to_text(match(DA56,ecn.list,0)))),0,1),"""")"),"JC ")</f>
        <v>JC </v>
      </c>
      <c r="AB56" s="236" t="str">
        <f>IFERROR(__xludf.DUMMYFUNCTION("if(countif(ecn.list,DB56),OFFSET(INDIRECT(CONCAT(""A"",to_text(match(DB56,ecn.list,0)))),0,1),"""")"),"JD ")</f>
        <v>JD </v>
      </c>
      <c r="AC56" s="236" t="str">
        <f>IFERROR(__xludf.DUMMYFUNCTION("if(countif(ecn.list,DC56),OFFSET(INDIRECT(CONCAT(""A"",to_text(match(DC56,ecn.list,0)))),0,1),"""")"),"")</f>
        <v/>
      </c>
      <c r="AD56" s="236" t="str">
        <f>IFERROR(__xludf.DUMMYFUNCTION("if(countif(ecn.list,DD56),OFFSET(INDIRECT(CONCAT(""A"",to_text(match(DD56,ecn.list,0)))),0,1),"""")"),"JF ")</f>
        <v>JF </v>
      </c>
      <c r="AE56" s="236" t="str">
        <f>IFERROR(__xludf.DUMMYFUNCTION("if(countif(ecn.list,DE56),OFFSET(INDIRECT(CONCAT(""A"",to_text(match(DE56,ecn.list,0)))),0,1),"""")"),"K0 ")</f>
        <v>K0 </v>
      </c>
      <c r="AF56" s="236" t="str">
        <f>IFERROR(__xludf.DUMMYFUNCTION("if(countif(ecn.list,DF56),OFFSET(INDIRECT(CONCAT(""A"",to_text(match(DF56,ecn.list,0)))),0,1),"""")"),"K1 ")</f>
        <v>K1 </v>
      </c>
      <c r="AG56" s="236" t="str">
        <f>IFERROR(__xludf.DUMMYFUNCTION("if(countif(ecn.list,DG56),OFFSET(INDIRECT(CONCAT(""A"",to_text(match(DG56,ecn.list,0)))),0,1),"""")"),"")</f>
        <v/>
      </c>
      <c r="AH56" s="236" t="str">
        <f>IFERROR(__xludf.DUMMYFUNCTION("if(countif(ecn.list,DH56),OFFSET(INDIRECT(CONCAT(""A"",to_text(match(DH56,ecn.list,0)))),0,1),"""")"),"K3 ")</f>
        <v>K3 </v>
      </c>
      <c r="AI56" s="236" t="str">
        <f>IFERROR(__xludf.DUMMYFUNCTION("if(countif(ecn.list,DI56),OFFSET(INDIRECT(CONCAT(""A"",to_text(match(DI56,ecn.list,0)))),0,1),"""")"),"K4 ")</f>
        <v>K4 </v>
      </c>
      <c r="AJ56" s="236" t="str">
        <f>IFERROR(__xludf.DUMMYFUNCTION("if(countif(ecn.list,DJ56),OFFSET(INDIRECT(CONCAT(""A"",to_text(match(DJ56,ecn.list,0)))),0,1),"""")"),"K5 ")</f>
        <v>K5 </v>
      </c>
      <c r="AK56" s="236" t="str">
        <f>IFERROR(__xludf.DUMMYFUNCTION("if(countif(ecn.list,DK56),OFFSET(INDIRECT(CONCAT(""A"",to_text(match(DK56,ecn.list,0)))),0,1),"""")"),"")</f>
        <v/>
      </c>
      <c r="AL56" s="236" t="str">
        <f>IFERROR(__xludf.DUMMYFUNCTION("if(countif(ecn.list,DL56),OFFSET(INDIRECT(CONCAT(""A"",to_text(match(DL56,ecn.list,0)))),0,1),"""")"),"K7 ")</f>
        <v>K7 </v>
      </c>
      <c r="AM56" s="236" t="str">
        <f>IFERROR(__xludf.DUMMYFUNCTION("if(countif(ecn.list,DM56),OFFSET(INDIRECT(CONCAT(""A"",to_text(match(DM56,ecn.list,0)))),0,1),"""")"),"K8 ")</f>
        <v>K8 </v>
      </c>
      <c r="AN56" s="236" t="str">
        <f>IFERROR(__xludf.DUMMYFUNCTION("if(countif(ecn.list,DN56),OFFSET(INDIRECT(CONCAT(""A"",to_text(match(DN56,ecn.list,0)))),0,1),"""")"),"K9 ")</f>
        <v>K9 </v>
      </c>
      <c r="AO56" s="236" t="str">
        <f>IFERROR(__xludf.DUMMYFUNCTION("if(countif(ecn.list,DO56),OFFSET(INDIRECT(CONCAT(""A"",to_text(match(DO56,ecn.list,0)))),0,1),"""")"),"KA ")</f>
        <v>KA </v>
      </c>
      <c r="AP56" s="236" t="str">
        <f>IFERROR(__xludf.DUMMYFUNCTION("if(countif(ecn.list,DP56),OFFSET(INDIRECT(CONCAT(""A"",to_text(match(DP56,ecn.list,0)))),0,1),"""")"),"KB ")</f>
        <v>KB </v>
      </c>
      <c r="AQ56" s="236" t="str">
        <f>IFERROR(__xludf.DUMMYFUNCTION("if(countif(ecn.list,DQ56),OFFSET(INDIRECT(CONCAT(""A"",to_text(match(DQ56,ecn.list,0)))),0,1),"""")"),"KC ")</f>
        <v>KC </v>
      </c>
      <c r="AR56" s="236" t="str">
        <f>IFERROR(__xludf.DUMMYFUNCTION("if(countif(ecn.list,DR56),OFFSET(INDIRECT(CONCAT(""A"",to_text(match(DR56,ecn.list,0)))),0,1),"""")"),"KD ")</f>
        <v>KD </v>
      </c>
      <c r="AS56" s="236" t="str">
        <f>IFERROR(__xludf.DUMMYFUNCTION("if(countif(ecn.list,DS56),OFFSET(INDIRECT(CONCAT(""A"",to_text(match(DS56,ecn.list,0)))),0,1),"""")"),"")</f>
        <v/>
      </c>
      <c r="AT56" s="236" t="str">
        <f>IFERROR(__xludf.DUMMYFUNCTION("if(countif(ecn.list,DT56),OFFSET(INDIRECT(CONCAT(""A"",to_text(match(DT56,ecn.list,0)))),0,1),"""")"),"KF ")</f>
        <v>KF </v>
      </c>
      <c r="AU56" s="236" t="str">
        <f>IFERROR(__xludf.DUMMYFUNCTION("if(countif(ecn.list,DU56),OFFSET(INDIRECT(CONCAT(""A"",to_text(match(DU56,ecn.list,0)))),0,1),"""")"),"")</f>
        <v/>
      </c>
      <c r="AV56" s="236" t="str">
        <f>IFERROR(__xludf.DUMMYFUNCTION("if(countif(ecn.list,DV56),OFFSET(INDIRECT(CONCAT(""A"",to_text(match(DV56,ecn.list,0)))),0,1),"""")"),"L1 ")</f>
        <v>L1 </v>
      </c>
      <c r="AW56" s="236" t="str">
        <f>IFERROR(__xludf.DUMMYFUNCTION("if(countif(ecn.list,DW56),OFFSET(INDIRECT(CONCAT(""A"",to_text(match(DW56,ecn.list,0)))),0,1),"""")"),"L2 ")</f>
        <v>L2 </v>
      </c>
      <c r="AX56" s="236" t="str">
        <f>IFERROR(__xludf.DUMMYFUNCTION("if(countif(ecn.list,DX56),OFFSET(INDIRECT(CONCAT(""A"",to_text(match(DX56,ecn.list,0)))),0,1),"""")"),"L3 ")</f>
        <v>L3 </v>
      </c>
      <c r="AY56" s="236" t="str">
        <f>IFERROR(__xludf.DUMMYFUNCTION("if(countif(ecn.list,DY56),OFFSET(INDIRECT(CONCAT(""A"",to_text(match(DY56,ecn.list,0)))),0,1),"""")"),"")</f>
        <v/>
      </c>
      <c r="AZ56" s="236" t="str">
        <f>IFERROR(__xludf.DUMMYFUNCTION("if(countif(ecn.list,DZ56),OFFSET(INDIRECT(CONCAT(""A"",to_text(match(DZ56,ecn.list,0)))),0,1),"""")"),"")</f>
        <v/>
      </c>
      <c r="BA56" s="236" t="str">
        <f>IFERROR(__xludf.DUMMYFUNCTION("if(countif(ecn.list,EA56),OFFSET(INDIRECT(CONCAT(""A"",to_text(match(EA56,ecn.list,0)))),0,1),"""")"),"")</f>
        <v/>
      </c>
      <c r="BB56" s="236" t="str">
        <f>IFERROR(__xludf.DUMMYFUNCTION("if(countif(ecn.list,EB56),OFFSET(INDIRECT(CONCAT(""A"",to_text(match(EB56,ecn.list,0)))),0,1),"""")"),"L7 ")</f>
        <v>L7 </v>
      </c>
      <c r="BC56" s="236" t="str">
        <f>IFERROR(__xludf.DUMMYFUNCTION("if(countif(ecn.list,EC56),OFFSET(INDIRECT(CONCAT(""A"",to_text(match(EC56,ecn.list,0)))),0,1),"""")"),"L8 ")</f>
        <v>L8 </v>
      </c>
      <c r="BD56" s="236" t="str">
        <f>IFERROR(__xludf.DUMMYFUNCTION("if(countif(ecn.list,ED56),OFFSET(INDIRECT(CONCAT(""A"",to_text(match(ED56,ecn.list,0)))),0,1),"""")"),"L9 ")</f>
        <v>L9 </v>
      </c>
      <c r="BE56" s="236" t="str">
        <f>IFERROR(__xludf.DUMMYFUNCTION("if(countif(ecn.list,EE56),OFFSET(INDIRECT(CONCAT(""A"",to_text(match(EE56,ecn.list,0)))),0,1),"""")"),"LA ")</f>
        <v>LA </v>
      </c>
      <c r="BF56" s="236" t="str">
        <f>IFERROR(__xludf.DUMMYFUNCTION("if(countif(ecn.list,EF56),OFFSET(INDIRECT(CONCAT(""A"",to_text(match(EF56,ecn.list,0)))),0,1),"""")"),"")</f>
        <v/>
      </c>
      <c r="BG56" s="236" t="str">
        <f>IFERROR(__xludf.DUMMYFUNCTION("if(countif(ecn.list,EG56),OFFSET(INDIRECT(CONCAT(""A"",to_text(match(EG56,ecn.list,0)))),0,1),"""")"),"LC ")</f>
        <v>LC </v>
      </c>
      <c r="BH56" s="236" t="str">
        <f>IFERROR(__xludf.DUMMYFUNCTION("if(countif(ecn.list,EH56),OFFSET(INDIRECT(CONCAT(""A"",to_text(match(EH56,ecn.list,0)))),0,1),"""")"),"")</f>
        <v/>
      </c>
      <c r="BI56" s="236" t="str">
        <f>IFERROR(__xludf.DUMMYFUNCTION("if(countif(ecn.list,EI56),OFFSET(INDIRECT(CONCAT(""A"",to_text(match(EI56,ecn.list,0)))),0,1),"""")"),"")</f>
        <v/>
      </c>
      <c r="BJ56" s="236" t="str">
        <f>IFERROR(__xludf.DUMMYFUNCTION("if(countif(ecn.list,EJ56),OFFSET(INDIRECT(CONCAT(""A"",to_text(match(EJ56,ecn.list,0)))),0,1),"""")"),"LF ")</f>
        <v>LF </v>
      </c>
      <c r="BK56" s="236" t="str">
        <f>IFERROR(__xludf.DUMMYFUNCTION("if(countif(ecn.list,EK56),OFFSET(INDIRECT(CONCAT(""A"",to_text(match(EK56,ecn.list,0)))),0,1),"""")"),"M0 ")</f>
        <v>M0 </v>
      </c>
      <c r="BL56" s="236" t="str">
        <f>IFERROR(__xludf.DUMMYFUNCTION("if(countif(ecn.list,EL56),OFFSET(INDIRECT(CONCAT(""A"",to_text(match(EL56,ecn.list,0)))),0,1),"""")"),"")</f>
        <v/>
      </c>
      <c r="BM56" s="236" t="str">
        <f>IFERROR(__xludf.DUMMYFUNCTION("if(countif(ecn.list,EM56),OFFSET(INDIRECT(CONCAT(""A"",to_text(match(EM56,ecn.list,0)))),0,1),"""")"),"")</f>
        <v/>
      </c>
      <c r="BN56" s="236" t="str">
        <f>IFERROR(__xludf.DUMMYFUNCTION("if(countif(ecn.list,EN56),OFFSET(INDIRECT(CONCAT(""A"",to_text(match(EN56,ecn.list,0)))),0,1),"""")"),"M3 ")</f>
        <v>M3 </v>
      </c>
      <c r="BO56" s="236" t="str">
        <f>IFERROR(__xludf.DUMMYFUNCTION("if(countif(ecn.list,EO56),OFFSET(INDIRECT(CONCAT(""A"",to_text(match(EO56,ecn.list,0)))),0,1),"""")"),"M4 ")</f>
        <v>M4 </v>
      </c>
      <c r="BP56" s="236" t="str">
        <f>IFERROR(__xludf.DUMMYFUNCTION("if(countif(ecn.list,EP56),OFFSET(INDIRECT(CONCAT(""A"",to_text(match(EP56,ecn.list,0)))),0,1),"""")"),"")</f>
        <v/>
      </c>
      <c r="BQ56" s="236" t="str">
        <f>IFERROR(__xludf.DUMMYFUNCTION("if(countif(ecn.list,EQ56),OFFSET(INDIRECT(CONCAT(""A"",to_text(match(EQ56,ecn.list,0)))),0,1),"""")"),"")</f>
        <v/>
      </c>
      <c r="BR56" s="236" t="str">
        <f>IFERROR(__xludf.DUMMYFUNCTION("if(countif(ecn.list,ER56),OFFSET(INDIRECT(CONCAT(""A"",to_text(match(ER56,ecn.list,0)))),0,1),"""")"),"")</f>
        <v/>
      </c>
      <c r="BS56" s="236" t="str">
        <f>IFERROR(__xludf.DUMMYFUNCTION("if(countif(ecn.list,ES56),OFFSET(INDIRECT(CONCAT(""A"",to_text(match(ES56,ecn.list,0)))),0,1),"""")"),"M8 ")</f>
        <v>M8 </v>
      </c>
      <c r="BT56" s="236" t="str">
        <f>IFERROR(__xludf.DUMMYFUNCTION("if(countif(ecn.list,ET56),OFFSET(INDIRECT(CONCAT(""A"",to_text(match(ET56,ecn.list,0)))),0,1),"""")"),"")</f>
        <v/>
      </c>
      <c r="BU56" s="236" t="str">
        <f>IFERROR(__xludf.DUMMYFUNCTION("if(countif(ecn.list,EU56),OFFSET(INDIRECT(CONCAT(""A"",to_text(match(EU56,ecn.list,0)))),0,1),"""")"),"")</f>
        <v/>
      </c>
      <c r="BV56" s="236" t="str">
        <f>IFERROR(__xludf.DUMMYFUNCTION("if(countif(ecn.list,EV56),OFFSET(INDIRECT(CONCAT(""A"",to_text(match(EV56,ecn.list,0)))),0,1),"""")"),"MB ")</f>
        <v>MB </v>
      </c>
      <c r="BW56" s="236" t="str">
        <f>IFERROR(__xludf.DUMMYFUNCTION("if(countif(ecn.list,EW56),OFFSET(INDIRECT(CONCAT(""A"",to_text(match(EW56,ecn.list,0)))),0,1),"""")"),"")</f>
        <v/>
      </c>
      <c r="BX56" s="236" t="str">
        <f>IFERROR(__xludf.DUMMYFUNCTION("if(countif(ecn.list,EX56),OFFSET(INDIRECT(CONCAT(""A"",to_text(match(EX56,ecn.list,0)))),0,1),"""")"),"MD ")</f>
        <v>MD </v>
      </c>
      <c r="BY56" s="236" t="str">
        <f>IFERROR(__xludf.DUMMYFUNCTION("if(countif(ecn.list,EY56),OFFSET(INDIRECT(CONCAT(""A"",to_text(match(EY56,ecn.list,0)))),0,1),"""")"),"")</f>
        <v/>
      </c>
      <c r="BZ56" s="236" t="str">
        <f>IFERROR(__xludf.DUMMYFUNCTION("if(countif(ecn.list,EZ56),OFFSET(INDIRECT(CONCAT(""A"",to_text(match(EZ56,ecn.list,0)))),0,1),"""")"),"MF ")</f>
        <v>MF </v>
      </c>
      <c r="CA56" s="236" t="str">
        <f>IFERROR(__xludf.DUMMYFUNCTION("if(countif(ecn.list,FA56),OFFSET(INDIRECT(CONCAT(""A"",to_text(match(FA56,ecn.list,0)))),0,1),"""")"),"")</f>
        <v/>
      </c>
      <c r="CB56" s="236" t="str">
        <f>IFERROR(__xludf.DUMMYFUNCTION("if(countif(ecn.list,FB56),OFFSET(INDIRECT(CONCAT(""A"",to_text(match(FB56,ecn.list,0)))),0,1),"""")"),"")</f>
        <v/>
      </c>
      <c r="CC56" s="236" t="str">
        <f>IFERROR(__xludf.DUMMYFUNCTION("if(countif(ecn.list,FC56),OFFSET(INDIRECT(CONCAT(""A"",to_text(match(FC56,ecn.list,0)))),0,1),"""")"),"N2 ")</f>
        <v>N2 </v>
      </c>
      <c r="CD56" s="236" t="str">
        <f>IFERROR(__xludf.DUMMYFUNCTION("if(countif(ecn.list,FD56),OFFSET(INDIRECT(CONCAT(""A"",to_text(match(FD56,ecn.list,0)))),0,1),"""")"),"")</f>
        <v/>
      </c>
      <c r="CE56" s="236" t="str">
        <f>IFERROR(__xludf.DUMMYFUNCTION("if(countif(ecn.list,FE56),OFFSET(INDIRECT(CONCAT(""A"",to_text(match(FE56,ecn.list,0)))),0,1),"""")"),"")</f>
        <v/>
      </c>
      <c r="CF56" s="236" t="str">
        <f>IFERROR(__xludf.DUMMYFUNCTION("if(countif(ecn.list,FF56),OFFSET(INDIRECT(CONCAT(""A"",to_text(match(FF56,ecn.list,0)))),0,1),"""")"),"")</f>
        <v/>
      </c>
      <c r="CG56" s="236" t="str">
        <f>IFERROR(__xludf.DUMMYFUNCTION("if(countif(ecn.list,FG56),OFFSET(INDIRECT(CONCAT(""A"",to_text(match(FG56,ecn.list,0)))),0,1),"""")"),"N6 ")</f>
        <v>N6 </v>
      </c>
      <c r="CH56" s="236" t="str">
        <f>IFERROR(__xludf.DUMMYFUNCTION("if(countif(ecn.list,FH56),OFFSET(INDIRECT(CONCAT(""A"",to_text(match(FH56,ecn.list,0)))),0,1),"""")"),"N7 ")</f>
        <v>N7 </v>
      </c>
      <c r="CI56" s="236" t="str">
        <f>IFERROR(__xludf.DUMMYFUNCTION("if(countif(ecn.list,FI56),OFFSET(INDIRECT(CONCAT(""A"",to_text(match(FI56,ecn.list,0)))),0,1),"""")"),"")</f>
        <v/>
      </c>
      <c r="CJ56" s="236" t="str">
        <f>IFERROR(__xludf.DUMMYFUNCTION("if(countif(ecn.list,FJ56),OFFSET(INDIRECT(CONCAT(""A"",to_text(match(FJ56,ecn.list,0)))),0,1),"""")"),"")</f>
        <v/>
      </c>
      <c r="CK56" s="236" t="str">
        <f>IFERROR(__xludf.DUMMYFUNCTION("if(countif(ecn.list,FK56),OFFSET(INDIRECT(CONCAT(""A"",to_text(match(FK56,ecn.list,0)))),0,1),"""")"),"NA ")</f>
        <v>NA </v>
      </c>
      <c r="CL56" s="236" t="str">
        <f>IFERROR(__xludf.DUMMYFUNCTION("if(countif(ecn.list,FL56),OFFSET(INDIRECT(CONCAT(""A"",to_text(match(FL56,ecn.list,0)))),0,1),"""")"),"")</f>
        <v/>
      </c>
      <c r="CM56" s="236" t="str">
        <f>IFERROR(__xludf.DUMMYFUNCTION("if(countif(ecn.list,FM56),OFFSET(INDIRECT(CONCAT(""A"",to_text(match(FM56,ecn.list,0)))),0,1),"""")"),"")</f>
        <v/>
      </c>
      <c r="CN56" s="198" t="s">
        <v>243</v>
      </c>
      <c r="CO56" s="198" t="s">
        <v>1447</v>
      </c>
      <c r="CP56" s="198" t="s">
        <v>1451</v>
      </c>
      <c r="CQ56" s="198" t="s">
        <v>1452</v>
      </c>
      <c r="CR56" s="198" t="s">
        <v>1453</v>
      </c>
      <c r="CS56" s="198" t="s">
        <v>1453</v>
      </c>
      <c r="CT56" s="198" t="s">
        <v>1454</v>
      </c>
      <c r="CU56" s="198" t="s">
        <v>1455</v>
      </c>
      <c r="CV56" s="198" t="s">
        <v>1456</v>
      </c>
      <c r="CW56" s="198" t="s">
        <v>1453</v>
      </c>
      <c r="CX56" s="198" t="s">
        <v>1453</v>
      </c>
      <c r="CY56" s="198" t="s">
        <v>1484</v>
      </c>
      <c r="CZ56" s="198" t="s">
        <v>1453</v>
      </c>
      <c r="DA56" s="198" t="s">
        <v>1457</v>
      </c>
      <c r="DB56" s="198" t="s">
        <v>1485</v>
      </c>
      <c r="DC56" s="198" t="s">
        <v>1453</v>
      </c>
      <c r="DD56" s="198" t="s">
        <v>1458</v>
      </c>
      <c r="DE56" s="198" t="s">
        <v>1459</v>
      </c>
      <c r="DF56" s="198" t="s">
        <v>1498</v>
      </c>
      <c r="DG56" s="198" t="s">
        <v>1453</v>
      </c>
      <c r="DH56" s="198" t="s">
        <v>1500</v>
      </c>
      <c r="DI56" s="198" t="s">
        <v>1501</v>
      </c>
      <c r="DJ56" s="198" t="s">
        <v>1460</v>
      </c>
      <c r="DK56" s="198" t="s">
        <v>1453</v>
      </c>
      <c r="DL56" s="198" t="s">
        <v>1461</v>
      </c>
      <c r="DM56" s="198" t="s">
        <v>1462</v>
      </c>
      <c r="DN56" s="198" t="s">
        <v>1463</v>
      </c>
      <c r="DO56" s="198" t="s">
        <v>1464</v>
      </c>
      <c r="DP56" s="198" t="s">
        <v>1465</v>
      </c>
      <c r="DQ56" s="198" t="s">
        <v>1466</v>
      </c>
      <c r="DR56" s="198" t="s">
        <v>1467</v>
      </c>
      <c r="DS56" s="198" t="s">
        <v>1453</v>
      </c>
      <c r="DT56" s="198" t="s">
        <v>1468</v>
      </c>
      <c r="DU56" s="198" t="s">
        <v>1453</v>
      </c>
      <c r="DV56" s="198" t="s">
        <v>1469</v>
      </c>
      <c r="DW56" s="198" t="s">
        <v>1502</v>
      </c>
      <c r="DX56" s="198" t="s">
        <v>1503</v>
      </c>
      <c r="DY56" s="198" t="s">
        <v>1453</v>
      </c>
      <c r="DZ56" s="198" t="s">
        <v>1453</v>
      </c>
      <c r="EA56" s="198" t="s">
        <v>1453</v>
      </c>
      <c r="EB56" s="198" t="s">
        <v>1504</v>
      </c>
      <c r="EC56" s="198" t="s">
        <v>1483</v>
      </c>
      <c r="ED56" s="198" t="s">
        <v>1516</v>
      </c>
      <c r="EE56" s="198" t="s">
        <v>1470</v>
      </c>
      <c r="EF56" s="198" t="s">
        <v>1453</v>
      </c>
      <c r="EG56" s="198" t="s">
        <v>1471</v>
      </c>
      <c r="EH56" s="198" t="s">
        <v>1453</v>
      </c>
      <c r="EI56" s="198" t="s">
        <v>1453</v>
      </c>
      <c r="EJ56" s="198" t="s">
        <v>1472</v>
      </c>
      <c r="EK56" s="198" t="s">
        <v>1487</v>
      </c>
      <c r="EL56" s="198" t="s">
        <v>1453</v>
      </c>
      <c r="EM56" s="198" t="s">
        <v>1453</v>
      </c>
      <c r="EN56" s="198" t="s">
        <v>1474</v>
      </c>
      <c r="EO56" s="198" t="s">
        <v>1475</v>
      </c>
      <c r="EP56" s="198" t="s">
        <v>1453</v>
      </c>
      <c r="EQ56" s="198" t="s">
        <v>1453</v>
      </c>
      <c r="ER56" s="198" t="s">
        <v>1453</v>
      </c>
      <c r="ES56" s="198" t="s">
        <v>1505</v>
      </c>
      <c r="ET56" s="198" t="s">
        <v>1453</v>
      </c>
      <c r="EU56" s="198" t="s">
        <v>1453</v>
      </c>
      <c r="EV56" s="198" t="s">
        <v>1476</v>
      </c>
      <c r="EW56" s="198" t="s">
        <v>1453</v>
      </c>
      <c r="EX56" s="198" t="s">
        <v>1488</v>
      </c>
      <c r="EY56" s="198" t="s">
        <v>1453</v>
      </c>
      <c r="EZ56" s="198" t="s">
        <v>1477</v>
      </c>
      <c r="FA56" s="198" t="s">
        <v>1453</v>
      </c>
      <c r="FB56" s="198" t="s">
        <v>1453</v>
      </c>
      <c r="FC56" s="198" t="s">
        <v>1478</v>
      </c>
      <c r="FD56" s="198" t="s">
        <v>1453</v>
      </c>
      <c r="FE56" s="198" t="s">
        <v>1453</v>
      </c>
      <c r="FF56" s="198" t="s">
        <v>1453</v>
      </c>
      <c r="FG56" s="198" t="s">
        <v>1517</v>
      </c>
      <c r="FH56" s="198" t="s">
        <v>1479</v>
      </c>
      <c r="FI56" s="198" t="s">
        <v>1453</v>
      </c>
      <c r="FJ56" s="198" t="s">
        <v>1453</v>
      </c>
      <c r="FK56" s="198" t="s">
        <v>1481</v>
      </c>
      <c r="FL56" s="198" t="s">
        <v>1482</v>
      </c>
      <c r="FM56" s="198" t="s">
        <v>1453</v>
      </c>
    </row>
    <row r="57" ht="15.75" customHeight="1">
      <c r="A57" s="236" t="s">
        <v>1528</v>
      </c>
      <c r="B57" s="198" t="str">
        <f t="shared" si="6"/>
        <v>M6 </v>
      </c>
      <c r="C57" s="234">
        <v>6.0</v>
      </c>
      <c r="D57" s="232" t="s">
        <v>770</v>
      </c>
      <c r="E57" s="232" t="s">
        <v>1448</v>
      </c>
      <c r="F57" s="232" t="s">
        <v>1449</v>
      </c>
      <c r="G57" s="232" t="s">
        <v>1450</v>
      </c>
      <c r="H57" s="232" t="s">
        <v>876</v>
      </c>
      <c r="I57" s="232" t="s">
        <v>812</v>
      </c>
      <c r="J57" s="232" t="s">
        <v>859</v>
      </c>
      <c r="K57" s="232" t="s">
        <v>1116</v>
      </c>
      <c r="L57" s="188" t="s">
        <v>246</v>
      </c>
      <c r="M57" s="236" t="str">
        <f>IFERROR(__xludf.DUMMYFUNCTION("regexreplace(N57,"" "","", "")"),"J0, J1, J2, J5, J6, J7, JA, JC, K0, K3, K4, K5, K7, K9, KA, KB, KC, KD, KF, L1, L8, LA, LC, LF, M0, M1, M3, M8, MB, MF, N2, N7, NA, ")</f>
        <v>J0, J1, J2, J5, J6, J7, JA, JC, K0, K3, K4, K5, K7, K9, KA, KB, KC, KD, KF, L1, L8, LA, LC, LF, M0, M1, M3, M8, MB, MF, N2, N7, NA, </v>
      </c>
      <c r="N57" s="236" t="str">
        <f t="shared" si="2"/>
        <v>J0 J1 J2 J5 J6 J7 JA JC K0 K3 K4 K5 K7 K9 KA KB KC KD KF L1 L8 LA LC LF M0 M1 M3 M8 MB MF N2 N7 NA </v>
      </c>
      <c r="O57" s="236" t="str">
        <f>IFERROR(__xludf.DUMMYFUNCTION("if(countif(ecn.list,CO57),OFFSET(INDIRECT(CONCAT(""A"",to_text(match(CO57,ecn.list,0)))),0,1),"""")"),"J0 ")</f>
        <v>J0 </v>
      </c>
      <c r="P57" s="236" t="str">
        <f>IFERROR(__xludf.DUMMYFUNCTION("if(countif(ecn.list,CP57),OFFSET(INDIRECT(CONCAT(""A"",to_text(match(CP57,ecn.list,0)))),0,1),"""")"),"J1 ")</f>
        <v>J1 </v>
      </c>
      <c r="Q57" s="236" t="str">
        <f>IFERROR(__xludf.DUMMYFUNCTION("if(countif(ecn.list,CQ57),OFFSET(INDIRECT(CONCAT(""A"",to_text(match(CQ57,ecn.list,0)))),0,1),"""")"),"J2 ")</f>
        <v>J2 </v>
      </c>
      <c r="R57" s="236" t="str">
        <f>IFERROR(__xludf.DUMMYFUNCTION("if(countif(ecn.list,CR57),OFFSET(INDIRECT(CONCAT(""A"",to_text(match(CR57,ecn.list,0)))),0,1),"""")"),"")</f>
        <v/>
      </c>
      <c r="S57" s="236" t="str">
        <f>IFERROR(__xludf.DUMMYFUNCTION("if(countif(ecn.list,CS57),OFFSET(INDIRECT(CONCAT(""A"",to_text(match(CS57,ecn.list,0)))),0,1),"""")"),"")</f>
        <v/>
      </c>
      <c r="T57" s="236" t="str">
        <f>IFERROR(__xludf.DUMMYFUNCTION("if(countif(ecn.list,CT57),OFFSET(INDIRECT(CONCAT(""A"",to_text(match(CT57,ecn.list,0)))),0,1),"""")"),"J5 ")</f>
        <v>J5 </v>
      </c>
      <c r="U57" s="236" t="str">
        <f>IFERROR(__xludf.DUMMYFUNCTION("if(countif(ecn.list,CU57),OFFSET(INDIRECT(CONCAT(""A"",to_text(match(CU57,ecn.list,0)))),0,1),"""")"),"J6 ")</f>
        <v>J6 </v>
      </c>
      <c r="V57" s="236" t="str">
        <f>IFERROR(__xludf.DUMMYFUNCTION("if(countif(ecn.list,CV57),OFFSET(INDIRECT(CONCAT(""A"",to_text(match(CV57,ecn.list,0)))),0,1),"""")"),"J7 ")</f>
        <v>J7 </v>
      </c>
      <c r="W57" s="236" t="str">
        <f>IFERROR(__xludf.DUMMYFUNCTION("if(countif(ecn.list,CW57),OFFSET(INDIRECT(CONCAT(""A"",to_text(match(CW57,ecn.list,0)))),0,1),"""")"),"")</f>
        <v/>
      </c>
      <c r="X57" s="236" t="str">
        <f>IFERROR(__xludf.DUMMYFUNCTION("if(countif(ecn.list,CX57),OFFSET(INDIRECT(CONCAT(""A"",to_text(match(CX57,ecn.list,0)))),0,1),"""")"),"")</f>
        <v/>
      </c>
      <c r="Y57" s="236" t="str">
        <f>IFERROR(__xludf.DUMMYFUNCTION("if(countif(ecn.list,CY57),OFFSET(INDIRECT(CONCAT(""A"",to_text(match(CY57,ecn.list,0)))),0,1),"""")"),"JA ")</f>
        <v>JA </v>
      </c>
      <c r="Z57" s="236" t="str">
        <f>IFERROR(__xludf.DUMMYFUNCTION("if(countif(ecn.list,CZ57),OFFSET(INDIRECT(CONCAT(""A"",to_text(match(CZ57,ecn.list,0)))),0,1),"""")"),"")</f>
        <v/>
      </c>
      <c r="AA57" s="236" t="str">
        <f>IFERROR(__xludf.DUMMYFUNCTION("if(countif(ecn.list,DA57),OFFSET(INDIRECT(CONCAT(""A"",to_text(match(DA57,ecn.list,0)))),0,1),"""")"),"JC ")</f>
        <v>JC </v>
      </c>
      <c r="AB57" s="236" t="str">
        <f>IFERROR(__xludf.DUMMYFUNCTION("if(countif(ecn.list,DB57),OFFSET(INDIRECT(CONCAT(""A"",to_text(match(DB57,ecn.list,0)))),0,1),"""")"),"")</f>
        <v/>
      </c>
      <c r="AC57" s="236" t="str">
        <f>IFERROR(__xludf.DUMMYFUNCTION("if(countif(ecn.list,DC57),OFFSET(INDIRECT(CONCAT(""A"",to_text(match(DC57,ecn.list,0)))),0,1),"""")"),"")</f>
        <v/>
      </c>
      <c r="AD57" s="236" t="str">
        <f>IFERROR(__xludf.DUMMYFUNCTION("if(countif(ecn.list,DD57),OFFSET(INDIRECT(CONCAT(""A"",to_text(match(DD57,ecn.list,0)))),0,1),"""")"),"")</f>
        <v/>
      </c>
      <c r="AE57" s="236" t="str">
        <f>IFERROR(__xludf.DUMMYFUNCTION("if(countif(ecn.list,DE57),OFFSET(INDIRECT(CONCAT(""A"",to_text(match(DE57,ecn.list,0)))),0,1),"""")"),"K0 ")</f>
        <v>K0 </v>
      </c>
      <c r="AF57" s="236" t="str">
        <f>IFERROR(__xludf.DUMMYFUNCTION("if(countif(ecn.list,DF57),OFFSET(INDIRECT(CONCAT(""A"",to_text(match(DF57,ecn.list,0)))),0,1),"""")"),"")</f>
        <v/>
      </c>
      <c r="AG57" s="236" t="str">
        <f>IFERROR(__xludf.DUMMYFUNCTION("if(countif(ecn.list,DG57),OFFSET(INDIRECT(CONCAT(""A"",to_text(match(DG57,ecn.list,0)))),0,1),"""")"),"")</f>
        <v/>
      </c>
      <c r="AH57" s="236" t="str">
        <f>IFERROR(__xludf.DUMMYFUNCTION("if(countif(ecn.list,DH57),OFFSET(INDIRECT(CONCAT(""A"",to_text(match(DH57,ecn.list,0)))),0,1),"""")"),"K3 ")</f>
        <v>K3 </v>
      </c>
      <c r="AI57" s="236" t="str">
        <f>IFERROR(__xludf.DUMMYFUNCTION("if(countif(ecn.list,DI57),OFFSET(INDIRECT(CONCAT(""A"",to_text(match(DI57,ecn.list,0)))),0,1),"""")"),"K4 ")</f>
        <v>K4 </v>
      </c>
      <c r="AJ57" s="236" t="str">
        <f>IFERROR(__xludf.DUMMYFUNCTION("if(countif(ecn.list,DJ57),OFFSET(INDIRECT(CONCAT(""A"",to_text(match(DJ57,ecn.list,0)))),0,1),"""")"),"K5 ")</f>
        <v>K5 </v>
      </c>
      <c r="AK57" s="236" t="str">
        <f>IFERROR(__xludf.DUMMYFUNCTION("if(countif(ecn.list,DK57),OFFSET(INDIRECT(CONCAT(""A"",to_text(match(DK57,ecn.list,0)))),0,1),"""")"),"")</f>
        <v/>
      </c>
      <c r="AL57" s="236" t="str">
        <f>IFERROR(__xludf.DUMMYFUNCTION("if(countif(ecn.list,DL57),OFFSET(INDIRECT(CONCAT(""A"",to_text(match(DL57,ecn.list,0)))),0,1),"""")"),"K7 ")</f>
        <v>K7 </v>
      </c>
      <c r="AM57" s="236" t="str">
        <f>IFERROR(__xludf.DUMMYFUNCTION("if(countif(ecn.list,DM57),OFFSET(INDIRECT(CONCAT(""A"",to_text(match(DM57,ecn.list,0)))),0,1),"""")"),"")</f>
        <v/>
      </c>
      <c r="AN57" s="236" t="str">
        <f>IFERROR(__xludf.DUMMYFUNCTION("if(countif(ecn.list,DN57),OFFSET(INDIRECT(CONCAT(""A"",to_text(match(DN57,ecn.list,0)))),0,1),"""")"),"K9 ")</f>
        <v>K9 </v>
      </c>
      <c r="AO57" s="236" t="str">
        <f>IFERROR(__xludf.DUMMYFUNCTION("if(countif(ecn.list,DO57),OFFSET(INDIRECT(CONCAT(""A"",to_text(match(DO57,ecn.list,0)))),0,1),"""")"),"KA ")</f>
        <v>KA </v>
      </c>
      <c r="AP57" s="236" t="str">
        <f>IFERROR(__xludf.DUMMYFUNCTION("if(countif(ecn.list,DP57),OFFSET(INDIRECT(CONCAT(""A"",to_text(match(DP57,ecn.list,0)))),0,1),"""")"),"KB ")</f>
        <v>KB </v>
      </c>
      <c r="AQ57" s="236" t="str">
        <f>IFERROR(__xludf.DUMMYFUNCTION("if(countif(ecn.list,DQ57),OFFSET(INDIRECT(CONCAT(""A"",to_text(match(DQ57,ecn.list,0)))),0,1),"""")"),"KC ")</f>
        <v>KC </v>
      </c>
      <c r="AR57" s="236" t="str">
        <f>IFERROR(__xludf.DUMMYFUNCTION("if(countif(ecn.list,DR57),OFFSET(INDIRECT(CONCAT(""A"",to_text(match(DR57,ecn.list,0)))),0,1),"""")"),"KD ")</f>
        <v>KD </v>
      </c>
      <c r="AS57" s="236" t="str">
        <f>IFERROR(__xludf.DUMMYFUNCTION("if(countif(ecn.list,DS57),OFFSET(INDIRECT(CONCAT(""A"",to_text(match(DS57,ecn.list,0)))),0,1),"""")"),"")</f>
        <v/>
      </c>
      <c r="AT57" s="236" t="str">
        <f>IFERROR(__xludf.DUMMYFUNCTION("if(countif(ecn.list,DT57),OFFSET(INDIRECT(CONCAT(""A"",to_text(match(DT57,ecn.list,0)))),0,1),"""")"),"KF ")</f>
        <v>KF </v>
      </c>
      <c r="AU57" s="236" t="str">
        <f>IFERROR(__xludf.DUMMYFUNCTION("if(countif(ecn.list,DU57),OFFSET(INDIRECT(CONCAT(""A"",to_text(match(DU57,ecn.list,0)))),0,1),"""")"),"")</f>
        <v/>
      </c>
      <c r="AV57" s="236" t="str">
        <f>IFERROR(__xludf.DUMMYFUNCTION("if(countif(ecn.list,DV57),OFFSET(INDIRECT(CONCAT(""A"",to_text(match(DV57,ecn.list,0)))),0,1),"""")"),"L1 ")</f>
        <v>L1 </v>
      </c>
      <c r="AW57" s="236" t="str">
        <f>IFERROR(__xludf.DUMMYFUNCTION("if(countif(ecn.list,DW57),OFFSET(INDIRECT(CONCAT(""A"",to_text(match(DW57,ecn.list,0)))),0,1),"""")"),"")</f>
        <v/>
      </c>
      <c r="AX57" s="236" t="str">
        <f>IFERROR(__xludf.DUMMYFUNCTION("if(countif(ecn.list,DX57),OFFSET(INDIRECT(CONCAT(""A"",to_text(match(DX57,ecn.list,0)))),0,1),"""")"),"")</f>
        <v/>
      </c>
      <c r="AY57" s="236" t="str">
        <f>IFERROR(__xludf.DUMMYFUNCTION("if(countif(ecn.list,DY57),OFFSET(INDIRECT(CONCAT(""A"",to_text(match(DY57,ecn.list,0)))),0,1),"""")"),"")</f>
        <v/>
      </c>
      <c r="AZ57" s="236" t="str">
        <f>IFERROR(__xludf.DUMMYFUNCTION("if(countif(ecn.list,DZ57),OFFSET(INDIRECT(CONCAT(""A"",to_text(match(DZ57,ecn.list,0)))),0,1),"""")"),"")</f>
        <v/>
      </c>
      <c r="BA57" s="236" t="str">
        <f>IFERROR(__xludf.DUMMYFUNCTION("if(countif(ecn.list,EA57),OFFSET(INDIRECT(CONCAT(""A"",to_text(match(EA57,ecn.list,0)))),0,1),"""")"),"")</f>
        <v/>
      </c>
      <c r="BB57" s="236" t="str">
        <f>IFERROR(__xludf.DUMMYFUNCTION("if(countif(ecn.list,EB57),OFFSET(INDIRECT(CONCAT(""A"",to_text(match(EB57,ecn.list,0)))),0,1),"""")"),"")</f>
        <v/>
      </c>
      <c r="BC57" s="236" t="str">
        <f>IFERROR(__xludf.DUMMYFUNCTION("if(countif(ecn.list,EC57),OFFSET(INDIRECT(CONCAT(""A"",to_text(match(EC57,ecn.list,0)))),0,1),"""")"),"L8 ")</f>
        <v>L8 </v>
      </c>
      <c r="BD57" s="236" t="str">
        <f>IFERROR(__xludf.DUMMYFUNCTION("if(countif(ecn.list,ED57),OFFSET(INDIRECT(CONCAT(""A"",to_text(match(ED57,ecn.list,0)))),0,1),"""")"),"")</f>
        <v/>
      </c>
      <c r="BE57" s="236" t="str">
        <f>IFERROR(__xludf.DUMMYFUNCTION("if(countif(ecn.list,EE57),OFFSET(INDIRECT(CONCAT(""A"",to_text(match(EE57,ecn.list,0)))),0,1),"""")"),"LA ")</f>
        <v>LA </v>
      </c>
      <c r="BF57" s="236" t="str">
        <f>IFERROR(__xludf.DUMMYFUNCTION("if(countif(ecn.list,EF57),OFFSET(INDIRECT(CONCAT(""A"",to_text(match(EF57,ecn.list,0)))),0,1),"""")"),"")</f>
        <v/>
      </c>
      <c r="BG57" s="236" t="str">
        <f>IFERROR(__xludf.DUMMYFUNCTION("if(countif(ecn.list,EG57),OFFSET(INDIRECT(CONCAT(""A"",to_text(match(EG57,ecn.list,0)))),0,1),"""")"),"LC ")</f>
        <v>LC </v>
      </c>
      <c r="BH57" s="236" t="str">
        <f>IFERROR(__xludf.DUMMYFUNCTION("if(countif(ecn.list,EH57),OFFSET(INDIRECT(CONCAT(""A"",to_text(match(EH57,ecn.list,0)))),0,1),"""")"),"")</f>
        <v/>
      </c>
      <c r="BI57" s="236" t="str">
        <f>IFERROR(__xludf.DUMMYFUNCTION("if(countif(ecn.list,EI57),OFFSET(INDIRECT(CONCAT(""A"",to_text(match(EI57,ecn.list,0)))),0,1),"""")"),"")</f>
        <v/>
      </c>
      <c r="BJ57" s="236" t="str">
        <f>IFERROR(__xludf.DUMMYFUNCTION("if(countif(ecn.list,EJ57),OFFSET(INDIRECT(CONCAT(""A"",to_text(match(EJ57,ecn.list,0)))),0,1),"""")"),"LF ")</f>
        <v>LF </v>
      </c>
      <c r="BK57" s="236" t="str">
        <f>IFERROR(__xludf.DUMMYFUNCTION("if(countif(ecn.list,EK57),OFFSET(INDIRECT(CONCAT(""A"",to_text(match(EK57,ecn.list,0)))),0,1),"""")"),"M0 ")</f>
        <v>M0 </v>
      </c>
      <c r="BL57" s="236" t="str">
        <f>IFERROR(__xludf.DUMMYFUNCTION("if(countif(ecn.list,EL57),OFFSET(INDIRECT(CONCAT(""A"",to_text(match(EL57,ecn.list,0)))),0,1),"""")"),"M1 ")</f>
        <v>M1 </v>
      </c>
      <c r="BM57" s="236" t="str">
        <f>IFERROR(__xludf.DUMMYFUNCTION("if(countif(ecn.list,EM57),OFFSET(INDIRECT(CONCAT(""A"",to_text(match(EM57,ecn.list,0)))),0,1),"""")"),"")</f>
        <v/>
      </c>
      <c r="BN57" s="236" t="str">
        <f>IFERROR(__xludf.DUMMYFUNCTION("if(countif(ecn.list,EN57),OFFSET(INDIRECT(CONCAT(""A"",to_text(match(EN57,ecn.list,0)))),0,1),"""")"),"M3 ")</f>
        <v>M3 </v>
      </c>
      <c r="BO57" s="236" t="str">
        <f>IFERROR(__xludf.DUMMYFUNCTION("if(countif(ecn.list,EO57),OFFSET(INDIRECT(CONCAT(""A"",to_text(match(EO57,ecn.list,0)))),0,1),"""")"),"")</f>
        <v/>
      </c>
      <c r="BP57" s="236" t="str">
        <f>IFERROR(__xludf.DUMMYFUNCTION("if(countif(ecn.list,EP57),OFFSET(INDIRECT(CONCAT(""A"",to_text(match(EP57,ecn.list,0)))),0,1),"""")"),"")</f>
        <v/>
      </c>
      <c r="BQ57" s="236" t="str">
        <f>IFERROR(__xludf.DUMMYFUNCTION("if(countif(ecn.list,EQ57),OFFSET(INDIRECT(CONCAT(""A"",to_text(match(EQ57,ecn.list,0)))),0,1),"""")"),"")</f>
        <v/>
      </c>
      <c r="BR57" s="236" t="str">
        <f>IFERROR(__xludf.DUMMYFUNCTION("if(countif(ecn.list,ER57),OFFSET(INDIRECT(CONCAT(""A"",to_text(match(ER57,ecn.list,0)))),0,1),"""")"),"")</f>
        <v/>
      </c>
      <c r="BS57" s="236" t="str">
        <f>IFERROR(__xludf.DUMMYFUNCTION("if(countif(ecn.list,ES57),OFFSET(INDIRECT(CONCAT(""A"",to_text(match(ES57,ecn.list,0)))),0,1),"""")"),"M8 ")</f>
        <v>M8 </v>
      </c>
      <c r="BT57" s="236" t="str">
        <f>IFERROR(__xludf.DUMMYFUNCTION("if(countif(ecn.list,ET57),OFFSET(INDIRECT(CONCAT(""A"",to_text(match(ET57,ecn.list,0)))),0,1),"""")"),"")</f>
        <v/>
      </c>
      <c r="BU57" s="236" t="str">
        <f>IFERROR(__xludf.DUMMYFUNCTION("if(countif(ecn.list,EU57),OFFSET(INDIRECT(CONCAT(""A"",to_text(match(EU57,ecn.list,0)))),0,1),"""")"),"")</f>
        <v/>
      </c>
      <c r="BV57" s="236" t="str">
        <f>IFERROR(__xludf.DUMMYFUNCTION("if(countif(ecn.list,EV57),OFFSET(INDIRECT(CONCAT(""A"",to_text(match(EV57,ecn.list,0)))),0,1),"""")"),"MB ")</f>
        <v>MB </v>
      </c>
      <c r="BW57" s="236" t="str">
        <f>IFERROR(__xludf.DUMMYFUNCTION("if(countif(ecn.list,EW57),OFFSET(INDIRECT(CONCAT(""A"",to_text(match(EW57,ecn.list,0)))),0,1),"""")"),"")</f>
        <v/>
      </c>
      <c r="BX57" s="236" t="str">
        <f>IFERROR(__xludf.DUMMYFUNCTION("if(countif(ecn.list,EX57),OFFSET(INDIRECT(CONCAT(""A"",to_text(match(EX57,ecn.list,0)))),0,1),"""")"),"")</f>
        <v/>
      </c>
      <c r="BY57" s="236" t="str">
        <f>IFERROR(__xludf.DUMMYFUNCTION("if(countif(ecn.list,EY57),OFFSET(INDIRECT(CONCAT(""A"",to_text(match(EY57,ecn.list,0)))),0,1),"""")"),"")</f>
        <v/>
      </c>
      <c r="BZ57" s="236" t="str">
        <f>IFERROR(__xludf.DUMMYFUNCTION("if(countif(ecn.list,EZ57),OFFSET(INDIRECT(CONCAT(""A"",to_text(match(EZ57,ecn.list,0)))),0,1),"""")"),"MF ")</f>
        <v>MF </v>
      </c>
      <c r="CA57" s="236" t="str">
        <f>IFERROR(__xludf.DUMMYFUNCTION("if(countif(ecn.list,FA57),OFFSET(INDIRECT(CONCAT(""A"",to_text(match(FA57,ecn.list,0)))),0,1),"""")"),"")</f>
        <v/>
      </c>
      <c r="CB57" s="236" t="str">
        <f>IFERROR(__xludf.DUMMYFUNCTION("if(countif(ecn.list,FB57),OFFSET(INDIRECT(CONCAT(""A"",to_text(match(FB57,ecn.list,0)))),0,1),"""")"),"")</f>
        <v/>
      </c>
      <c r="CC57" s="236" t="str">
        <f>IFERROR(__xludf.DUMMYFUNCTION("if(countif(ecn.list,FC57),OFFSET(INDIRECT(CONCAT(""A"",to_text(match(FC57,ecn.list,0)))),0,1),"""")"),"N2 ")</f>
        <v>N2 </v>
      </c>
      <c r="CD57" s="236" t="str">
        <f>IFERROR(__xludf.DUMMYFUNCTION("if(countif(ecn.list,FD57),OFFSET(INDIRECT(CONCAT(""A"",to_text(match(FD57,ecn.list,0)))),0,1),"""")"),"")</f>
        <v/>
      </c>
      <c r="CE57" s="236" t="str">
        <f>IFERROR(__xludf.DUMMYFUNCTION("if(countif(ecn.list,FE57),OFFSET(INDIRECT(CONCAT(""A"",to_text(match(FE57,ecn.list,0)))),0,1),"""")"),"")</f>
        <v/>
      </c>
      <c r="CF57" s="236" t="str">
        <f>IFERROR(__xludf.DUMMYFUNCTION("if(countif(ecn.list,FF57),OFFSET(INDIRECT(CONCAT(""A"",to_text(match(FF57,ecn.list,0)))),0,1),"""")"),"")</f>
        <v/>
      </c>
      <c r="CG57" s="236" t="str">
        <f>IFERROR(__xludf.DUMMYFUNCTION("if(countif(ecn.list,FG57),OFFSET(INDIRECT(CONCAT(""A"",to_text(match(FG57,ecn.list,0)))),0,1),"""")"),"")</f>
        <v/>
      </c>
      <c r="CH57" s="236" t="str">
        <f>IFERROR(__xludf.DUMMYFUNCTION("if(countif(ecn.list,FH57),OFFSET(INDIRECT(CONCAT(""A"",to_text(match(FH57,ecn.list,0)))),0,1),"""")"),"N7 ")</f>
        <v>N7 </v>
      </c>
      <c r="CI57" s="236" t="str">
        <f>IFERROR(__xludf.DUMMYFUNCTION("if(countif(ecn.list,FI57),OFFSET(INDIRECT(CONCAT(""A"",to_text(match(FI57,ecn.list,0)))),0,1),"""")"),"")</f>
        <v/>
      </c>
      <c r="CJ57" s="236" t="str">
        <f>IFERROR(__xludf.DUMMYFUNCTION("if(countif(ecn.list,FJ57),OFFSET(INDIRECT(CONCAT(""A"",to_text(match(FJ57,ecn.list,0)))),0,1),"""")"),"")</f>
        <v/>
      </c>
      <c r="CK57" s="236" t="str">
        <f>IFERROR(__xludf.DUMMYFUNCTION("if(countif(ecn.list,FK57),OFFSET(INDIRECT(CONCAT(""A"",to_text(match(FK57,ecn.list,0)))),0,1),"""")"),"NA ")</f>
        <v>NA </v>
      </c>
      <c r="CL57" s="236" t="str">
        <f>IFERROR(__xludf.DUMMYFUNCTION("if(countif(ecn.list,FL57),OFFSET(INDIRECT(CONCAT(""A"",to_text(match(FL57,ecn.list,0)))),0,1),"""")"),"")</f>
        <v/>
      </c>
      <c r="CM57" s="236" t="str">
        <f>IFERROR(__xludf.DUMMYFUNCTION("if(countif(ecn.list,FM57),OFFSET(INDIRECT(CONCAT(""A"",to_text(match(FM57,ecn.list,0)))),0,1),"""")"),"")</f>
        <v/>
      </c>
      <c r="CN57" s="198" t="s">
        <v>246</v>
      </c>
      <c r="CO57" s="198" t="s">
        <v>1447</v>
      </c>
      <c r="CP57" s="198" t="s">
        <v>1451</v>
      </c>
      <c r="CQ57" s="198" t="s">
        <v>1452</v>
      </c>
      <c r="CR57" s="198" t="s">
        <v>1453</v>
      </c>
      <c r="CS57" s="198" t="s">
        <v>1453</v>
      </c>
      <c r="CT57" s="198" t="s">
        <v>1454</v>
      </c>
      <c r="CU57" s="198" t="s">
        <v>1455</v>
      </c>
      <c r="CV57" s="198" t="s">
        <v>1456</v>
      </c>
      <c r="CW57" s="198" t="s">
        <v>1453</v>
      </c>
      <c r="CX57" s="198" t="s">
        <v>1453</v>
      </c>
      <c r="CY57" s="198" t="s">
        <v>1484</v>
      </c>
      <c r="CZ57" s="198" t="s">
        <v>1453</v>
      </c>
      <c r="DA57" s="198" t="s">
        <v>1457</v>
      </c>
      <c r="DB57" s="198" t="s">
        <v>1453</v>
      </c>
      <c r="DC57" s="198" t="s">
        <v>1453</v>
      </c>
      <c r="DD57" s="198" t="s">
        <v>1453</v>
      </c>
      <c r="DE57" s="198" t="s">
        <v>1459</v>
      </c>
      <c r="DF57" s="198" t="s">
        <v>1453</v>
      </c>
      <c r="DG57" s="198" t="s">
        <v>1453</v>
      </c>
      <c r="DH57" s="198" t="s">
        <v>1500</v>
      </c>
      <c r="DI57" s="198" t="s">
        <v>1501</v>
      </c>
      <c r="DJ57" s="198" t="s">
        <v>1460</v>
      </c>
      <c r="DK57" s="198" t="s">
        <v>1453</v>
      </c>
      <c r="DL57" s="198" t="s">
        <v>1461</v>
      </c>
      <c r="DM57" s="198" t="s">
        <v>1453</v>
      </c>
      <c r="DN57" s="198" t="s">
        <v>1463</v>
      </c>
      <c r="DO57" s="198" t="s">
        <v>1464</v>
      </c>
      <c r="DP57" s="198" t="s">
        <v>1465</v>
      </c>
      <c r="DQ57" s="198" t="s">
        <v>1466</v>
      </c>
      <c r="DR57" s="198" t="s">
        <v>1467</v>
      </c>
      <c r="DS57" s="198" t="s">
        <v>1453</v>
      </c>
      <c r="DT57" s="198" t="s">
        <v>1468</v>
      </c>
      <c r="DU57" s="198" t="s">
        <v>1453</v>
      </c>
      <c r="DV57" s="198" t="s">
        <v>1469</v>
      </c>
      <c r="DW57" s="198" t="s">
        <v>1453</v>
      </c>
      <c r="DX57" s="198" t="s">
        <v>1453</v>
      </c>
      <c r="DY57" s="198" t="s">
        <v>1453</v>
      </c>
      <c r="DZ57" s="198" t="s">
        <v>1453</v>
      </c>
      <c r="EA57" s="198" t="s">
        <v>1453</v>
      </c>
      <c r="EB57" s="198" t="s">
        <v>1453</v>
      </c>
      <c r="EC57" s="198" t="s">
        <v>1483</v>
      </c>
      <c r="ED57" s="198" t="s">
        <v>1453</v>
      </c>
      <c r="EE57" s="198" t="s">
        <v>1470</v>
      </c>
      <c r="EF57" s="198" t="s">
        <v>1453</v>
      </c>
      <c r="EG57" s="198" t="s">
        <v>1471</v>
      </c>
      <c r="EH57" s="198" t="s">
        <v>1453</v>
      </c>
      <c r="EI57" s="198" t="s">
        <v>1453</v>
      </c>
      <c r="EJ57" s="198" t="s">
        <v>1472</v>
      </c>
      <c r="EK57" s="198" t="s">
        <v>1487</v>
      </c>
      <c r="EL57" s="198" t="s">
        <v>1473</v>
      </c>
      <c r="EM57" s="198" t="s">
        <v>1453</v>
      </c>
      <c r="EN57" s="198" t="s">
        <v>1474</v>
      </c>
      <c r="EO57" s="198" t="s">
        <v>1453</v>
      </c>
      <c r="EP57" s="198" t="s">
        <v>1453</v>
      </c>
      <c r="EQ57" s="198" t="s">
        <v>1453</v>
      </c>
      <c r="ER57" s="198" t="s">
        <v>1453</v>
      </c>
      <c r="ES57" s="198" t="s">
        <v>1505</v>
      </c>
      <c r="ET57" s="198" t="s">
        <v>1453</v>
      </c>
      <c r="EU57" s="198" t="s">
        <v>1453</v>
      </c>
      <c r="EV57" s="198" t="s">
        <v>1476</v>
      </c>
      <c r="EW57" s="198" t="s">
        <v>1453</v>
      </c>
      <c r="EX57" s="198" t="s">
        <v>1453</v>
      </c>
      <c r="EY57" s="198" t="s">
        <v>1453</v>
      </c>
      <c r="EZ57" s="198" t="s">
        <v>1477</v>
      </c>
      <c r="FA57" s="198" t="s">
        <v>1453</v>
      </c>
      <c r="FB57" s="198" t="s">
        <v>1453</v>
      </c>
      <c r="FC57" s="198" t="s">
        <v>1478</v>
      </c>
      <c r="FD57" s="198" t="s">
        <v>1453</v>
      </c>
      <c r="FE57" s="198" t="s">
        <v>1453</v>
      </c>
      <c r="FF57" s="198" t="s">
        <v>1453</v>
      </c>
      <c r="FG57" s="198" t="s">
        <v>1453</v>
      </c>
      <c r="FH57" s="198" t="s">
        <v>1479</v>
      </c>
      <c r="FI57" s="198" t="s">
        <v>1453</v>
      </c>
      <c r="FJ57" s="198" t="s">
        <v>1453</v>
      </c>
      <c r="FK57" s="198" t="s">
        <v>1481</v>
      </c>
      <c r="FL57" s="198" t="s">
        <v>1482</v>
      </c>
      <c r="FM57" s="198" t="s">
        <v>1453</v>
      </c>
    </row>
    <row r="58" ht="15.75" customHeight="1">
      <c r="A58" s="198" t="s">
        <v>1520</v>
      </c>
      <c r="B58" s="198" t="str">
        <f t="shared" si="6"/>
        <v>M7 </v>
      </c>
      <c r="C58" s="234">
        <v>7.0</v>
      </c>
      <c r="D58" s="232" t="s">
        <v>770</v>
      </c>
      <c r="E58" s="232" t="s">
        <v>1448</v>
      </c>
      <c r="F58" s="232" t="s">
        <v>1449</v>
      </c>
      <c r="G58" s="232" t="s">
        <v>1450</v>
      </c>
      <c r="H58" s="232" t="s">
        <v>876</v>
      </c>
      <c r="I58" s="232" t="s">
        <v>970</v>
      </c>
      <c r="J58" s="232" t="s">
        <v>838</v>
      </c>
      <c r="K58" s="232" t="s">
        <v>978</v>
      </c>
      <c r="L58" s="188" t="s">
        <v>249</v>
      </c>
      <c r="M58" s="236" t="str">
        <f>IFERROR(__xludf.DUMMYFUNCTION("regexreplace(N58,"" "","", "")"),"J0, J1, J2, J5, J6, J7, JA, JC, JF, K0, K3, K4, K5, K7, K8, K9, KA, KB, KC, KD, KF, L1, L8, LA, LC, LF, M0, M1, M3, M4, M8, MB, MD, MF, N2, N7, NA, ")</f>
        <v>J0, J1, J2, J5, J6, J7, JA, JC, JF, K0, K3, K4, K5, K7, K8, K9, KA, KB, KC, KD, KF, L1, L8, LA, LC, LF, M0, M1, M3, M4, M8, MB, MD, MF, N2, N7, NA, </v>
      </c>
      <c r="N58" s="236" t="str">
        <f t="shared" si="2"/>
        <v>J0 J1 J2 J5 J6 J7 JA JC JF K0 K3 K4 K5 K7 K8 K9 KA KB KC KD KF L1 L8 LA LC LF M0 M1 M3 M4 M8 MB MD MF N2 N7 NA </v>
      </c>
      <c r="O58" s="236" t="str">
        <f>IFERROR(__xludf.DUMMYFUNCTION("if(countif(ecn.list,CO58),OFFSET(INDIRECT(CONCAT(""A"",to_text(match(CO58,ecn.list,0)))),0,1),"""")"),"J0 ")</f>
        <v>J0 </v>
      </c>
      <c r="P58" s="236" t="str">
        <f>IFERROR(__xludf.DUMMYFUNCTION("if(countif(ecn.list,CP58),OFFSET(INDIRECT(CONCAT(""A"",to_text(match(CP58,ecn.list,0)))),0,1),"""")"),"J1 ")</f>
        <v>J1 </v>
      </c>
      <c r="Q58" s="236" t="str">
        <f>IFERROR(__xludf.DUMMYFUNCTION("if(countif(ecn.list,CQ58),OFFSET(INDIRECT(CONCAT(""A"",to_text(match(CQ58,ecn.list,0)))),0,1),"""")"),"J2 ")</f>
        <v>J2 </v>
      </c>
      <c r="R58" s="236" t="str">
        <f>IFERROR(__xludf.DUMMYFUNCTION("if(countif(ecn.list,CR58),OFFSET(INDIRECT(CONCAT(""A"",to_text(match(CR58,ecn.list,0)))),0,1),"""")"),"")</f>
        <v/>
      </c>
      <c r="S58" s="236" t="str">
        <f>IFERROR(__xludf.DUMMYFUNCTION("if(countif(ecn.list,CS58),OFFSET(INDIRECT(CONCAT(""A"",to_text(match(CS58,ecn.list,0)))),0,1),"""")"),"")</f>
        <v/>
      </c>
      <c r="T58" s="236" t="str">
        <f>IFERROR(__xludf.DUMMYFUNCTION("if(countif(ecn.list,CT58),OFFSET(INDIRECT(CONCAT(""A"",to_text(match(CT58,ecn.list,0)))),0,1),"""")"),"J5 ")</f>
        <v>J5 </v>
      </c>
      <c r="U58" s="236" t="str">
        <f>IFERROR(__xludf.DUMMYFUNCTION("if(countif(ecn.list,CU58),OFFSET(INDIRECT(CONCAT(""A"",to_text(match(CU58,ecn.list,0)))),0,1),"""")"),"J6 ")</f>
        <v>J6 </v>
      </c>
      <c r="V58" s="236" t="str">
        <f>IFERROR(__xludf.DUMMYFUNCTION("if(countif(ecn.list,CV58),OFFSET(INDIRECT(CONCAT(""A"",to_text(match(CV58,ecn.list,0)))),0,1),"""")"),"J7 ")</f>
        <v>J7 </v>
      </c>
      <c r="W58" s="236" t="str">
        <f>IFERROR(__xludf.DUMMYFUNCTION("if(countif(ecn.list,CW58),OFFSET(INDIRECT(CONCAT(""A"",to_text(match(CW58,ecn.list,0)))),0,1),"""")"),"")</f>
        <v/>
      </c>
      <c r="X58" s="236" t="str">
        <f>IFERROR(__xludf.DUMMYFUNCTION("if(countif(ecn.list,CX58),OFFSET(INDIRECT(CONCAT(""A"",to_text(match(CX58,ecn.list,0)))),0,1),"""")"),"")</f>
        <v/>
      </c>
      <c r="Y58" s="236" t="str">
        <f>IFERROR(__xludf.DUMMYFUNCTION("if(countif(ecn.list,CY58),OFFSET(INDIRECT(CONCAT(""A"",to_text(match(CY58,ecn.list,0)))),0,1),"""")"),"JA ")</f>
        <v>JA </v>
      </c>
      <c r="Z58" s="236" t="str">
        <f>IFERROR(__xludf.DUMMYFUNCTION("if(countif(ecn.list,CZ58),OFFSET(INDIRECT(CONCAT(""A"",to_text(match(CZ58,ecn.list,0)))),0,1),"""")"),"")</f>
        <v/>
      </c>
      <c r="AA58" s="236" t="str">
        <f>IFERROR(__xludf.DUMMYFUNCTION("if(countif(ecn.list,DA58),OFFSET(INDIRECT(CONCAT(""A"",to_text(match(DA58,ecn.list,0)))),0,1),"""")"),"JC ")</f>
        <v>JC </v>
      </c>
      <c r="AB58" s="236" t="str">
        <f>IFERROR(__xludf.DUMMYFUNCTION("if(countif(ecn.list,DB58),OFFSET(INDIRECT(CONCAT(""A"",to_text(match(DB58,ecn.list,0)))),0,1),"""")"),"")</f>
        <v/>
      </c>
      <c r="AC58" s="236" t="str">
        <f>IFERROR(__xludf.DUMMYFUNCTION("if(countif(ecn.list,DC58),OFFSET(INDIRECT(CONCAT(""A"",to_text(match(DC58,ecn.list,0)))),0,1),"""")"),"")</f>
        <v/>
      </c>
      <c r="AD58" s="236" t="str">
        <f>IFERROR(__xludf.DUMMYFUNCTION("if(countif(ecn.list,DD58),OFFSET(INDIRECT(CONCAT(""A"",to_text(match(DD58,ecn.list,0)))),0,1),"""")"),"JF ")</f>
        <v>JF </v>
      </c>
      <c r="AE58" s="236" t="str">
        <f>IFERROR(__xludf.DUMMYFUNCTION("if(countif(ecn.list,DE58),OFFSET(INDIRECT(CONCAT(""A"",to_text(match(DE58,ecn.list,0)))),0,1),"""")"),"K0 ")</f>
        <v>K0 </v>
      </c>
      <c r="AF58" s="236" t="str">
        <f>IFERROR(__xludf.DUMMYFUNCTION("if(countif(ecn.list,DF58),OFFSET(INDIRECT(CONCAT(""A"",to_text(match(DF58,ecn.list,0)))),0,1),"""")"),"")</f>
        <v/>
      </c>
      <c r="AG58" s="236" t="str">
        <f>IFERROR(__xludf.DUMMYFUNCTION("if(countif(ecn.list,DG58),OFFSET(INDIRECT(CONCAT(""A"",to_text(match(DG58,ecn.list,0)))),0,1),"""")"),"")</f>
        <v/>
      </c>
      <c r="AH58" s="236" t="str">
        <f>IFERROR(__xludf.DUMMYFUNCTION("if(countif(ecn.list,DH58),OFFSET(INDIRECT(CONCAT(""A"",to_text(match(DH58,ecn.list,0)))),0,1),"""")"),"K3 ")</f>
        <v>K3 </v>
      </c>
      <c r="AI58" s="236" t="str">
        <f>IFERROR(__xludf.DUMMYFUNCTION("if(countif(ecn.list,DI58),OFFSET(INDIRECT(CONCAT(""A"",to_text(match(DI58,ecn.list,0)))),0,1),"""")"),"K4 ")</f>
        <v>K4 </v>
      </c>
      <c r="AJ58" s="236" t="str">
        <f>IFERROR(__xludf.DUMMYFUNCTION("if(countif(ecn.list,DJ58),OFFSET(INDIRECT(CONCAT(""A"",to_text(match(DJ58,ecn.list,0)))),0,1),"""")"),"K5 ")</f>
        <v>K5 </v>
      </c>
      <c r="AK58" s="236" t="str">
        <f>IFERROR(__xludf.DUMMYFUNCTION("if(countif(ecn.list,DK58),OFFSET(INDIRECT(CONCAT(""A"",to_text(match(DK58,ecn.list,0)))),0,1),"""")"),"")</f>
        <v/>
      </c>
      <c r="AL58" s="236" t="str">
        <f>IFERROR(__xludf.DUMMYFUNCTION("if(countif(ecn.list,DL58),OFFSET(INDIRECT(CONCAT(""A"",to_text(match(DL58,ecn.list,0)))),0,1),"""")"),"K7 ")</f>
        <v>K7 </v>
      </c>
      <c r="AM58" s="236" t="str">
        <f>IFERROR(__xludf.DUMMYFUNCTION("if(countif(ecn.list,DM58),OFFSET(INDIRECT(CONCAT(""A"",to_text(match(DM58,ecn.list,0)))),0,1),"""")"),"K8 ")</f>
        <v>K8 </v>
      </c>
      <c r="AN58" s="236" t="str">
        <f>IFERROR(__xludf.DUMMYFUNCTION("if(countif(ecn.list,DN58),OFFSET(INDIRECT(CONCAT(""A"",to_text(match(DN58,ecn.list,0)))),0,1),"""")"),"K9 ")</f>
        <v>K9 </v>
      </c>
      <c r="AO58" s="236" t="str">
        <f>IFERROR(__xludf.DUMMYFUNCTION("if(countif(ecn.list,DO58),OFFSET(INDIRECT(CONCAT(""A"",to_text(match(DO58,ecn.list,0)))),0,1),"""")"),"KA ")</f>
        <v>KA </v>
      </c>
      <c r="AP58" s="236" t="str">
        <f>IFERROR(__xludf.DUMMYFUNCTION("if(countif(ecn.list,DP58),OFFSET(INDIRECT(CONCAT(""A"",to_text(match(DP58,ecn.list,0)))),0,1),"""")"),"KB ")</f>
        <v>KB </v>
      </c>
      <c r="AQ58" s="236" t="str">
        <f>IFERROR(__xludf.DUMMYFUNCTION("if(countif(ecn.list,DQ58),OFFSET(INDIRECT(CONCAT(""A"",to_text(match(DQ58,ecn.list,0)))),0,1),"""")"),"KC ")</f>
        <v>KC </v>
      </c>
      <c r="AR58" s="236" t="str">
        <f>IFERROR(__xludf.DUMMYFUNCTION("if(countif(ecn.list,DR58),OFFSET(INDIRECT(CONCAT(""A"",to_text(match(DR58,ecn.list,0)))),0,1),"""")"),"KD ")</f>
        <v>KD </v>
      </c>
      <c r="AS58" s="236" t="str">
        <f>IFERROR(__xludf.DUMMYFUNCTION("if(countif(ecn.list,DS58),OFFSET(INDIRECT(CONCAT(""A"",to_text(match(DS58,ecn.list,0)))),0,1),"""")"),"")</f>
        <v/>
      </c>
      <c r="AT58" s="236" t="str">
        <f>IFERROR(__xludf.DUMMYFUNCTION("if(countif(ecn.list,DT58),OFFSET(INDIRECT(CONCAT(""A"",to_text(match(DT58,ecn.list,0)))),0,1),"""")"),"KF ")</f>
        <v>KF </v>
      </c>
      <c r="AU58" s="236" t="str">
        <f>IFERROR(__xludf.DUMMYFUNCTION("if(countif(ecn.list,DU58),OFFSET(INDIRECT(CONCAT(""A"",to_text(match(DU58,ecn.list,0)))),0,1),"""")"),"")</f>
        <v/>
      </c>
      <c r="AV58" s="236" t="str">
        <f>IFERROR(__xludf.DUMMYFUNCTION("if(countif(ecn.list,DV58),OFFSET(INDIRECT(CONCAT(""A"",to_text(match(DV58,ecn.list,0)))),0,1),"""")"),"L1 ")</f>
        <v>L1 </v>
      </c>
      <c r="AW58" s="236" t="str">
        <f>IFERROR(__xludf.DUMMYFUNCTION("if(countif(ecn.list,DW58),OFFSET(INDIRECT(CONCAT(""A"",to_text(match(DW58,ecn.list,0)))),0,1),"""")"),"")</f>
        <v/>
      </c>
      <c r="AX58" s="236" t="str">
        <f>IFERROR(__xludf.DUMMYFUNCTION("if(countif(ecn.list,DX58),OFFSET(INDIRECT(CONCAT(""A"",to_text(match(DX58,ecn.list,0)))),0,1),"""")"),"")</f>
        <v/>
      </c>
      <c r="AY58" s="236" t="str">
        <f>IFERROR(__xludf.DUMMYFUNCTION("if(countif(ecn.list,DY58),OFFSET(INDIRECT(CONCAT(""A"",to_text(match(DY58,ecn.list,0)))),0,1),"""")"),"")</f>
        <v/>
      </c>
      <c r="AZ58" s="236" t="str">
        <f>IFERROR(__xludf.DUMMYFUNCTION("if(countif(ecn.list,DZ58),OFFSET(INDIRECT(CONCAT(""A"",to_text(match(DZ58,ecn.list,0)))),0,1),"""")"),"")</f>
        <v/>
      </c>
      <c r="BA58" s="236" t="str">
        <f>IFERROR(__xludf.DUMMYFUNCTION("if(countif(ecn.list,EA58),OFFSET(INDIRECT(CONCAT(""A"",to_text(match(EA58,ecn.list,0)))),0,1),"""")"),"")</f>
        <v/>
      </c>
      <c r="BB58" s="236" t="str">
        <f>IFERROR(__xludf.DUMMYFUNCTION("if(countif(ecn.list,EB58),OFFSET(INDIRECT(CONCAT(""A"",to_text(match(EB58,ecn.list,0)))),0,1),"""")"),"")</f>
        <v/>
      </c>
      <c r="BC58" s="236" t="str">
        <f>IFERROR(__xludf.DUMMYFUNCTION("if(countif(ecn.list,EC58),OFFSET(INDIRECT(CONCAT(""A"",to_text(match(EC58,ecn.list,0)))),0,1),"""")"),"L8 ")</f>
        <v>L8 </v>
      </c>
      <c r="BD58" s="236" t="str">
        <f>IFERROR(__xludf.DUMMYFUNCTION("if(countif(ecn.list,ED58),OFFSET(INDIRECT(CONCAT(""A"",to_text(match(ED58,ecn.list,0)))),0,1),"""")"),"")</f>
        <v/>
      </c>
      <c r="BE58" s="236" t="str">
        <f>IFERROR(__xludf.DUMMYFUNCTION("if(countif(ecn.list,EE58),OFFSET(INDIRECT(CONCAT(""A"",to_text(match(EE58,ecn.list,0)))),0,1),"""")"),"LA ")</f>
        <v>LA </v>
      </c>
      <c r="BF58" s="236" t="str">
        <f>IFERROR(__xludf.DUMMYFUNCTION("if(countif(ecn.list,EF58),OFFSET(INDIRECT(CONCAT(""A"",to_text(match(EF58,ecn.list,0)))),0,1),"""")"),"")</f>
        <v/>
      </c>
      <c r="BG58" s="236" t="str">
        <f>IFERROR(__xludf.DUMMYFUNCTION("if(countif(ecn.list,EG58),OFFSET(INDIRECT(CONCAT(""A"",to_text(match(EG58,ecn.list,0)))),0,1),"""")"),"LC ")</f>
        <v>LC </v>
      </c>
      <c r="BH58" s="236" t="str">
        <f>IFERROR(__xludf.DUMMYFUNCTION("if(countif(ecn.list,EH58),OFFSET(INDIRECT(CONCAT(""A"",to_text(match(EH58,ecn.list,0)))),0,1),"""")"),"")</f>
        <v/>
      </c>
      <c r="BI58" s="236" t="str">
        <f>IFERROR(__xludf.DUMMYFUNCTION("if(countif(ecn.list,EI58),OFFSET(INDIRECT(CONCAT(""A"",to_text(match(EI58,ecn.list,0)))),0,1),"""")"),"")</f>
        <v/>
      </c>
      <c r="BJ58" s="236" t="str">
        <f>IFERROR(__xludf.DUMMYFUNCTION("if(countif(ecn.list,EJ58),OFFSET(INDIRECT(CONCAT(""A"",to_text(match(EJ58,ecn.list,0)))),0,1),"""")"),"LF ")</f>
        <v>LF </v>
      </c>
      <c r="BK58" s="236" t="str">
        <f>IFERROR(__xludf.DUMMYFUNCTION("if(countif(ecn.list,EK58),OFFSET(INDIRECT(CONCAT(""A"",to_text(match(EK58,ecn.list,0)))),0,1),"""")"),"M0 ")</f>
        <v>M0 </v>
      </c>
      <c r="BL58" s="236" t="str">
        <f>IFERROR(__xludf.DUMMYFUNCTION("if(countif(ecn.list,EL58),OFFSET(INDIRECT(CONCAT(""A"",to_text(match(EL58,ecn.list,0)))),0,1),"""")"),"M1 ")</f>
        <v>M1 </v>
      </c>
      <c r="BM58" s="236" t="str">
        <f>IFERROR(__xludf.DUMMYFUNCTION("if(countif(ecn.list,EM58),OFFSET(INDIRECT(CONCAT(""A"",to_text(match(EM58,ecn.list,0)))),0,1),"""")"),"")</f>
        <v/>
      </c>
      <c r="BN58" s="236" t="str">
        <f>IFERROR(__xludf.DUMMYFUNCTION("if(countif(ecn.list,EN58),OFFSET(INDIRECT(CONCAT(""A"",to_text(match(EN58,ecn.list,0)))),0,1),"""")"),"M3 ")</f>
        <v>M3 </v>
      </c>
      <c r="BO58" s="236" t="str">
        <f>IFERROR(__xludf.DUMMYFUNCTION("if(countif(ecn.list,EO58),OFFSET(INDIRECT(CONCAT(""A"",to_text(match(EO58,ecn.list,0)))),0,1),"""")"),"M4 ")</f>
        <v>M4 </v>
      </c>
      <c r="BP58" s="236" t="str">
        <f>IFERROR(__xludf.DUMMYFUNCTION("if(countif(ecn.list,EP58),OFFSET(INDIRECT(CONCAT(""A"",to_text(match(EP58,ecn.list,0)))),0,1),"""")"),"")</f>
        <v/>
      </c>
      <c r="BQ58" s="236" t="str">
        <f>IFERROR(__xludf.DUMMYFUNCTION("if(countif(ecn.list,EQ58),OFFSET(INDIRECT(CONCAT(""A"",to_text(match(EQ58,ecn.list,0)))),0,1),"""")"),"")</f>
        <v/>
      </c>
      <c r="BR58" s="236" t="str">
        <f>IFERROR(__xludf.DUMMYFUNCTION("if(countif(ecn.list,ER58),OFFSET(INDIRECT(CONCAT(""A"",to_text(match(ER58,ecn.list,0)))),0,1),"""")"),"")</f>
        <v/>
      </c>
      <c r="BS58" s="236" t="str">
        <f>IFERROR(__xludf.DUMMYFUNCTION("if(countif(ecn.list,ES58),OFFSET(INDIRECT(CONCAT(""A"",to_text(match(ES58,ecn.list,0)))),0,1),"""")"),"M8 ")</f>
        <v>M8 </v>
      </c>
      <c r="BT58" s="236" t="str">
        <f>IFERROR(__xludf.DUMMYFUNCTION("if(countif(ecn.list,ET58),OFFSET(INDIRECT(CONCAT(""A"",to_text(match(ET58,ecn.list,0)))),0,1),"""")"),"")</f>
        <v/>
      </c>
      <c r="BU58" s="236" t="str">
        <f>IFERROR(__xludf.DUMMYFUNCTION("if(countif(ecn.list,EU58),OFFSET(INDIRECT(CONCAT(""A"",to_text(match(EU58,ecn.list,0)))),0,1),"""")"),"")</f>
        <v/>
      </c>
      <c r="BV58" s="236" t="str">
        <f>IFERROR(__xludf.DUMMYFUNCTION("if(countif(ecn.list,EV58),OFFSET(INDIRECT(CONCAT(""A"",to_text(match(EV58,ecn.list,0)))),0,1),"""")"),"MB ")</f>
        <v>MB </v>
      </c>
      <c r="BW58" s="236" t="str">
        <f>IFERROR(__xludf.DUMMYFUNCTION("if(countif(ecn.list,EW58),OFFSET(INDIRECT(CONCAT(""A"",to_text(match(EW58,ecn.list,0)))),0,1),"""")"),"")</f>
        <v/>
      </c>
      <c r="BX58" s="236" t="str">
        <f>IFERROR(__xludf.DUMMYFUNCTION("if(countif(ecn.list,EX58),OFFSET(INDIRECT(CONCAT(""A"",to_text(match(EX58,ecn.list,0)))),0,1),"""")"),"MD ")</f>
        <v>MD </v>
      </c>
      <c r="BY58" s="236" t="str">
        <f>IFERROR(__xludf.DUMMYFUNCTION("if(countif(ecn.list,EY58),OFFSET(INDIRECT(CONCAT(""A"",to_text(match(EY58,ecn.list,0)))),0,1),"""")"),"")</f>
        <v/>
      </c>
      <c r="BZ58" s="236" t="str">
        <f>IFERROR(__xludf.DUMMYFUNCTION("if(countif(ecn.list,EZ58),OFFSET(INDIRECT(CONCAT(""A"",to_text(match(EZ58,ecn.list,0)))),0,1),"""")"),"MF ")</f>
        <v>MF </v>
      </c>
      <c r="CA58" s="236" t="str">
        <f>IFERROR(__xludf.DUMMYFUNCTION("if(countif(ecn.list,FA58),OFFSET(INDIRECT(CONCAT(""A"",to_text(match(FA58,ecn.list,0)))),0,1),"""")"),"")</f>
        <v/>
      </c>
      <c r="CB58" s="236" t="str">
        <f>IFERROR(__xludf.DUMMYFUNCTION("if(countif(ecn.list,FB58),OFFSET(INDIRECT(CONCAT(""A"",to_text(match(FB58,ecn.list,0)))),0,1),"""")"),"")</f>
        <v/>
      </c>
      <c r="CC58" s="236" t="str">
        <f>IFERROR(__xludf.DUMMYFUNCTION("if(countif(ecn.list,FC58),OFFSET(INDIRECT(CONCAT(""A"",to_text(match(FC58,ecn.list,0)))),0,1),"""")"),"N2 ")</f>
        <v>N2 </v>
      </c>
      <c r="CD58" s="236" t="str">
        <f>IFERROR(__xludf.DUMMYFUNCTION("if(countif(ecn.list,FD58),OFFSET(INDIRECT(CONCAT(""A"",to_text(match(FD58,ecn.list,0)))),0,1),"""")"),"")</f>
        <v/>
      </c>
      <c r="CE58" s="236" t="str">
        <f>IFERROR(__xludf.DUMMYFUNCTION("if(countif(ecn.list,FE58),OFFSET(INDIRECT(CONCAT(""A"",to_text(match(FE58,ecn.list,0)))),0,1),"""")"),"")</f>
        <v/>
      </c>
      <c r="CF58" s="236" t="str">
        <f>IFERROR(__xludf.DUMMYFUNCTION("if(countif(ecn.list,FF58),OFFSET(INDIRECT(CONCAT(""A"",to_text(match(FF58,ecn.list,0)))),0,1),"""")"),"")</f>
        <v/>
      </c>
      <c r="CG58" s="236" t="str">
        <f>IFERROR(__xludf.DUMMYFUNCTION("if(countif(ecn.list,FG58),OFFSET(INDIRECT(CONCAT(""A"",to_text(match(FG58,ecn.list,0)))),0,1),"""")"),"")</f>
        <v/>
      </c>
      <c r="CH58" s="236" t="str">
        <f>IFERROR(__xludf.DUMMYFUNCTION("if(countif(ecn.list,FH58),OFFSET(INDIRECT(CONCAT(""A"",to_text(match(FH58,ecn.list,0)))),0,1),"""")"),"N7 ")</f>
        <v>N7 </v>
      </c>
      <c r="CI58" s="236" t="str">
        <f>IFERROR(__xludf.DUMMYFUNCTION("if(countif(ecn.list,FI58),OFFSET(INDIRECT(CONCAT(""A"",to_text(match(FI58,ecn.list,0)))),0,1),"""")"),"")</f>
        <v/>
      </c>
      <c r="CJ58" s="236" t="str">
        <f>IFERROR(__xludf.DUMMYFUNCTION("if(countif(ecn.list,FJ58),OFFSET(INDIRECT(CONCAT(""A"",to_text(match(FJ58,ecn.list,0)))),0,1),"""")"),"")</f>
        <v/>
      </c>
      <c r="CK58" s="236" t="str">
        <f>IFERROR(__xludf.DUMMYFUNCTION("if(countif(ecn.list,FK58),OFFSET(INDIRECT(CONCAT(""A"",to_text(match(FK58,ecn.list,0)))),0,1),"""")"),"NA ")</f>
        <v>NA </v>
      </c>
      <c r="CL58" s="236" t="str">
        <f>IFERROR(__xludf.DUMMYFUNCTION("if(countif(ecn.list,FL58),OFFSET(INDIRECT(CONCAT(""A"",to_text(match(FL58,ecn.list,0)))),0,1),"""")"),"")</f>
        <v/>
      </c>
      <c r="CM58" s="236" t="str">
        <f>IFERROR(__xludf.DUMMYFUNCTION("if(countif(ecn.list,FM58),OFFSET(INDIRECT(CONCAT(""A"",to_text(match(FM58,ecn.list,0)))),0,1),"""")"),"")</f>
        <v/>
      </c>
      <c r="CN58" s="198" t="s">
        <v>249</v>
      </c>
      <c r="CO58" s="198" t="s">
        <v>1447</v>
      </c>
      <c r="CP58" s="198" t="s">
        <v>1451</v>
      </c>
      <c r="CQ58" s="198" t="s">
        <v>1452</v>
      </c>
      <c r="CR58" s="198" t="s">
        <v>1453</v>
      </c>
      <c r="CS58" s="198" t="s">
        <v>1453</v>
      </c>
      <c r="CT58" s="198" t="s">
        <v>1454</v>
      </c>
      <c r="CU58" s="198" t="s">
        <v>1455</v>
      </c>
      <c r="CV58" s="198" t="s">
        <v>1456</v>
      </c>
      <c r="CW58" s="198" t="s">
        <v>1453</v>
      </c>
      <c r="CX58" s="198" t="s">
        <v>1453</v>
      </c>
      <c r="CY58" s="198" t="s">
        <v>1484</v>
      </c>
      <c r="CZ58" s="198" t="s">
        <v>1453</v>
      </c>
      <c r="DA58" s="198" t="s">
        <v>1457</v>
      </c>
      <c r="DB58" s="198" t="s">
        <v>1453</v>
      </c>
      <c r="DC58" s="198" t="s">
        <v>1453</v>
      </c>
      <c r="DD58" s="198" t="s">
        <v>1458</v>
      </c>
      <c r="DE58" s="198" t="s">
        <v>1459</v>
      </c>
      <c r="DF58" s="198" t="s">
        <v>1453</v>
      </c>
      <c r="DG58" s="198" t="s">
        <v>1453</v>
      </c>
      <c r="DH58" s="198" t="s">
        <v>1500</v>
      </c>
      <c r="DI58" s="198" t="s">
        <v>1501</v>
      </c>
      <c r="DJ58" s="198" t="s">
        <v>1460</v>
      </c>
      <c r="DK58" s="198" t="s">
        <v>1453</v>
      </c>
      <c r="DL58" s="198" t="s">
        <v>1461</v>
      </c>
      <c r="DM58" s="198" t="s">
        <v>1462</v>
      </c>
      <c r="DN58" s="198" t="s">
        <v>1463</v>
      </c>
      <c r="DO58" s="198" t="s">
        <v>1464</v>
      </c>
      <c r="DP58" s="198" t="s">
        <v>1465</v>
      </c>
      <c r="DQ58" s="198" t="s">
        <v>1466</v>
      </c>
      <c r="DR58" s="198" t="s">
        <v>1467</v>
      </c>
      <c r="DS58" s="198" t="s">
        <v>1453</v>
      </c>
      <c r="DT58" s="198" t="s">
        <v>1468</v>
      </c>
      <c r="DU58" s="198" t="s">
        <v>1453</v>
      </c>
      <c r="DV58" s="198" t="s">
        <v>1469</v>
      </c>
      <c r="DW58" s="198" t="s">
        <v>1453</v>
      </c>
      <c r="DX58" s="198" t="s">
        <v>1453</v>
      </c>
      <c r="DY58" s="198" t="s">
        <v>1453</v>
      </c>
      <c r="DZ58" s="198" t="s">
        <v>1453</v>
      </c>
      <c r="EA58" s="198" t="s">
        <v>1453</v>
      </c>
      <c r="EB58" s="198" t="s">
        <v>1453</v>
      </c>
      <c r="EC58" s="198" t="s">
        <v>1483</v>
      </c>
      <c r="ED58" s="198" t="s">
        <v>1453</v>
      </c>
      <c r="EE58" s="198" t="s">
        <v>1470</v>
      </c>
      <c r="EF58" s="198" t="s">
        <v>1453</v>
      </c>
      <c r="EG58" s="198" t="s">
        <v>1471</v>
      </c>
      <c r="EH58" s="198" t="s">
        <v>1453</v>
      </c>
      <c r="EI58" s="198" t="s">
        <v>1453</v>
      </c>
      <c r="EJ58" s="198" t="s">
        <v>1472</v>
      </c>
      <c r="EK58" s="198" t="s">
        <v>1487</v>
      </c>
      <c r="EL58" s="198" t="s">
        <v>1473</v>
      </c>
      <c r="EM58" s="198" t="s">
        <v>1453</v>
      </c>
      <c r="EN58" s="198" t="s">
        <v>1474</v>
      </c>
      <c r="EO58" s="198" t="s">
        <v>1475</v>
      </c>
      <c r="EP58" s="198" t="s">
        <v>1453</v>
      </c>
      <c r="EQ58" s="198" t="s">
        <v>1453</v>
      </c>
      <c r="ER58" s="198" t="s">
        <v>1453</v>
      </c>
      <c r="ES58" s="198" t="s">
        <v>1505</v>
      </c>
      <c r="ET58" s="198" t="s">
        <v>1453</v>
      </c>
      <c r="EU58" s="198" t="s">
        <v>1453</v>
      </c>
      <c r="EV58" s="198" t="s">
        <v>1476</v>
      </c>
      <c r="EW58" s="198" t="s">
        <v>1453</v>
      </c>
      <c r="EX58" s="198" t="s">
        <v>1488</v>
      </c>
      <c r="EY58" s="198" t="s">
        <v>1453</v>
      </c>
      <c r="EZ58" s="198" t="s">
        <v>1477</v>
      </c>
      <c r="FA58" s="198" t="s">
        <v>1453</v>
      </c>
      <c r="FB58" s="198" t="s">
        <v>1453</v>
      </c>
      <c r="FC58" s="198" t="s">
        <v>1478</v>
      </c>
      <c r="FD58" s="198" t="s">
        <v>1453</v>
      </c>
      <c r="FE58" s="198" t="s">
        <v>1453</v>
      </c>
      <c r="FF58" s="198" t="s">
        <v>1453</v>
      </c>
      <c r="FG58" s="198" t="s">
        <v>1453</v>
      </c>
      <c r="FH58" s="198" t="s">
        <v>1479</v>
      </c>
      <c r="FI58" s="198" t="s">
        <v>1453</v>
      </c>
      <c r="FJ58" s="198" t="s">
        <v>1453</v>
      </c>
      <c r="FK58" s="198" t="s">
        <v>1481</v>
      </c>
      <c r="FL58" s="198" t="s">
        <v>1482</v>
      </c>
      <c r="FM58" s="198" t="s">
        <v>1453</v>
      </c>
    </row>
    <row r="59" ht="15.75" customHeight="1">
      <c r="A59" s="198"/>
      <c r="B59" s="198"/>
      <c r="C59" s="234"/>
      <c r="D59" s="232" t="s">
        <v>770</v>
      </c>
      <c r="E59" s="232" t="s">
        <v>1448</v>
      </c>
      <c r="F59" s="232" t="s">
        <v>1449</v>
      </c>
      <c r="G59" s="232" t="s">
        <v>1450</v>
      </c>
      <c r="H59" s="232" t="s">
        <v>876</v>
      </c>
      <c r="I59" s="232" t="s">
        <v>987</v>
      </c>
      <c r="J59" s="232" t="s">
        <v>1497</v>
      </c>
      <c r="K59" s="232" t="s">
        <v>1009</v>
      </c>
      <c r="L59" s="188" t="s">
        <v>252</v>
      </c>
      <c r="M59" s="236" t="str">
        <f>IFERROR(__xludf.DUMMYFUNCTION("regexreplace(N59,"" "","", "")"),"J0, J1, J2, J3, J5, J6, J7, JA, JC, JD, JF, K0, K1, K2, K3, K4, K5, K8, K9, KA, KB, KC, KD, KF, L1, L2, L3, L7, L8, L9, LA, LC, LF, M0, M3, M4, M8, MB, MF, N2, N7, NA, ")</f>
        <v>J0, J1, J2, J3, J5, J6, J7, JA, JC, JD, JF, K0, K1, K2, K3, K4, K5, K8, K9, KA, KB, KC, KD, KF, L1, L2, L3, L7, L8, L9, LA, LC, LF, M0, M3, M4, M8, MB, MF, N2, N7, NA, </v>
      </c>
      <c r="N59" s="236" t="str">
        <f t="shared" si="2"/>
        <v>J0 J1 J2 J3 J5 J6 J7 JA JC JD JF K0 K1 K2 K3 K4 K5 K8 K9 KA KB KC KD KF L1 L2 L3 L7 L8 L9 LA LC LF M0 M3 M4 M8 MB MF N2 N7 NA </v>
      </c>
      <c r="O59" s="236" t="str">
        <f>IFERROR(__xludf.DUMMYFUNCTION("if(countif(ecn.list,CO59),OFFSET(INDIRECT(CONCAT(""A"",to_text(match(CO59,ecn.list,0)))),0,1),"""")"),"J0 ")</f>
        <v>J0 </v>
      </c>
      <c r="P59" s="236" t="str">
        <f>IFERROR(__xludf.DUMMYFUNCTION("if(countif(ecn.list,CP59),OFFSET(INDIRECT(CONCAT(""A"",to_text(match(CP59,ecn.list,0)))),0,1),"""")"),"J1 ")</f>
        <v>J1 </v>
      </c>
      <c r="Q59" s="236" t="str">
        <f>IFERROR(__xludf.DUMMYFUNCTION("if(countif(ecn.list,CQ59),OFFSET(INDIRECT(CONCAT(""A"",to_text(match(CQ59,ecn.list,0)))),0,1),"""")"),"J2 ")</f>
        <v>J2 </v>
      </c>
      <c r="R59" s="236" t="str">
        <f>IFERROR(__xludf.DUMMYFUNCTION("if(countif(ecn.list,CR59),OFFSET(INDIRECT(CONCAT(""A"",to_text(match(CR59,ecn.list,0)))),0,1),"""")"),"J3 ")</f>
        <v>J3 </v>
      </c>
      <c r="S59" s="236" t="str">
        <f>IFERROR(__xludf.DUMMYFUNCTION("if(countif(ecn.list,CS59),OFFSET(INDIRECT(CONCAT(""A"",to_text(match(CS59,ecn.list,0)))),0,1),"""")"),"")</f>
        <v/>
      </c>
      <c r="T59" s="236" t="str">
        <f>IFERROR(__xludf.DUMMYFUNCTION("if(countif(ecn.list,CT59),OFFSET(INDIRECT(CONCAT(""A"",to_text(match(CT59,ecn.list,0)))),0,1),"""")"),"J5 ")</f>
        <v>J5 </v>
      </c>
      <c r="U59" s="236" t="str">
        <f>IFERROR(__xludf.DUMMYFUNCTION("if(countif(ecn.list,CU59),OFFSET(INDIRECT(CONCAT(""A"",to_text(match(CU59,ecn.list,0)))),0,1),"""")"),"J6 ")</f>
        <v>J6 </v>
      </c>
      <c r="V59" s="236" t="str">
        <f>IFERROR(__xludf.DUMMYFUNCTION("if(countif(ecn.list,CV59),OFFSET(INDIRECT(CONCAT(""A"",to_text(match(CV59,ecn.list,0)))),0,1),"""")"),"J7 ")</f>
        <v>J7 </v>
      </c>
      <c r="W59" s="236" t="str">
        <f>IFERROR(__xludf.DUMMYFUNCTION("if(countif(ecn.list,CW59),OFFSET(INDIRECT(CONCAT(""A"",to_text(match(CW59,ecn.list,0)))),0,1),"""")"),"")</f>
        <v/>
      </c>
      <c r="X59" s="236" t="str">
        <f>IFERROR(__xludf.DUMMYFUNCTION("if(countif(ecn.list,CX59),OFFSET(INDIRECT(CONCAT(""A"",to_text(match(CX59,ecn.list,0)))),0,1),"""")"),"")</f>
        <v/>
      </c>
      <c r="Y59" s="236" t="str">
        <f>IFERROR(__xludf.DUMMYFUNCTION("if(countif(ecn.list,CY59),OFFSET(INDIRECT(CONCAT(""A"",to_text(match(CY59,ecn.list,0)))),0,1),"""")"),"JA ")</f>
        <v>JA </v>
      </c>
      <c r="Z59" s="236" t="str">
        <f>IFERROR(__xludf.DUMMYFUNCTION("if(countif(ecn.list,CZ59),OFFSET(INDIRECT(CONCAT(""A"",to_text(match(CZ59,ecn.list,0)))),0,1),"""")"),"")</f>
        <v/>
      </c>
      <c r="AA59" s="236" t="str">
        <f>IFERROR(__xludf.DUMMYFUNCTION("if(countif(ecn.list,DA59),OFFSET(INDIRECT(CONCAT(""A"",to_text(match(DA59,ecn.list,0)))),0,1),"""")"),"JC ")</f>
        <v>JC </v>
      </c>
      <c r="AB59" s="236" t="str">
        <f>IFERROR(__xludf.DUMMYFUNCTION("if(countif(ecn.list,DB59),OFFSET(INDIRECT(CONCAT(""A"",to_text(match(DB59,ecn.list,0)))),0,1),"""")"),"JD ")</f>
        <v>JD </v>
      </c>
      <c r="AC59" s="236" t="str">
        <f>IFERROR(__xludf.DUMMYFUNCTION("if(countif(ecn.list,DC59),OFFSET(INDIRECT(CONCAT(""A"",to_text(match(DC59,ecn.list,0)))),0,1),"""")"),"")</f>
        <v/>
      </c>
      <c r="AD59" s="236" t="str">
        <f>IFERROR(__xludf.DUMMYFUNCTION("if(countif(ecn.list,DD59),OFFSET(INDIRECT(CONCAT(""A"",to_text(match(DD59,ecn.list,0)))),0,1),"""")"),"JF ")</f>
        <v>JF </v>
      </c>
      <c r="AE59" s="236" t="str">
        <f>IFERROR(__xludf.DUMMYFUNCTION("if(countif(ecn.list,DE59),OFFSET(INDIRECT(CONCAT(""A"",to_text(match(DE59,ecn.list,0)))),0,1),"""")"),"K0 ")</f>
        <v>K0 </v>
      </c>
      <c r="AF59" s="236" t="str">
        <f>IFERROR(__xludf.DUMMYFUNCTION("if(countif(ecn.list,DF59),OFFSET(INDIRECT(CONCAT(""A"",to_text(match(DF59,ecn.list,0)))),0,1),"""")"),"K1 ")</f>
        <v>K1 </v>
      </c>
      <c r="AG59" s="236" t="str">
        <f>IFERROR(__xludf.DUMMYFUNCTION("if(countif(ecn.list,DG59),OFFSET(INDIRECT(CONCAT(""A"",to_text(match(DG59,ecn.list,0)))),0,1),"""")"),"K2 ")</f>
        <v>K2 </v>
      </c>
      <c r="AH59" s="236" t="str">
        <f>IFERROR(__xludf.DUMMYFUNCTION("if(countif(ecn.list,DH59),OFFSET(INDIRECT(CONCAT(""A"",to_text(match(DH59,ecn.list,0)))),0,1),"""")"),"K3 ")</f>
        <v>K3 </v>
      </c>
      <c r="AI59" s="236" t="str">
        <f>IFERROR(__xludf.DUMMYFUNCTION("if(countif(ecn.list,DI59),OFFSET(INDIRECT(CONCAT(""A"",to_text(match(DI59,ecn.list,0)))),0,1),"""")"),"K4 ")</f>
        <v>K4 </v>
      </c>
      <c r="AJ59" s="236" t="str">
        <f>IFERROR(__xludf.DUMMYFUNCTION("if(countif(ecn.list,DJ59),OFFSET(INDIRECT(CONCAT(""A"",to_text(match(DJ59,ecn.list,0)))),0,1),"""")"),"K5 ")</f>
        <v>K5 </v>
      </c>
      <c r="AK59" s="236" t="str">
        <f>IFERROR(__xludf.DUMMYFUNCTION("if(countif(ecn.list,DK59),OFFSET(INDIRECT(CONCAT(""A"",to_text(match(DK59,ecn.list,0)))),0,1),"""")"),"")</f>
        <v/>
      </c>
      <c r="AL59" s="236" t="str">
        <f>IFERROR(__xludf.DUMMYFUNCTION("if(countif(ecn.list,DL59),OFFSET(INDIRECT(CONCAT(""A"",to_text(match(DL59,ecn.list,0)))),0,1),"""")"),"")</f>
        <v/>
      </c>
      <c r="AM59" s="236" t="str">
        <f>IFERROR(__xludf.DUMMYFUNCTION("if(countif(ecn.list,DM59),OFFSET(INDIRECT(CONCAT(""A"",to_text(match(DM59,ecn.list,0)))),0,1),"""")"),"K8 ")</f>
        <v>K8 </v>
      </c>
      <c r="AN59" s="236" t="str">
        <f>IFERROR(__xludf.DUMMYFUNCTION("if(countif(ecn.list,DN59),OFFSET(INDIRECT(CONCAT(""A"",to_text(match(DN59,ecn.list,0)))),0,1),"""")"),"K9 ")</f>
        <v>K9 </v>
      </c>
      <c r="AO59" s="236" t="str">
        <f>IFERROR(__xludf.DUMMYFUNCTION("if(countif(ecn.list,DO59),OFFSET(INDIRECT(CONCAT(""A"",to_text(match(DO59,ecn.list,0)))),0,1),"""")"),"KA ")</f>
        <v>KA </v>
      </c>
      <c r="AP59" s="236" t="str">
        <f>IFERROR(__xludf.DUMMYFUNCTION("if(countif(ecn.list,DP59),OFFSET(INDIRECT(CONCAT(""A"",to_text(match(DP59,ecn.list,0)))),0,1),"""")"),"KB ")</f>
        <v>KB </v>
      </c>
      <c r="AQ59" s="236" t="str">
        <f>IFERROR(__xludf.DUMMYFUNCTION("if(countif(ecn.list,DQ59),OFFSET(INDIRECT(CONCAT(""A"",to_text(match(DQ59,ecn.list,0)))),0,1),"""")"),"KC ")</f>
        <v>KC </v>
      </c>
      <c r="AR59" s="236" t="str">
        <f>IFERROR(__xludf.DUMMYFUNCTION("if(countif(ecn.list,DR59),OFFSET(INDIRECT(CONCAT(""A"",to_text(match(DR59,ecn.list,0)))),0,1),"""")"),"KD ")</f>
        <v>KD </v>
      </c>
      <c r="AS59" s="236" t="str">
        <f>IFERROR(__xludf.DUMMYFUNCTION("if(countif(ecn.list,DS59),OFFSET(INDIRECT(CONCAT(""A"",to_text(match(DS59,ecn.list,0)))),0,1),"""")"),"")</f>
        <v/>
      </c>
      <c r="AT59" s="236" t="str">
        <f>IFERROR(__xludf.DUMMYFUNCTION("if(countif(ecn.list,DT59),OFFSET(INDIRECT(CONCAT(""A"",to_text(match(DT59,ecn.list,0)))),0,1),"""")"),"KF ")</f>
        <v>KF </v>
      </c>
      <c r="AU59" s="236" t="str">
        <f>IFERROR(__xludf.DUMMYFUNCTION("if(countif(ecn.list,DU59),OFFSET(INDIRECT(CONCAT(""A"",to_text(match(DU59,ecn.list,0)))),0,1),"""")"),"")</f>
        <v/>
      </c>
      <c r="AV59" s="236" t="str">
        <f>IFERROR(__xludf.DUMMYFUNCTION("if(countif(ecn.list,DV59),OFFSET(INDIRECT(CONCAT(""A"",to_text(match(DV59,ecn.list,0)))),0,1),"""")"),"L1 ")</f>
        <v>L1 </v>
      </c>
      <c r="AW59" s="236" t="str">
        <f>IFERROR(__xludf.DUMMYFUNCTION("if(countif(ecn.list,DW59),OFFSET(INDIRECT(CONCAT(""A"",to_text(match(DW59,ecn.list,0)))),0,1),"""")"),"L2 ")</f>
        <v>L2 </v>
      </c>
      <c r="AX59" s="236" t="str">
        <f>IFERROR(__xludf.DUMMYFUNCTION("if(countif(ecn.list,DX59),OFFSET(INDIRECT(CONCAT(""A"",to_text(match(DX59,ecn.list,0)))),0,1),"""")"),"L3 ")</f>
        <v>L3 </v>
      </c>
      <c r="AY59" s="236" t="str">
        <f>IFERROR(__xludf.DUMMYFUNCTION("if(countif(ecn.list,DY59),OFFSET(INDIRECT(CONCAT(""A"",to_text(match(DY59,ecn.list,0)))),0,1),"""")"),"")</f>
        <v/>
      </c>
      <c r="AZ59" s="236" t="str">
        <f>IFERROR(__xludf.DUMMYFUNCTION("if(countif(ecn.list,DZ59),OFFSET(INDIRECT(CONCAT(""A"",to_text(match(DZ59,ecn.list,0)))),0,1),"""")"),"")</f>
        <v/>
      </c>
      <c r="BA59" s="236" t="str">
        <f>IFERROR(__xludf.DUMMYFUNCTION("if(countif(ecn.list,EA59),OFFSET(INDIRECT(CONCAT(""A"",to_text(match(EA59,ecn.list,0)))),0,1),"""")"),"")</f>
        <v/>
      </c>
      <c r="BB59" s="236" t="str">
        <f>IFERROR(__xludf.DUMMYFUNCTION("if(countif(ecn.list,EB59),OFFSET(INDIRECT(CONCAT(""A"",to_text(match(EB59,ecn.list,0)))),0,1),"""")"),"L7 ")</f>
        <v>L7 </v>
      </c>
      <c r="BC59" s="236" t="str">
        <f>IFERROR(__xludf.DUMMYFUNCTION("if(countif(ecn.list,EC59),OFFSET(INDIRECT(CONCAT(""A"",to_text(match(EC59,ecn.list,0)))),0,1),"""")"),"L8 ")</f>
        <v>L8 </v>
      </c>
      <c r="BD59" s="236" t="str">
        <f>IFERROR(__xludf.DUMMYFUNCTION("if(countif(ecn.list,ED59),OFFSET(INDIRECT(CONCAT(""A"",to_text(match(ED59,ecn.list,0)))),0,1),"""")"),"L9 ")</f>
        <v>L9 </v>
      </c>
      <c r="BE59" s="236" t="str">
        <f>IFERROR(__xludf.DUMMYFUNCTION("if(countif(ecn.list,EE59),OFFSET(INDIRECT(CONCAT(""A"",to_text(match(EE59,ecn.list,0)))),0,1),"""")"),"LA ")</f>
        <v>LA </v>
      </c>
      <c r="BF59" s="236" t="str">
        <f>IFERROR(__xludf.DUMMYFUNCTION("if(countif(ecn.list,EF59),OFFSET(INDIRECT(CONCAT(""A"",to_text(match(EF59,ecn.list,0)))),0,1),"""")"),"")</f>
        <v/>
      </c>
      <c r="BG59" s="236" t="str">
        <f>IFERROR(__xludf.DUMMYFUNCTION("if(countif(ecn.list,EG59),OFFSET(INDIRECT(CONCAT(""A"",to_text(match(EG59,ecn.list,0)))),0,1),"""")"),"LC ")</f>
        <v>LC </v>
      </c>
      <c r="BH59" s="236" t="str">
        <f>IFERROR(__xludf.DUMMYFUNCTION("if(countif(ecn.list,EH59),OFFSET(INDIRECT(CONCAT(""A"",to_text(match(EH59,ecn.list,0)))),0,1),"""")"),"")</f>
        <v/>
      </c>
      <c r="BI59" s="236" t="str">
        <f>IFERROR(__xludf.DUMMYFUNCTION("if(countif(ecn.list,EI59),OFFSET(INDIRECT(CONCAT(""A"",to_text(match(EI59,ecn.list,0)))),0,1),"""")"),"")</f>
        <v/>
      </c>
      <c r="BJ59" s="236" t="str">
        <f>IFERROR(__xludf.DUMMYFUNCTION("if(countif(ecn.list,EJ59),OFFSET(INDIRECT(CONCAT(""A"",to_text(match(EJ59,ecn.list,0)))),0,1),"""")"),"LF ")</f>
        <v>LF </v>
      </c>
      <c r="BK59" s="236" t="str">
        <f>IFERROR(__xludf.DUMMYFUNCTION("if(countif(ecn.list,EK59),OFFSET(INDIRECT(CONCAT(""A"",to_text(match(EK59,ecn.list,0)))),0,1),"""")"),"M0 ")</f>
        <v>M0 </v>
      </c>
      <c r="BL59" s="236" t="str">
        <f>IFERROR(__xludf.DUMMYFUNCTION("if(countif(ecn.list,EL59),OFFSET(INDIRECT(CONCAT(""A"",to_text(match(EL59,ecn.list,0)))),0,1),"""")"),"")</f>
        <v/>
      </c>
      <c r="BM59" s="236" t="str">
        <f>IFERROR(__xludf.DUMMYFUNCTION("if(countif(ecn.list,EM59),OFFSET(INDIRECT(CONCAT(""A"",to_text(match(EM59,ecn.list,0)))),0,1),"""")"),"")</f>
        <v/>
      </c>
      <c r="BN59" s="236" t="str">
        <f>IFERROR(__xludf.DUMMYFUNCTION("if(countif(ecn.list,EN59),OFFSET(INDIRECT(CONCAT(""A"",to_text(match(EN59,ecn.list,0)))),0,1),"""")"),"M3 ")</f>
        <v>M3 </v>
      </c>
      <c r="BO59" s="236" t="str">
        <f>IFERROR(__xludf.DUMMYFUNCTION("if(countif(ecn.list,EO59),OFFSET(INDIRECT(CONCAT(""A"",to_text(match(EO59,ecn.list,0)))),0,1),"""")"),"M4 ")</f>
        <v>M4 </v>
      </c>
      <c r="BP59" s="236" t="str">
        <f>IFERROR(__xludf.DUMMYFUNCTION("if(countif(ecn.list,EP59),OFFSET(INDIRECT(CONCAT(""A"",to_text(match(EP59,ecn.list,0)))),0,1),"""")"),"")</f>
        <v/>
      </c>
      <c r="BQ59" s="236" t="str">
        <f>IFERROR(__xludf.DUMMYFUNCTION("if(countif(ecn.list,EQ59),OFFSET(INDIRECT(CONCAT(""A"",to_text(match(EQ59,ecn.list,0)))),0,1),"""")"),"")</f>
        <v/>
      </c>
      <c r="BR59" s="236" t="str">
        <f>IFERROR(__xludf.DUMMYFUNCTION("if(countif(ecn.list,ER59),OFFSET(INDIRECT(CONCAT(""A"",to_text(match(ER59,ecn.list,0)))),0,1),"""")"),"")</f>
        <v/>
      </c>
      <c r="BS59" s="236" t="str">
        <f>IFERROR(__xludf.DUMMYFUNCTION("if(countif(ecn.list,ES59),OFFSET(INDIRECT(CONCAT(""A"",to_text(match(ES59,ecn.list,0)))),0,1),"""")"),"M8 ")</f>
        <v>M8 </v>
      </c>
      <c r="BT59" s="236" t="str">
        <f>IFERROR(__xludf.DUMMYFUNCTION("if(countif(ecn.list,ET59),OFFSET(INDIRECT(CONCAT(""A"",to_text(match(ET59,ecn.list,0)))),0,1),"""")"),"")</f>
        <v/>
      </c>
      <c r="BU59" s="236" t="str">
        <f>IFERROR(__xludf.DUMMYFUNCTION("if(countif(ecn.list,EU59),OFFSET(INDIRECT(CONCAT(""A"",to_text(match(EU59,ecn.list,0)))),0,1),"""")"),"")</f>
        <v/>
      </c>
      <c r="BV59" s="236" t="str">
        <f>IFERROR(__xludf.DUMMYFUNCTION("if(countif(ecn.list,EV59),OFFSET(INDIRECT(CONCAT(""A"",to_text(match(EV59,ecn.list,0)))),0,1),"""")"),"MB ")</f>
        <v>MB </v>
      </c>
      <c r="BW59" s="236" t="str">
        <f>IFERROR(__xludf.DUMMYFUNCTION("if(countif(ecn.list,EW59),OFFSET(INDIRECT(CONCAT(""A"",to_text(match(EW59,ecn.list,0)))),0,1),"""")"),"")</f>
        <v/>
      </c>
      <c r="BX59" s="236" t="str">
        <f>IFERROR(__xludf.DUMMYFUNCTION("if(countif(ecn.list,EX59),OFFSET(INDIRECT(CONCAT(""A"",to_text(match(EX59,ecn.list,0)))),0,1),"""")"),"")</f>
        <v/>
      </c>
      <c r="BY59" s="236" t="str">
        <f>IFERROR(__xludf.DUMMYFUNCTION("if(countif(ecn.list,EY59),OFFSET(INDIRECT(CONCAT(""A"",to_text(match(EY59,ecn.list,0)))),0,1),"""")"),"")</f>
        <v/>
      </c>
      <c r="BZ59" s="236" t="str">
        <f>IFERROR(__xludf.DUMMYFUNCTION("if(countif(ecn.list,EZ59),OFFSET(INDIRECT(CONCAT(""A"",to_text(match(EZ59,ecn.list,0)))),0,1),"""")"),"MF ")</f>
        <v>MF </v>
      </c>
      <c r="CA59" s="236" t="str">
        <f>IFERROR(__xludf.DUMMYFUNCTION("if(countif(ecn.list,FA59),OFFSET(INDIRECT(CONCAT(""A"",to_text(match(FA59,ecn.list,0)))),0,1),"""")"),"")</f>
        <v/>
      </c>
      <c r="CB59" s="236" t="str">
        <f>IFERROR(__xludf.DUMMYFUNCTION("if(countif(ecn.list,FB59),OFFSET(INDIRECT(CONCAT(""A"",to_text(match(FB59,ecn.list,0)))),0,1),"""")"),"")</f>
        <v/>
      </c>
      <c r="CC59" s="236" t="str">
        <f>IFERROR(__xludf.DUMMYFUNCTION("if(countif(ecn.list,FC59),OFFSET(INDIRECT(CONCAT(""A"",to_text(match(FC59,ecn.list,0)))),0,1),"""")"),"N2 ")</f>
        <v>N2 </v>
      </c>
      <c r="CD59" s="236" t="str">
        <f>IFERROR(__xludf.DUMMYFUNCTION("if(countif(ecn.list,FD59),OFFSET(INDIRECT(CONCAT(""A"",to_text(match(FD59,ecn.list,0)))),0,1),"""")"),"")</f>
        <v/>
      </c>
      <c r="CE59" s="236" t="str">
        <f>IFERROR(__xludf.DUMMYFUNCTION("if(countif(ecn.list,FE59),OFFSET(INDIRECT(CONCAT(""A"",to_text(match(FE59,ecn.list,0)))),0,1),"""")"),"")</f>
        <v/>
      </c>
      <c r="CF59" s="236" t="str">
        <f>IFERROR(__xludf.DUMMYFUNCTION("if(countif(ecn.list,FF59),OFFSET(INDIRECT(CONCAT(""A"",to_text(match(FF59,ecn.list,0)))),0,1),"""")"),"")</f>
        <v/>
      </c>
      <c r="CG59" s="236" t="str">
        <f>IFERROR(__xludf.DUMMYFUNCTION("if(countif(ecn.list,FG59),OFFSET(INDIRECT(CONCAT(""A"",to_text(match(FG59,ecn.list,0)))),0,1),"""")"),"")</f>
        <v/>
      </c>
      <c r="CH59" s="236" t="str">
        <f>IFERROR(__xludf.DUMMYFUNCTION("if(countif(ecn.list,FH59),OFFSET(INDIRECT(CONCAT(""A"",to_text(match(FH59,ecn.list,0)))),0,1),"""")"),"N7 ")</f>
        <v>N7 </v>
      </c>
      <c r="CI59" s="236" t="str">
        <f>IFERROR(__xludf.DUMMYFUNCTION("if(countif(ecn.list,FI59),OFFSET(INDIRECT(CONCAT(""A"",to_text(match(FI59,ecn.list,0)))),0,1),"""")"),"")</f>
        <v/>
      </c>
      <c r="CJ59" s="236" t="str">
        <f>IFERROR(__xludf.DUMMYFUNCTION("if(countif(ecn.list,FJ59),OFFSET(INDIRECT(CONCAT(""A"",to_text(match(FJ59,ecn.list,0)))),0,1),"""")"),"")</f>
        <v/>
      </c>
      <c r="CK59" s="236" t="str">
        <f>IFERROR(__xludf.DUMMYFUNCTION("if(countif(ecn.list,FK59),OFFSET(INDIRECT(CONCAT(""A"",to_text(match(FK59,ecn.list,0)))),0,1),"""")"),"NA ")</f>
        <v>NA </v>
      </c>
      <c r="CL59" s="236" t="str">
        <f>IFERROR(__xludf.DUMMYFUNCTION("if(countif(ecn.list,FL59),OFFSET(INDIRECT(CONCAT(""A"",to_text(match(FL59,ecn.list,0)))),0,1),"""")"),"")</f>
        <v/>
      </c>
      <c r="CM59" s="236" t="str">
        <f>IFERROR(__xludf.DUMMYFUNCTION("if(countif(ecn.list,FM59),OFFSET(INDIRECT(CONCAT(""A"",to_text(match(FM59,ecn.list,0)))),0,1),"""")"),"")</f>
        <v/>
      </c>
      <c r="CN59" s="198" t="s">
        <v>252</v>
      </c>
      <c r="CO59" s="198" t="s">
        <v>1447</v>
      </c>
      <c r="CP59" s="198" t="s">
        <v>1451</v>
      </c>
      <c r="CQ59" s="198" t="s">
        <v>1452</v>
      </c>
      <c r="CR59" s="198" t="s">
        <v>1490</v>
      </c>
      <c r="CS59" s="198" t="s">
        <v>1453</v>
      </c>
      <c r="CT59" s="198" t="s">
        <v>1454</v>
      </c>
      <c r="CU59" s="198" t="s">
        <v>1455</v>
      </c>
      <c r="CV59" s="198" t="s">
        <v>1456</v>
      </c>
      <c r="CW59" s="198" t="s">
        <v>1453</v>
      </c>
      <c r="CX59" s="198" t="s">
        <v>1453</v>
      </c>
      <c r="CY59" s="198" t="s">
        <v>1484</v>
      </c>
      <c r="CZ59" s="198" t="s">
        <v>1453</v>
      </c>
      <c r="DA59" s="198" t="s">
        <v>1457</v>
      </c>
      <c r="DB59" s="198" t="s">
        <v>1485</v>
      </c>
      <c r="DC59" s="198" t="s">
        <v>1453</v>
      </c>
      <c r="DD59" s="198" t="s">
        <v>1458</v>
      </c>
      <c r="DE59" s="198" t="s">
        <v>1459</v>
      </c>
      <c r="DF59" s="198" t="s">
        <v>1498</v>
      </c>
      <c r="DG59" s="198" t="s">
        <v>1499</v>
      </c>
      <c r="DH59" s="198" t="s">
        <v>1500</v>
      </c>
      <c r="DI59" s="198" t="s">
        <v>1501</v>
      </c>
      <c r="DJ59" s="198" t="s">
        <v>1460</v>
      </c>
      <c r="DK59" s="198" t="s">
        <v>1453</v>
      </c>
      <c r="DL59" s="198" t="s">
        <v>1453</v>
      </c>
      <c r="DM59" s="198" t="s">
        <v>1462</v>
      </c>
      <c r="DN59" s="198" t="s">
        <v>1463</v>
      </c>
      <c r="DO59" s="198" t="s">
        <v>1464</v>
      </c>
      <c r="DP59" s="198" t="s">
        <v>1465</v>
      </c>
      <c r="DQ59" s="198" t="s">
        <v>1466</v>
      </c>
      <c r="DR59" s="198" t="s">
        <v>1467</v>
      </c>
      <c r="DS59" s="198" t="s">
        <v>1453</v>
      </c>
      <c r="DT59" s="198" t="s">
        <v>1468</v>
      </c>
      <c r="DU59" s="198" t="s">
        <v>1453</v>
      </c>
      <c r="DV59" s="198" t="s">
        <v>1469</v>
      </c>
      <c r="DW59" s="198" t="s">
        <v>1502</v>
      </c>
      <c r="DX59" s="198" t="s">
        <v>1503</v>
      </c>
      <c r="DY59" s="198" t="s">
        <v>1453</v>
      </c>
      <c r="DZ59" s="198" t="s">
        <v>1453</v>
      </c>
      <c r="EA59" s="198" t="s">
        <v>1453</v>
      </c>
      <c r="EB59" s="198" t="s">
        <v>1504</v>
      </c>
      <c r="EC59" s="198" t="s">
        <v>1483</v>
      </c>
      <c r="ED59" s="198" t="s">
        <v>1516</v>
      </c>
      <c r="EE59" s="198" t="s">
        <v>1470</v>
      </c>
      <c r="EF59" s="198" t="s">
        <v>1453</v>
      </c>
      <c r="EG59" s="198" t="s">
        <v>1471</v>
      </c>
      <c r="EH59" s="198" t="s">
        <v>1453</v>
      </c>
      <c r="EI59" s="198" t="s">
        <v>1453</v>
      </c>
      <c r="EJ59" s="198" t="s">
        <v>1472</v>
      </c>
      <c r="EK59" s="198" t="s">
        <v>1487</v>
      </c>
      <c r="EL59" s="198" t="s">
        <v>1453</v>
      </c>
      <c r="EM59" s="198" t="s">
        <v>1453</v>
      </c>
      <c r="EN59" s="198" t="s">
        <v>1474</v>
      </c>
      <c r="EO59" s="198" t="s">
        <v>1475</v>
      </c>
      <c r="EP59" s="198" t="s">
        <v>1453</v>
      </c>
      <c r="EQ59" s="198" t="s">
        <v>1453</v>
      </c>
      <c r="ER59" s="198" t="s">
        <v>1453</v>
      </c>
      <c r="ES59" s="198" t="s">
        <v>1505</v>
      </c>
      <c r="ET59" s="198" t="s">
        <v>1453</v>
      </c>
      <c r="EU59" s="198" t="s">
        <v>1453</v>
      </c>
      <c r="EV59" s="198" t="s">
        <v>1476</v>
      </c>
      <c r="EW59" s="198" t="s">
        <v>1453</v>
      </c>
      <c r="EX59" s="198" t="s">
        <v>1453</v>
      </c>
      <c r="EY59" s="198" t="s">
        <v>1453</v>
      </c>
      <c r="EZ59" s="198" t="s">
        <v>1477</v>
      </c>
      <c r="FA59" s="198" t="s">
        <v>1453</v>
      </c>
      <c r="FB59" s="198" t="s">
        <v>1453</v>
      </c>
      <c r="FC59" s="198" t="s">
        <v>1478</v>
      </c>
      <c r="FD59" s="198" t="s">
        <v>1453</v>
      </c>
      <c r="FE59" s="198" t="s">
        <v>1453</v>
      </c>
      <c r="FF59" s="198" t="s">
        <v>1453</v>
      </c>
      <c r="FG59" s="198" t="s">
        <v>1453</v>
      </c>
      <c r="FH59" s="198" t="s">
        <v>1479</v>
      </c>
      <c r="FI59" s="198" t="s">
        <v>1453</v>
      </c>
      <c r="FJ59" s="198" t="s">
        <v>1453</v>
      </c>
      <c r="FK59" s="198" t="s">
        <v>1481</v>
      </c>
      <c r="FL59" s="198" t="s">
        <v>1482</v>
      </c>
      <c r="FM59" s="198" t="s">
        <v>1453</v>
      </c>
    </row>
    <row r="60" ht="15.75" customHeight="1">
      <c r="A60" s="236" t="s">
        <v>1505</v>
      </c>
      <c r="B60" s="198" t="str">
        <f t="shared" ref="B60:B67" si="7">concatenate("M",C60," ")</f>
        <v>M8 </v>
      </c>
      <c r="C60" s="234">
        <v>8.0</v>
      </c>
      <c r="D60" s="232" t="s">
        <v>860</v>
      </c>
      <c r="E60" s="232" t="s">
        <v>785</v>
      </c>
      <c r="F60" s="232" t="s">
        <v>861</v>
      </c>
      <c r="G60" s="232" t="s">
        <v>862</v>
      </c>
      <c r="H60" s="232" t="s">
        <v>775</v>
      </c>
      <c r="I60" s="232" t="s">
        <v>863</v>
      </c>
      <c r="J60" s="232" t="s">
        <v>886</v>
      </c>
      <c r="K60" s="232" t="s">
        <v>1057</v>
      </c>
      <c r="L60" s="188" t="s">
        <v>255</v>
      </c>
      <c r="M60" s="236" t="str">
        <f>IFERROR(__xludf.DUMMYFUNCTION("regexreplace(N60,"" "","", "")"),"")</f>
        <v/>
      </c>
      <c r="N60" s="236" t="str">
        <f t="shared" si="2"/>
        <v/>
      </c>
      <c r="O60" s="236" t="str">
        <f>IFERROR(__xludf.DUMMYFUNCTION("if(countif(ecn.list,CO60),OFFSET(INDIRECT(CONCAT(""A"",to_text(match(CO60,ecn.list,0)))),0,1),"""")"),"")</f>
        <v/>
      </c>
      <c r="P60" s="236" t="str">
        <f>IFERROR(__xludf.DUMMYFUNCTION("if(countif(ecn.list,CP60),OFFSET(INDIRECT(CONCAT(""A"",to_text(match(CP60,ecn.list,0)))),0,1),"""")"),"")</f>
        <v/>
      </c>
      <c r="Q60" s="236" t="str">
        <f>IFERROR(__xludf.DUMMYFUNCTION("if(countif(ecn.list,CQ60),OFFSET(INDIRECT(CONCAT(""A"",to_text(match(CQ60,ecn.list,0)))),0,1),"""")"),"")</f>
        <v/>
      </c>
      <c r="R60" s="236" t="str">
        <f>IFERROR(__xludf.DUMMYFUNCTION("if(countif(ecn.list,CR60),OFFSET(INDIRECT(CONCAT(""A"",to_text(match(CR60,ecn.list,0)))),0,1),"""")"),"")</f>
        <v/>
      </c>
      <c r="S60" s="236" t="str">
        <f>IFERROR(__xludf.DUMMYFUNCTION("if(countif(ecn.list,CS60),OFFSET(INDIRECT(CONCAT(""A"",to_text(match(CS60,ecn.list,0)))),0,1),"""")"),"")</f>
        <v/>
      </c>
      <c r="T60" s="236" t="str">
        <f>IFERROR(__xludf.DUMMYFUNCTION("if(countif(ecn.list,CT60),OFFSET(INDIRECT(CONCAT(""A"",to_text(match(CT60,ecn.list,0)))),0,1),"""")"),"")</f>
        <v/>
      </c>
      <c r="U60" s="236" t="str">
        <f>IFERROR(__xludf.DUMMYFUNCTION("if(countif(ecn.list,CU60),OFFSET(INDIRECT(CONCAT(""A"",to_text(match(CU60,ecn.list,0)))),0,1),"""")"),"")</f>
        <v/>
      </c>
      <c r="V60" s="236" t="str">
        <f>IFERROR(__xludf.DUMMYFUNCTION("if(countif(ecn.list,CV60),OFFSET(INDIRECT(CONCAT(""A"",to_text(match(CV60,ecn.list,0)))),0,1),"""")"),"")</f>
        <v/>
      </c>
      <c r="W60" s="236" t="str">
        <f>IFERROR(__xludf.DUMMYFUNCTION("if(countif(ecn.list,CW60),OFFSET(INDIRECT(CONCAT(""A"",to_text(match(CW60,ecn.list,0)))),0,1),"""")"),"")</f>
        <v/>
      </c>
      <c r="X60" s="236" t="str">
        <f>IFERROR(__xludf.DUMMYFUNCTION("if(countif(ecn.list,CX60),OFFSET(INDIRECT(CONCAT(""A"",to_text(match(CX60,ecn.list,0)))),0,1),"""")"),"")</f>
        <v/>
      </c>
      <c r="Y60" s="236" t="str">
        <f>IFERROR(__xludf.DUMMYFUNCTION("if(countif(ecn.list,CY60),OFFSET(INDIRECT(CONCAT(""A"",to_text(match(CY60,ecn.list,0)))),0,1),"""")"),"")</f>
        <v/>
      </c>
      <c r="Z60" s="236" t="str">
        <f>IFERROR(__xludf.DUMMYFUNCTION("if(countif(ecn.list,CZ60),OFFSET(INDIRECT(CONCAT(""A"",to_text(match(CZ60,ecn.list,0)))),0,1),"""")"),"")</f>
        <v/>
      </c>
      <c r="AA60" s="236" t="str">
        <f>IFERROR(__xludf.DUMMYFUNCTION("if(countif(ecn.list,DA60),OFFSET(INDIRECT(CONCAT(""A"",to_text(match(DA60,ecn.list,0)))),0,1),"""")"),"")</f>
        <v/>
      </c>
      <c r="AB60" s="236" t="str">
        <f>IFERROR(__xludf.DUMMYFUNCTION("if(countif(ecn.list,DB60),OFFSET(INDIRECT(CONCAT(""A"",to_text(match(DB60,ecn.list,0)))),0,1),"""")"),"")</f>
        <v/>
      </c>
      <c r="AC60" s="236" t="str">
        <f>IFERROR(__xludf.DUMMYFUNCTION("if(countif(ecn.list,DC60),OFFSET(INDIRECT(CONCAT(""A"",to_text(match(DC60,ecn.list,0)))),0,1),"""")"),"")</f>
        <v/>
      </c>
      <c r="AD60" s="236" t="str">
        <f>IFERROR(__xludf.DUMMYFUNCTION("if(countif(ecn.list,DD60),OFFSET(INDIRECT(CONCAT(""A"",to_text(match(DD60,ecn.list,0)))),0,1),"""")"),"")</f>
        <v/>
      </c>
      <c r="AE60" s="236" t="str">
        <f>IFERROR(__xludf.DUMMYFUNCTION("if(countif(ecn.list,DE60),OFFSET(INDIRECT(CONCAT(""A"",to_text(match(DE60,ecn.list,0)))),0,1),"""")"),"")</f>
        <v/>
      </c>
      <c r="AF60" s="236" t="str">
        <f>IFERROR(__xludf.DUMMYFUNCTION("if(countif(ecn.list,DF60),OFFSET(INDIRECT(CONCAT(""A"",to_text(match(DF60,ecn.list,0)))),0,1),"""")"),"")</f>
        <v/>
      </c>
      <c r="AG60" s="236" t="str">
        <f>IFERROR(__xludf.DUMMYFUNCTION("if(countif(ecn.list,DG60),OFFSET(INDIRECT(CONCAT(""A"",to_text(match(DG60,ecn.list,0)))),0,1),"""")"),"")</f>
        <v/>
      </c>
      <c r="AH60" s="236" t="str">
        <f>IFERROR(__xludf.DUMMYFUNCTION("if(countif(ecn.list,DH60),OFFSET(INDIRECT(CONCAT(""A"",to_text(match(DH60,ecn.list,0)))),0,1),"""")"),"")</f>
        <v/>
      </c>
      <c r="AI60" s="236" t="str">
        <f>IFERROR(__xludf.DUMMYFUNCTION("if(countif(ecn.list,DI60),OFFSET(INDIRECT(CONCAT(""A"",to_text(match(DI60,ecn.list,0)))),0,1),"""")"),"")</f>
        <v/>
      </c>
      <c r="AJ60" s="236" t="str">
        <f>IFERROR(__xludf.DUMMYFUNCTION("if(countif(ecn.list,DJ60),OFFSET(INDIRECT(CONCAT(""A"",to_text(match(DJ60,ecn.list,0)))),0,1),"""")"),"")</f>
        <v/>
      </c>
      <c r="AK60" s="236" t="str">
        <f>IFERROR(__xludf.DUMMYFUNCTION("if(countif(ecn.list,DK60),OFFSET(INDIRECT(CONCAT(""A"",to_text(match(DK60,ecn.list,0)))),0,1),"""")"),"")</f>
        <v/>
      </c>
      <c r="AL60" s="236" t="str">
        <f>IFERROR(__xludf.DUMMYFUNCTION("if(countif(ecn.list,DL60),OFFSET(INDIRECT(CONCAT(""A"",to_text(match(DL60,ecn.list,0)))),0,1),"""")"),"")</f>
        <v/>
      </c>
      <c r="AM60" s="236" t="str">
        <f>IFERROR(__xludf.DUMMYFUNCTION("if(countif(ecn.list,DM60),OFFSET(INDIRECT(CONCAT(""A"",to_text(match(DM60,ecn.list,0)))),0,1),"""")"),"")</f>
        <v/>
      </c>
      <c r="AN60" s="236" t="str">
        <f>IFERROR(__xludf.DUMMYFUNCTION("if(countif(ecn.list,DN60),OFFSET(INDIRECT(CONCAT(""A"",to_text(match(DN60,ecn.list,0)))),0,1),"""")"),"")</f>
        <v/>
      </c>
      <c r="AO60" s="236" t="str">
        <f>IFERROR(__xludf.DUMMYFUNCTION("if(countif(ecn.list,DO60),OFFSET(INDIRECT(CONCAT(""A"",to_text(match(DO60,ecn.list,0)))),0,1),"""")"),"")</f>
        <v/>
      </c>
      <c r="AP60" s="236" t="str">
        <f>IFERROR(__xludf.DUMMYFUNCTION("if(countif(ecn.list,DP60),OFFSET(INDIRECT(CONCAT(""A"",to_text(match(DP60,ecn.list,0)))),0,1),"""")"),"")</f>
        <v/>
      </c>
      <c r="AQ60" s="236" t="str">
        <f>IFERROR(__xludf.DUMMYFUNCTION("if(countif(ecn.list,DQ60),OFFSET(INDIRECT(CONCAT(""A"",to_text(match(DQ60,ecn.list,0)))),0,1),"""")"),"")</f>
        <v/>
      </c>
      <c r="AR60" s="236" t="str">
        <f>IFERROR(__xludf.DUMMYFUNCTION("if(countif(ecn.list,DR60),OFFSET(INDIRECT(CONCAT(""A"",to_text(match(DR60,ecn.list,0)))),0,1),"""")"),"")</f>
        <v/>
      </c>
      <c r="AS60" s="236" t="str">
        <f>IFERROR(__xludf.DUMMYFUNCTION("if(countif(ecn.list,DS60),OFFSET(INDIRECT(CONCAT(""A"",to_text(match(DS60,ecn.list,0)))),0,1),"""")"),"")</f>
        <v/>
      </c>
      <c r="AT60" s="236" t="str">
        <f>IFERROR(__xludf.DUMMYFUNCTION("if(countif(ecn.list,DT60),OFFSET(INDIRECT(CONCAT(""A"",to_text(match(DT60,ecn.list,0)))),0,1),"""")"),"")</f>
        <v/>
      </c>
      <c r="AU60" s="236" t="str">
        <f>IFERROR(__xludf.DUMMYFUNCTION("if(countif(ecn.list,DU60),OFFSET(INDIRECT(CONCAT(""A"",to_text(match(DU60,ecn.list,0)))),0,1),"""")"),"")</f>
        <v/>
      </c>
      <c r="AV60" s="236" t="str">
        <f>IFERROR(__xludf.DUMMYFUNCTION("if(countif(ecn.list,DV60),OFFSET(INDIRECT(CONCAT(""A"",to_text(match(DV60,ecn.list,0)))),0,1),"""")"),"")</f>
        <v/>
      </c>
      <c r="AW60" s="236" t="str">
        <f>IFERROR(__xludf.DUMMYFUNCTION("if(countif(ecn.list,DW60),OFFSET(INDIRECT(CONCAT(""A"",to_text(match(DW60,ecn.list,0)))),0,1),"""")"),"")</f>
        <v/>
      </c>
      <c r="AX60" s="236" t="str">
        <f>IFERROR(__xludf.DUMMYFUNCTION("if(countif(ecn.list,DX60),OFFSET(INDIRECT(CONCAT(""A"",to_text(match(DX60,ecn.list,0)))),0,1),"""")"),"")</f>
        <v/>
      </c>
      <c r="AY60" s="236" t="str">
        <f>IFERROR(__xludf.DUMMYFUNCTION("if(countif(ecn.list,DY60),OFFSET(INDIRECT(CONCAT(""A"",to_text(match(DY60,ecn.list,0)))),0,1),"""")"),"")</f>
        <v/>
      </c>
      <c r="AZ60" s="236" t="str">
        <f>IFERROR(__xludf.DUMMYFUNCTION("if(countif(ecn.list,DZ60),OFFSET(INDIRECT(CONCAT(""A"",to_text(match(DZ60,ecn.list,0)))),0,1),"""")"),"")</f>
        <v/>
      </c>
      <c r="BA60" s="236" t="str">
        <f>IFERROR(__xludf.DUMMYFUNCTION("if(countif(ecn.list,EA60),OFFSET(INDIRECT(CONCAT(""A"",to_text(match(EA60,ecn.list,0)))),0,1),"""")"),"")</f>
        <v/>
      </c>
      <c r="BB60" s="236" t="str">
        <f>IFERROR(__xludf.DUMMYFUNCTION("if(countif(ecn.list,EB60),OFFSET(INDIRECT(CONCAT(""A"",to_text(match(EB60,ecn.list,0)))),0,1),"""")"),"")</f>
        <v/>
      </c>
      <c r="BC60" s="236" t="str">
        <f>IFERROR(__xludf.DUMMYFUNCTION("if(countif(ecn.list,EC60),OFFSET(INDIRECT(CONCAT(""A"",to_text(match(EC60,ecn.list,0)))),0,1),"""")"),"")</f>
        <v/>
      </c>
      <c r="BD60" s="236" t="str">
        <f>IFERROR(__xludf.DUMMYFUNCTION("if(countif(ecn.list,ED60),OFFSET(INDIRECT(CONCAT(""A"",to_text(match(ED60,ecn.list,0)))),0,1),"""")"),"")</f>
        <v/>
      </c>
      <c r="BE60" s="236" t="str">
        <f>IFERROR(__xludf.DUMMYFUNCTION("if(countif(ecn.list,EE60),OFFSET(INDIRECT(CONCAT(""A"",to_text(match(EE60,ecn.list,0)))),0,1),"""")"),"")</f>
        <v/>
      </c>
      <c r="BF60" s="236" t="str">
        <f>IFERROR(__xludf.DUMMYFUNCTION("if(countif(ecn.list,EF60),OFFSET(INDIRECT(CONCAT(""A"",to_text(match(EF60,ecn.list,0)))),0,1),"""")"),"")</f>
        <v/>
      </c>
      <c r="BG60" s="236" t="str">
        <f>IFERROR(__xludf.DUMMYFUNCTION("if(countif(ecn.list,EG60),OFFSET(INDIRECT(CONCAT(""A"",to_text(match(EG60,ecn.list,0)))),0,1),"""")"),"")</f>
        <v/>
      </c>
      <c r="BH60" s="236" t="str">
        <f>IFERROR(__xludf.DUMMYFUNCTION("if(countif(ecn.list,EH60),OFFSET(INDIRECT(CONCAT(""A"",to_text(match(EH60,ecn.list,0)))),0,1),"""")"),"")</f>
        <v/>
      </c>
      <c r="BI60" s="236" t="str">
        <f>IFERROR(__xludf.DUMMYFUNCTION("if(countif(ecn.list,EI60),OFFSET(INDIRECT(CONCAT(""A"",to_text(match(EI60,ecn.list,0)))),0,1),"""")"),"")</f>
        <v/>
      </c>
      <c r="BJ60" s="236" t="str">
        <f>IFERROR(__xludf.DUMMYFUNCTION("if(countif(ecn.list,EJ60),OFFSET(INDIRECT(CONCAT(""A"",to_text(match(EJ60,ecn.list,0)))),0,1),"""")"),"")</f>
        <v/>
      </c>
      <c r="BK60" s="236" t="str">
        <f>IFERROR(__xludf.DUMMYFUNCTION("if(countif(ecn.list,EK60),OFFSET(INDIRECT(CONCAT(""A"",to_text(match(EK60,ecn.list,0)))),0,1),"""")"),"")</f>
        <v/>
      </c>
      <c r="BL60" s="236" t="str">
        <f>IFERROR(__xludf.DUMMYFUNCTION("if(countif(ecn.list,EL60),OFFSET(INDIRECT(CONCAT(""A"",to_text(match(EL60,ecn.list,0)))),0,1),"""")"),"")</f>
        <v/>
      </c>
      <c r="BM60" s="236" t="str">
        <f>IFERROR(__xludf.DUMMYFUNCTION("if(countif(ecn.list,EM60),OFFSET(INDIRECT(CONCAT(""A"",to_text(match(EM60,ecn.list,0)))),0,1),"""")"),"")</f>
        <v/>
      </c>
      <c r="BN60" s="236" t="str">
        <f>IFERROR(__xludf.DUMMYFUNCTION("if(countif(ecn.list,EN60),OFFSET(INDIRECT(CONCAT(""A"",to_text(match(EN60,ecn.list,0)))),0,1),"""")"),"")</f>
        <v/>
      </c>
      <c r="BO60" s="236" t="str">
        <f>IFERROR(__xludf.DUMMYFUNCTION("if(countif(ecn.list,EO60),OFFSET(INDIRECT(CONCAT(""A"",to_text(match(EO60,ecn.list,0)))),0,1),"""")"),"")</f>
        <v/>
      </c>
      <c r="BP60" s="236" t="str">
        <f>IFERROR(__xludf.DUMMYFUNCTION("if(countif(ecn.list,EP60),OFFSET(INDIRECT(CONCAT(""A"",to_text(match(EP60,ecn.list,0)))),0,1),"""")"),"")</f>
        <v/>
      </c>
      <c r="BQ60" s="236" t="str">
        <f>IFERROR(__xludf.DUMMYFUNCTION("if(countif(ecn.list,EQ60),OFFSET(INDIRECT(CONCAT(""A"",to_text(match(EQ60,ecn.list,0)))),0,1),"""")"),"")</f>
        <v/>
      </c>
      <c r="BR60" s="236" t="str">
        <f>IFERROR(__xludf.DUMMYFUNCTION("if(countif(ecn.list,ER60),OFFSET(INDIRECT(CONCAT(""A"",to_text(match(ER60,ecn.list,0)))),0,1),"""")"),"")</f>
        <v/>
      </c>
      <c r="BS60" s="236" t="str">
        <f>IFERROR(__xludf.DUMMYFUNCTION("if(countif(ecn.list,ES60),OFFSET(INDIRECT(CONCAT(""A"",to_text(match(ES60,ecn.list,0)))),0,1),"""")"),"")</f>
        <v/>
      </c>
      <c r="BT60" s="236" t="str">
        <f>IFERROR(__xludf.DUMMYFUNCTION("if(countif(ecn.list,ET60),OFFSET(INDIRECT(CONCAT(""A"",to_text(match(ET60,ecn.list,0)))),0,1),"""")"),"")</f>
        <v/>
      </c>
      <c r="BU60" s="236" t="str">
        <f>IFERROR(__xludf.DUMMYFUNCTION("if(countif(ecn.list,EU60),OFFSET(INDIRECT(CONCAT(""A"",to_text(match(EU60,ecn.list,0)))),0,1),"""")"),"")</f>
        <v/>
      </c>
      <c r="BV60" s="236" t="str">
        <f>IFERROR(__xludf.DUMMYFUNCTION("if(countif(ecn.list,EV60),OFFSET(INDIRECT(CONCAT(""A"",to_text(match(EV60,ecn.list,0)))),0,1),"""")"),"")</f>
        <v/>
      </c>
      <c r="BW60" s="236" t="str">
        <f>IFERROR(__xludf.DUMMYFUNCTION("if(countif(ecn.list,EW60),OFFSET(INDIRECT(CONCAT(""A"",to_text(match(EW60,ecn.list,0)))),0,1),"""")"),"")</f>
        <v/>
      </c>
      <c r="BX60" s="236" t="str">
        <f>IFERROR(__xludf.DUMMYFUNCTION("if(countif(ecn.list,EX60),OFFSET(INDIRECT(CONCAT(""A"",to_text(match(EX60,ecn.list,0)))),0,1),"""")"),"")</f>
        <v/>
      </c>
      <c r="BY60" s="236" t="str">
        <f>IFERROR(__xludf.DUMMYFUNCTION("if(countif(ecn.list,EY60),OFFSET(INDIRECT(CONCAT(""A"",to_text(match(EY60,ecn.list,0)))),0,1),"""")"),"")</f>
        <v/>
      </c>
      <c r="BZ60" s="236" t="str">
        <f>IFERROR(__xludf.DUMMYFUNCTION("if(countif(ecn.list,EZ60),OFFSET(INDIRECT(CONCAT(""A"",to_text(match(EZ60,ecn.list,0)))),0,1),"""")"),"")</f>
        <v/>
      </c>
      <c r="CA60" s="236" t="str">
        <f>IFERROR(__xludf.DUMMYFUNCTION("if(countif(ecn.list,FA60),OFFSET(INDIRECT(CONCAT(""A"",to_text(match(FA60,ecn.list,0)))),0,1),"""")"),"")</f>
        <v/>
      </c>
      <c r="CB60" s="236" t="str">
        <f>IFERROR(__xludf.DUMMYFUNCTION("if(countif(ecn.list,FB60),OFFSET(INDIRECT(CONCAT(""A"",to_text(match(FB60,ecn.list,0)))),0,1),"""")"),"")</f>
        <v/>
      </c>
      <c r="CC60" s="236" t="str">
        <f>IFERROR(__xludf.DUMMYFUNCTION("if(countif(ecn.list,FC60),OFFSET(INDIRECT(CONCAT(""A"",to_text(match(FC60,ecn.list,0)))),0,1),"""")"),"")</f>
        <v/>
      </c>
      <c r="CD60" s="236" t="str">
        <f>IFERROR(__xludf.DUMMYFUNCTION("if(countif(ecn.list,FD60),OFFSET(INDIRECT(CONCAT(""A"",to_text(match(FD60,ecn.list,0)))),0,1),"""")"),"")</f>
        <v/>
      </c>
      <c r="CE60" s="236" t="str">
        <f>IFERROR(__xludf.DUMMYFUNCTION("if(countif(ecn.list,FE60),OFFSET(INDIRECT(CONCAT(""A"",to_text(match(FE60,ecn.list,0)))),0,1),"""")"),"")</f>
        <v/>
      </c>
      <c r="CF60" s="236" t="str">
        <f>IFERROR(__xludf.DUMMYFUNCTION("if(countif(ecn.list,FF60),OFFSET(INDIRECT(CONCAT(""A"",to_text(match(FF60,ecn.list,0)))),0,1),"""")"),"")</f>
        <v/>
      </c>
      <c r="CG60" s="236" t="str">
        <f>IFERROR(__xludf.DUMMYFUNCTION("if(countif(ecn.list,FG60),OFFSET(INDIRECT(CONCAT(""A"",to_text(match(FG60,ecn.list,0)))),0,1),"""")"),"")</f>
        <v/>
      </c>
      <c r="CH60" s="236" t="str">
        <f>IFERROR(__xludf.DUMMYFUNCTION("if(countif(ecn.list,FH60),OFFSET(INDIRECT(CONCAT(""A"",to_text(match(FH60,ecn.list,0)))),0,1),"""")"),"")</f>
        <v/>
      </c>
      <c r="CI60" s="236" t="str">
        <f>IFERROR(__xludf.DUMMYFUNCTION("if(countif(ecn.list,FI60),OFFSET(INDIRECT(CONCAT(""A"",to_text(match(FI60,ecn.list,0)))),0,1),"""")"),"")</f>
        <v/>
      </c>
      <c r="CJ60" s="236" t="str">
        <f>IFERROR(__xludf.DUMMYFUNCTION("if(countif(ecn.list,FJ60),OFFSET(INDIRECT(CONCAT(""A"",to_text(match(FJ60,ecn.list,0)))),0,1),"""")"),"")</f>
        <v/>
      </c>
      <c r="CK60" s="236" t="str">
        <f>IFERROR(__xludf.DUMMYFUNCTION("if(countif(ecn.list,FK60),OFFSET(INDIRECT(CONCAT(""A"",to_text(match(FK60,ecn.list,0)))),0,1),"""")"),"")</f>
        <v/>
      </c>
      <c r="CL60" s="236" t="str">
        <f>IFERROR(__xludf.DUMMYFUNCTION("if(countif(ecn.list,FL60),OFFSET(INDIRECT(CONCAT(""A"",to_text(match(FL60,ecn.list,0)))),0,1),"""")"),"")</f>
        <v/>
      </c>
      <c r="CM60" s="236" t="str">
        <f>IFERROR(__xludf.DUMMYFUNCTION("if(countif(ecn.list,FM60),OFFSET(INDIRECT(CONCAT(""A"",to_text(match(FM60,ecn.list,0)))),0,1),"""")"),"")</f>
        <v/>
      </c>
      <c r="CN60" s="198" t="s">
        <v>255</v>
      </c>
      <c r="CO60" s="198" t="s">
        <v>1453</v>
      </c>
      <c r="CP60" s="198" t="s">
        <v>1453</v>
      </c>
      <c r="CQ60" s="198" t="s">
        <v>1453</v>
      </c>
      <c r="CR60" s="198" t="s">
        <v>1453</v>
      </c>
      <c r="CS60" s="198" t="s">
        <v>1453</v>
      </c>
      <c r="CT60" s="198" t="s">
        <v>1453</v>
      </c>
      <c r="CU60" s="198" t="s">
        <v>1453</v>
      </c>
      <c r="CV60" s="198" t="s">
        <v>1453</v>
      </c>
      <c r="CW60" s="198" t="s">
        <v>1453</v>
      </c>
      <c r="CX60" s="198" t="s">
        <v>1453</v>
      </c>
      <c r="CY60" s="198" t="s">
        <v>1453</v>
      </c>
      <c r="CZ60" s="198" t="s">
        <v>1453</v>
      </c>
      <c r="DA60" s="198" t="s">
        <v>1453</v>
      </c>
      <c r="DB60" s="198" t="s">
        <v>1453</v>
      </c>
      <c r="DC60" s="198" t="s">
        <v>1453</v>
      </c>
      <c r="DD60" s="198" t="s">
        <v>1453</v>
      </c>
      <c r="DE60" s="198" t="s">
        <v>1453</v>
      </c>
      <c r="DF60" s="198" t="s">
        <v>1453</v>
      </c>
      <c r="DG60" s="198" t="s">
        <v>1453</v>
      </c>
      <c r="DH60" s="198" t="s">
        <v>1453</v>
      </c>
      <c r="DI60" s="198" t="s">
        <v>1453</v>
      </c>
      <c r="DJ60" s="198" t="s">
        <v>1453</v>
      </c>
      <c r="DK60" s="198" t="s">
        <v>1453</v>
      </c>
      <c r="DL60" s="198" t="s">
        <v>1453</v>
      </c>
      <c r="DM60" s="198" t="s">
        <v>1453</v>
      </c>
      <c r="DN60" s="198" t="s">
        <v>1453</v>
      </c>
      <c r="DO60" s="198" t="s">
        <v>1453</v>
      </c>
      <c r="DP60" s="198" t="s">
        <v>1453</v>
      </c>
      <c r="DQ60" s="198" t="s">
        <v>1453</v>
      </c>
      <c r="DR60" s="198" t="s">
        <v>1453</v>
      </c>
      <c r="DS60" s="198" t="s">
        <v>1453</v>
      </c>
      <c r="DT60" s="198" t="s">
        <v>1453</v>
      </c>
      <c r="DU60" s="198" t="s">
        <v>1453</v>
      </c>
      <c r="DV60" s="198" t="s">
        <v>1453</v>
      </c>
      <c r="DW60" s="198" t="s">
        <v>1453</v>
      </c>
      <c r="DX60" s="198" t="s">
        <v>1453</v>
      </c>
      <c r="DY60" s="198" t="s">
        <v>1453</v>
      </c>
      <c r="DZ60" s="198" t="s">
        <v>1453</v>
      </c>
      <c r="EA60" s="198" t="s">
        <v>1453</v>
      </c>
      <c r="EB60" s="198" t="s">
        <v>1453</v>
      </c>
      <c r="EC60" s="198" t="s">
        <v>1453</v>
      </c>
      <c r="ED60" s="198" t="s">
        <v>1453</v>
      </c>
      <c r="EE60" s="198" t="s">
        <v>1453</v>
      </c>
      <c r="EF60" s="198" t="s">
        <v>1453</v>
      </c>
      <c r="EG60" s="198" t="s">
        <v>1453</v>
      </c>
      <c r="EH60" s="198" t="s">
        <v>1453</v>
      </c>
      <c r="EI60" s="198" t="s">
        <v>1453</v>
      </c>
      <c r="EJ60" s="198" t="s">
        <v>1453</v>
      </c>
      <c r="EK60" s="198" t="s">
        <v>1453</v>
      </c>
      <c r="EL60" s="198" t="s">
        <v>1453</v>
      </c>
      <c r="EM60" s="198" t="s">
        <v>1453</v>
      </c>
      <c r="EN60" s="198" t="s">
        <v>1453</v>
      </c>
      <c r="EO60" s="198" t="s">
        <v>1453</v>
      </c>
      <c r="EP60" s="198" t="s">
        <v>1453</v>
      </c>
      <c r="EQ60" s="198" t="s">
        <v>1453</v>
      </c>
      <c r="ER60" s="198" t="s">
        <v>1453</v>
      </c>
      <c r="ES60" s="198" t="s">
        <v>1453</v>
      </c>
      <c r="ET60" s="198" t="s">
        <v>1453</v>
      </c>
      <c r="EU60" s="198" t="s">
        <v>1453</v>
      </c>
      <c r="EV60" s="198" t="s">
        <v>1453</v>
      </c>
      <c r="EW60" s="198" t="s">
        <v>1453</v>
      </c>
      <c r="EX60" s="198" t="s">
        <v>1453</v>
      </c>
      <c r="EY60" s="198" t="s">
        <v>1453</v>
      </c>
      <c r="EZ60" s="198" t="s">
        <v>1453</v>
      </c>
      <c r="FA60" s="198" t="s">
        <v>1453</v>
      </c>
      <c r="FB60" s="198" t="s">
        <v>1453</v>
      </c>
      <c r="FC60" s="198" t="s">
        <v>1453</v>
      </c>
      <c r="FD60" s="198" t="s">
        <v>1453</v>
      </c>
      <c r="FE60" s="198" t="s">
        <v>1453</v>
      </c>
      <c r="FF60" s="198" t="s">
        <v>1453</v>
      </c>
      <c r="FG60" s="198" t="s">
        <v>1453</v>
      </c>
      <c r="FH60" s="198" t="s">
        <v>1453</v>
      </c>
      <c r="FI60" s="198" t="s">
        <v>1453</v>
      </c>
      <c r="FJ60" s="198" t="s">
        <v>1453</v>
      </c>
      <c r="FK60" s="198" t="s">
        <v>1453</v>
      </c>
      <c r="FL60" s="198" t="s">
        <v>1453</v>
      </c>
      <c r="FM60" s="198" t="s">
        <v>1453</v>
      </c>
    </row>
    <row r="61" ht="15.75" customHeight="1">
      <c r="A61" s="236" t="s">
        <v>1526</v>
      </c>
      <c r="B61" s="198" t="str">
        <f t="shared" si="7"/>
        <v>M9 </v>
      </c>
      <c r="C61" s="234">
        <v>9.0</v>
      </c>
      <c r="D61" s="232" t="s">
        <v>860</v>
      </c>
      <c r="E61" s="232" t="s">
        <v>785</v>
      </c>
      <c r="F61" s="232" t="s">
        <v>861</v>
      </c>
      <c r="G61" s="232" t="s">
        <v>862</v>
      </c>
      <c r="H61" s="232" t="s">
        <v>775</v>
      </c>
      <c r="I61" s="232" t="s">
        <v>863</v>
      </c>
      <c r="J61" s="232" t="s">
        <v>886</v>
      </c>
      <c r="K61" s="232" t="s">
        <v>1057</v>
      </c>
      <c r="L61" s="188" t="s">
        <v>258</v>
      </c>
      <c r="M61" s="236" t="str">
        <f>IFERROR(__xludf.DUMMYFUNCTION("regexreplace(N61,"" "","", "")"),"")</f>
        <v/>
      </c>
      <c r="N61" s="236" t="str">
        <f t="shared" si="2"/>
        <v/>
      </c>
      <c r="O61" s="236" t="str">
        <f>IFERROR(__xludf.DUMMYFUNCTION("if(countif(ecn.list,CO61),OFFSET(INDIRECT(CONCAT(""A"",to_text(match(CO61,ecn.list,0)))),0,1),"""")"),"")</f>
        <v/>
      </c>
      <c r="P61" s="236" t="str">
        <f>IFERROR(__xludf.DUMMYFUNCTION("if(countif(ecn.list,CP61),OFFSET(INDIRECT(CONCAT(""A"",to_text(match(CP61,ecn.list,0)))),0,1),"""")"),"")</f>
        <v/>
      </c>
      <c r="Q61" s="236" t="str">
        <f>IFERROR(__xludf.DUMMYFUNCTION("if(countif(ecn.list,CQ61),OFFSET(INDIRECT(CONCAT(""A"",to_text(match(CQ61,ecn.list,0)))),0,1),"""")"),"")</f>
        <v/>
      </c>
      <c r="R61" s="236" t="str">
        <f>IFERROR(__xludf.DUMMYFUNCTION("if(countif(ecn.list,CR61),OFFSET(INDIRECT(CONCAT(""A"",to_text(match(CR61,ecn.list,0)))),0,1),"""")"),"")</f>
        <v/>
      </c>
      <c r="S61" s="236" t="str">
        <f>IFERROR(__xludf.DUMMYFUNCTION("if(countif(ecn.list,CS61),OFFSET(INDIRECT(CONCAT(""A"",to_text(match(CS61,ecn.list,0)))),0,1),"""")"),"")</f>
        <v/>
      </c>
      <c r="T61" s="236" t="str">
        <f>IFERROR(__xludf.DUMMYFUNCTION("if(countif(ecn.list,CT61),OFFSET(INDIRECT(CONCAT(""A"",to_text(match(CT61,ecn.list,0)))),0,1),"""")"),"")</f>
        <v/>
      </c>
      <c r="U61" s="236" t="str">
        <f>IFERROR(__xludf.DUMMYFUNCTION("if(countif(ecn.list,CU61),OFFSET(INDIRECT(CONCAT(""A"",to_text(match(CU61,ecn.list,0)))),0,1),"""")"),"")</f>
        <v/>
      </c>
      <c r="V61" s="236" t="str">
        <f>IFERROR(__xludf.DUMMYFUNCTION("if(countif(ecn.list,CV61),OFFSET(INDIRECT(CONCAT(""A"",to_text(match(CV61,ecn.list,0)))),0,1),"""")"),"")</f>
        <v/>
      </c>
      <c r="W61" s="236" t="str">
        <f>IFERROR(__xludf.DUMMYFUNCTION("if(countif(ecn.list,CW61),OFFSET(INDIRECT(CONCAT(""A"",to_text(match(CW61,ecn.list,0)))),0,1),"""")"),"")</f>
        <v/>
      </c>
      <c r="X61" s="236" t="str">
        <f>IFERROR(__xludf.DUMMYFUNCTION("if(countif(ecn.list,CX61),OFFSET(INDIRECT(CONCAT(""A"",to_text(match(CX61,ecn.list,0)))),0,1),"""")"),"")</f>
        <v/>
      </c>
      <c r="Y61" s="236" t="str">
        <f>IFERROR(__xludf.DUMMYFUNCTION("if(countif(ecn.list,CY61),OFFSET(INDIRECT(CONCAT(""A"",to_text(match(CY61,ecn.list,0)))),0,1),"""")"),"")</f>
        <v/>
      </c>
      <c r="Z61" s="236" t="str">
        <f>IFERROR(__xludf.DUMMYFUNCTION("if(countif(ecn.list,CZ61),OFFSET(INDIRECT(CONCAT(""A"",to_text(match(CZ61,ecn.list,0)))),0,1),"""")"),"")</f>
        <v/>
      </c>
      <c r="AA61" s="236" t="str">
        <f>IFERROR(__xludf.DUMMYFUNCTION("if(countif(ecn.list,DA61),OFFSET(INDIRECT(CONCAT(""A"",to_text(match(DA61,ecn.list,0)))),0,1),"""")"),"")</f>
        <v/>
      </c>
      <c r="AB61" s="236" t="str">
        <f>IFERROR(__xludf.DUMMYFUNCTION("if(countif(ecn.list,DB61),OFFSET(INDIRECT(CONCAT(""A"",to_text(match(DB61,ecn.list,0)))),0,1),"""")"),"")</f>
        <v/>
      </c>
      <c r="AC61" s="236" t="str">
        <f>IFERROR(__xludf.DUMMYFUNCTION("if(countif(ecn.list,DC61),OFFSET(INDIRECT(CONCAT(""A"",to_text(match(DC61,ecn.list,0)))),0,1),"""")"),"")</f>
        <v/>
      </c>
      <c r="AD61" s="236" t="str">
        <f>IFERROR(__xludf.DUMMYFUNCTION("if(countif(ecn.list,DD61),OFFSET(INDIRECT(CONCAT(""A"",to_text(match(DD61,ecn.list,0)))),0,1),"""")"),"")</f>
        <v/>
      </c>
      <c r="AE61" s="236" t="str">
        <f>IFERROR(__xludf.DUMMYFUNCTION("if(countif(ecn.list,DE61),OFFSET(INDIRECT(CONCAT(""A"",to_text(match(DE61,ecn.list,0)))),0,1),"""")"),"")</f>
        <v/>
      </c>
      <c r="AF61" s="236" t="str">
        <f>IFERROR(__xludf.DUMMYFUNCTION("if(countif(ecn.list,DF61),OFFSET(INDIRECT(CONCAT(""A"",to_text(match(DF61,ecn.list,0)))),0,1),"""")"),"")</f>
        <v/>
      </c>
      <c r="AG61" s="236" t="str">
        <f>IFERROR(__xludf.DUMMYFUNCTION("if(countif(ecn.list,DG61),OFFSET(INDIRECT(CONCAT(""A"",to_text(match(DG61,ecn.list,0)))),0,1),"""")"),"")</f>
        <v/>
      </c>
      <c r="AH61" s="236" t="str">
        <f>IFERROR(__xludf.DUMMYFUNCTION("if(countif(ecn.list,DH61),OFFSET(INDIRECT(CONCAT(""A"",to_text(match(DH61,ecn.list,0)))),0,1),"""")"),"")</f>
        <v/>
      </c>
      <c r="AI61" s="236" t="str">
        <f>IFERROR(__xludf.DUMMYFUNCTION("if(countif(ecn.list,DI61),OFFSET(INDIRECT(CONCAT(""A"",to_text(match(DI61,ecn.list,0)))),0,1),"""")"),"")</f>
        <v/>
      </c>
      <c r="AJ61" s="236" t="str">
        <f>IFERROR(__xludf.DUMMYFUNCTION("if(countif(ecn.list,DJ61),OFFSET(INDIRECT(CONCAT(""A"",to_text(match(DJ61,ecn.list,0)))),0,1),"""")"),"")</f>
        <v/>
      </c>
      <c r="AK61" s="236" t="str">
        <f>IFERROR(__xludf.DUMMYFUNCTION("if(countif(ecn.list,DK61),OFFSET(INDIRECT(CONCAT(""A"",to_text(match(DK61,ecn.list,0)))),0,1),"""")"),"")</f>
        <v/>
      </c>
      <c r="AL61" s="236" t="str">
        <f>IFERROR(__xludf.DUMMYFUNCTION("if(countif(ecn.list,DL61),OFFSET(INDIRECT(CONCAT(""A"",to_text(match(DL61,ecn.list,0)))),0,1),"""")"),"")</f>
        <v/>
      </c>
      <c r="AM61" s="236" t="str">
        <f>IFERROR(__xludf.DUMMYFUNCTION("if(countif(ecn.list,DM61),OFFSET(INDIRECT(CONCAT(""A"",to_text(match(DM61,ecn.list,0)))),0,1),"""")"),"")</f>
        <v/>
      </c>
      <c r="AN61" s="236" t="str">
        <f>IFERROR(__xludf.DUMMYFUNCTION("if(countif(ecn.list,DN61),OFFSET(INDIRECT(CONCAT(""A"",to_text(match(DN61,ecn.list,0)))),0,1),"""")"),"")</f>
        <v/>
      </c>
      <c r="AO61" s="236" t="str">
        <f>IFERROR(__xludf.DUMMYFUNCTION("if(countif(ecn.list,DO61),OFFSET(INDIRECT(CONCAT(""A"",to_text(match(DO61,ecn.list,0)))),0,1),"""")"),"")</f>
        <v/>
      </c>
      <c r="AP61" s="236" t="str">
        <f>IFERROR(__xludf.DUMMYFUNCTION("if(countif(ecn.list,DP61),OFFSET(INDIRECT(CONCAT(""A"",to_text(match(DP61,ecn.list,0)))),0,1),"""")"),"")</f>
        <v/>
      </c>
      <c r="AQ61" s="236" t="str">
        <f>IFERROR(__xludf.DUMMYFUNCTION("if(countif(ecn.list,DQ61),OFFSET(INDIRECT(CONCAT(""A"",to_text(match(DQ61,ecn.list,0)))),0,1),"""")"),"")</f>
        <v/>
      </c>
      <c r="AR61" s="236" t="str">
        <f>IFERROR(__xludf.DUMMYFUNCTION("if(countif(ecn.list,DR61),OFFSET(INDIRECT(CONCAT(""A"",to_text(match(DR61,ecn.list,0)))),0,1),"""")"),"")</f>
        <v/>
      </c>
      <c r="AS61" s="236" t="str">
        <f>IFERROR(__xludf.DUMMYFUNCTION("if(countif(ecn.list,DS61),OFFSET(INDIRECT(CONCAT(""A"",to_text(match(DS61,ecn.list,0)))),0,1),"""")"),"")</f>
        <v/>
      </c>
      <c r="AT61" s="236" t="str">
        <f>IFERROR(__xludf.DUMMYFUNCTION("if(countif(ecn.list,DT61),OFFSET(INDIRECT(CONCAT(""A"",to_text(match(DT61,ecn.list,0)))),0,1),"""")"),"")</f>
        <v/>
      </c>
      <c r="AU61" s="236" t="str">
        <f>IFERROR(__xludf.DUMMYFUNCTION("if(countif(ecn.list,DU61),OFFSET(INDIRECT(CONCAT(""A"",to_text(match(DU61,ecn.list,0)))),0,1),"""")"),"")</f>
        <v/>
      </c>
      <c r="AV61" s="236" t="str">
        <f>IFERROR(__xludf.DUMMYFUNCTION("if(countif(ecn.list,DV61),OFFSET(INDIRECT(CONCAT(""A"",to_text(match(DV61,ecn.list,0)))),0,1),"""")"),"")</f>
        <v/>
      </c>
      <c r="AW61" s="236" t="str">
        <f>IFERROR(__xludf.DUMMYFUNCTION("if(countif(ecn.list,DW61),OFFSET(INDIRECT(CONCAT(""A"",to_text(match(DW61,ecn.list,0)))),0,1),"""")"),"")</f>
        <v/>
      </c>
      <c r="AX61" s="236" t="str">
        <f>IFERROR(__xludf.DUMMYFUNCTION("if(countif(ecn.list,DX61),OFFSET(INDIRECT(CONCAT(""A"",to_text(match(DX61,ecn.list,0)))),0,1),"""")"),"")</f>
        <v/>
      </c>
      <c r="AY61" s="236" t="str">
        <f>IFERROR(__xludf.DUMMYFUNCTION("if(countif(ecn.list,DY61),OFFSET(INDIRECT(CONCAT(""A"",to_text(match(DY61,ecn.list,0)))),0,1),"""")"),"")</f>
        <v/>
      </c>
      <c r="AZ61" s="236" t="str">
        <f>IFERROR(__xludf.DUMMYFUNCTION("if(countif(ecn.list,DZ61),OFFSET(INDIRECT(CONCAT(""A"",to_text(match(DZ61,ecn.list,0)))),0,1),"""")"),"")</f>
        <v/>
      </c>
      <c r="BA61" s="236" t="str">
        <f>IFERROR(__xludf.DUMMYFUNCTION("if(countif(ecn.list,EA61),OFFSET(INDIRECT(CONCAT(""A"",to_text(match(EA61,ecn.list,0)))),0,1),"""")"),"")</f>
        <v/>
      </c>
      <c r="BB61" s="236" t="str">
        <f>IFERROR(__xludf.DUMMYFUNCTION("if(countif(ecn.list,EB61),OFFSET(INDIRECT(CONCAT(""A"",to_text(match(EB61,ecn.list,0)))),0,1),"""")"),"")</f>
        <v/>
      </c>
      <c r="BC61" s="236" t="str">
        <f>IFERROR(__xludf.DUMMYFUNCTION("if(countif(ecn.list,EC61),OFFSET(INDIRECT(CONCAT(""A"",to_text(match(EC61,ecn.list,0)))),0,1),"""")"),"")</f>
        <v/>
      </c>
      <c r="BD61" s="236" t="str">
        <f>IFERROR(__xludf.DUMMYFUNCTION("if(countif(ecn.list,ED61),OFFSET(INDIRECT(CONCAT(""A"",to_text(match(ED61,ecn.list,0)))),0,1),"""")"),"")</f>
        <v/>
      </c>
      <c r="BE61" s="236" t="str">
        <f>IFERROR(__xludf.DUMMYFUNCTION("if(countif(ecn.list,EE61),OFFSET(INDIRECT(CONCAT(""A"",to_text(match(EE61,ecn.list,0)))),0,1),"""")"),"")</f>
        <v/>
      </c>
      <c r="BF61" s="236" t="str">
        <f>IFERROR(__xludf.DUMMYFUNCTION("if(countif(ecn.list,EF61),OFFSET(INDIRECT(CONCAT(""A"",to_text(match(EF61,ecn.list,0)))),0,1),"""")"),"")</f>
        <v/>
      </c>
      <c r="BG61" s="236" t="str">
        <f>IFERROR(__xludf.DUMMYFUNCTION("if(countif(ecn.list,EG61),OFFSET(INDIRECT(CONCAT(""A"",to_text(match(EG61,ecn.list,0)))),0,1),"""")"),"")</f>
        <v/>
      </c>
      <c r="BH61" s="236" t="str">
        <f>IFERROR(__xludf.DUMMYFUNCTION("if(countif(ecn.list,EH61),OFFSET(INDIRECT(CONCAT(""A"",to_text(match(EH61,ecn.list,0)))),0,1),"""")"),"")</f>
        <v/>
      </c>
      <c r="BI61" s="236" t="str">
        <f>IFERROR(__xludf.DUMMYFUNCTION("if(countif(ecn.list,EI61),OFFSET(INDIRECT(CONCAT(""A"",to_text(match(EI61,ecn.list,0)))),0,1),"""")"),"")</f>
        <v/>
      </c>
      <c r="BJ61" s="236" t="str">
        <f>IFERROR(__xludf.DUMMYFUNCTION("if(countif(ecn.list,EJ61),OFFSET(INDIRECT(CONCAT(""A"",to_text(match(EJ61,ecn.list,0)))),0,1),"""")"),"")</f>
        <v/>
      </c>
      <c r="BK61" s="236" t="str">
        <f>IFERROR(__xludf.DUMMYFUNCTION("if(countif(ecn.list,EK61),OFFSET(INDIRECT(CONCAT(""A"",to_text(match(EK61,ecn.list,0)))),0,1),"""")"),"")</f>
        <v/>
      </c>
      <c r="BL61" s="236" t="str">
        <f>IFERROR(__xludf.DUMMYFUNCTION("if(countif(ecn.list,EL61),OFFSET(INDIRECT(CONCAT(""A"",to_text(match(EL61,ecn.list,0)))),0,1),"""")"),"")</f>
        <v/>
      </c>
      <c r="BM61" s="236" t="str">
        <f>IFERROR(__xludf.DUMMYFUNCTION("if(countif(ecn.list,EM61),OFFSET(INDIRECT(CONCAT(""A"",to_text(match(EM61,ecn.list,0)))),0,1),"""")"),"")</f>
        <v/>
      </c>
      <c r="BN61" s="236" t="str">
        <f>IFERROR(__xludf.DUMMYFUNCTION("if(countif(ecn.list,EN61),OFFSET(INDIRECT(CONCAT(""A"",to_text(match(EN61,ecn.list,0)))),0,1),"""")"),"")</f>
        <v/>
      </c>
      <c r="BO61" s="236" t="str">
        <f>IFERROR(__xludf.DUMMYFUNCTION("if(countif(ecn.list,EO61),OFFSET(INDIRECT(CONCAT(""A"",to_text(match(EO61,ecn.list,0)))),0,1),"""")"),"")</f>
        <v/>
      </c>
      <c r="BP61" s="236" t="str">
        <f>IFERROR(__xludf.DUMMYFUNCTION("if(countif(ecn.list,EP61),OFFSET(INDIRECT(CONCAT(""A"",to_text(match(EP61,ecn.list,0)))),0,1),"""")"),"")</f>
        <v/>
      </c>
      <c r="BQ61" s="236" t="str">
        <f>IFERROR(__xludf.DUMMYFUNCTION("if(countif(ecn.list,EQ61),OFFSET(INDIRECT(CONCAT(""A"",to_text(match(EQ61,ecn.list,0)))),0,1),"""")"),"")</f>
        <v/>
      </c>
      <c r="BR61" s="236" t="str">
        <f>IFERROR(__xludf.DUMMYFUNCTION("if(countif(ecn.list,ER61),OFFSET(INDIRECT(CONCAT(""A"",to_text(match(ER61,ecn.list,0)))),0,1),"""")"),"")</f>
        <v/>
      </c>
      <c r="BS61" s="236" t="str">
        <f>IFERROR(__xludf.DUMMYFUNCTION("if(countif(ecn.list,ES61),OFFSET(INDIRECT(CONCAT(""A"",to_text(match(ES61,ecn.list,0)))),0,1),"""")"),"")</f>
        <v/>
      </c>
      <c r="BT61" s="236" t="str">
        <f>IFERROR(__xludf.DUMMYFUNCTION("if(countif(ecn.list,ET61),OFFSET(INDIRECT(CONCAT(""A"",to_text(match(ET61,ecn.list,0)))),0,1),"""")"),"")</f>
        <v/>
      </c>
      <c r="BU61" s="236" t="str">
        <f>IFERROR(__xludf.DUMMYFUNCTION("if(countif(ecn.list,EU61),OFFSET(INDIRECT(CONCAT(""A"",to_text(match(EU61,ecn.list,0)))),0,1),"""")"),"")</f>
        <v/>
      </c>
      <c r="BV61" s="236" t="str">
        <f>IFERROR(__xludf.DUMMYFUNCTION("if(countif(ecn.list,EV61),OFFSET(INDIRECT(CONCAT(""A"",to_text(match(EV61,ecn.list,0)))),0,1),"""")"),"")</f>
        <v/>
      </c>
      <c r="BW61" s="236" t="str">
        <f>IFERROR(__xludf.DUMMYFUNCTION("if(countif(ecn.list,EW61),OFFSET(INDIRECT(CONCAT(""A"",to_text(match(EW61,ecn.list,0)))),0,1),"""")"),"")</f>
        <v/>
      </c>
      <c r="BX61" s="236" t="str">
        <f>IFERROR(__xludf.DUMMYFUNCTION("if(countif(ecn.list,EX61),OFFSET(INDIRECT(CONCAT(""A"",to_text(match(EX61,ecn.list,0)))),0,1),"""")"),"")</f>
        <v/>
      </c>
      <c r="BY61" s="236" t="str">
        <f>IFERROR(__xludf.DUMMYFUNCTION("if(countif(ecn.list,EY61),OFFSET(INDIRECT(CONCAT(""A"",to_text(match(EY61,ecn.list,0)))),0,1),"""")"),"")</f>
        <v/>
      </c>
      <c r="BZ61" s="236" t="str">
        <f>IFERROR(__xludf.DUMMYFUNCTION("if(countif(ecn.list,EZ61),OFFSET(INDIRECT(CONCAT(""A"",to_text(match(EZ61,ecn.list,0)))),0,1),"""")"),"")</f>
        <v/>
      </c>
      <c r="CA61" s="236" t="str">
        <f>IFERROR(__xludf.DUMMYFUNCTION("if(countif(ecn.list,FA61),OFFSET(INDIRECT(CONCAT(""A"",to_text(match(FA61,ecn.list,0)))),0,1),"""")"),"")</f>
        <v/>
      </c>
      <c r="CB61" s="236" t="str">
        <f>IFERROR(__xludf.DUMMYFUNCTION("if(countif(ecn.list,FB61),OFFSET(INDIRECT(CONCAT(""A"",to_text(match(FB61,ecn.list,0)))),0,1),"""")"),"")</f>
        <v/>
      </c>
      <c r="CC61" s="236" t="str">
        <f>IFERROR(__xludf.DUMMYFUNCTION("if(countif(ecn.list,FC61),OFFSET(INDIRECT(CONCAT(""A"",to_text(match(FC61,ecn.list,0)))),0,1),"""")"),"")</f>
        <v/>
      </c>
      <c r="CD61" s="236" t="str">
        <f>IFERROR(__xludf.DUMMYFUNCTION("if(countif(ecn.list,FD61),OFFSET(INDIRECT(CONCAT(""A"",to_text(match(FD61,ecn.list,0)))),0,1),"""")"),"")</f>
        <v/>
      </c>
      <c r="CE61" s="236" t="str">
        <f>IFERROR(__xludf.DUMMYFUNCTION("if(countif(ecn.list,FE61),OFFSET(INDIRECT(CONCAT(""A"",to_text(match(FE61,ecn.list,0)))),0,1),"""")"),"")</f>
        <v/>
      </c>
      <c r="CF61" s="236" t="str">
        <f>IFERROR(__xludf.DUMMYFUNCTION("if(countif(ecn.list,FF61),OFFSET(INDIRECT(CONCAT(""A"",to_text(match(FF61,ecn.list,0)))),0,1),"""")"),"")</f>
        <v/>
      </c>
      <c r="CG61" s="236" t="str">
        <f>IFERROR(__xludf.DUMMYFUNCTION("if(countif(ecn.list,FG61),OFFSET(INDIRECT(CONCAT(""A"",to_text(match(FG61,ecn.list,0)))),0,1),"""")"),"")</f>
        <v/>
      </c>
      <c r="CH61" s="236" t="str">
        <f>IFERROR(__xludf.DUMMYFUNCTION("if(countif(ecn.list,FH61),OFFSET(INDIRECT(CONCAT(""A"",to_text(match(FH61,ecn.list,0)))),0,1),"""")"),"")</f>
        <v/>
      </c>
      <c r="CI61" s="236" t="str">
        <f>IFERROR(__xludf.DUMMYFUNCTION("if(countif(ecn.list,FI61),OFFSET(INDIRECT(CONCAT(""A"",to_text(match(FI61,ecn.list,0)))),0,1),"""")"),"")</f>
        <v/>
      </c>
      <c r="CJ61" s="236" t="str">
        <f>IFERROR(__xludf.DUMMYFUNCTION("if(countif(ecn.list,FJ61),OFFSET(INDIRECT(CONCAT(""A"",to_text(match(FJ61,ecn.list,0)))),0,1),"""")"),"")</f>
        <v/>
      </c>
      <c r="CK61" s="236" t="str">
        <f>IFERROR(__xludf.DUMMYFUNCTION("if(countif(ecn.list,FK61),OFFSET(INDIRECT(CONCAT(""A"",to_text(match(FK61,ecn.list,0)))),0,1),"""")"),"")</f>
        <v/>
      </c>
      <c r="CL61" s="236" t="str">
        <f>IFERROR(__xludf.DUMMYFUNCTION("if(countif(ecn.list,FL61),OFFSET(INDIRECT(CONCAT(""A"",to_text(match(FL61,ecn.list,0)))),0,1),"""")"),"")</f>
        <v/>
      </c>
      <c r="CM61" s="236" t="str">
        <f>IFERROR(__xludf.DUMMYFUNCTION("if(countif(ecn.list,FM61),OFFSET(INDIRECT(CONCAT(""A"",to_text(match(FM61,ecn.list,0)))),0,1),"""")"),"")</f>
        <v/>
      </c>
      <c r="CN61" s="198" t="s">
        <v>258</v>
      </c>
      <c r="CO61" s="198" t="s">
        <v>1453</v>
      </c>
      <c r="CP61" s="198" t="s">
        <v>1453</v>
      </c>
      <c r="CQ61" s="198" t="s">
        <v>1453</v>
      </c>
      <c r="CR61" s="198" t="s">
        <v>1453</v>
      </c>
      <c r="CS61" s="198" t="s">
        <v>1453</v>
      </c>
      <c r="CT61" s="198" t="s">
        <v>1453</v>
      </c>
      <c r="CU61" s="198" t="s">
        <v>1453</v>
      </c>
      <c r="CV61" s="198" t="s">
        <v>1453</v>
      </c>
      <c r="CW61" s="198" t="s">
        <v>1453</v>
      </c>
      <c r="CX61" s="198" t="s">
        <v>1453</v>
      </c>
      <c r="CY61" s="198" t="s">
        <v>1453</v>
      </c>
      <c r="CZ61" s="198" t="s">
        <v>1453</v>
      </c>
      <c r="DA61" s="198" t="s">
        <v>1453</v>
      </c>
      <c r="DB61" s="198" t="s">
        <v>1453</v>
      </c>
      <c r="DC61" s="198" t="s">
        <v>1453</v>
      </c>
      <c r="DD61" s="198" t="s">
        <v>1453</v>
      </c>
      <c r="DE61" s="198" t="s">
        <v>1453</v>
      </c>
      <c r="DF61" s="198" t="s">
        <v>1453</v>
      </c>
      <c r="DG61" s="198" t="s">
        <v>1453</v>
      </c>
      <c r="DH61" s="198" t="s">
        <v>1453</v>
      </c>
      <c r="DI61" s="198" t="s">
        <v>1453</v>
      </c>
      <c r="DJ61" s="198" t="s">
        <v>1453</v>
      </c>
      <c r="DK61" s="198" t="s">
        <v>1453</v>
      </c>
      <c r="DL61" s="198" t="s">
        <v>1453</v>
      </c>
      <c r="DM61" s="198" t="s">
        <v>1453</v>
      </c>
      <c r="DN61" s="198" t="s">
        <v>1453</v>
      </c>
      <c r="DO61" s="198" t="s">
        <v>1453</v>
      </c>
      <c r="DP61" s="198" t="s">
        <v>1453</v>
      </c>
      <c r="DQ61" s="198" t="s">
        <v>1453</v>
      </c>
      <c r="DR61" s="198" t="s">
        <v>1453</v>
      </c>
      <c r="DS61" s="198" t="s">
        <v>1453</v>
      </c>
      <c r="DT61" s="198" t="s">
        <v>1453</v>
      </c>
      <c r="DU61" s="198" t="s">
        <v>1453</v>
      </c>
      <c r="DV61" s="198" t="s">
        <v>1453</v>
      </c>
      <c r="DW61" s="198" t="s">
        <v>1453</v>
      </c>
      <c r="DX61" s="198" t="s">
        <v>1453</v>
      </c>
      <c r="DY61" s="198" t="s">
        <v>1453</v>
      </c>
      <c r="DZ61" s="198" t="s">
        <v>1453</v>
      </c>
      <c r="EA61" s="198" t="s">
        <v>1453</v>
      </c>
      <c r="EB61" s="198" t="s">
        <v>1453</v>
      </c>
      <c r="EC61" s="198" t="s">
        <v>1453</v>
      </c>
      <c r="ED61" s="198" t="s">
        <v>1453</v>
      </c>
      <c r="EE61" s="198" t="s">
        <v>1453</v>
      </c>
      <c r="EF61" s="198" t="s">
        <v>1453</v>
      </c>
      <c r="EG61" s="198" t="s">
        <v>1453</v>
      </c>
      <c r="EH61" s="198" t="s">
        <v>1453</v>
      </c>
      <c r="EI61" s="198" t="s">
        <v>1453</v>
      </c>
      <c r="EJ61" s="198" t="s">
        <v>1453</v>
      </c>
      <c r="EK61" s="198" t="s">
        <v>1453</v>
      </c>
      <c r="EL61" s="198" t="s">
        <v>1453</v>
      </c>
      <c r="EM61" s="198" t="s">
        <v>1453</v>
      </c>
      <c r="EN61" s="198" t="s">
        <v>1453</v>
      </c>
      <c r="EO61" s="198" t="s">
        <v>1453</v>
      </c>
      <c r="EP61" s="198" t="s">
        <v>1453</v>
      </c>
      <c r="EQ61" s="198" t="s">
        <v>1453</v>
      </c>
      <c r="ER61" s="198" t="s">
        <v>1453</v>
      </c>
      <c r="ES61" s="198" t="s">
        <v>1453</v>
      </c>
      <c r="ET61" s="198" t="s">
        <v>1453</v>
      </c>
      <c r="EU61" s="198" t="s">
        <v>1453</v>
      </c>
      <c r="EV61" s="198" t="s">
        <v>1453</v>
      </c>
      <c r="EW61" s="198" t="s">
        <v>1453</v>
      </c>
      <c r="EX61" s="198" t="s">
        <v>1453</v>
      </c>
      <c r="EY61" s="198" t="s">
        <v>1453</v>
      </c>
      <c r="EZ61" s="198" t="s">
        <v>1453</v>
      </c>
      <c r="FA61" s="198" t="s">
        <v>1453</v>
      </c>
      <c r="FB61" s="198" t="s">
        <v>1453</v>
      </c>
      <c r="FC61" s="198" t="s">
        <v>1453</v>
      </c>
      <c r="FD61" s="198" t="s">
        <v>1453</v>
      </c>
      <c r="FE61" s="198" t="s">
        <v>1453</v>
      </c>
      <c r="FF61" s="198" t="s">
        <v>1453</v>
      </c>
      <c r="FG61" s="198" t="s">
        <v>1453</v>
      </c>
      <c r="FH61" s="198" t="s">
        <v>1453</v>
      </c>
      <c r="FI61" s="198" t="s">
        <v>1453</v>
      </c>
      <c r="FJ61" s="198" t="s">
        <v>1453</v>
      </c>
      <c r="FK61" s="198" t="s">
        <v>1453</v>
      </c>
      <c r="FL61" s="198" t="s">
        <v>1453</v>
      </c>
      <c r="FM61" s="198" t="s">
        <v>1453</v>
      </c>
    </row>
    <row r="62" ht="15.75" customHeight="1">
      <c r="A62" s="198" t="s">
        <v>1494</v>
      </c>
      <c r="B62" s="198" t="str">
        <f t="shared" si="7"/>
        <v>MA </v>
      </c>
      <c r="C62" s="234" t="s">
        <v>1508</v>
      </c>
      <c r="D62" s="232" t="s">
        <v>770</v>
      </c>
      <c r="E62" s="232" t="s">
        <v>1448</v>
      </c>
      <c r="F62" s="232" t="s">
        <v>1449</v>
      </c>
      <c r="G62" s="232" t="s">
        <v>1450</v>
      </c>
      <c r="H62" s="232" t="s">
        <v>876</v>
      </c>
      <c r="I62" s="232" t="s">
        <v>947</v>
      </c>
      <c r="J62" s="232" t="s">
        <v>825</v>
      </c>
      <c r="K62" s="232" t="s">
        <v>959</v>
      </c>
      <c r="L62" s="188" t="s">
        <v>260</v>
      </c>
      <c r="M62" s="236" t="str">
        <f>IFERROR(__xludf.DUMMYFUNCTION("regexreplace(N62,"" "","", "")"),"J0, J5, J6, JA, JC, K3, K4, K5, KA, KC, KD, L1, L8, LA, LC, LF, M3, M8, MF, N2, N7, NA, ")</f>
        <v>J0, J5, J6, JA, JC, K3, K4, K5, KA, KC, KD, L1, L8, LA, LC, LF, M3, M8, MF, N2, N7, NA, </v>
      </c>
      <c r="N62" s="236" t="str">
        <f t="shared" si="2"/>
        <v>J0 J5 J6 JA JC K3 K4 K5 KA KC KD L1 L8 LA LC LF M3 M8 MF N2 N7 NA </v>
      </c>
      <c r="O62" s="236" t="str">
        <f>IFERROR(__xludf.DUMMYFUNCTION("if(countif(ecn.list,CO62),OFFSET(INDIRECT(CONCAT(""A"",to_text(match(CO62,ecn.list,0)))),0,1),"""")"),"J0 ")</f>
        <v>J0 </v>
      </c>
      <c r="P62" s="236" t="str">
        <f>IFERROR(__xludf.DUMMYFUNCTION("if(countif(ecn.list,CP62),OFFSET(INDIRECT(CONCAT(""A"",to_text(match(CP62,ecn.list,0)))),0,1),"""")"),"")</f>
        <v/>
      </c>
      <c r="Q62" s="236" t="str">
        <f>IFERROR(__xludf.DUMMYFUNCTION("if(countif(ecn.list,CQ62),OFFSET(INDIRECT(CONCAT(""A"",to_text(match(CQ62,ecn.list,0)))),0,1),"""")"),"")</f>
        <v/>
      </c>
      <c r="R62" s="236" t="str">
        <f>IFERROR(__xludf.DUMMYFUNCTION("if(countif(ecn.list,CR62),OFFSET(INDIRECT(CONCAT(""A"",to_text(match(CR62,ecn.list,0)))),0,1),"""")"),"")</f>
        <v/>
      </c>
      <c r="S62" s="236" t="str">
        <f>IFERROR(__xludf.DUMMYFUNCTION("if(countif(ecn.list,CS62),OFFSET(INDIRECT(CONCAT(""A"",to_text(match(CS62,ecn.list,0)))),0,1),"""")"),"")</f>
        <v/>
      </c>
      <c r="T62" s="236" t="str">
        <f>IFERROR(__xludf.DUMMYFUNCTION("if(countif(ecn.list,CT62),OFFSET(INDIRECT(CONCAT(""A"",to_text(match(CT62,ecn.list,0)))),0,1),"""")"),"J5 ")</f>
        <v>J5 </v>
      </c>
      <c r="U62" s="236" t="str">
        <f>IFERROR(__xludf.DUMMYFUNCTION("if(countif(ecn.list,CU62),OFFSET(INDIRECT(CONCAT(""A"",to_text(match(CU62,ecn.list,0)))),0,1),"""")"),"J6 ")</f>
        <v>J6 </v>
      </c>
      <c r="V62" s="236" t="str">
        <f>IFERROR(__xludf.DUMMYFUNCTION("if(countif(ecn.list,CV62),OFFSET(INDIRECT(CONCAT(""A"",to_text(match(CV62,ecn.list,0)))),0,1),"""")"),"")</f>
        <v/>
      </c>
      <c r="W62" s="236" t="str">
        <f>IFERROR(__xludf.DUMMYFUNCTION("if(countif(ecn.list,CW62),OFFSET(INDIRECT(CONCAT(""A"",to_text(match(CW62,ecn.list,0)))),0,1),"""")"),"")</f>
        <v/>
      </c>
      <c r="X62" s="236" t="str">
        <f>IFERROR(__xludf.DUMMYFUNCTION("if(countif(ecn.list,CX62),OFFSET(INDIRECT(CONCAT(""A"",to_text(match(CX62,ecn.list,0)))),0,1),"""")"),"")</f>
        <v/>
      </c>
      <c r="Y62" s="236" t="str">
        <f>IFERROR(__xludf.DUMMYFUNCTION("if(countif(ecn.list,CY62),OFFSET(INDIRECT(CONCAT(""A"",to_text(match(CY62,ecn.list,0)))),0,1),"""")"),"JA ")</f>
        <v>JA </v>
      </c>
      <c r="Z62" s="236" t="str">
        <f>IFERROR(__xludf.DUMMYFUNCTION("if(countif(ecn.list,CZ62),OFFSET(INDIRECT(CONCAT(""A"",to_text(match(CZ62,ecn.list,0)))),0,1),"""")"),"")</f>
        <v/>
      </c>
      <c r="AA62" s="236" t="str">
        <f>IFERROR(__xludf.DUMMYFUNCTION("if(countif(ecn.list,DA62),OFFSET(INDIRECT(CONCAT(""A"",to_text(match(DA62,ecn.list,0)))),0,1),"""")"),"JC ")</f>
        <v>JC </v>
      </c>
      <c r="AB62" s="236" t="str">
        <f>IFERROR(__xludf.DUMMYFUNCTION("if(countif(ecn.list,DB62),OFFSET(INDIRECT(CONCAT(""A"",to_text(match(DB62,ecn.list,0)))),0,1),"""")"),"")</f>
        <v/>
      </c>
      <c r="AC62" s="236" t="str">
        <f>IFERROR(__xludf.DUMMYFUNCTION("if(countif(ecn.list,DC62),OFFSET(INDIRECT(CONCAT(""A"",to_text(match(DC62,ecn.list,0)))),0,1),"""")"),"")</f>
        <v/>
      </c>
      <c r="AD62" s="236" t="str">
        <f>IFERROR(__xludf.DUMMYFUNCTION("if(countif(ecn.list,DD62),OFFSET(INDIRECT(CONCAT(""A"",to_text(match(DD62,ecn.list,0)))),0,1),"""")"),"")</f>
        <v/>
      </c>
      <c r="AE62" s="236" t="str">
        <f>IFERROR(__xludf.DUMMYFUNCTION("if(countif(ecn.list,DE62),OFFSET(INDIRECT(CONCAT(""A"",to_text(match(DE62,ecn.list,0)))),0,1),"""")"),"")</f>
        <v/>
      </c>
      <c r="AF62" s="236" t="str">
        <f>IFERROR(__xludf.DUMMYFUNCTION("if(countif(ecn.list,DF62),OFFSET(INDIRECT(CONCAT(""A"",to_text(match(DF62,ecn.list,0)))),0,1),"""")"),"")</f>
        <v/>
      </c>
      <c r="AG62" s="236" t="str">
        <f>IFERROR(__xludf.DUMMYFUNCTION("if(countif(ecn.list,DG62),OFFSET(INDIRECT(CONCAT(""A"",to_text(match(DG62,ecn.list,0)))),0,1),"""")"),"")</f>
        <v/>
      </c>
      <c r="AH62" s="236" t="str">
        <f>IFERROR(__xludf.DUMMYFUNCTION("if(countif(ecn.list,DH62),OFFSET(INDIRECT(CONCAT(""A"",to_text(match(DH62,ecn.list,0)))),0,1),"""")"),"K3 ")</f>
        <v>K3 </v>
      </c>
      <c r="AI62" s="236" t="str">
        <f>IFERROR(__xludf.DUMMYFUNCTION("if(countif(ecn.list,DI62),OFFSET(INDIRECT(CONCAT(""A"",to_text(match(DI62,ecn.list,0)))),0,1),"""")"),"K4 ")</f>
        <v>K4 </v>
      </c>
      <c r="AJ62" s="236" t="str">
        <f>IFERROR(__xludf.DUMMYFUNCTION("if(countif(ecn.list,DJ62),OFFSET(INDIRECT(CONCAT(""A"",to_text(match(DJ62,ecn.list,0)))),0,1),"""")"),"K5 ")</f>
        <v>K5 </v>
      </c>
      <c r="AK62" s="236" t="str">
        <f>IFERROR(__xludf.DUMMYFUNCTION("if(countif(ecn.list,DK62),OFFSET(INDIRECT(CONCAT(""A"",to_text(match(DK62,ecn.list,0)))),0,1),"""")"),"")</f>
        <v/>
      </c>
      <c r="AL62" s="236" t="str">
        <f>IFERROR(__xludf.DUMMYFUNCTION("if(countif(ecn.list,DL62),OFFSET(INDIRECT(CONCAT(""A"",to_text(match(DL62,ecn.list,0)))),0,1),"""")"),"")</f>
        <v/>
      </c>
      <c r="AM62" s="236" t="str">
        <f>IFERROR(__xludf.DUMMYFUNCTION("if(countif(ecn.list,DM62),OFFSET(INDIRECT(CONCAT(""A"",to_text(match(DM62,ecn.list,0)))),0,1),"""")"),"")</f>
        <v/>
      </c>
      <c r="AN62" s="236" t="str">
        <f>IFERROR(__xludf.DUMMYFUNCTION("if(countif(ecn.list,DN62),OFFSET(INDIRECT(CONCAT(""A"",to_text(match(DN62,ecn.list,0)))),0,1),"""")"),"")</f>
        <v/>
      </c>
      <c r="AO62" s="236" t="str">
        <f>IFERROR(__xludf.DUMMYFUNCTION("if(countif(ecn.list,DO62),OFFSET(INDIRECT(CONCAT(""A"",to_text(match(DO62,ecn.list,0)))),0,1),"""")"),"KA ")</f>
        <v>KA </v>
      </c>
      <c r="AP62" s="236" t="str">
        <f>IFERROR(__xludf.DUMMYFUNCTION("if(countif(ecn.list,DP62),OFFSET(INDIRECT(CONCAT(""A"",to_text(match(DP62,ecn.list,0)))),0,1),"""")"),"")</f>
        <v/>
      </c>
      <c r="AQ62" s="236" t="str">
        <f>IFERROR(__xludf.DUMMYFUNCTION("if(countif(ecn.list,DQ62),OFFSET(INDIRECT(CONCAT(""A"",to_text(match(DQ62,ecn.list,0)))),0,1),"""")"),"KC ")</f>
        <v>KC </v>
      </c>
      <c r="AR62" s="236" t="str">
        <f>IFERROR(__xludf.DUMMYFUNCTION("if(countif(ecn.list,DR62),OFFSET(INDIRECT(CONCAT(""A"",to_text(match(DR62,ecn.list,0)))),0,1),"""")"),"KD ")</f>
        <v>KD </v>
      </c>
      <c r="AS62" s="236" t="str">
        <f>IFERROR(__xludf.DUMMYFUNCTION("if(countif(ecn.list,DS62),OFFSET(INDIRECT(CONCAT(""A"",to_text(match(DS62,ecn.list,0)))),0,1),"""")"),"")</f>
        <v/>
      </c>
      <c r="AT62" s="236" t="str">
        <f>IFERROR(__xludf.DUMMYFUNCTION("if(countif(ecn.list,DT62),OFFSET(INDIRECT(CONCAT(""A"",to_text(match(DT62,ecn.list,0)))),0,1),"""")"),"")</f>
        <v/>
      </c>
      <c r="AU62" s="236" t="str">
        <f>IFERROR(__xludf.DUMMYFUNCTION("if(countif(ecn.list,DU62),OFFSET(INDIRECT(CONCAT(""A"",to_text(match(DU62,ecn.list,0)))),0,1),"""")"),"")</f>
        <v/>
      </c>
      <c r="AV62" s="236" t="str">
        <f>IFERROR(__xludf.DUMMYFUNCTION("if(countif(ecn.list,DV62),OFFSET(INDIRECT(CONCAT(""A"",to_text(match(DV62,ecn.list,0)))),0,1),"""")"),"L1 ")</f>
        <v>L1 </v>
      </c>
      <c r="AW62" s="236" t="str">
        <f>IFERROR(__xludf.DUMMYFUNCTION("if(countif(ecn.list,DW62),OFFSET(INDIRECT(CONCAT(""A"",to_text(match(DW62,ecn.list,0)))),0,1),"""")"),"")</f>
        <v/>
      </c>
      <c r="AX62" s="236" t="str">
        <f>IFERROR(__xludf.DUMMYFUNCTION("if(countif(ecn.list,DX62),OFFSET(INDIRECT(CONCAT(""A"",to_text(match(DX62,ecn.list,0)))),0,1),"""")"),"")</f>
        <v/>
      </c>
      <c r="AY62" s="236" t="str">
        <f>IFERROR(__xludf.DUMMYFUNCTION("if(countif(ecn.list,DY62),OFFSET(INDIRECT(CONCAT(""A"",to_text(match(DY62,ecn.list,0)))),0,1),"""")"),"")</f>
        <v/>
      </c>
      <c r="AZ62" s="236" t="str">
        <f>IFERROR(__xludf.DUMMYFUNCTION("if(countif(ecn.list,DZ62),OFFSET(INDIRECT(CONCAT(""A"",to_text(match(DZ62,ecn.list,0)))),0,1),"""")"),"")</f>
        <v/>
      </c>
      <c r="BA62" s="236" t="str">
        <f>IFERROR(__xludf.DUMMYFUNCTION("if(countif(ecn.list,EA62),OFFSET(INDIRECT(CONCAT(""A"",to_text(match(EA62,ecn.list,0)))),0,1),"""")"),"")</f>
        <v/>
      </c>
      <c r="BB62" s="236" t="str">
        <f>IFERROR(__xludf.DUMMYFUNCTION("if(countif(ecn.list,EB62),OFFSET(INDIRECT(CONCAT(""A"",to_text(match(EB62,ecn.list,0)))),0,1),"""")"),"")</f>
        <v/>
      </c>
      <c r="BC62" s="236" t="str">
        <f>IFERROR(__xludf.DUMMYFUNCTION("if(countif(ecn.list,EC62),OFFSET(INDIRECT(CONCAT(""A"",to_text(match(EC62,ecn.list,0)))),0,1),"""")"),"L8 ")</f>
        <v>L8 </v>
      </c>
      <c r="BD62" s="236" t="str">
        <f>IFERROR(__xludf.DUMMYFUNCTION("if(countif(ecn.list,ED62),OFFSET(INDIRECT(CONCAT(""A"",to_text(match(ED62,ecn.list,0)))),0,1),"""")"),"")</f>
        <v/>
      </c>
      <c r="BE62" s="236" t="str">
        <f>IFERROR(__xludf.DUMMYFUNCTION("if(countif(ecn.list,EE62),OFFSET(INDIRECT(CONCAT(""A"",to_text(match(EE62,ecn.list,0)))),0,1),"""")"),"LA ")</f>
        <v>LA </v>
      </c>
      <c r="BF62" s="236" t="str">
        <f>IFERROR(__xludf.DUMMYFUNCTION("if(countif(ecn.list,EF62),OFFSET(INDIRECT(CONCAT(""A"",to_text(match(EF62,ecn.list,0)))),0,1),"""")"),"")</f>
        <v/>
      </c>
      <c r="BG62" s="236" t="str">
        <f>IFERROR(__xludf.DUMMYFUNCTION("if(countif(ecn.list,EG62),OFFSET(INDIRECT(CONCAT(""A"",to_text(match(EG62,ecn.list,0)))),0,1),"""")"),"LC ")</f>
        <v>LC </v>
      </c>
      <c r="BH62" s="236" t="str">
        <f>IFERROR(__xludf.DUMMYFUNCTION("if(countif(ecn.list,EH62),OFFSET(INDIRECT(CONCAT(""A"",to_text(match(EH62,ecn.list,0)))),0,1),"""")"),"")</f>
        <v/>
      </c>
      <c r="BI62" s="236" t="str">
        <f>IFERROR(__xludf.DUMMYFUNCTION("if(countif(ecn.list,EI62),OFFSET(INDIRECT(CONCAT(""A"",to_text(match(EI62,ecn.list,0)))),0,1),"""")"),"")</f>
        <v/>
      </c>
      <c r="BJ62" s="236" t="str">
        <f>IFERROR(__xludf.DUMMYFUNCTION("if(countif(ecn.list,EJ62),OFFSET(INDIRECT(CONCAT(""A"",to_text(match(EJ62,ecn.list,0)))),0,1),"""")"),"LF ")</f>
        <v>LF </v>
      </c>
      <c r="BK62" s="236" t="str">
        <f>IFERROR(__xludf.DUMMYFUNCTION("if(countif(ecn.list,EK62),OFFSET(INDIRECT(CONCAT(""A"",to_text(match(EK62,ecn.list,0)))),0,1),"""")"),"")</f>
        <v/>
      </c>
      <c r="BL62" s="236" t="str">
        <f>IFERROR(__xludf.DUMMYFUNCTION("if(countif(ecn.list,EL62),OFFSET(INDIRECT(CONCAT(""A"",to_text(match(EL62,ecn.list,0)))),0,1),"""")"),"")</f>
        <v/>
      </c>
      <c r="BM62" s="236" t="str">
        <f>IFERROR(__xludf.DUMMYFUNCTION("if(countif(ecn.list,EM62),OFFSET(INDIRECT(CONCAT(""A"",to_text(match(EM62,ecn.list,0)))),0,1),"""")"),"")</f>
        <v/>
      </c>
      <c r="BN62" s="236" t="str">
        <f>IFERROR(__xludf.DUMMYFUNCTION("if(countif(ecn.list,EN62),OFFSET(INDIRECT(CONCAT(""A"",to_text(match(EN62,ecn.list,0)))),0,1),"""")"),"M3 ")</f>
        <v>M3 </v>
      </c>
      <c r="BO62" s="236" t="str">
        <f>IFERROR(__xludf.DUMMYFUNCTION("if(countif(ecn.list,EO62),OFFSET(INDIRECT(CONCAT(""A"",to_text(match(EO62,ecn.list,0)))),0,1),"""")"),"")</f>
        <v/>
      </c>
      <c r="BP62" s="236" t="str">
        <f>IFERROR(__xludf.DUMMYFUNCTION("if(countif(ecn.list,EP62),OFFSET(INDIRECT(CONCAT(""A"",to_text(match(EP62,ecn.list,0)))),0,1),"""")"),"")</f>
        <v/>
      </c>
      <c r="BQ62" s="236" t="str">
        <f>IFERROR(__xludf.DUMMYFUNCTION("if(countif(ecn.list,EQ62),OFFSET(INDIRECT(CONCAT(""A"",to_text(match(EQ62,ecn.list,0)))),0,1),"""")"),"")</f>
        <v/>
      </c>
      <c r="BR62" s="236" t="str">
        <f>IFERROR(__xludf.DUMMYFUNCTION("if(countif(ecn.list,ER62),OFFSET(INDIRECT(CONCAT(""A"",to_text(match(ER62,ecn.list,0)))),0,1),"""")"),"")</f>
        <v/>
      </c>
      <c r="BS62" s="236" t="str">
        <f>IFERROR(__xludf.DUMMYFUNCTION("if(countif(ecn.list,ES62),OFFSET(INDIRECT(CONCAT(""A"",to_text(match(ES62,ecn.list,0)))),0,1),"""")"),"M8 ")</f>
        <v>M8 </v>
      </c>
      <c r="BT62" s="236" t="str">
        <f>IFERROR(__xludf.DUMMYFUNCTION("if(countif(ecn.list,ET62),OFFSET(INDIRECT(CONCAT(""A"",to_text(match(ET62,ecn.list,0)))),0,1),"""")"),"")</f>
        <v/>
      </c>
      <c r="BU62" s="236" t="str">
        <f>IFERROR(__xludf.DUMMYFUNCTION("if(countif(ecn.list,EU62),OFFSET(INDIRECT(CONCAT(""A"",to_text(match(EU62,ecn.list,0)))),0,1),"""")"),"")</f>
        <v/>
      </c>
      <c r="BV62" s="236" t="str">
        <f>IFERROR(__xludf.DUMMYFUNCTION("if(countif(ecn.list,EV62),OFFSET(INDIRECT(CONCAT(""A"",to_text(match(EV62,ecn.list,0)))),0,1),"""")"),"")</f>
        <v/>
      </c>
      <c r="BW62" s="236" t="str">
        <f>IFERROR(__xludf.DUMMYFUNCTION("if(countif(ecn.list,EW62),OFFSET(INDIRECT(CONCAT(""A"",to_text(match(EW62,ecn.list,0)))),0,1),"""")"),"")</f>
        <v/>
      </c>
      <c r="BX62" s="236" t="str">
        <f>IFERROR(__xludf.DUMMYFUNCTION("if(countif(ecn.list,EX62),OFFSET(INDIRECT(CONCAT(""A"",to_text(match(EX62,ecn.list,0)))),0,1),"""")"),"")</f>
        <v/>
      </c>
      <c r="BY62" s="236" t="str">
        <f>IFERROR(__xludf.DUMMYFUNCTION("if(countif(ecn.list,EY62),OFFSET(INDIRECT(CONCAT(""A"",to_text(match(EY62,ecn.list,0)))),0,1),"""")"),"")</f>
        <v/>
      </c>
      <c r="BZ62" s="236" t="str">
        <f>IFERROR(__xludf.DUMMYFUNCTION("if(countif(ecn.list,EZ62),OFFSET(INDIRECT(CONCAT(""A"",to_text(match(EZ62,ecn.list,0)))),0,1),"""")"),"MF ")</f>
        <v>MF </v>
      </c>
      <c r="CA62" s="236" t="str">
        <f>IFERROR(__xludf.DUMMYFUNCTION("if(countif(ecn.list,FA62),OFFSET(INDIRECT(CONCAT(""A"",to_text(match(FA62,ecn.list,0)))),0,1),"""")"),"")</f>
        <v/>
      </c>
      <c r="CB62" s="236" t="str">
        <f>IFERROR(__xludf.DUMMYFUNCTION("if(countif(ecn.list,FB62),OFFSET(INDIRECT(CONCAT(""A"",to_text(match(FB62,ecn.list,0)))),0,1),"""")"),"")</f>
        <v/>
      </c>
      <c r="CC62" s="236" t="str">
        <f>IFERROR(__xludf.DUMMYFUNCTION("if(countif(ecn.list,FC62),OFFSET(INDIRECT(CONCAT(""A"",to_text(match(FC62,ecn.list,0)))),0,1),"""")"),"N2 ")</f>
        <v>N2 </v>
      </c>
      <c r="CD62" s="236" t="str">
        <f>IFERROR(__xludf.DUMMYFUNCTION("if(countif(ecn.list,FD62),OFFSET(INDIRECT(CONCAT(""A"",to_text(match(FD62,ecn.list,0)))),0,1),"""")"),"")</f>
        <v/>
      </c>
      <c r="CE62" s="236" t="str">
        <f>IFERROR(__xludf.DUMMYFUNCTION("if(countif(ecn.list,FE62),OFFSET(INDIRECT(CONCAT(""A"",to_text(match(FE62,ecn.list,0)))),0,1),"""")"),"")</f>
        <v/>
      </c>
      <c r="CF62" s="236" t="str">
        <f>IFERROR(__xludf.DUMMYFUNCTION("if(countif(ecn.list,FF62),OFFSET(INDIRECT(CONCAT(""A"",to_text(match(FF62,ecn.list,0)))),0,1),"""")"),"")</f>
        <v/>
      </c>
      <c r="CG62" s="236" t="str">
        <f>IFERROR(__xludf.DUMMYFUNCTION("if(countif(ecn.list,FG62),OFFSET(INDIRECT(CONCAT(""A"",to_text(match(FG62,ecn.list,0)))),0,1),"""")"),"")</f>
        <v/>
      </c>
      <c r="CH62" s="236" t="str">
        <f>IFERROR(__xludf.DUMMYFUNCTION("if(countif(ecn.list,FH62),OFFSET(INDIRECT(CONCAT(""A"",to_text(match(FH62,ecn.list,0)))),0,1),"""")"),"N7 ")</f>
        <v>N7 </v>
      </c>
      <c r="CI62" s="236" t="str">
        <f>IFERROR(__xludf.DUMMYFUNCTION("if(countif(ecn.list,FI62),OFFSET(INDIRECT(CONCAT(""A"",to_text(match(FI62,ecn.list,0)))),0,1),"""")"),"")</f>
        <v/>
      </c>
      <c r="CJ62" s="236" t="str">
        <f>IFERROR(__xludf.DUMMYFUNCTION("if(countif(ecn.list,FJ62),OFFSET(INDIRECT(CONCAT(""A"",to_text(match(FJ62,ecn.list,0)))),0,1),"""")"),"")</f>
        <v/>
      </c>
      <c r="CK62" s="236" t="str">
        <f>IFERROR(__xludf.DUMMYFUNCTION("if(countif(ecn.list,FK62),OFFSET(INDIRECT(CONCAT(""A"",to_text(match(FK62,ecn.list,0)))),0,1),"""")"),"NA ")</f>
        <v>NA </v>
      </c>
      <c r="CL62" s="236" t="str">
        <f>IFERROR(__xludf.DUMMYFUNCTION("if(countif(ecn.list,FL62),OFFSET(INDIRECT(CONCAT(""A"",to_text(match(FL62,ecn.list,0)))),0,1),"""")"),"")</f>
        <v/>
      </c>
      <c r="CM62" s="236" t="str">
        <f>IFERROR(__xludf.DUMMYFUNCTION("if(countif(ecn.list,FM62),OFFSET(INDIRECT(CONCAT(""A"",to_text(match(FM62,ecn.list,0)))),0,1),"""")"),"")</f>
        <v/>
      </c>
      <c r="CN62" s="198" t="s">
        <v>260</v>
      </c>
      <c r="CO62" s="198" t="s">
        <v>1447</v>
      </c>
      <c r="CP62" s="198" t="s">
        <v>1453</v>
      </c>
      <c r="CQ62" s="198" t="s">
        <v>1453</v>
      </c>
      <c r="CR62" s="198" t="s">
        <v>1453</v>
      </c>
      <c r="CS62" s="198" t="s">
        <v>1453</v>
      </c>
      <c r="CT62" s="198" t="s">
        <v>1454</v>
      </c>
      <c r="CU62" s="198" t="s">
        <v>1455</v>
      </c>
      <c r="CV62" s="198" t="s">
        <v>1453</v>
      </c>
      <c r="CW62" s="198" t="s">
        <v>1453</v>
      </c>
      <c r="CX62" s="198" t="s">
        <v>1453</v>
      </c>
      <c r="CY62" s="198" t="s">
        <v>1484</v>
      </c>
      <c r="CZ62" s="198" t="s">
        <v>1453</v>
      </c>
      <c r="DA62" s="198" t="s">
        <v>1457</v>
      </c>
      <c r="DB62" s="198" t="s">
        <v>1453</v>
      </c>
      <c r="DC62" s="198" t="s">
        <v>1453</v>
      </c>
      <c r="DD62" s="198" t="s">
        <v>1453</v>
      </c>
      <c r="DE62" s="198" t="s">
        <v>1453</v>
      </c>
      <c r="DF62" s="198" t="s">
        <v>1453</v>
      </c>
      <c r="DG62" s="198" t="s">
        <v>1453</v>
      </c>
      <c r="DH62" s="198" t="s">
        <v>1500</v>
      </c>
      <c r="DI62" s="198" t="s">
        <v>1501</v>
      </c>
      <c r="DJ62" s="198" t="s">
        <v>1460</v>
      </c>
      <c r="DK62" s="198" t="s">
        <v>1453</v>
      </c>
      <c r="DL62" s="198" t="s">
        <v>1453</v>
      </c>
      <c r="DM62" s="198" t="s">
        <v>1453</v>
      </c>
      <c r="DN62" s="198" t="s">
        <v>1453</v>
      </c>
      <c r="DO62" s="198" t="s">
        <v>1464</v>
      </c>
      <c r="DP62" s="198" t="s">
        <v>1453</v>
      </c>
      <c r="DQ62" s="198" t="s">
        <v>1466</v>
      </c>
      <c r="DR62" s="198" t="s">
        <v>1467</v>
      </c>
      <c r="DS62" s="198" t="s">
        <v>1453</v>
      </c>
      <c r="DT62" s="198" t="s">
        <v>1453</v>
      </c>
      <c r="DU62" s="198" t="s">
        <v>1453</v>
      </c>
      <c r="DV62" s="198" t="s">
        <v>1469</v>
      </c>
      <c r="DW62" s="198" t="s">
        <v>1453</v>
      </c>
      <c r="DX62" s="198" t="s">
        <v>1453</v>
      </c>
      <c r="DY62" s="198" t="s">
        <v>1453</v>
      </c>
      <c r="DZ62" s="198" t="s">
        <v>1453</v>
      </c>
      <c r="EA62" s="198" t="s">
        <v>1453</v>
      </c>
      <c r="EB62" s="198" t="s">
        <v>1453</v>
      </c>
      <c r="EC62" s="198" t="s">
        <v>1483</v>
      </c>
      <c r="ED62" s="198" t="s">
        <v>1453</v>
      </c>
      <c r="EE62" s="198" t="s">
        <v>1470</v>
      </c>
      <c r="EF62" s="198" t="s">
        <v>1453</v>
      </c>
      <c r="EG62" s="198" t="s">
        <v>1471</v>
      </c>
      <c r="EH62" s="198" t="s">
        <v>1453</v>
      </c>
      <c r="EI62" s="198" t="s">
        <v>1453</v>
      </c>
      <c r="EJ62" s="198" t="s">
        <v>1472</v>
      </c>
      <c r="EK62" s="198" t="s">
        <v>1453</v>
      </c>
      <c r="EL62" s="198" t="s">
        <v>1453</v>
      </c>
      <c r="EM62" s="198" t="s">
        <v>1453</v>
      </c>
      <c r="EN62" s="198" t="s">
        <v>1474</v>
      </c>
      <c r="EO62" s="198" t="s">
        <v>1453</v>
      </c>
      <c r="EP62" s="198" t="s">
        <v>1453</v>
      </c>
      <c r="EQ62" s="198" t="s">
        <v>1453</v>
      </c>
      <c r="ER62" s="198" t="s">
        <v>1453</v>
      </c>
      <c r="ES62" s="198" t="s">
        <v>1505</v>
      </c>
      <c r="ET62" s="198" t="s">
        <v>1453</v>
      </c>
      <c r="EU62" s="198" t="s">
        <v>1453</v>
      </c>
      <c r="EV62" s="198" t="s">
        <v>1453</v>
      </c>
      <c r="EW62" s="198" t="s">
        <v>1453</v>
      </c>
      <c r="EX62" s="198" t="s">
        <v>1453</v>
      </c>
      <c r="EY62" s="198" t="s">
        <v>1453</v>
      </c>
      <c r="EZ62" s="198" t="s">
        <v>1477</v>
      </c>
      <c r="FA62" s="198" t="s">
        <v>1453</v>
      </c>
      <c r="FB62" s="198" t="s">
        <v>1453</v>
      </c>
      <c r="FC62" s="198" t="s">
        <v>1478</v>
      </c>
      <c r="FD62" s="198" t="s">
        <v>1453</v>
      </c>
      <c r="FE62" s="198" t="s">
        <v>1453</v>
      </c>
      <c r="FF62" s="198" t="s">
        <v>1453</v>
      </c>
      <c r="FG62" s="198" t="s">
        <v>1453</v>
      </c>
      <c r="FH62" s="198" t="s">
        <v>1479</v>
      </c>
      <c r="FI62" s="198" t="s">
        <v>1453</v>
      </c>
      <c r="FJ62" s="198" t="s">
        <v>1453</v>
      </c>
      <c r="FK62" s="198" t="s">
        <v>1481</v>
      </c>
      <c r="FL62" s="198" t="s">
        <v>1482</v>
      </c>
      <c r="FM62" s="198" t="s">
        <v>1453</v>
      </c>
    </row>
    <row r="63" ht="15.75" customHeight="1">
      <c r="A63" s="198" t="s">
        <v>1476</v>
      </c>
      <c r="B63" s="198" t="str">
        <f t="shared" si="7"/>
        <v>MB </v>
      </c>
      <c r="C63" s="234" t="s">
        <v>1510</v>
      </c>
      <c r="D63" s="232" t="s">
        <v>860</v>
      </c>
      <c r="E63" s="232" t="s">
        <v>785</v>
      </c>
      <c r="F63" s="232" t="s">
        <v>786</v>
      </c>
      <c r="G63" s="232" t="s">
        <v>921</v>
      </c>
      <c r="H63" s="232" t="s">
        <v>775</v>
      </c>
      <c r="I63" s="232" t="s">
        <v>1137</v>
      </c>
      <c r="J63" s="232" t="s">
        <v>896</v>
      </c>
      <c r="K63" s="232" t="s">
        <v>1138</v>
      </c>
      <c r="L63" s="188" t="s">
        <v>263</v>
      </c>
      <c r="M63" s="236" t="str">
        <f>IFERROR(__xludf.DUMMYFUNCTION("regexreplace(N63,"" "","", "")"),"J5, J6, MF, ")</f>
        <v>J5, J6, MF, </v>
      </c>
      <c r="N63" s="236" t="str">
        <f t="shared" si="2"/>
        <v>J5 J6 MF </v>
      </c>
      <c r="O63" s="236" t="str">
        <f>IFERROR(__xludf.DUMMYFUNCTION("if(countif(ecn.list,CO63),OFFSET(INDIRECT(CONCAT(""A"",to_text(match(CO63,ecn.list,0)))),0,1),"""")"),"")</f>
        <v/>
      </c>
      <c r="P63" s="236" t="str">
        <f>IFERROR(__xludf.DUMMYFUNCTION("if(countif(ecn.list,CP63),OFFSET(INDIRECT(CONCAT(""A"",to_text(match(CP63,ecn.list,0)))),0,1),"""")"),"")</f>
        <v/>
      </c>
      <c r="Q63" s="236" t="str">
        <f>IFERROR(__xludf.DUMMYFUNCTION("if(countif(ecn.list,CQ63),OFFSET(INDIRECT(CONCAT(""A"",to_text(match(CQ63,ecn.list,0)))),0,1),"""")"),"")</f>
        <v/>
      </c>
      <c r="R63" s="236" t="str">
        <f>IFERROR(__xludf.DUMMYFUNCTION("if(countif(ecn.list,CR63),OFFSET(INDIRECT(CONCAT(""A"",to_text(match(CR63,ecn.list,0)))),0,1),"""")"),"")</f>
        <v/>
      </c>
      <c r="S63" s="236" t="str">
        <f>IFERROR(__xludf.DUMMYFUNCTION("if(countif(ecn.list,CS63),OFFSET(INDIRECT(CONCAT(""A"",to_text(match(CS63,ecn.list,0)))),0,1),"""")"),"")</f>
        <v/>
      </c>
      <c r="T63" s="236" t="str">
        <f>IFERROR(__xludf.DUMMYFUNCTION("if(countif(ecn.list,CT63),OFFSET(INDIRECT(CONCAT(""A"",to_text(match(CT63,ecn.list,0)))),0,1),"""")"),"J5 ")</f>
        <v>J5 </v>
      </c>
      <c r="U63" s="236" t="str">
        <f>IFERROR(__xludf.DUMMYFUNCTION("if(countif(ecn.list,CU63),OFFSET(INDIRECT(CONCAT(""A"",to_text(match(CU63,ecn.list,0)))),0,1),"""")"),"J6 ")</f>
        <v>J6 </v>
      </c>
      <c r="V63" s="236" t="str">
        <f>IFERROR(__xludf.DUMMYFUNCTION("if(countif(ecn.list,CV63),OFFSET(INDIRECT(CONCAT(""A"",to_text(match(CV63,ecn.list,0)))),0,1),"""")"),"")</f>
        <v/>
      </c>
      <c r="W63" s="236" t="str">
        <f>IFERROR(__xludf.DUMMYFUNCTION("if(countif(ecn.list,CW63),OFFSET(INDIRECT(CONCAT(""A"",to_text(match(CW63,ecn.list,0)))),0,1),"""")"),"")</f>
        <v/>
      </c>
      <c r="X63" s="236" t="str">
        <f>IFERROR(__xludf.DUMMYFUNCTION("if(countif(ecn.list,CX63),OFFSET(INDIRECT(CONCAT(""A"",to_text(match(CX63,ecn.list,0)))),0,1),"""")"),"")</f>
        <v/>
      </c>
      <c r="Y63" s="236" t="str">
        <f>IFERROR(__xludf.DUMMYFUNCTION("if(countif(ecn.list,CY63),OFFSET(INDIRECT(CONCAT(""A"",to_text(match(CY63,ecn.list,0)))),0,1),"""")"),"")</f>
        <v/>
      </c>
      <c r="Z63" s="236" t="str">
        <f>IFERROR(__xludf.DUMMYFUNCTION("if(countif(ecn.list,CZ63),OFFSET(INDIRECT(CONCAT(""A"",to_text(match(CZ63,ecn.list,0)))),0,1),"""")"),"")</f>
        <v/>
      </c>
      <c r="AA63" s="236" t="str">
        <f>IFERROR(__xludf.DUMMYFUNCTION("if(countif(ecn.list,DA63),OFFSET(INDIRECT(CONCAT(""A"",to_text(match(DA63,ecn.list,0)))),0,1),"""")"),"")</f>
        <v/>
      </c>
      <c r="AB63" s="236" t="str">
        <f>IFERROR(__xludf.DUMMYFUNCTION("if(countif(ecn.list,DB63),OFFSET(INDIRECT(CONCAT(""A"",to_text(match(DB63,ecn.list,0)))),0,1),"""")"),"")</f>
        <v/>
      </c>
      <c r="AC63" s="236" t="str">
        <f>IFERROR(__xludf.DUMMYFUNCTION("if(countif(ecn.list,DC63),OFFSET(INDIRECT(CONCAT(""A"",to_text(match(DC63,ecn.list,0)))),0,1),"""")"),"")</f>
        <v/>
      </c>
      <c r="AD63" s="236" t="str">
        <f>IFERROR(__xludf.DUMMYFUNCTION("if(countif(ecn.list,DD63),OFFSET(INDIRECT(CONCAT(""A"",to_text(match(DD63,ecn.list,0)))),0,1),"""")"),"")</f>
        <v/>
      </c>
      <c r="AE63" s="236" t="str">
        <f>IFERROR(__xludf.DUMMYFUNCTION("if(countif(ecn.list,DE63),OFFSET(INDIRECT(CONCAT(""A"",to_text(match(DE63,ecn.list,0)))),0,1),"""")"),"")</f>
        <v/>
      </c>
      <c r="AF63" s="236" t="str">
        <f>IFERROR(__xludf.DUMMYFUNCTION("if(countif(ecn.list,DF63),OFFSET(INDIRECT(CONCAT(""A"",to_text(match(DF63,ecn.list,0)))),0,1),"""")"),"")</f>
        <v/>
      </c>
      <c r="AG63" s="236" t="str">
        <f>IFERROR(__xludf.DUMMYFUNCTION("if(countif(ecn.list,DG63),OFFSET(INDIRECT(CONCAT(""A"",to_text(match(DG63,ecn.list,0)))),0,1),"""")"),"")</f>
        <v/>
      </c>
      <c r="AH63" s="236" t="str">
        <f>IFERROR(__xludf.DUMMYFUNCTION("if(countif(ecn.list,DH63),OFFSET(INDIRECT(CONCAT(""A"",to_text(match(DH63,ecn.list,0)))),0,1),"""")"),"")</f>
        <v/>
      </c>
      <c r="AI63" s="236" t="str">
        <f>IFERROR(__xludf.DUMMYFUNCTION("if(countif(ecn.list,DI63),OFFSET(INDIRECT(CONCAT(""A"",to_text(match(DI63,ecn.list,0)))),0,1),"""")"),"")</f>
        <v/>
      </c>
      <c r="AJ63" s="236" t="str">
        <f>IFERROR(__xludf.DUMMYFUNCTION("if(countif(ecn.list,DJ63),OFFSET(INDIRECT(CONCAT(""A"",to_text(match(DJ63,ecn.list,0)))),0,1),"""")"),"")</f>
        <v/>
      </c>
      <c r="AK63" s="236" t="str">
        <f>IFERROR(__xludf.DUMMYFUNCTION("if(countif(ecn.list,DK63),OFFSET(INDIRECT(CONCAT(""A"",to_text(match(DK63,ecn.list,0)))),0,1),"""")"),"")</f>
        <v/>
      </c>
      <c r="AL63" s="236" t="str">
        <f>IFERROR(__xludf.DUMMYFUNCTION("if(countif(ecn.list,DL63),OFFSET(INDIRECT(CONCAT(""A"",to_text(match(DL63,ecn.list,0)))),0,1),"""")"),"")</f>
        <v/>
      </c>
      <c r="AM63" s="236" t="str">
        <f>IFERROR(__xludf.DUMMYFUNCTION("if(countif(ecn.list,DM63),OFFSET(INDIRECT(CONCAT(""A"",to_text(match(DM63,ecn.list,0)))),0,1),"""")"),"")</f>
        <v/>
      </c>
      <c r="AN63" s="236" t="str">
        <f>IFERROR(__xludf.DUMMYFUNCTION("if(countif(ecn.list,DN63),OFFSET(INDIRECT(CONCAT(""A"",to_text(match(DN63,ecn.list,0)))),0,1),"""")"),"")</f>
        <v/>
      </c>
      <c r="AO63" s="236" t="str">
        <f>IFERROR(__xludf.DUMMYFUNCTION("if(countif(ecn.list,DO63),OFFSET(INDIRECT(CONCAT(""A"",to_text(match(DO63,ecn.list,0)))),0,1),"""")"),"")</f>
        <v/>
      </c>
      <c r="AP63" s="236" t="str">
        <f>IFERROR(__xludf.DUMMYFUNCTION("if(countif(ecn.list,DP63),OFFSET(INDIRECT(CONCAT(""A"",to_text(match(DP63,ecn.list,0)))),0,1),"""")"),"")</f>
        <v/>
      </c>
      <c r="AQ63" s="236" t="str">
        <f>IFERROR(__xludf.DUMMYFUNCTION("if(countif(ecn.list,DQ63),OFFSET(INDIRECT(CONCAT(""A"",to_text(match(DQ63,ecn.list,0)))),0,1),"""")"),"")</f>
        <v/>
      </c>
      <c r="AR63" s="236" t="str">
        <f>IFERROR(__xludf.DUMMYFUNCTION("if(countif(ecn.list,DR63),OFFSET(INDIRECT(CONCAT(""A"",to_text(match(DR63,ecn.list,0)))),0,1),"""")"),"")</f>
        <v/>
      </c>
      <c r="AS63" s="236" t="str">
        <f>IFERROR(__xludf.DUMMYFUNCTION("if(countif(ecn.list,DS63),OFFSET(INDIRECT(CONCAT(""A"",to_text(match(DS63,ecn.list,0)))),0,1),"""")"),"")</f>
        <v/>
      </c>
      <c r="AT63" s="236" t="str">
        <f>IFERROR(__xludf.DUMMYFUNCTION("if(countif(ecn.list,DT63),OFFSET(INDIRECT(CONCAT(""A"",to_text(match(DT63,ecn.list,0)))),0,1),"""")"),"")</f>
        <v/>
      </c>
      <c r="AU63" s="236" t="str">
        <f>IFERROR(__xludf.DUMMYFUNCTION("if(countif(ecn.list,DU63),OFFSET(INDIRECT(CONCAT(""A"",to_text(match(DU63,ecn.list,0)))),0,1),"""")"),"")</f>
        <v/>
      </c>
      <c r="AV63" s="236" t="str">
        <f>IFERROR(__xludf.DUMMYFUNCTION("if(countif(ecn.list,DV63),OFFSET(INDIRECT(CONCAT(""A"",to_text(match(DV63,ecn.list,0)))),0,1),"""")"),"")</f>
        <v/>
      </c>
      <c r="AW63" s="236" t="str">
        <f>IFERROR(__xludf.DUMMYFUNCTION("if(countif(ecn.list,DW63),OFFSET(INDIRECT(CONCAT(""A"",to_text(match(DW63,ecn.list,0)))),0,1),"""")"),"")</f>
        <v/>
      </c>
      <c r="AX63" s="236" t="str">
        <f>IFERROR(__xludf.DUMMYFUNCTION("if(countif(ecn.list,DX63),OFFSET(INDIRECT(CONCAT(""A"",to_text(match(DX63,ecn.list,0)))),0,1),"""")"),"")</f>
        <v/>
      </c>
      <c r="AY63" s="236" t="str">
        <f>IFERROR(__xludf.DUMMYFUNCTION("if(countif(ecn.list,DY63),OFFSET(INDIRECT(CONCAT(""A"",to_text(match(DY63,ecn.list,0)))),0,1),"""")"),"")</f>
        <v/>
      </c>
      <c r="AZ63" s="236" t="str">
        <f>IFERROR(__xludf.DUMMYFUNCTION("if(countif(ecn.list,DZ63),OFFSET(INDIRECT(CONCAT(""A"",to_text(match(DZ63,ecn.list,0)))),0,1),"""")"),"")</f>
        <v/>
      </c>
      <c r="BA63" s="236" t="str">
        <f>IFERROR(__xludf.DUMMYFUNCTION("if(countif(ecn.list,EA63),OFFSET(INDIRECT(CONCAT(""A"",to_text(match(EA63,ecn.list,0)))),0,1),"""")"),"")</f>
        <v/>
      </c>
      <c r="BB63" s="236" t="str">
        <f>IFERROR(__xludf.DUMMYFUNCTION("if(countif(ecn.list,EB63),OFFSET(INDIRECT(CONCAT(""A"",to_text(match(EB63,ecn.list,0)))),0,1),"""")"),"")</f>
        <v/>
      </c>
      <c r="BC63" s="236" t="str">
        <f>IFERROR(__xludf.DUMMYFUNCTION("if(countif(ecn.list,EC63),OFFSET(INDIRECT(CONCAT(""A"",to_text(match(EC63,ecn.list,0)))),0,1),"""")"),"")</f>
        <v/>
      </c>
      <c r="BD63" s="236" t="str">
        <f>IFERROR(__xludf.DUMMYFUNCTION("if(countif(ecn.list,ED63),OFFSET(INDIRECT(CONCAT(""A"",to_text(match(ED63,ecn.list,0)))),0,1),"""")"),"")</f>
        <v/>
      </c>
      <c r="BE63" s="236" t="str">
        <f>IFERROR(__xludf.DUMMYFUNCTION("if(countif(ecn.list,EE63),OFFSET(INDIRECT(CONCAT(""A"",to_text(match(EE63,ecn.list,0)))),0,1),"""")"),"")</f>
        <v/>
      </c>
      <c r="BF63" s="236" t="str">
        <f>IFERROR(__xludf.DUMMYFUNCTION("if(countif(ecn.list,EF63),OFFSET(INDIRECT(CONCAT(""A"",to_text(match(EF63,ecn.list,0)))),0,1),"""")"),"")</f>
        <v/>
      </c>
      <c r="BG63" s="236" t="str">
        <f>IFERROR(__xludf.DUMMYFUNCTION("if(countif(ecn.list,EG63),OFFSET(INDIRECT(CONCAT(""A"",to_text(match(EG63,ecn.list,0)))),0,1),"""")"),"")</f>
        <v/>
      </c>
      <c r="BH63" s="236" t="str">
        <f>IFERROR(__xludf.DUMMYFUNCTION("if(countif(ecn.list,EH63),OFFSET(INDIRECT(CONCAT(""A"",to_text(match(EH63,ecn.list,0)))),0,1),"""")"),"")</f>
        <v/>
      </c>
      <c r="BI63" s="236" t="str">
        <f>IFERROR(__xludf.DUMMYFUNCTION("if(countif(ecn.list,EI63),OFFSET(INDIRECT(CONCAT(""A"",to_text(match(EI63,ecn.list,0)))),0,1),"""")"),"")</f>
        <v/>
      </c>
      <c r="BJ63" s="236" t="str">
        <f>IFERROR(__xludf.DUMMYFUNCTION("if(countif(ecn.list,EJ63),OFFSET(INDIRECT(CONCAT(""A"",to_text(match(EJ63,ecn.list,0)))),0,1),"""")"),"")</f>
        <v/>
      </c>
      <c r="BK63" s="236" t="str">
        <f>IFERROR(__xludf.DUMMYFUNCTION("if(countif(ecn.list,EK63),OFFSET(INDIRECT(CONCAT(""A"",to_text(match(EK63,ecn.list,0)))),0,1),"""")"),"")</f>
        <v/>
      </c>
      <c r="BL63" s="236" t="str">
        <f>IFERROR(__xludf.DUMMYFUNCTION("if(countif(ecn.list,EL63),OFFSET(INDIRECT(CONCAT(""A"",to_text(match(EL63,ecn.list,0)))),0,1),"""")"),"")</f>
        <v/>
      </c>
      <c r="BM63" s="236" t="str">
        <f>IFERROR(__xludf.DUMMYFUNCTION("if(countif(ecn.list,EM63),OFFSET(INDIRECT(CONCAT(""A"",to_text(match(EM63,ecn.list,0)))),0,1),"""")"),"")</f>
        <v/>
      </c>
      <c r="BN63" s="236" t="str">
        <f>IFERROR(__xludf.DUMMYFUNCTION("if(countif(ecn.list,EN63),OFFSET(INDIRECT(CONCAT(""A"",to_text(match(EN63,ecn.list,0)))),0,1),"""")"),"")</f>
        <v/>
      </c>
      <c r="BO63" s="236" t="str">
        <f>IFERROR(__xludf.DUMMYFUNCTION("if(countif(ecn.list,EO63),OFFSET(INDIRECT(CONCAT(""A"",to_text(match(EO63,ecn.list,0)))),0,1),"""")"),"")</f>
        <v/>
      </c>
      <c r="BP63" s="236" t="str">
        <f>IFERROR(__xludf.DUMMYFUNCTION("if(countif(ecn.list,EP63),OFFSET(INDIRECT(CONCAT(""A"",to_text(match(EP63,ecn.list,0)))),0,1),"""")"),"")</f>
        <v/>
      </c>
      <c r="BQ63" s="236" t="str">
        <f>IFERROR(__xludf.DUMMYFUNCTION("if(countif(ecn.list,EQ63),OFFSET(INDIRECT(CONCAT(""A"",to_text(match(EQ63,ecn.list,0)))),0,1),"""")"),"")</f>
        <v/>
      </c>
      <c r="BR63" s="236" t="str">
        <f>IFERROR(__xludf.DUMMYFUNCTION("if(countif(ecn.list,ER63),OFFSET(INDIRECT(CONCAT(""A"",to_text(match(ER63,ecn.list,0)))),0,1),"""")"),"")</f>
        <v/>
      </c>
      <c r="BS63" s="236" t="str">
        <f>IFERROR(__xludf.DUMMYFUNCTION("if(countif(ecn.list,ES63),OFFSET(INDIRECT(CONCAT(""A"",to_text(match(ES63,ecn.list,0)))),0,1),"""")"),"")</f>
        <v/>
      </c>
      <c r="BT63" s="236" t="str">
        <f>IFERROR(__xludf.DUMMYFUNCTION("if(countif(ecn.list,ET63),OFFSET(INDIRECT(CONCAT(""A"",to_text(match(ET63,ecn.list,0)))),0,1),"""")"),"")</f>
        <v/>
      </c>
      <c r="BU63" s="236" t="str">
        <f>IFERROR(__xludf.DUMMYFUNCTION("if(countif(ecn.list,EU63),OFFSET(INDIRECT(CONCAT(""A"",to_text(match(EU63,ecn.list,0)))),0,1),"""")"),"")</f>
        <v/>
      </c>
      <c r="BV63" s="236" t="str">
        <f>IFERROR(__xludf.DUMMYFUNCTION("if(countif(ecn.list,EV63),OFFSET(INDIRECT(CONCAT(""A"",to_text(match(EV63,ecn.list,0)))),0,1),"""")"),"")</f>
        <v/>
      </c>
      <c r="BW63" s="236" t="str">
        <f>IFERROR(__xludf.DUMMYFUNCTION("if(countif(ecn.list,EW63),OFFSET(INDIRECT(CONCAT(""A"",to_text(match(EW63,ecn.list,0)))),0,1),"""")"),"")</f>
        <v/>
      </c>
      <c r="BX63" s="236" t="str">
        <f>IFERROR(__xludf.DUMMYFUNCTION("if(countif(ecn.list,EX63),OFFSET(INDIRECT(CONCAT(""A"",to_text(match(EX63,ecn.list,0)))),0,1),"""")"),"")</f>
        <v/>
      </c>
      <c r="BY63" s="236" t="str">
        <f>IFERROR(__xludf.DUMMYFUNCTION("if(countif(ecn.list,EY63),OFFSET(INDIRECT(CONCAT(""A"",to_text(match(EY63,ecn.list,0)))),0,1),"""")"),"")</f>
        <v/>
      </c>
      <c r="BZ63" s="236" t="str">
        <f>IFERROR(__xludf.DUMMYFUNCTION("if(countif(ecn.list,EZ63),OFFSET(INDIRECT(CONCAT(""A"",to_text(match(EZ63,ecn.list,0)))),0,1),"""")"),"MF ")</f>
        <v>MF </v>
      </c>
      <c r="CA63" s="236" t="str">
        <f>IFERROR(__xludf.DUMMYFUNCTION("if(countif(ecn.list,FA63),OFFSET(INDIRECT(CONCAT(""A"",to_text(match(FA63,ecn.list,0)))),0,1),"""")"),"")</f>
        <v/>
      </c>
      <c r="CB63" s="236" t="str">
        <f>IFERROR(__xludf.DUMMYFUNCTION("if(countif(ecn.list,FB63),OFFSET(INDIRECT(CONCAT(""A"",to_text(match(FB63,ecn.list,0)))),0,1),"""")"),"")</f>
        <v/>
      </c>
      <c r="CC63" s="236" t="str">
        <f>IFERROR(__xludf.DUMMYFUNCTION("if(countif(ecn.list,FC63),OFFSET(INDIRECT(CONCAT(""A"",to_text(match(FC63,ecn.list,0)))),0,1),"""")"),"")</f>
        <v/>
      </c>
      <c r="CD63" s="236" t="str">
        <f>IFERROR(__xludf.DUMMYFUNCTION("if(countif(ecn.list,FD63),OFFSET(INDIRECT(CONCAT(""A"",to_text(match(FD63,ecn.list,0)))),0,1),"""")"),"")</f>
        <v/>
      </c>
      <c r="CE63" s="236" t="str">
        <f>IFERROR(__xludf.DUMMYFUNCTION("if(countif(ecn.list,FE63),OFFSET(INDIRECT(CONCAT(""A"",to_text(match(FE63,ecn.list,0)))),0,1),"""")"),"")</f>
        <v/>
      </c>
      <c r="CF63" s="236" t="str">
        <f>IFERROR(__xludf.DUMMYFUNCTION("if(countif(ecn.list,FF63),OFFSET(INDIRECT(CONCAT(""A"",to_text(match(FF63,ecn.list,0)))),0,1),"""")"),"")</f>
        <v/>
      </c>
      <c r="CG63" s="236" t="str">
        <f>IFERROR(__xludf.DUMMYFUNCTION("if(countif(ecn.list,FG63),OFFSET(INDIRECT(CONCAT(""A"",to_text(match(FG63,ecn.list,0)))),0,1),"""")"),"")</f>
        <v/>
      </c>
      <c r="CH63" s="236" t="str">
        <f>IFERROR(__xludf.DUMMYFUNCTION("if(countif(ecn.list,FH63),OFFSET(INDIRECT(CONCAT(""A"",to_text(match(FH63,ecn.list,0)))),0,1),"""")"),"")</f>
        <v/>
      </c>
      <c r="CI63" s="236" t="str">
        <f>IFERROR(__xludf.DUMMYFUNCTION("if(countif(ecn.list,FI63),OFFSET(INDIRECT(CONCAT(""A"",to_text(match(FI63,ecn.list,0)))),0,1),"""")"),"")</f>
        <v/>
      </c>
      <c r="CJ63" s="236" t="str">
        <f>IFERROR(__xludf.DUMMYFUNCTION("if(countif(ecn.list,FJ63),OFFSET(INDIRECT(CONCAT(""A"",to_text(match(FJ63,ecn.list,0)))),0,1),"""")"),"")</f>
        <v/>
      </c>
      <c r="CK63" s="236" t="str">
        <f>IFERROR(__xludf.DUMMYFUNCTION("if(countif(ecn.list,FK63),OFFSET(INDIRECT(CONCAT(""A"",to_text(match(FK63,ecn.list,0)))),0,1),"""")"),"")</f>
        <v/>
      </c>
      <c r="CL63" s="236" t="str">
        <f>IFERROR(__xludf.DUMMYFUNCTION("if(countif(ecn.list,FL63),OFFSET(INDIRECT(CONCAT(""A"",to_text(match(FL63,ecn.list,0)))),0,1),"""")"),"")</f>
        <v/>
      </c>
      <c r="CM63" s="236" t="str">
        <f>IFERROR(__xludf.DUMMYFUNCTION("if(countif(ecn.list,FM63),OFFSET(INDIRECT(CONCAT(""A"",to_text(match(FM63,ecn.list,0)))),0,1),"""")"),"")</f>
        <v/>
      </c>
      <c r="CN63" s="198" t="s">
        <v>263</v>
      </c>
      <c r="CO63" s="198" t="s">
        <v>1453</v>
      </c>
      <c r="CP63" s="198" t="s">
        <v>1453</v>
      </c>
      <c r="CQ63" s="198" t="s">
        <v>1453</v>
      </c>
      <c r="CR63" s="198" t="s">
        <v>1453</v>
      </c>
      <c r="CS63" s="198" t="s">
        <v>1453</v>
      </c>
      <c r="CT63" s="198" t="s">
        <v>1454</v>
      </c>
      <c r="CU63" s="198" t="s">
        <v>1455</v>
      </c>
      <c r="CV63" s="198" t="s">
        <v>1453</v>
      </c>
      <c r="CW63" s="198" t="s">
        <v>1453</v>
      </c>
      <c r="CX63" s="198" t="s">
        <v>1453</v>
      </c>
      <c r="CY63" s="198" t="s">
        <v>1453</v>
      </c>
      <c r="CZ63" s="198" t="s">
        <v>1453</v>
      </c>
      <c r="DA63" s="198" t="s">
        <v>1453</v>
      </c>
      <c r="DB63" s="198" t="s">
        <v>1453</v>
      </c>
      <c r="DC63" s="198" t="s">
        <v>1453</v>
      </c>
      <c r="DD63" s="198" t="s">
        <v>1453</v>
      </c>
      <c r="DE63" s="198" t="s">
        <v>1453</v>
      </c>
      <c r="DF63" s="198" t="s">
        <v>1453</v>
      </c>
      <c r="DG63" s="198" t="s">
        <v>1453</v>
      </c>
      <c r="DH63" s="198" t="s">
        <v>1453</v>
      </c>
      <c r="DI63" s="198" t="s">
        <v>1453</v>
      </c>
      <c r="DJ63" s="198" t="s">
        <v>1453</v>
      </c>
      <c r="DK63" s="198" t="s">
        <v>1453</v>
      </c>
      <c r="DL63" s="198" t="s">
        <v>1453</v>
      </c>
      <c r="DM63" s="198" t="s">
        <v>1453</v>
      </c>
      <c r="DN63" s="198" t="s">
        <v>1453</v>
      </c>
      <c r="DO63" s="198" t="s">
        <v>1453</v>
      </c>
      <c r="DP63" s="198" t="s">
        <v>1453</v>
      </c>
      <c r="DQ63" s="198" t="s">
        <v>1453</v>
      </c>
      <c r="DR63" s="198" t="s">
        <v>1453</v>
      </c>
      <c r="DS63" s="198" t="s">
        <v>1453</v>
      </c>
      <c r="DT63" s="198" t="s">
        <v>1453</v>
      </c>
      <c r="DU63" s="198" t="s">
        <v>1453</v>
      </c>
      <c r="DV63" s="198" t="s">
        <v>1453</v>
      </c>
      <c r="DW63" s="198" t="s">
        <v>1453</v>
      </c>
      <c r="DX63" s="198" t="s">
        <v>1453</v>
      </c>
      <c r="DY63" s="198" t="s">
        <v>1453</v>
      </c>
      <c r="DZ63" s="198" t="s">
        <v>1453</v>
      </c>
      <c r="EA63" s="198" t="s">
        <v>1453</v>
      </c>
      <c r="EB63" s="198" t="s">
        <v>1453</v>
      </c>
      <c r="EC63" s="198" t="s">
        <v>1453</v>
      </c>
      <c r="ED63" s="198" t="s">
        <v>1453</v>
      </c>
      <c r="EE63" s="198" t="s">
        <v>1453</v>
      </c>
      <c r="EF63" s="198" t="s">
        <v>1453</v>
      </c>
      <c r="EG63" s="198" t="s">
        <v>1453</v>
      </c>
      <c r="EH63" s="198" t="s">
        <v>1453</v>
      </c>
      <c r="EI63" s="198" t="s">
        <v>1453</v>
      </c>
      <c r="EJ63" s="198" t="s">
        <v>1453</v>
      </c>
      <c r="EK63" s="198" t="s">
        <v>1453</v>
      </c>
      <c r="EL63" s="198" t="s">
        <v>1453</v>
      </c>
      <c r="EM63" s="198" t="s">
        <v>1453</v>
      </c>
      <c r="EN63" s="198" t="s">
        <v>1453</v>
      </c>
      <c r="EO63" s="198" t="s">
        <v>1453</v>
      </c>
      <c r="EP63" s="198" t="s">
        <v>1453</v>
      </c>
      <c r="EQ63" s="198" t="s">
        <v>1453</v>
      </c>
      <c r="ER63" s="198" t="s">
        <v>1453</v>
      </c>
      <c r="ES63" s="198" t="s">
        <v>1453</v>
      </c>
      <c r="ET63" s="198" t="s">
        <v>1453</v>
      </c>
      <c r="EU63" s="198" t="s">
        <v>1453</v>
      </c>
      <c r="EV63" s="198" t="s">
        <v>1453</v>
      </c>
      <c r="EW63" s="198" t="s">
        <v>1453</v>
      </c>
      <c r="EX63" s="198" t="s">
        <v>1453</v>
      </c>
      <c r="EY63" s="198" t="s">
        <v>1453</v>
      </c>
      <c r="EZ63" s="198" t="s">
        <v>1477</v>
      </c>
      <c r="FA63" s="198" t="s">
        <v>1453</v>
      </c>
      <c r="FB63" s="198" t="s">
        <v>1453</v>
      </c>
      <c r="FC63" s="198" t="s">
        <v>1453</v>
      </c>
      <c r="FD63" s="198" t="s">
        <v>1453</v>
      </c>
      <c r="FE63" s="198" t="s">
        <v>1453</v>
      </c>
      <c r="FF63" s="198" t="s">
        <v>1453</v>
      </c>
      <c r="FG63" s="198" t="s">
        <v>1453</v>
      </c>
      <c r="FH63" s="198" t="s">
        <v>1453</v>
      </c>
      <c r="FI63" s="198" t="s">
        <v>1453</v>
      </c>
      <c r="FJ63" s="198" t="s">
        <v>1453</v>
      </c>
      <c r="FK63" s="198" t="s">
        <v>1453</v>
      </c>
      <c r="FL63" s="198" t="s">
        <v>1453</v>
      </c>
      <c r="FM63" s="198" t="s">
        <v>1453</v>
      </c>
    </row>
    <row r="64" ht="15.75" customHeight="1">
      <c r="A64" s="198" t="s">
        <v>1495</v>
      </c>
      <c r="B64" s="198" t="str">
        <f t="shared" si="7"/>
        <v>MC </v>
      </c>
      <c r="C64" s="234" t="s">
        <v>1511</v>
      </c>
      <c r="D64" s="232" t="s">
        <v>770</v>
      </c>
      <c r="E64" s="232" t="s">
        <v>1448</v>
      </c>
      <c r="F64" s="232" t="s">
        <v>1449</v>
      </c>
      <c r="G64" s="232" t="s">
        <v>1450</v>
      </c>
      <c r="H64" s="232" t="s">
        <v>1037</v>
      </c>
      <c r="I64" s="232" t="s">
        <v>1038</v>
      </c>
      <c r="J64" s="232" t="s">
        <v>1529</v>
      </c>
      <c r="K64" s="232" t="s">
        <v>1062</v>
      </c>
      <c r="L64" s="188" t="s">
        <v>265</v>
      </c>
      <c r="M64" s="236" t="str">
        <f>IFERROR(__xludf.DUMMYFUNCTION("regexreplace(N64,"" "","", "")"),"J0, J1, J2, J5, J6, J7, JC, JF, K0, K5, K7, K9, KA, KB, KC, KD, KF, L1, L8, LA, LC, LF, M1, M3, M4, MB, MF, N2, N7, NA, ")</f>
        <v>J0, J1, J2, J5, J6, J7, JC, JF, K0, K5, K7, K9, KA, KB, KC, KD, KF, L1, L8, LA, LC, LF, M1, M3, M4, MB, MF, N2, N7, NA, </v>
      </c>
      <c r="N64" s="236" t="str">
        <f t="shared" si="2"/>
        <v>J0 J1 J2 J5 J6 J7 JC JF K0 K5 K7 K9 KA KB KC KD KF L1 L8 LA LC LF M1 M3 M4 MB MF N2 N7 NA </v>
      </c>
      <c r="O64" s="236" t="str">
        <f>IFERROR(__xludf.DUMMYFUNCTION("if(countif(ecn.list,CO64),OFFSET(INDIRECT(CONCAT(""A"",to_text(match(CO64,ecn.list,0)))),0,1),"""")"),"J0 ")</f>
        <v>J0 </v>
      </c>
      <c r="P64" s="236" t="str">
        <f>IFERROR(__xludf.DUMMYFUNCTION("if(countif(ecn.list,CP64),OFFSET(INDIRECT(CONCAT(""A"",to_text(match(CP64,ecn.list,0)))),0,1),"""")"),"J1 ")</f>
        <v>J1 </v>
      </c>
      <c r="Q64" s="236" t="str">
        <f>IFERROR(__xludf.DUMMYFUNCTION("if(countif(ecn.list,CQ64),OFFSET(INDIRECT(CONCAT(""A"",to_text(match(CQ64,ecn.list,0)))),0,1),"""")"),"J2 ")</f>
        <v>J2 </v>
      </c>
      <c r="R64" s="236" t="str">
        <f>IFERROR(__xludf.DUMMYFUNCTION("if(countif(ecn.list,CR64),OFFSET(INDIRECT(CONCAT(""A"",to_text(match(CR64,ecn.list,0)))),0,1),"""")"),"")</f>
        <v/>
      </c>
      <c r="S64" s="236" t="str">
        <f>IFERROR(__xludf.DUMMYFUNCTION("if(countif(ecn.list,CS64),OFFSET(INDIRECT(CONCAT(""A"",to_text(match(CS64,ecn.list,0)))),0,1),"""")"),"")</f>
        <v/>
      </c>
      <c r="T64" s="236" t="str">
        <f>IFERROR(__xludf.DUMMYFUNCTION("if(countif(ecn.list,CT64),OFFSET(INDIRECT(CONCAT(""A"",to_text(match(CT64,ecn.list,0)))),0,1),"""")"),"J5 ")</f>
        <v>J5 </v>
      </c>
      <c r="U64" s="236" t="str">
        <f>IFERROR(__xludf.DUMMYFUNCTION("if(countif(ecn.list,CU64),OFFSET(INDIRECT(CONCAT(""A"",to_text(match(CU64,ecn.list,0)))),0,1),"""")"),"J6 ")</f>
        <v>J6 </v>
      </c>
      <c r="V64" s="236" t="str">
        <f>IFERROR(__xludf.DUMMYFUNCTION("if(countif(ecn.list,CV64),OFFSET(INDIRECT(CONCAT(""A"",to_text(match(CV64,ecn.list,0)))),0,1),"""")"),"J7 ")</f>
        <v>J7 </v>
      </c>
      <c r="W64" s="236" t="str">
        <f>IFERROR(__xludf.DUMMYFUNCTION("if(countif(ecn.list,CW64),OFFSET(INDIRECT(CONCAT(""A"",to_text(match(CW64,ecn.list,0)))),0,1),"""")"),"")</f>
        <v/>
      </c>
      <c r="X64" s="236" t="str">
        <f>IFERROR(__xludf.DUMMYFUNCTION("if(countif(ecn.list,CX64),OFFSET(INDIRECT(CONCAT(""A"",to_text(match(CX64,ecn.list,0)))),0,1),"""")"),"")</f>
        <v/>
      </c>
      <c r="Y64" s="236" t="str">
        <f>IFERROR(__xludf.DUMMYFUNCTION("if(countif(ecn.list,CY64),OFFSET(INDIRECT(CONCAT(""A"",to_text(match(CY64,ecn.list,0)))),0,1),"""")"),"")</f>
        <v/>
      </c>
      <c r="Z64" s="236" t="str">
        <f>IFERROR(__xludf.DUMMYFUNCTION("if(countif(ecn.list,CZ64),OFFSET(INDIRECT(CONCAT(""A"",to_text(match(CZ64,ecn.list,0)))),0,1),"""")"),"")</f>
        <v/>
      </c>
      <c r="AA64" s="236" t="str">
        <f>IFERROR(__xludf.DUMMYFUNCTION("if(countif(ecn.list,DA64),OFFSET(INDIRECT(CONCAT(""A"",to_text(match(DA64,ecn.list,0)))),0,1),"""")"),"JC ")</f>
        <v>JC </v>
      </c>
      <c r="AB64" s="236" t="str">
        <f>IFERROR(__xludf.DUMMYFUNCTION("if(countif(ecn.list,DB64),OFFSET(INDIRECT(CONCAT(""A"",to_text(match(DB64,ecn.list,0)))),0,1),"""")"),"")</f>
        <v/>
      </c>
      <c r="AC64" s="236" t="str">
        <f>IFERROR(__xludf.DUMMYFUNCTION("if(countif(ecn.list,DC64),OFFSET(INDIRECT(CONCAT(""A"",to_text(match(DC64,ecn.list,0)))),0,1),"""")"),"")</f>
        <v/>
      </c>
      <c r="AD64" s="236" t="str">
        <f>IFERROR(__xludf.DUMMYFUNCTION("if(countif(ecn.list,DD64),OFFSET(INDIRECT(CONCAT(""A"",to_text(match(DD64,ecn.list,0)))),0,1),"""")"),"JF ")</f>
        <v>JF </v>
      </c>
      <c r="AE64" s="236" t="str">
        <f>IFERROR(__xludf.DUMMYFUNCTION("if(countif(ecn.list,DE64),OFFSET(INDIRECT(CONCAT(""A"",to_text(match(DE64,ecn.list,0)))),0,1),"""")"),"K0 ")</f>
        <v>K0 </v>
      </c>
      <c r="AF64" s="236" t="str">
        <f>IFERROR(__xludf.DUMMYFUNCTION("if(countif(ecn.list,DF64),OFFSET(INDIRECT(CONCAT(""A"",to_text(match(DF64,ecn.list,0)))),0,1),"""")"),"")</f>
        <v/>
      </c>
      <c r="AG64" s="236" t="str">
        <f>IFERROR(__xludf.DUMMYFUNCTION("if(countif(ecn.list,DG64),OFFSET(INDIRECT(CONCAT(""A"",to_text(match(DG64,ecn.list,0)))),0,1),"""")"),"")</f>
        <v/>
      </c>
      <c r="AH64" s="236" t="str">
        <f>IFERROR(__xludf.DUMMYFUNCTION("if(countif(ecn.list,DH64),OFFSET(INDIRECT(CONCAT(""A"",to_text(match(DH64,ecn.list,0)))),0,1),"""")"),"")</f>
        <v/>
      </c>
      <c r="AI64" s="236" t="str">
        <f>IFERROR(__xludf.DUMMYFUNCTION("if(countif(ecn.list,DI64),OFFSET(INDIRECT(CONCAT(""A"",to_text(match(DI64,ecn.list,0)))),0,1),"""")"),"")</f>
        <v/>
      </c>
      <c r="AJ64" s="236" t="str">
        <f>IFERROR(__xludf.DUMMYFUNCTION("if(countif(ecn.list,DJ64),OFFSET(INDIRECT(CONCAT(""A"",to_text(match(DJ64,ecn.list,0)))),0,1),"""")"),"K5 ")</f>
        <v>K5 </v>
      </c>
      <c r="AK64" s="236" t="str">
        <f>IFERROR(__xludf.DUMMYFUNCTION("if(countif(ecn.list,DK64),OFFSET(INDIRECT(CONCAT(""A"",to_text(match(DK64,ecn.list,0)))),0,1),"""")"),"")</f>
        <v/>
      </c>
      <c r="AL64" s="236" t="str">
        <f>IFERROR(__xludf.DUMMYFUNCTION("if(countif(ecn.list,DL64),OFFSET(INDIRECT(CONCAT(""A"",to_text(match(DL64,ecn.list,0)))),0,1),"""")"),"K7 ")</f>
        <v>K7 </v>
      </c>
      <c r="AM64" s="236" t="str">
        <f>IFERROR(__xludf.DUMMYFUNCTION("if(countif(ecn.list,DM64),OFFSET(INDIRECT(CONCAT(""A"",to_text(match(DM64,ecn.list,0)))),0,1),"""")"),"")</f>
        <v/>
      </c>
      <c r="AN64" s="236" t="str">
        <f>IFERROR(__xludf.DUMMYFUNCTION("if(countif(ecn.list,DN64),OFFSET(INDIRECT(CONCAT(""A"",to_text(match(DN64,ecn.list,0)))),0,1),"""")"),"K9 ")</f>
        <v>K9 </v>
      </c>
      <c r="AO64" s="236" t="str">
        <f>IFERROR(__xludf.DUMMYFUNCTION("if(countif(ecn.list,DO64),OFFSET(INDIRECT(CONCAT(""A"",to_text(match(DO64,ecn.list,0)))),0,1),"""")"),"KA ")</f>
        <v>KA </v>
      </c>
      <c r="AP64" s="236" t="str">
        <f>IFERROR(__xludf.DUMMYFUNCTION("if(countif(ecn.list,DP64),OFFSET(INDIRECT(CONCAT(""A"",to_text(match(DP64,ecn.list,0)))),0,1),"""")"),"KB ")</f>
        <v>KB </v>
      </c>
      <c r="AQ64" s="236" t="str">
        <f>IFERROR(__xludf.DUMMYFUNCTION("if(countif(ecn.list,DQ64),OFFSET(INDIRECT(CONCAT(""A"",to_text(match(DQ64,ecn.list,0)))),0,1),"""")"),"KC ")</f>
        <v>KC </v>
      </c>
      <c r="AR64" s="236" t="str">
        <f>IFERROR(__xludf.DUMMYFUNCTION("if(countif(ecn.list,DR64),OFFSET(INDIRECT(CONCAT(""A"",to_text(match(DR64,ecn.list,0)))),0,1),"""")"),"KD ")</f>
        <v>KD </v>
      </c>
      <c r="AS64" s="236" t="str">
        <f>IFERROR(__xludf.DUMMYFUNCTION("if(countif(ecn.list,DS64),OFFSET(INDIRECT(CONCAT(""A"",to_text(match(DS64,ecn.list,0)))),0,1),"""")"),"")</f>
        <v/>
      </c>
      <c r="AT64" s="236" t="str">
        <f>IFERROR(__xludf.DUMMYFUNCTION("if(countif(ecn.list,DT64),OFFSET(INDIRECT(CONCAT(""A"",to_text(match(DT64,ecn.list,0)))),0,1),"""")"),"KF ")</f>
        <v>KF </v>
      </c>
      <c r="AU64" s="236" t="str">
        <f>IFERROR(__xludf.DUMMYFUNCTION("if(countif(ecn.list,DU64),OFFSET(INDIRECT(CONCAT(""A"",to_text(match(DU64,ecn.list,0)))),0,1),"""")"),"")</f>
        <v/>
      </c>
      <c r="AV64" s="236" t="str">
        <f>IFERROR(__xludf.DUMMYFUNCTION("if(countif(ecn.list,DV64),OFFSET(INDIRECT(CONCAT(""A"",to_text(match(DV64,ecn.list,0)))),0,1),"""")"),"L1 ")</f>
        <v>L1 </v>
      </c>
      <c r="AW64" s="236" t="str">
        <f>IFERROR(__xludf.DUMMYFUNCTION("if(countif(ecn.list,DW64),OFFSET(INDIRECT(CONCAT(""A"",to_text(match(DW64,ecn.list,0)))),0,1),"""")"),"")</f>
        <v/>
      </c>
      <c r="AX64" s="236" t="str">
        <f>IFERROR(__xludf.DUMMYFUNCTION("if(countif(ecn.list,DX64),OFFSET(INDIRECT(CONCAT(""A"",to_text(match(DX64,ecn.list,0)))),0,1),"""")"),"")</f>
        <v/>
      </c>
      <c r="AY64" s="236" t="str">
        <f>IFERROR(__xludf.DUMMYFUNCTION("if(countif(ecn.list,DY64),OFFSET(INDIRECT(CONCAT(""A"",to_text(match(DY64,ecn.list,0)))),0,1),"""")"),"")</f>
        <v/>
      </c>
      <c r="AZ64" s="236" t="str">
        <f>IFERROR(__xludf.DUMMYFUNCTION("if(countif(ecn.list,DZ64),OFFSET(INDIRECT(CONCAT(""A"",to_text(match(DZ64,ecn.list,0)))),0,1),"""")"),"")</f>
        <v/>
      </c>
      <c r="BA64" s="236" t="str">
        <f>IFERROR(__xludf.DUMMYFUNCTION("if(countif(ecn.list,EA64),OFFSET(INDIRECT(CONCAT(""A"",to_text(match(EA64,ecn.list,0)))),0,1),"""")"),"")</f>
        <v/>
      </c>
      <c r="BB64" s="236" t="str">
        <f>IFERROR(__xludf.DUMMYFUNCTION("if(countif(ecn.list,EB64),OFFSET(INDIRECT(CONCAT(""A"",to_text(match(EB64,ecn.list,0)))),0,1),"""")"),"")</f>
        <v/>
      </c>
      <c r="BC64" s="236" t="str">
        <f>IFERROR(__xludf.DUMMYFUNCTION("if(countif(ecn.list,EC64),OFFSET(INDIRECT(CONCAT(""A"",to_text(match(EC64,ecn.list,0)))),0,1),"""")"),"L8 ")</f>
        <v>L8 </v>
      </c>
      <c r="BD64" s="236" t="str">
        <f>IFERROR(__xludf.DUMMYFUNCTION("if(countif(ecn.list,ED64),OFFSET(INDIRECT(CONCAT(""A"",to_text(match(ED64,ecn.list,0)))),0,1),"""")"),"")</f>
        <v/>
      </c>
      <c r="BE64" s="236" t="str">
        <f>IFERROR(__xludf.DUMMYFUNCTION("if(countif(ecn.list,EE64),OFFSET(INDIRECT(CONCAT(""A"",to_text(match(EE64,ecn.list,0)))),0,1),"""")"),"LA ")</f>
        <v>LA </v>
      </c>
      <c r="BF64" s="236" t="str">
        <f>IFERROR(__xludf.DUMMYFUNCTION("if(countif(ecn.list,EF64),OFFSET(INDIRECT(CONCAT(""A"",to_text(match(EF64,ecn.list,0)))),0,1),"""")"),"")</f>
        <v/>
      </c>
      <c r="BG64" s="236" t="str">
        <f>IFERROR(__xludf.DUMMYFUNCTION("if(countif(ecn.list,EG64),OFFSET(INDIRECT(CONCAT(""A"",to_text(match(EG64,ecn.list,0)))),0,1),"""")"),"LC ")</f>
        <v>LC </v>
      </c>
      <c r="BH64" s="236" t="str">
        <f>IFERROR(__xludf.DUMMYFUNCTION("if(countif(ecn.list,EH64),OFFSET(INDIRECT(CONCAT(""A"",to_text(match(EH64,ecn.list,0)))),0,1),"""")"),"")</f>
        <v/>
      </c>
      <c r="BI64" s="236" t="str">
        <f>IFERROR(__xludf.DUMMYFUNCTION("if(countif(ecn.list,EI64),OFFSET(INDIRECT(CONCAT(""A"",to_text(match(EI64,ecn.list,0)))),0,1),"""")"),"")</f>
        <v/>
      </c>
      <c r="BJ64" s="236" t="str">
        <f>IFERROR(__xludf.DUMMYFUNCTION("if(countif(ecn.list,EJ64),OFFSET(INDIRECT(CONCAT(""A"",to_text(match(EJ64,ecn.list,0)))),0,1),"""")"),"LF ")</f>
        <v>LF </v>
      </c>
      <c r="BK64" s="236" t="str">
        <f>IFERROR(__xludf.DUMMYFUNCTION("if(countif(ecn.list,EK64),OFFSET(INDIRECT(CONCAT(""A"",to_text(match(EK64,ecn.list,0)))),0,1),"""")"),"")</f>
        <v/>
      </c>
      <c r="BL64" s="236" t="str">
        <f>IFERROR(__xludf.DUMMYFUNCTION("if(countif(ecn.list,EL64),OFFSET(INDIRECT(CONCAT(""A"",to_text(match(EL64,ecn.list,0)))),0,1),"""")"),"M1 ")</f>
        <v>M1 </v>
      </c>
      <c r="BM64" s="236" t="str">
        <f>IFERROR(__xludf.DUMMYFUNCTION("if(countif(ecn.list,EM64),OFFSET(INDIRECT(CONCAT(""A"",to_text(match(EM64,ecn.list,0)))),0,1),"""")"),"")</f>
        <v/>
      </c>
      <c r="BN64" s="236" t="str">
        <f>IFERROR(__xludf.DUMMYFUNCTION("if(countif(ecn.list,EN64),OFFSET(INDIRECT(CONCAT(""A"",to_text(match(EN64,ecn.list,0)))),0,1),"""")"),"M3 ")</f>
        <v>M3 </v>
      </c>
      <c r="BO64" s="236" t="str">
        <f>IFERROR(__xludf.DUMMYFUNCTION("if(countif(ecn.list,EO64),OFFSET(INDIRECT(CONCAT(""A"",to_text(match(EO64,ecn.list,0)))),0,1),"""")"),"M4 ")</f>
        <v>M4 </v>
      </c>
      <c r="BP64" s="236" t="str">
        <f>IFERROR(__xludf.DUMMYFUNCTION("if(countif(ecn.list,EP64),OFFSET(INDIRECT(CONCAT(""A"",to_text(match(EP64,ecn.list,0)))),0,1),"""")"),"")</f>
        <v/>
      </c>
      <c r="BQ64" s="236" t="str">
        <f>IFERROR(__xludf.DUMMYFUNCTION("if(countif(ecn.list,EQ64),OFFSET(INDIRECT(CONCAT(""A"",to_text(match(EQ64,ecn.list,0)))),0,1),"""")"),"")</f>
        <v/>
      </c>
      <c r="BR64" s="236" t="str">
        <f>IFERROR(__xludf.DUMMYFUNCTION("if(countif(ecn.list,ER64),OFFSET(INDIRECT(CONCAT(""A"",to_text(match(ER64,ecn.list,0)))),0,1),"""")"),"")</f>
        <v/>
      </c>
      <c r="BS64" s="236" t="str">
        <f>IFERROR(__xludf.DUMMYFUNCTION("if(countif(ecn.list,ES64),OFFSET(INDIRECT(CONCAT(""A"",to_text(match(ES64,ecn.list,0)))),0,1),"""")"),"")</f>
        <v/>
      </c>
      <c r="BT64" s="236" t="str">
        <f>IFERROR(__xludf.DUMMYFUNCTION("if(countif(ecn.list,ET64),OFFSET(INDIRECT(CONCAT(""A"",to_text(match(ET64,ecn.list,0)))),0,1),"""")"),"")</f>
        <v/>
      </c>
      <c r="BU64" s="236" t="str">
        <f>IFERROR(__xludf.DUMMYFUNCTION("if(countif(ecn.list,EU64),OFFSET(INDIRECT(CONCAT(""A"",to_text(match(EU64,ecn.list,0)))),0,1),"""")"),"")</f>
        <v/>
      </c>
      <c r="BV64" s="236" t="str">
        <f>IFERROR(__xludf.DUMMYFUNCTION("if(countif(ecn.list,EV64),OFFSET(INDIRECT(CONCAT(""A"",to_text(match(EV64,ecn.list,0)))),0,1),"""")"),"MB ")</f>
        <v>MB </v>
      </c>
      <c r="BW64" s="236" t="str">
        <f>IFERROR(__xludf.DUMMYFUNCTION("if(countif(ecn.list,EW64),OFFSET(INDIRECT(CONCAT(""A"",to_text(match(EW64,ecn.list,0)))),0,1),"""")"),"")</f>
        <v/>
      </c>
      <c r="BX64" s="236" t="str">
        <f>IFERROR(__xludf.DUMMYFUNCTION("if(countif(ecn.list,EX64),OFFSET(INDIRECT(CONCAT(""A"",to_text(match(EX64,ecn.list,0)))),0,1),"""")"),"")</f>
        <v/>
      </c>
      <c r="BY64" s="236" t="str">
        <f>IFERROR(__xludf.DUMMYFUNCTION("if(countif(ecn.list,EY64),OFFSET(INDIRECT(CONCAT(""A"",to_text(match(EY64,ecn.list,0)))),0,1),"""")"),"")</f>
        <v/>
      </c>
      <c r="BZ64" s="236" t="str">
        <f>IFERROR(__xludf.DUMMYFUNCTION("if(countif(ecn.list,EZ64),OFFSET(INDIRECT(CONCAT(""A"",to_text(match(EZ64,ecn.list,0)))),0,1),"""")"),"MF ")</f>
        <v>MF </v>
      </c>
      <c r="CA64" s="236" t="str">
        <f>IFERROR(__xludf.DUMMYFUNCTION("if(countif(ecn.list,FA64),OFFSET(INDIRECT(CONCAT(""A"",to_text(match(FA64,ecn.list,0)))),0,1),"""")"),"")</f>
        <v/>
      </c>
      <c r="CB64" s="236" t="str">
        <f>IFERROR(__xludf.DUMMYFUNCTION("if(countif(ecn.list,FB64),OFFSET(INDIRECT(CONCAT(""A"",to_text(match(FB64,ecn.list,0)))),0,1),"""")"),"")</f>
        <v/>
      </c>
      <c r="CC64" s="236" t="str">
        <f>IFERROR(__xludf.DUMMYFUNCTION("if(countif(ecn.list,FC64),OFFSET(INDIRECT(CONCAT(""A"",to_text(match(FC64,ecn.list,0)))),0,1),"""")"),"N2 ")</f>
        <v>N2 </v>
      </c>
      <c r="CD64" s="236" t="str">
        <f>IFERROR(__xludf.DUMMYFUNCTION("if(countif(ecn.list,FD64),OFFSET(INDIRECT(CONCAT(""A"",to_text(match(FD64,ecn.list,0)))),0,1),"""")"),"")</f>
        <v/>
      </c>
      <c r="CE64" s="236" t="str">
        <f>IFERROR(__xludf.DUMMYFUNCTION("if(countif(ecn.list,FE64),OFFSET(INDIRECT(CONCAT(""A"",to_text(match(FE64,ecn.list,0)))),0,1),"""")"),"")</f>
        <v/>
      </c>
      <c r="CF64" s="236" t="str">
        <f>IFERROR(__xludf.DUMMYFUNCTION("if(countif(ecn.list,FF64),OFFSET(INDIRECT(CONCAT(""A"",to_text(match(FF64,ecn.list,0)))),0,1),"""")"),"")</f>
        <v/>
      </c>
      <c r="CG64" s="236" t="str">
        <f>IFERROR(__xludf.DUMMYFUNCTION("if(countif(ecn.list,FG64),OFFSET(INDIRECT(CONCAT(""A"",to_text(match(FG64,ecn.list,0)))),0,1),"""")"),"")</f>
        <v/>
      </c>
      <c r="CH64" s="236" t="str">
        <f>IFERROR(__xludf.DUMMYFUNCTION("if(countif(ecn.list,FH64),OFFSET(INDIRECT(CONCAT(""A"",to_text(match(FH64,ecn.list,0)))),0,1),"""")"),"N7 ")</f>
        <v>N7 </v>
      </c>
      <c r="CI64" s="236" t="str">
        <f>IFERROR(__xludf.DUMMYFUNCTION("if(countif(ecn.list,FI64),OFFSET(INDIRECT(CONCAT(""A"",to_text(match(FI64,ecn.list,0)))),0,1),"""")"),"")</f>
        <v/>
      </c>
      <c r="CJ64" s="236" t="str">
        <f>IFERROR(__xludf.DUMMYFUNCTION("if(countif(ecn.list,FJ64),OFFSET(INDIRECT(CONCAT(""A"",to_text(match(FJ64,ecn.list,0)))),0,1),"""")"),"")</f>
        <v/>
      </c>
      <c r="CK64" s="236" t="str">
        <f>IFERROR(__xludf.DUMMYFUNCTION("if(countif(ecn.list,FK64),OFFSET(INDIRECT(CONCAT(""A"",to_text(match(FK64,ecn.list,0)))),0,1),"""")"),"NA ")</f>
        <v>NA </v>
      </c>
      <c r="CL64" s="236" t="str">
        <f>IFERROR(__xludf.DUMMYFUNCTION("if(countif(ecn.list,FL64),OFFSET(INDIRECT(CONCAT(""A"",to_text(match(FL64,ecn.list,0)))),0,1),"""")"),"")</f>
        <v/>
      </c>
      <c r="CM64" s="236" t="str">
        <f>IFERROR(__xludf.DUMMYFUNCTION("if(countif(ecn.list,FM64),OFFSET(INDIRECT(CONCAT(""A"",to_text(match(FM64,ecn.list,0)))),0,1),"""")"),"")</f>
        <v/>
      </c>
      <c r="CN64" s="198" t="s">
        <v>265</v>
      </c>
      <c r="CO64" s="198" t="s">
        <v>1447</v>
      </c>
      <c r="CP64" s="198" t="s">
        <v>1451</v>
      </c>
      <c r="CQ64" s="198" t="s">
        <v>1452</v>
      </c>
      <c r="CR64" s="198" t="s">
        <v>1453</v>
      </c>
      <c r="CS64" s="198" t="s">
        <v>1453</v>
      </c>
      <c r="CT64" s="198" t="s">
        <v>1454</v>
      </c>
      <c r="CU64" s="198" t="s">
        <v>1455</v>
      </c>
      <c r="CV64" s="198" t="s">
        <v>1456</v>
      </c>
      <c r="CW64" s="198" t="s">
        <v>1453</v>
      </c>
      <c r="CX64" s="198" t="s">
        <v>1453</v>
      </c>
      <c r="CY64" s="198" t="s">
        <v>1453</v>
      </c>
      <c r="CZ64" s="198" t="s">
        <v>1453</v>
      </c>
      <c r="DA64" s="198" t="s">
        <v>1457</v>
      </c>
      <c r="DB64" s="198" t="s">
        <v>1453</v>
      </c>
      <c r="DC64" s="198" t="s">
        <v>1453</v>
      </c>
      <c r="DD64" s="198" t="s">
        <v>1458</v>
      </c>
      <c r="DE64" s="198" t="s">
        <v>1459</v>
      </c>
      <c r="DF64" s="198" t="s">
        <v>1453</v>
      </c>
      <c r="DG64" s="198" t="s">
        <v>1453</v>
      </c>
      <c r="DH64" s="198" t="s">
        <v>1453</v>
      </c>
      <c r="DI64" s="198" t="s">
        <v>1453</v>
      </c>
      <c r="DJ64" s="198" t="s">
        <v>1460</v>
      </c>
      <c r="DK64" s="198" t="s">
        <v>1453</v>
      </c>
      <c r="DL64" s="198" t="s">
        <v>1461</v>
      </c>
      <c r="DM64" s="198" t="s">
        <v>1453</v>
      </c>
      <c r="DN64" s="198" t="s">
        <v>1463</v>
      </c>
      <c r="DO64" s="198" t="s">
        <v>1464</v>
      </c>
      <c r="DP64" s="198" t="s">
        <v>1465</v>
      </c>
      <c r="DQ64" s="198" t="s">
        <v>1466</v>
      </c>
      <c r="DR64" s="198" t="s">
        <v>1467</v>
      </c>
      <c r="DS64" s="198" t="s">
        <v>1453</v>
      </c>
      <c r="DT64" s="198" t="s">
        <v>1468</v>
      </c>
      <c r="DU64" s="198" t="s">
        <v>1453</v>
      </c>
      <c r="DV64" s="198" t="s">
        <v>1469</v>
      </c>
      <c r="DW64" s="198" t="s">
        <v>1453</v>
      </c>
      <c r="DX64" s="198" t="s">
        <v>1453</v>
      </c>
      <c r="DY64" s="198" t="s">
        <v>1453</v>
      </c>
      <c r="DZ64" s="198" t="s">
        <v>1453</v>
      </c>
      <c r="EA64" s="198" t="s">
        <v>1453</v>
      </c>
      <c r="EB64" s="198" t="s">
        <v>1453</v>
      </c>
      <c r="EC64" s="198" t="s">
        <v>1483</v>
      </c>
      <c r="ED64" s="198" t="s">
        <v>1453</v>
      </c>
      <c r="EE64" s="198" t="s">
        <v>1470</v>
      </c>
      <c r="EF64" s="198" t="s">
        <v>1453</v>
      </c>
      <c r="EG64" s="198" t="s">
        <v>1471</v>
      </c>
      <c r="EH64" s="198" t="s">
        <v>1453</v>
      </c>
      <c r="EI64" s="198" t="s">
        <v>1453</v>
      </c>
      <c r="EJ64" s="198" t="s">
        <v>1472</v>
      </c>
      <c r="EK64" s="198" t="s">
        <v>1453</v>
      </c>
      <c r="EL64" s="198" t="s">
        <v>1473</v>
      </c>
      <c r="EM64" s="198" t="s">
        <v>1453</v>
      </c>
      <c r="EN64" s="198" t="s">
        <v>1474</v>
      </c>
      <c r="EO64" s="198" t="s">
        <v>1475</v>
      </c>
      <c r="EP64" s="198" t="s">
        <v>1453</v>
      </c>
      <c r="EQ64" s="198" t="s">
        <v>1453</v>
      </c>
      <c r="ER64" s="198" t="s">
        <v>1453</v>
      </c>
      <c r="ES64" s="198" t="s">
        <v>1453</v>
      </c>
      <c r="ET64" s="198" t="s">
        <v>1453</v>
      </c>
      <c r="EU64" s="198" t="s">
        <v>1453</v>
      </c>
      <c r="EV64" s="198" t="s">
        <v>1476</v>
      </c>
      <c r="EW64" s="198" t="s">
        <v>1453</v>
      </c>
      <c r="EX64" s="198" t="s">
        <v>1453</v>
      </c>
      <c r="EY64" s="198" t="s">
        <v>1453</v>
      </c>
      <c r="EZ64" s="198" t="s">
        <v>1477</v>
      </c>
      <c r="FA64" s="198" t="s">
        <v>1453</v>
      </c>
      <c r="FB64" s="198" t="s">
        <v>1453</v>
      </c>
      <c r="FC64" s="198" t="s">
        <v>1478</v>
      </c>
      <c r="FD64" s="198" t="s">
        <v>1453</v>
      </c>
      <c r="FE64" s="198" t="s">
        <v>1453</v>
      </c>
      <c r="FF64" s="198" t="s">
        <v>1453</v>
      </c>
      <c r="FG64" s="198" t="s">
        <v>1453</v>
      </c>
      <c r="FH64" s="198" t="s">
        <v>1479</v>
      </c>
      <c r="FI64" s="198" t="s">
        <v>1453</v>
      </c>
      <c r="FJ64" s="198" t="s">
        <v>1453</v>
      </c>
      <c r="FK64" s="198" t="s">
        <v>1481</v>
      </c>
      <c r="FL64" s="198" t="s">
        <v>1482</v>
      </c>
      <c r="FM64" s="198" t="s">
        <v>1453</v>
      </c>
    </row>
    <row r="65" ht="15.75" customHeight="1">
      <c r="A65" s="198" t="s">
        <v>1488</v>
      </c>
      <c r="B65" s="198" t="str">
        <f t="shared" si="7"/>
        <v>MD </v>
      </c>
      <c r="C65" s="234" t="s">
        <v>1512</v>
      </c>
      <c r="D65" s="232" t="s">
        <v>770</v>
      </c>
      <c r="E65" s="232" t="s">
        <v>1448</v>
      </c>
      <c r="F65" s="232" t="s">
        <v>1449</v>
      </c>
      <c r="G65" s="232" t="s">
        <v>1450</v>
      </c>
      <c r="H65" s="232" t="s">
        <v>1069</v>
      </c>
      <c r="I65" s="232" t="s">
        <v>1070</v>
      </c>
      <c r="J65" s="232" t="s">
        <v>1530</v>
      </c>
      <c r="K65" s="232" t="s">
        <v>1072</v>
      </c>
      <c r="L65" s="188" t="s">
        <v>268</v>
      </c>
      <c r="M65" s="236" t="str">
        <f>IFERROR(__xludf.DUMMYFUNCTION("regexreplace(N65,"" "","", "")"),"J0, J1, J2, J5, J6, J7, JA, JC, JF, K0, K5, K7, K9, KA, KB, KC, KD, KF, L1, L8, LA, LC, LF, M1, M8, MB, MF, N2, N7, NA, ")</f>
        <v>J0, J1, J2, J5, J6, J7, JA, JC, JF, K0, K5, K7, K9, KA, KB, KC, KD, KF, L1, L8, LA, LC, LF, M1, M8, MB, MF, N2, N7, NA, </v>
      </c>
      <c r="N65" s="236" t="str">
        <f t="shared" si="2"/>
        <v>J0 J1 J2 J5 J6 J7 JA JC JF K0 K5 K7 K9 KA KB KC KD KF L1 L8 LA LC LF M1 M8 MB MF N2 N7 NA </v>
      </c>
      <c r="O65" s="236" t="str">
        <f>IFERROR(__xludf.DUMMYFUNCTION("if(countif(ecn.list,CO65),OFFSET(INDIRECT(CONCAT(""A"",to_text(match(CO65,ecn.list,0)))),0,1),"""")"),"J0 ")</f>
        <v>J0 </v>
      </c>
      <c r="P65" s="236" t="str">
        <f>IFERROR(__xludf.DUMMYFUNCTION("if(countif(ecn.list,CP65),OFFSET(INDIRECT(CONCAT(""A"",to_text(match(CP65,ecn.list,0)))),0,1),"""")"),"J1 ")</f>
        <v>J1 </v>
      </c>
      <c r="Q65" s="236" t="str">
        <f>IFERROR(__xludf.DUMMYFUNCTION("if(countif(ecn.list,CQ65),OFFSET(INDIRECT(CONCAT(""A"",to_text(match(CQ65,ecn.list,0)))),0,1),"""")"),"J2 ")</f>
        <v>J2 </v>
      </c>
      <c r="R65" s="236" t="str">
        <f>IFERROR(__xludf.DUMMYFUNCTION("if(countif(ecn.list,CR65),OFFSET(INDIRECT(CONCAT(""A"",to_text(match(CR65,ecn.list,0)))),0,1),"""")"),"")</f>
        <v/>
      </c>
      <c r="S65" s="236" t="str">
        <f>IFERROR(__xludf.DUMMYFUNCTION("if(countif(ecn.list,CS65),OFFSET(INDIRECT(CONCAT(""A"",to_text(match(CS65,ecn.list,0)))),0,1),"""")"),"")</f>
        <v/>
      </c>
      <c r="T65" s="236" t="str">
        <f>IFERROR(__xludf.DUMMYFUNCTION("if(countif(ecn.list,CT65),OFFSET(INDIRECT(CONCAT(""A"",to_text(match(CT65,ecn.list,0)))),0,1),"""")"),"J5 ")</f>
        <v>J5 </v>
      </c>
      <c r="U65" s="236" t="str">
        <f>IFERROR(__xludf.DUMMYFUNCTION("if(countif(ecn.list,CU65),OFFSET(INDIRECT(CONCAT(""A"",to_text(match(CU65,ecn.list,0)))),0,1),"""")"),"J6 ")</f>
        <v>J6 </v>
      </c>
      <c r="V65" s="236" t="str">
        <f>IFERROR(__xludf.DUMMYFUNCTION("if(countif(ecn.list,CV65),OFFSET(INDIRECT(CONCAT(""A"",to_text(match(CV65,ecn.list,0)))),0,1),"""")"),"J7 ")</f>
        <v>J7 </v>
      </c>
      <c r="W65" s="236" t="str">
        <f>IFERROR(__xludf.DUMMYFUNCTION("if(countif(ecn.list,CW65),OFFSET(INDIRECT(CONCAT(""A"",to_text(match(CW65,ecn.list,0)))),0,1),"""")"),"")</f>
        <v/>
      </c>
      <c r="X65" s="236" t="str">
        <f>IFERROR(__xludf.DUMMYFUNCTION("if(countif(ecn.list,CX65),OFFSET(INDIRECT(CONCAT(""A"",to_text(match(CX65,ecn.list,0)))),0,1),"""")"),"")</f>
        <v/>
      </c>
      <c r="Y65" s="236" t="str">
        <f>IFERROR(__xludf.DUMMYFUNCTION("if(countif(ecn.list,CY65),OFFSET(INDIRECT(CONCAT(""A"",to_text(match(CY65,ecn.list,0)))),0,1),"""")"),"JA ")</f>
        <v>JA </v>
      </c>
      <c r="Z65" s="236" t="str">
        <f>IFERROR(__xludf.DUMMYFUNCTION("if(countif(ecn.list,CZ65),OFFSET(INDIRECT(CONCAT(""A"",to_text(match(CZ65,ecn.list,0)))),0,1),"""")"),"")</f>
        <v/>
      </c>
      <c r="AA65" s="236" t="str">
        <f>IFERROR(__xludf.DUMMYFUNCTION("if(countif(ecn.list,DA65),OFFSET(INDIRECT(CONCAT(""A"",to_text(match(DA65,ecn.list,0)))),0,1),"""")"),"JC ")</f>
        <v>JC </v>
      </c>
      <c r="AB65" s="236" t="str">
        <f>IFERROR(__xludf.DUMMYFUNCTION("if(countif(ecn.list,DB65),OFFSET(INDIRECT(CONCAT(""A"",to_text(match(DB65,ecn.list,0)))),0,1),"""")"),"")</f>
        <v/>
      </c>
      <c r="AC65" s="236" t="str">
        <f>IFERROR(__xludf.DUMMYFUNCTION("if(countif(ecn.list,DC65),OFFSET(INDIRECT(CONCAT(""A"",to_text(match(DC65,ecn.list,0)))),0,1),"""")"),"")</f>
        <v/>
      </c>
      <c r="AD65" s="236" t="str">
        <f>IFERROR(__xludf.DUMMYFUNCTION("if(countif(ecn.list,DD65),OFFSET(INDIRECT(CONCAT(""A"",to_text(match(DD65,ecn.list,0)))),0,1),"""")"),"JF ")</f>
        <v>JF </v>
      </c>
      <c r="AE65" s="236" t="str">
        <f>IFERROR(__xludf.DUMMYFUNCTION("if(countif(ecn.list,DE65),OFFSET(INDIRECT(CONCAT(""A"",to_text(match(DE65,ecn.list,0)))),0,1),"""")"),"K0 ")</f>
        <v>K0 </v>
      </c>
      <c r="AF65" s="236" t="str">
        <f>IFERROR(__xludf.DUMMYFUNCTION("if(countif(ecn.list,DF65),OFFSET(INDIRECT(CONCAT(""A"",to_text(match(DF65,ecn.list,0)))),0,1),"""")"),"")</f>
        <v/>
      </c>
      <c r="AG65" s="236" t="str">
        <f>IFERROR(__xludf.DUMMYFUNCTION("if(countif(ecn.list,DG65),OFFSET(INDIRECT(CONCAT(""A"",to_text(match(DG65,ecn.list,0)))),0,1),"""")"),"")</f>
        <v/>
      </c>
      <c r="AH65" s="236" t="str">
        <f>IFERROR(__xludf.DUMMYFUNCTION("if(countif(ecn.list,DH65),OFFSET(INDIRECT(CONCAT(""A"",to_text(match(DH65,ecn.list,0)))),0,1),"""")"),"")</f>
        <v/>
      </c>
      <c r="AI65" s="236" t="str">
        <f>IFERROR(__xludf.DUMMYFUNCTION("if(countif(ecn.list,DI65),OFFSET(INDIRECT(CONCAT(""A"",to_text(match(DI65,ecn.list,0)))),0,1),"""")"),"")</f>
        <v/>
      </c>
      <c r="AJ65" s="236" t="str">
        <f>IFERROR(__xludf.DUMMYFUNCTION("if(countif(ecn.list,DJ65),OFFSET(INDIRECT(CONCAT(""A"",to_text(match(DJ65,ecn.list,0)))),0,1),"""")"),"K5 ")</f>
        <v>K5 </v>
      </c>
      <c r="AK65" s="236" t="str">
        <f>IFERROR(__xludf.DUMMYFUNCTION("if(countif(ecn.list,DK65),OFFSET(INDIRECT(CONCAT(""A"",to_text(match(DK65,ecn.list,0)))),0,1),"""")"),"")</f>
        <v/>
      </c>
      <c r="AL65" s="236" t="str">
        <f>IFERROR(__xludf.DUMMYFUNCTION("if(countif(ecn.list,DL65),OFFSET(INDIRECT(CONCAT(""A"",to_text(match(DL65,ecn.list,0)))),0,1),"""")"),"K7 ")</f>
        <v>K7 </v>
      </c>
      <c r="AM65" s="236" t="str">
        <f>IFERROR(__xludf.DUMMYFUNCTION("if(countif(ecn.list,DM65),OFFSET(INDIRECT(CONCAT(""A"",to_text(match(DM65,ecn.list,0)))),0,1),"""")"),"")</f>
        <v/>
      </c>
      <c r="AN65" s="236" t="str">
        <f>IFERROR(__xludf.DUMMYFUNCTION("if(countif(ecn.list,DN65),OFFSET(INDIRECT(CONCAT(""A"",to_text(match(DN65,ecn.list,0)))),0,1),"""")"),"K9 ")</f>
        <v>K9 </v>
      </c>
      <c r="AO65" s="236" t="str">
        <f>IFERROR(__xludf.DUMMYFUNCTION("if(countif(ecn.list,DO65),OFFSET(INDIRECT(CONCAT(""A"",to_text(match(DO65,ecn.list,0)))),0,1),"""")"),"KA ")</f>
        <v>KA </v>
      </c>
      <c r="AP65" s="236" t="str">
        <f>IFERROR(__xludf.DUMMYFUNCTION("if(countif(ecn.list,DP65),OFFSET(INDIRECT(CONCAT(""A"",to_text(match(DP65,ecn.list,0)))),0,1),"""")"),"KB ")</f>
        <v>KB </v>
      </c>
      <c r="AQ65" s="236" t="str">
        <f>IFERROR(__xludf.DUMMYFUNCTION("if(countif(ecn.list,DQ65),OFFSET(INDIRECT(CONCAT(""A"",to_text(match(DQ65,ecn.list,0)))),0,1),"""")"),"KC ")</f>
        <v>KC </v>
      </c>
      <c r="AR65" s="236" t="str">
        <f>IFERROR(__xludf.DUMMYFUNCTION("if(countif(ecn.list,DR65),OFFSET(INDIRECT(CONCAT(""A"",to_text(match(DR65,ecn.list,0)))),0,1),"""")"),"KD ")</f>
        <v>KD </v>
      </c>
      <c r="AS65" s="236" t="str">
        <f>IFERROR(__xludf.DUMMYFUNCTION("if(countif(ecn.list,DS65),OFFSET(INDIRECT(CONCAT(""A"",to_text(match(DS65,ecn.list,0)))),0,1),"""")"),"")</f>
        <v/>
      </c>
      <c r="AT65" s="236" t="str">
        <f>IFERROR(__xludf.DUMMYFUNCTION("if(countif(ecn.list,DT65),OFFSET(INDIRECT(CONCAT(""A"",to_text(match(DT65,ecn.list,0)))),0,1),"""")"),"KF ")</f>
        <v>KF </v>
      </c>
      <c r="AU65" s="236" t="str">
        <f>IFERROR(__xludf.DUMMYFUNCTION("if(countif(ecn.list,DU65),OFFSET(INDIRECT(CONCAT(""A"",to_text(match(DU65,ecn.list,0)))),0,1),"""")"),"")</f>
        <v/>
      </c>
      <c r="AV65" s="236" t="str">
        <f>IFERROR(__xludf.DUMMYFUNCTION("if(countif(ecn.list,DV65),OFFSET(INDIRECT(CONCAT(""A"",to_text(match(DV65,ecn.list,0)))),0,1),"""")"),"L1 ")</f>
        <v>L1 </v>
      </c>
      <c r="AW65" s="236" t="str">
        <f>IFERROR(__xludf.DUMMYFUNCTION("if(countif(ecn.list,DW65),OFFSET(INDIRECT(CONCAT(""A"",to_text(match(DW65,ecn.list,0)))),0,1),"""")"),"")</f>
        <v/>
      </c>
      <c r="AX65" s="236" t="str">
        <f>IFERROR(__xludf.DUMMYFUNCTION("if(countif(ecn.list,DX65),OFFSET(INDIRECT(CONCAT(""A"",to_text(match(DX65,ecn.list,0)))),0,1),"""")"),"")</f>
        <v/>
      </c>
      <c r="AY65" s="236" t="str">
        <f>IFERROR(__xludf.DUMMYFUNCTION("if(countif(ecn.list,DY65),OFFSET(INDIRECT(CONCAT(""A"",to_text(match(DY65,ecn.list,0)))),0,1),"""")"),"")</f>
        <v/>
      </c>
      <c r="AZ65" s="236" t="str">
        <f>IFERROR(__xludf.DUMMYFUNCTION("if(countif(ecn.list,DZ65),OFFSET(INDIRECT(CONCAT(""A"",to_text(match(DZ65,ecn.list,0)))),0,1),"""")"),"")</f>
        <v/>
      </c>
      <c r="BA65" s="236" t="str">
        <f>IFERROR(__xludf.DUMMYFUNCTION("if(countif(ecn.list,EA65),OFFSET(INDIRECT(CONCAT(""A"",to_text(match(EA65,ecn.list,0)))),0,1),"""")"),"")</f>
        <v/>
      </c>
      <c r="BB65" s="236" t="str">
        <f>IFERROR(__xludf.DUMMYFUNCTION("if(countif(ecn.list,EB65),OFFSET(INDIRECT(CONCAT(""A"",to_text(match(EB65,ecn.list,0)))),0,1),"""")"),"")</f>
        <v/>
      </c>
      <c r="BC65" s="236" t="str">
        <f>IFERROR(__xludf.DUMMYFUNCTION("if(countif(ecn.list,EC65),OFFSET(INDIRECT(CONCAT(""A"",to_text(match(EC65,ecn.list,0)))),0,1),"""")"),"L8 ")</f>
        <v>L8 </v>
      </c>
      <c r="BD65" s="236" t="str">
        <f>IFERROR(__xludf.DUMMYFUNCTION("if(countif(ecn.list,ED65),OFFSET(INDIRECT(CONCAT(""A"",to_text(match(ED65,ecn.list,0)))),0,1),"""")"),"")</f>
        <v/>
      </c>
      <c r="BE65" s="236" t="str">
        <f>IFERROR(__xludf.DUMMYFUNCTION("if(countif(ecn.list,EE65),OFFSET(INDIRECT(CONCAT(""A"",to_text(match(EE65,ecn.list,0)))),0,1),"""")"),"LA ")</f>
        <v>LA </v>
      </c>
      <c r="BF65" s="236" t="str">
        <f>IFERROR(__xludf.DUMMYFUNCTION("if(countif(ecn.list,EF65),OFFSET(INDIRECT(CONCAT(""A"",to_text(match(EF65,ecn.list,0)))),0,1),"""")"),"")</f>
        <v/>
      </c>
      <c r="BG65" s="236" t="str">
        <f>IFERROR(__xludf.DUMMYFUNCTION("if(countif(ecn.list,EG65),OFFSET(INDIRECT(CONCAT(""A"",to_text(match(EG65,ecn.list,0)))),0,1),"""")"),"LC ")</f>
        <v>LC </v>
      </c>
      <c r="BH65" s="236" t="str">
        <f>IFERROR(__xludf.DUMMYFUNCTION("if(countif(ecn.list,EH65),OFFSET(INDIRECT(CONCAT(""A"",to_text(match(EH65,ecn.list,0)))),0,1),"""")"),"")</f>
        <v/>
      </c>
      <c r="BI65" s="236" t="str">
        <f>IFERROR(__xludf.DUMMYFUNCTION("if(countif(ecn.list,EI65),OFFSET(INDIRECT(CONCAT(""A"",to_text(match(EI65,ecn.list,0)))),0,1),"""")"),"")</f>
        <v/>
      </c>
      <c r="BJ65" s="236" t="str">
        <f>IFERROR(__xludf.DUMMYFUNCTION("if(countif(ecn.list,EJ65),OFFSET(INDIRECT(CONCAT(""A"",to_text(match(EJ65,ecn.list,0)))),0,1),"""")"),"LF ")</f>
        <v>LF </v>
      </c>
      <c r="BK65" s="236" t="str">
        <f>IFERROR(__xludf.DUMMYFUNCTION("if(countif(ecn.list,EK65),OFFSET(INDIRECT(CONCAT(""A"",to_text(match(EK65,ecn.list,0)))),0,1),"""")"),"")</f>
        <v/>
      </c>
      <c r="BL65" s="236" t="str">
        <f>IFERROR(__xludf.DUMMYFUNCTION("if(countif(ecn.list,EL65),OFFSET(INDIRECT(CONCAT(""A"",to_text(match(EL65,ecn.list,0)))),0,1),"""")"),"M1 ")</f>
        <v>M1 </v>
      </c>
      <c r="BM65" s="236" t="str">
        <f>IFERROR(__xludf.DUMMYFUNCTION("if(countif(ecn.list,EM65),OFFSET(INDIRECT(CONCAT(""A"",to_text(match(EM65,ecn.list,0)))),0,1),"""")"),"")</f>
        <v/>
      </c>
      <c r="BN65" s="236" t="str">
        <f>IFERROR(__xludf.DUMMYFUNCTION("if(countif(ecn.list,EN65),OFFSET(INDIRECT(CONCAT(""A"",to_text(match(EN65,ecn.list,0)))),0,1),"""")"),"")</f>
        <v/>
      </c>
      <c r="BO65" s="236" t="str">
        <f>IFERROR(__xludf.DUMMYFUNCTION("if(countif(ecn.list,EO65),OFFSET(INDIRECT(CONCAT(""A"",to_text(match(EO65,ecn.list,0)))),0,1),"""")"),"")</f>
        <v/>
      </c>
      <c r="BP65" s="236" t="str">
        <f>IFERROR(__xludf.DUMMYFUNCTION("if(countif(ecn.list,EP65),OFFSET(INDIRECT(CONCAT(""A"",to_text(match(EP65,ecn.list,0)))),0,1),"""")"),"")</f>
        <v/>
      </c>
      <c r="BQ65" s="236" t="str">
        <f>IFERROR(__xludf.DUMMYFUNCTION("if(countif(ecn.list,EQ65),OFFSET(INDIRECT(CONCAT(""A"",to_text(match(EQ65,ecn.list,0)))),0,1),"""")"),"")</f>
        <v/>
      </c>
      <c r="BR65" s="236" t="str">
        <f>IFERROR(__xludf.DUMMYFUNCTION("if(countif(ecn.list,ER65),OFFSET(INDIRECT(CONCAT(""A"",to_text(match(ER65,ecn.list,0)))),0,1),"""")"),"")</f>
        <v/>
      </c>
      <c r="BS65" s="236" t="str">
        <f>IFERROR(__xludf.DUMMYFUNCTION("if(countif(ecn.list,ES65),OFFSET(INDIRECT(CONCAT(""A"",to_text(match(ES65,ecn.list,0)))),0,1),"""")"),"M8 ")</f>
        <v>M8 </v>
      </c>
      <c r="BT65" s="236" t="str">
        <f>IFERROR(__xludf.DUMMYFUNCTION("if(countif(ecn.list,ET65),OFFSET(INDIRECT(CONCAT(""A"",to_text(match(ET65,ecn.list,0)))),0,1),"""")"),"")</f>
        <v/>
      </c>
      <c r="BU65" s="236" t="str">
        <f>IFERROR(__xludf.DUMMYFUNCTION("if(countif(ecn.list,EU65),OFFSET(INDIRECT(CONCAT(""A"",to_text(match(EU65,ecn.list,0)))),0,1),"""")"),"")</f>
        <v/>
      </c>
      <c r="BV65" s="236" t="str">
        <f>IFERROR(__xludf.DUMMYFUNCTION("if(countif(ecn.list,EV65),OFFSET(INDIRECT(CONCAT(""A"",to_text(match(EV65,ecn.list,0)))),0,1),"""")"),"MB ")</f>
        <v>MB </v>
      </c>
      <c r="BW65" s="236" t="str">
        <f>IFERROR(__xludf.DUMMYFUNCTION("if(countif(ecn.list,EW65),OFFSET(INDIRECT(CONCAT(""A"",to_text(match(EW65,ecn.list,0)))),0,1),"""")"),"")</f>
        <v/>
      </c>
      <c r="BX65" s="236" t="str">
        <f>IFERROR(__xludf.DUMMYFUNCTION("if(countif(ecn.list,EX65),OFFSET(INDIRECT(CONCAT(""A"",to_text(match(EX65,ecn.list,0)))),0,1),"""")"),"")</f>
        <v/>
      </c>
      <c r="BY65" s="236" t="str">
        <f>IFERROR(__xludf.DUMMYFUNCTION("if(countif(ecn.list,EY65),OFFSET(INDIRECT(CONCAT(""A"",to_text(match(EY65,ecn.list,0)))),0,1),"""")"),"")</f>
        <v/>
      </c>
      <c r="BZ65" s="236" t="str">
        <f>IFERROR(__xludf.DUMMYFUNCTION("if(countif(ecn.list,EZ65),OFFSET(INDIRECT(CONCAT(""A"",to_text(match(EZ65,ecn.list,0)))),0,1),"""")"),"MF ")</f>
        <v>MF </v>
      </c>
      <c r="CA65" s="236" t="str">
        <f>IFERROR(__xludf.DUMMYFUNCTION("if(countif(ecn.list,FA65),OFFSET(INDIRECT(CONCAT(""A"",to_text(match(FA65,ecn.list,0)))),0,1),"""")"),"")</f>
        <v/>
      </c>
      <c r="CB65" s="236" t="str">
        <f>IFERROR(__xludf.DUMMYFUNCTION("if(countif(ecn.list,FB65),OFFSET(INDIRECT(CONCAT(""A"",to_text(match(FB65,ecn.list,0)))),0,1),"""")"),"")</f>
        <v/>
      </c>
      <c r="CC65" s="236" t="str">
        <f>IFERROR(__xludf.DUMMYFUNCTION("if(countif(ecn.list,FC65),OFFSET(INDIRECT(CONCAT(""A"",to_text(match(FC65,ecn.list,0)))),0,1),"""")"),"N2 ")</f>
        <v>N2 </v>
      </c>
      <c r="CD65" s="236" t="str">
        <f>IFERROR(__xludf.DUMMYFUNCTION("if(countif(ecn.list,FD65),OFFSET(INDIRECT(CONCAT(""A"",to_text(match(FD65,ecn.list,0)))),0,1),"""")"),"")</f>
        <v/>
      </c>
      <c r="CE65" s="236" t="str">
        <f>IFERROR(__xludf.DUMMYFUNCTION("if(countif(ecn.list,FE65),OFFSET(INDIRECT(CONCAT(""A"",to_text(match(FE65,ecn.list,0)))),0,1),"""")"),"")</f>
        <v/>
      </c>
      <c r="CF65" s="236" t="str">
        <f>IFERROR(__xludf.DUMMYFUNCTION("if(countif(ecn.list,FF65),OFFSET(INDIRECT(CONCAT(""A"",to_text(match(FF65,ecn.list,0)))),0,1),"""")"),"")</f>
        <v/>
      </c>
      <c r="CG65" s="236" t="str">
        <f>IFERROR(__xludf.DUMMYFUNCTION("if(countif(ecn.list,FG65),OFFSET(INDIRECT(CONCAT(""A"",to_text(match(FG65,ecn.list,0)))),0,1),"""")"),"")</f>
        <v/>
      </c>
      <c r="CH65" s="236" t="str">
        <f>IFERROR(__xludf.DUMMYFUNCTION("if(countif(ecn.list,FH65),OFFSET(INDIRECT(CONCAT(""A"",to_text(match(FH65,ecn.list,0)))),0,1),"""")"),"N7 ")</f>
        <v>N7 </v>
      </c>
      <c r="CI65" s="236" t="str">
        <f>IFERROR(__xludf.DUMMYFUNCTION("if(countif(ecn.list,FI65),OFFSET(INDIRECT(CONCAT(""A"",to_text(match(FI65,ecn.list,0)))),0,1),"""")"),"")</f>
        <v/>
      </c>
      <c r="CJ65" s="236" t="str">
        <f>IFERROR(__xludf.DUMMYFUNCTION("if(countif(ecn.list,FJ65),OFFSET(INDIRECT(CONCAT(""A"",to_text(match(FJ65,ecn.list,0)))),0,1),"""")"),"")</f>
        <v/>
      </c>
      <c r="CK65" s="236" t="str">
        <f>IFERROR(__xludf.DUMMYFUNCTION("if(countif(ecn.list,FK65),OFFSET(INDIRECT(CONCAT(""A"",to_text(match(FK65,ecn.list,0)))),0,1),"""")"),"NA ")</f>
        <v>NA </v>
      </c>
      <c r="CL65" s="236" t="str">
        <f>IFERROR(__xludf.DUMMYFUNCTION("if(countif(ecn.list,FL65),OFFSET(INDIRECT(CONCAT(""A"",to_text(match(FL65,ecn.list,0)))),0,1),"""")"),"")</f>
        <v/>
      </c>
      <c r="CM65" s="236" t="str">
        <f>IFERROR(__xludf.DUMMYFUNCTION("if(countif(ecn.list,FM65),OFFSET(INDIRECT(CONCAT(""A"",to_text(match(FM65,ecn.list,0)))),0,1),"""")"),"")</f>
        <v/>
      </c>
      <c r="CN65" s="198" t="s">
        <v>268</v>
      </c>
      <c r="CO65" s="198" t="s">
        <v>1447</v>
      </c>
      <c r="CP65" s="198" t="s">
        <v>1451</v>
      </c>
      <c r="CQ65" s="198" t="s">
        <v>1452</v>
      </c>
      <c r="CR65" s="198" t="s">
        <v>1453</v>
      </c>
      <c r="CS65" s="198" t="s">
        <v>1453</v>
      </c>
      <c r="CT65" s="198" t="s">
        <v>1454</v>
      </c>
      <c r="CU65" s="198" t="s">
        <v>1455</v>
      </c>
      <c r="CV65" s="198" t="s">
        <v>1456</v>
      </c>
      <c r="CW65" s="198" t="s">
        <v>1453</v>
      </c>
      <c r="CX65" s="198" t="s">
        <v>1453</v>
      </c>
      <c r="CY65" s="198" t="s">
        <v>1484</v>
      </c>
      <c r="CZ65" s="198" t="s">
        <v>1453</v>
      </c>
      <c r="DA65" s="198" t="s">
        <v>1457</v>
      </c>
      <c r="DB65" s="198" t="s">
        <v>1453</v>
      </c>
      <c r="DC65" s="198" t="s">
        <v>1453</v>
      </c>
      <c r="DD65" s="198" t="s">
        <v>1458</v>
      </c>
      <c r="DE65" s="198" t="s">
        <v>1459</v>
      </c>
      <c r="DF65" s="198" t="s">
        <v>1453</v>
      </c>
      <c r="DG65" s="198" t="s">
        <v>1453</v>
      </c>
      <c r="DH65" s="198" t="s">
        <v>1453</v>
      </c>
      <c r="DI65" s="198" t="s">
        <v>1453</v>
      </c>
      <c r="DJ65" s="198" t="s">
        <v>1460</v>
      </c>
      <c r="DK65" s="198" t="s">
        <v>1453</v>
      </c>
      <c r="DL65" s="198" t="s">
        <v>1461</v>
      </c>
      <c r="DM65" s="198" t="s">
        <v>1453</v>
      </c>
      <c r="DN65" s="198" t="s">
        <v>1463</v>
      </c>
      <c r="DO65" s="198" t="s">
        <v>1464</v>
      </c>
      <c r="DP65" s="198" t="s">
        <v>1465</v>
      </c>
      <c r="DQ65" s="198" t="s">
        <v>1466</v>
      </c>
      <c r="DR65" s="198" t="s">
        <v>1467</v>
      </c>
      <c r="DS65" s="198" t="s">
        <v>1453</v>
      </c>
      <c r="DT65" s="198" t="s">
        <v>1468</v>
      </c>
      <c r="DU65" s="198" t="s">
        <v>1453</v>
      </c>
      <c r="DV65" s="198" t="s">
        <v>1469</v>
      </c>
      <c r="DW65" s="198" t="s">
        <v>1453</v>
      </c>
      <c r="DX65" s="198" t="s">
        <v>1453</v>
      </c>
      <c r="DY65" s="198" t="s">
        <v>1453</v>
      </c>
      <c r="DZ65" s="198" t="s">
        <v>1453</v>
      </c>
      <c r="EA65" s="198" t="s">
        <v>1453</v>
      </c>
      <c r="EB65" s="198" t="s">
        <v>1453</v>
      </c>
      <c r="EC65" s="198" t="s">
        <v>1483</v>
      </c>
      <c r="ED65" s="198" t="s">
        <v>1453</v>
      </c>
      <c r="EE65" s="198" t="s">
        <v>1470</v>
      </c>
      <c r="EF65" s="198" t="s">
        <v>1453</v>
      </c>
      <c r="EG65" s="198" t="s">
        <v>1471</v>
      </c>
      <c r="EH65" s="198" t="s">
        <v>1453</v>
      </c>
      <c r="EI65" s="198" t="s">
        <v>1453</v>
      </c>
      <c r="EJ65" s="198" t="s">
        <v>1472</v>
      </c>
      <c r="EK65" s="198" t="s">
        <v>1453</v>
      </c>
      <c r="EL65" s="198" t="s">
        <v>1473</v>
      </c>
      <c r="EM65" s="198" t="s">
        <v>1453</v>
      </c>
      <c r="EN65" s="198" t="s">
        <v>1453</v>
      </c>
      <c r="EO65" s="198" t="s">
        <v>1453</v>
      </c>
      <c r="EP65" s="198" t="s">
        <v>1453</v>
      </c>
      <c r="EQ65" s="198" t="s">
        <v>1453</v>
      </c>
      <c r="ER65" s="198" t="s">
        <v>1453</v>
      </c>
      <c r="ES65" s="198" t="s">
        <v>1505</v>
      </c>
      <c r="ET65" s="198" t="s">
        <v>1453</v>
      </c>
      <c r="EU65" s="198" t="s">
        <v>1453</v>
      </c>
      <c r="EV65" s="198" t="s">
        <v>1476</v>
      </c>
      <c r="EW65" s="198" t="s">
        <v>1453</v>
      </c>
      <c r="EX65" s="198" t="s">
        <v>1453</v>
      </c>
      <c r="EY65" s="198" t="s">
        <v>1453</v>
      </c>
      <c r="EZ65" s="198" t="s">
        <v>1477</v>
      </c>
      <c r="FA65" s="198" t="s">
        <v>1453</v>
      </c>
      <c r="FB65" s="198" t="s">
        <v>1453</v>
      </c>
      <c r="FC65" s="198" t="s">
        <v>1478</v>
      </c>
      <c r="FD65" s="198" t="s">
        <v>1453</v>
      </c>
      <c r="FE65" s="198" t="s">
        <v>1453</v>
      </c>
      <c r="FF65" s="198" t="s">
        <v>1453</v>
      </c>
      <c r="FG65" s="198" t="s">
        <v>1453</v>
      </c>
      <c r="FH65" s="198" t="s">
        <v>1479</v>
      </c>
      <c r="FI65" s="198" t="s">
        <v>1453</v>
      </c>
      <c r="FJ65" s="198" t="s">
        <v>1453</v>
      </c>
      <c r="FK65" s="198" t="s">
        <v>1481</v>
      </c>
      <c r="FL65" s="198" t="s">
        <v>1482</v>
      </c>
      <c r="FM65" s="198" t="s">
        <v>1453</v>
      </c>
    </row>
    <row r="66" ht="15.75" customHeight="1">
      <c r="A66" s="236" t="s">
        <v>1531</v>
      </c>
      <c r="B66" s="198" t="str">
        <f t="shared" si="7"/>
        <v>ME </v>
      </c>
      <c r="C66" s="234" t="s">
        <v>1514</v>
      </c>
      <c r="D66" s="232" t="s">
        <v>770</v>
      </c>
      <c r="E66" s="232" t="s">
        <v>1448</v>
      </c>
      <c r="F66" s="232" t="s">
        <v>1449</v>
      </c>
      <c r="G66" s="232" t="s">
        <v>1450</v>
      </c>
      <c r="H66" s="232" t="s">
        <v>804</v>
      </c>
      <c r="I66" s="232" t="s">
        <v>941</v>
      </c>
      <c r="J66" s="232" t="s">
        <v>897</v>
      </c>
      <c r="K66" s="232" t="s">
        <v>1143</v>
      </c>
      <c r="L66" s="188" t="s">
        <v>271</v>
      </c>
      <c r="M66" s="236" t="str">
        <f>IFERROR(__xludf.DUMMYFUNCTION("regexreplace(N66,"" "","", "")"),"J0, J1, J2, J5, J6, J7, JA, JC, JF, K0, K3, K4, K5, K7, K9, KA, KB, KC, KD, KF, L1, L8, LA, LC, LF, M0, M1, M3, M4, M8, MF, N2, N7, NA, ")</f>
        <v>J0, J1, J2, J5, J6, J7, JA, JC, JF, K0, K3, K4, K5, K7, K9, KA, KB, KC, KD, KF, L1, L8, LA, LC, LF, M0, M1, M3, M4, M8, MF, N2, N7, NA, </v>
      </c>
      <c r="N66" s="236" t="str">
        <f t="shared" si="2"/>
        <v>J0 J1 J2 J5 J6 J7 JA JC JF K0 K3 K4 K5 K7 K9 KA KB KC KD KF L1 L8 LA LC LF M0 M1 M3 M4 M8 MF N2 N7 NA </v>
      </c>
      <c r="O66" s="236" t="str">
        <f>IFERROR(__xludf.DUMMYFUNCTION("if(countif(ecn.list,CO66),OFFSET(INDIRECT(CONCAT(""A"",to_text(match(CO66,ecn.list,0)))),0,1),"""")"),"J0 ")</f>
        <v>J0 </v>
      </c>
      <c r="P66" s="236" t="str">
        <f>IFERROR(__xludf.DUMMYFUNCTION("if(countif(ecn.list,CP66),OFFSET(INDIRECT(CONCAT(""A"",to_text(match(CP66,ecn.list,0)))),0,1),"""")"),"J1 ")</f>
        <v>J1 </v>
      </c>
      <c r="Q66" s="236" t="str">
        <f>IFERROR(__xludf.DUMMYFUNCTION("if(countif(ecn.list,CQ66),OFFSET(INDIRECT(CONCAT(""A"",to_text(match(CQ66,ecn.list,0)))),0,1),"""")"),"J2 ")</f>
        <v>J2 </v>
      </c>
      <c r="R66" s="236" t="str">
        <f>IFERROR(__xludf.DUMMYFUNCTION("if(countif(ecn.list,CR66),OFFSET(INDIRECT(CONCAT(""A"",to_text(match(CR66,ecn.list,0)))),0,1),"""")"),"")</f>
        <v/>
      </c>
      <c r="S66" s="236" t="str">
        <f>IFERROR(__xludf.DUMMYFUNCTION("if(countif(ecn.list,CS66),OFFSET(INDIRECT(CONCAT(""A"",to_text(match(CS66,ecn.list,0)))),0,1),"""")"),"")</f>
        <v/>
      </c>
      <c r="T66" s="236" t="str">
        <f>IFERROR(__xludf.DUMMYFUNCTION("if(countif(ecn.list,CT66),OFFSET(INDIRECT(CONCAT(""A"",to_text(match(CT66,ecn.list,0)))),0,1),"""")"),"J5 ")</f>
        <v>J5 </v>
      </c>
      <c r="U66" s="236" t="str">
        <f>IFERROR(__xludf.DUMMYFUNCTION("if(countif(ecn.list,CU66),OFFSET(INDIRECT(CONCAT(""A"",to_text(match(CU66,ecn.list,0)))),0,1),"""")"),"J6 ")</f>
        <v>J6 </v>
      </c>
      <c r="V66" s="236" t="str">
        <f>IFERROR(__xludf.DUMMYFUNCTION("if(countif(ecn.list,CV66),OFFSET(INDIRECT(CONCAT(""A"",to_text(match(CV66,ecn.list,0)))),0,1),"""")"),"J7 ")</f>
        <v>J7 </v>
      </c>
      <c r="W66" s="236" t="str">
        <f>IFERROR(__xludf.DUMMYFUNCTION("if(countif(ecn.list,CW66),OFFSET(INDIRECT(CONCAT(""A"",to_text(match(CW66,ecn.list,0)))),0,1),"""")"),"")</f>
        <v/>
      </c>
      <c r="X66" s="236" t="str">
        <f>IFERROR(__xludf.DUMMYFUNCTION("if(countif(ecn.list,CX66),OFFSET(INDIRECT(CONCAT(""A"",to_text(match(CX66,ecn.list,0)))),0,1),"""")"),"")</f>
        <v/>
      </c>
      <c r="Y66" s="236" t="str">
        <f>IFERROR(__xludf.DUMMYFUNCTION("if(countif(ecn.list,CY66),OFFSET(INDIRECT(CONCAT(""A"",to_text(match(CY66,ecn.list,0)))),0,1),"""")"),"JA ")</f>
        <v>JA </v>
      </c>
      <c r="Z66" s="236" t="str">
        <f>IFERROR(__xludf.DUMMYFUNCTION("if(countif(ecn.list,CZ66),OFFSET(INDIRECT(CONCAT(""A"",to_text(match(CZ66,ecn.list,0)))),0,1),"""")"),"")</f>
        <v/>
      </c>
      <c r="AA66" s="236" t="str">
        <f>IFERROR(__xludf.DUMMYFUNCTION("if(countif(ecn.list,DA66),OFFSET(INDIRECT(CONCAT(""A"",to_text(match(DA66,ecn.list,0)))),0,1),"""")"),"JC ")</f>
        <v>JC </v>
      </c>
      <c r="AB66" s="236" t="str">
        <f>IFERROR(__xludf.DUMMYFUNCTION("if(countif(ecn.list,DB66),OFFSET(INDIRECT(CONCAT(""A"",to_text(match(DB66,ecn.list,0)))),0,1),"""")"),"")</f>
        <v/>
      </c>
      <c r="AC66" s="236" t="str">
        <f>IFERROR(__xludf.DUMMYFUNCTION("if(countif(ecn.list,DC66),OFFSET(INDIRECT(CONCAT(""A"",to_text(match(DC66,ecn.list,0)))),0,1),"""")"),"")</f>
        <v/>
      </c>
      <c r="AD66" s="236" t="str">
        <f>IFERROR(__xludf.DUMMYFUNCTION("if(countif(ecn.list,DD66),OFFSET(INDIRECT(CONCAT(""A"",to_text(match(DD66,ecn.list,0)))),0,1),"""")"),"JF ")</f>
        <v>JF </v>
      </c>
      <c r="AE66" s="236" t="str">
        <f>IFERROR(__xludf.DUMMYFUNCTION("if(countif(ecn.list,DE66),OFFSET(INDIRECT(CONCAT(""A"",to_text(match(DE66,ecn.list,0)))),0,1),"""")"),"K0 ")</f>
        <v>K0 </v>
      </c>
      <c r="AF66" s="236" t="str">
        <f>IFERROR(__xludf.DUMMYFUNCTION("if(countif(ecn.list,DF66),OFFSET(INDIRECT(CONCAT(""A"",to_text(match(DF66,ecn.list,0)))),0,1),"""")"),"")</f>
        <v/>
      </c>
      <c r="AG66" s="236" t="str">
        <f>IFERROR(__xludf.DUMMYFUNCTION("if(countif(ecn.list,DG66),OFFSET(INDIRECT(CONCAT(""A"",to_text(match(DG66,ecn.list,0)))),0,1),"""")"),"")</f>
        <v/>
      </c>
      <c r="AH66" s="236" t="str">
        <f>IFERROR(__xludf.DUMMYFUNCTION("if(countif(ecn.list,DH66),OFFSET(INDIRECT(CONCAT(""A"",to_text(match(DH66,ecn.list,0)))),0,1),"""")"),"K3 ")</f>
        <v>K3 </v>
      </c>
      <c r="AI66" s="236" t="str">
        <f>IFERROR(__xludf.DUMMYFUNCTION("if(countif(ecn.list,DI66),OFFSET(INDIRECT(CONCAT(""A"",to_text(match(DI66,ecn.list,0)))),0,1),"""")"),"K4 ")</f>
        <v>K4 </v>
      </c>
      <c r="AJ66" s="236" t="str">
        <f>IFERROR(__xludf.DUMMYFUNCTION("if(countif(ecn.list,DJ66),OFFSET(INDIRECT(CONCAT(""A"",to_text(match(DJ66,ecn.list,0)))),0,1),"""")"),"K5 ")</f>
        <v>K5 </v>
      </c>
      <c r="AK66" s="236" t="str">
        <f>IFERROR(__xludf.DUMMYFUNCTION("if(countif(ecn.list,DK66),OFFSET(INDIRECT(CONCAT(""A"",to_text(match(DK66,ecn.list,0)))),0,1),"""")"),"")</f>
        <v/>
      </c>
      <c r="AL66" s="236" t="str">
        <f>IFERROR(__xludf.DUMMYFUNCTION("if(countif(ecn.list,DL66),OFFSET(INDIRECT(CONCAT(""A"",to_text(match(DL66,ecn.list,0)))),0,1),"""")"),"K7 ")</f>
        <v>K7 </v>
      </c>
      <c r="AM66" s="236" t="str">
        <f>IFERROR(__xludf.DUMMYFUNCTION("if(countif(ecn.list,DM66),OFFSET(INDIRECT(CONCAT(""A"",to_text(match(DM66,ecn.list,0)))),0,1),"""")"),"")</f>
        <v/>
      </c>
      <c r="AN66" s="236" t="str">
        <f>IFERROR(__xludf.DUMMYFUNCTION("if(countif(ecn.list,DN66),OFFSET(INDIRECT(CONCAT(""A"",to_text(match(DN66,ecn.list,0)))),0,1),"""")"),"K9 ")</f>
        <v>K9 </v>
      </c>
      <c r="AO66" s="236" t="str">
        <f>IFERROR(__xludf.DUMMYFUNCTION("if(countif(ecn.list,DO66),OFFSET(INDIRECT(CONCAT(""A"",to_text(match(DO66,ecn.list,0)))),0,1),"""")"),"KA ")</f>
        <v>KA </v>
      </c>
      <c r="AP66" s="236" t="str">
        <f>IFERROR(__xludf.DUMMYFUNCTION("if(countif(ecn.list,DP66),OFFSET(INDIRECT(CONCAT(""A"",to_text(match(DP66,ecn.list,0)))),0,1),"""")"),"KB ")</f>
        <v>KB </v>
      </c>
      <c r="AQ66" s="236" t="str">
        <f>IFERROR(__xludf.DUMMYFUNCTION("if(countif(ecn.list,DQ66),OFFSET(INDIRECT(CONCAT(""A"",to_text(match(DQ66,ecn.list,0)))),0,1),"""")"),"KC ")</f>
        <v>KC </v>
      </c>
      <c r="AR66" s="236" t="str">
        <f>IFERROR(__xludf.DUMMYFUNCTION("if(countif(ecn.list,DR66),OFFSET(INDIRECT(CONCAT(""A"",to_text(match(DR66,ecn.list,0)))),0,1),"""")"),"KD ")</f>
        <v>KD </v>
      </c>
      <c r="AS66" s="236" t="str">
        <f>IFERROR(__xludf.DUMMYFUNCTION("if(countif(ecn.list,DS66),OFFSET(INDIRECT(CONCAT(""A"",to_text(match(DS66,ecn.list,0)))),0,1),"""")"),"")</f>
        <v/>
      </c>
      <c r="AT66" s="236" t="str">
        <f>IFERROR(__xludf.DUMMYFUNCTION("if(countif(ecn.list,DT66),OFFSET(INDIRECT(CONCAT(""A"",to_text(match(DT66,ecn.list,0)))),0,1),"""")"),"KF ")</f>
        <v>KF </v>
      </c>
      <c r="AU66" s="236" t="str">
        <f>IFERROR(__xludf.DUMMYFUNCTION("if(countif(ecn.list,DU66),OFFSET(INDIRECT(CONCAT(""A"",to_text(match(DU66,ecn.list,0)))),0,1),"""")"),"")</f>
        <v/>
      </c>
      <c r="AV66" s="236" t="str">
        <f>IFERROR(__xludf.DUMMYFUNCTION("if(countif(ecn.list,DV66),OFFSET(INDIRECT(CONCAT(""A"",to_text(match(DV66,ecn.list,0)))),0,1),"""")"),"L1 ")</f>
        <v>L1 </v>
      </c>
      <c r="AW66" s="236" t="str">
        <f>IFERROR(__xludf.DUMMYFUNCTION("if(countif(ecn.list,DW66),OFFSET(INDIRECT(CONCAT(""A"",to_text(match(DW66,ecn.list,0)))),0,1),"""")"),"")</f>
        <v/>
      </c>
      <c r="AX66" s="236" t="str">
        <f>IFERROR(__xludf.DUMMYFUNCTION("if(countif(ecn.list,DX66),OFFSET(INDIRECT(CONCAT(""A"",to_text(match(DX66,ecn.list,0)))),0,1),"""")"),"")</f>
        <v/>
      </c>
      <c r="AY66" s="236" t="str">
        <f>IFERROR(__xludf.DUMMYFUNCTION("if(countif(ecn.list,DY66),OFFSET(INDIRECT(CONCAT(""A"",to_text(match(DY66,ecn.list,0)))),0,1),"""")"),"")</f>
        <v/>
      </c>
      <c r="AZ66" s="236" t="str">
        <f>IFERROR(__xludf.DUMMYFUNCTION("if(countif(ecn.list,DZ66),OFFSET(INDIRECT(CONCAT(""A"",to_text(match(DZ66,ecn.list,0)))),0,1),"""")"),"")</f>
        <v/>
      </c>
      <c r="BA66" s="236" t="str">
        <f>IFERROR(__xludf.DUMMYFUNCTION("if(countif(ecn.list,EA66),OFFSET(INDIRECT(CONCAT(""A"",to_text(match(EA66,ecn.list,0)))),0,1),"""")"),"")</f>
        <v/>
      </c>
      <c r="BB66" s="236" t="str">
        <f>IFERROR(__xludf.DUMMYFUNCTION("if(countif(ecn.list,EB66),OFFSET(INDIRECT(CONCAT(""A"",to_text(match(EB66,ecn.list,0)))),0,1),"""")"),"")</f>
        <v/>
      </c>
      <c r="BC66" s="236" t="str">
        <f>IFERROR(__xludf.DUMMYFUNCTION("if(countif(ecn.list,EC66),OFFSET(INDIRECT(CONCAT(""A"",to_text(match(EC66,ecn.list,0)))),0,1),"""")"),"L8 ")</f>
        <v>L8 </v>
      </c>
      <c r="BD66" s="236" t="str">
        <f>IFERROR(__xludf.DUMMYFUNCTION("if(countif(ecn.list,ED66),OFFSET(INDIRECT(CONCAT(""A"",to_text(match(ED66,ecn.list,0)))),0,1),"""")"),"")</f>
        <v/>
      </c>
      <c r="BE66" s="236" t="str">
        <f>IFERROR(__xludf.DUMMYFUNCTION("if(countif(ecn.list,EE66),OFFSET(INDIRECT(CONCAT(""A"",to_text(match(EE66,ecn.list,0)))),0,1),"""")"),"LA ")</f>
        <v>LA </v>
      </c>
      <c r="BF66" s="236" t="str">
        <f>IFERROR(__xludf.DUMMYFUNCTION("if(countif(ecn.list,EF66),OFFSET(INDIRECT(CONCAT(""A"",to_text(match(EF66,ecn.list,0)))),0,1),"""")"),"")</f>
        <v/>
      </c>
      <c r="BG66" s="236" t="str">
        <f>IFERROR(__xludf.DUMMYFUNCTION("if(countif(ecn.list,EG66),OFFSET(INDIRECT(CONCAT(""A"",to_text(match(EG66,ecn.list,0)))),0,1),"""")"),"LC ")</f>
        <v>LC </v>
      </c>
      <c r="BH66" s="236" t="str">
        <f>IFERROR(__xludf.DUMMYFUNCTION("if(countif(ecn.list,EH66),OFFSET(INDIRECT(CONCAT(""A"",to_text(match(EH66,ecn.list,0)))),0,1),"""")"),"")</f>
        <v/>
      </c>
      <c r="BI66" s="236" t="str">
        <f>IFERROR(__xludf.DUMMYFUNCTION("if(countif(ecn.list,EI66),OFFSET(INDIRECT(CONCAT(""A"",to_text(match(EI66,ecn.list,0)))),0,1),"""")"),"")</f>
        <v/>
      </c>
      <c r="BJ66" s="236" t="str">
        <f>IFERROR(__xludf.DUMMYFUNCTION("if(countif(ecn.list,EJ66),OFFSET(INDIRECT(CONCAT(""A"",to_text(match(EJ66,ecn.list,0)))),0,1),"""")"),"LF ")</f>
        <v>LF </v>
      </c>
      <c r="BK66" s="236" t="str">
        <f>IFERROR(__xludf.DUMMYFUNCTION("if(countif(ecn.list,EK66),OFFSET(INDIRECT(CONCAT(""A"",to_text(match(EK66,ecn.list,0)))),0,1),"""")"),"M0 ")</f>
        <v>M0 </v>
      </c>
      <c r="BL66" s="236" t="str">
        <f>IFERROR(__xludf.DUMMYFUNCTION("if(countif(ecn.list,EL66),OFFSET(INDIRECT(CONCAT(""A"",to_text(match(EL66,ecn.list,0)))),0,1),"""")"),"M1 ")</f>
        <v>M1 </v>
      </c>
      <c r="BM66" s="236" t="str">
        <f>IFERROR(__xludf.DUMMYFUNCTION("if(countif(ecn.list,EM66),OFFSET(INDIRECT(CONCAT(""A"",to_text(match(EM66,ecn.list,0)))),0,1),"""")"),"")</f>
        <v/>
      </c>
      <c r="BN66" s="236" t="str">
        <f>IFERROR(__xludf.DUMMYFUNCTION("if(countif(ecn.list,EN66),OFFSET(INDIRECT(CONCAT(""A"",to_text(match(EN66,ecn.list,0)))),0,1),"""")"),"M3 ")</f>
        <v>M3 </v>
      </c>
      <c r="BO66" s="236" t="str">
        <f>IFERROR(__xludf.DUMMYFUNCTION("if(countif(ecn.list,EO66),OFFSET(INDIRECT(CONCAT(""A"",to_text(match(EO66,ecn.list,0)))),0,1),"""")"),"M4 ")</f>
        <v>M4 </v>
      </c>
      <c r="BP66" s="236" t="str">
        <f>IFERROR(__xludf.DUMMYFUNCTION("if(countif(ecn.list,EP66),OFFSET(INDIRECT(CONCAT(""A"",to_text(match(EP66,ecn.list,0)))),0,1),"""")"),"")</f>
        <v/>
      </c>
      <c r="BQ66" s="236" t="str">
        <f>IFERROR(__xludf.DUMMYFUNCTION("if(countif(ecn.list,EQ66),OFFSET(INDIRECT(CONCAT(""A"",to_text(match(EQ66,ecn.list,0)))),0,1),"""")"),"")</f>
        <v/>
      </c>
      <c r="BR66" s="236" t="str">
        <f>IFERROR(__xludf.DUMMYFUNCTION("if(countif(ecn.list,ER66),OFFSET(INDIRECT(CONCAT(""A"",to_text(match(ER66,ecn.list,0)))),0,1),"""")"),"")</f>
        <v/>
      </c>
      <c r="BS66" s="236" t="str">
        <f>IFERROR(__xludf.DUMMYFUNCTION("if(countif(ecn.list,ES66),OFFSET(INDIRECT(CONCAT(""A"",to_text(match(ES66,ecn.list,0)))),0,1),"""")"),"M8 ")</f>
        <v>M8 </v>
      </c>
      <c r="BT66" s="236" t="str">
        <f>IFERROR(__xludf.DUMMYFUNCTION("if(countif(ecn.list,ET66),OFFSET(INDIRECT(CONCAT(""A"",to_text(match(ET66,ecn.list,0)))),0,1),"""")"),"")</f>
        <v/>
      </c>
      <c r="BU66" s="236" t="str">
        <f>IFERROR(__xludf.DUMMYFUNCTION("if(countif(ecn.list,EU66),OFFSET(INDIRECT(CONCAT(""A"",to_text(match(EU66,ecn.list,0)))),0,1),"""")"),"")</f>
        <v/>
      </c>
      <c r="BV66" s="236" t="str">
        <f>IFERROR(__xludf.DUMMYFUNCTION("if(countif(ecn.list,EV66),OFFSET(INDIRECT(CONCAT(""A"",to_text(match(EV66,ecn.list,0)))),0,1),"""")"),"")</f>
        <v/>
      </c>
      <c r="BW66" s="236" t="str">
        <f>IFERROR(__xludf.DUMMYFUNCTION("if(countif(ecn.list,EW66),OFFSET(INDIRECT(CONCAT(""A"",to_text(match(EW66,ecn.list,0)))),0,1),"""")"),"")</f>
        <v/>
      </c>
      <c r="BX66" s="236" t="str">
        <f>IFERROR(__xludf.DUMMYFUNCTION("if(countif(ecn.list,EX66),OFFSET(INDIRECT(CONCAT(""A"",to_text(match(EX66,ecn.list,0)))),0,1),"""")"),"")</f>
        <v/>
      </c>
      <c r="BY66" s="236" t="str">
        <f>IFERROR(__xludf.DUMMYFUNCTION("if(countif(ecn.list,EY66),OFFSET(INDIRECT(CONCAT(""A"",to_text(match(EY66,ecn.list,0)))),0,1),"""")"),"")</f>
        <v/>
      </c>
      <c r="BZ66" s="236" t="str">
        <f>IFERROR(__xludf.DUMMYFUNCTION("if(countif(ecn.list,EZ66),OFFSET(INDIRECT(CONCAT(""A"",to_text(match(EZ66,ecn.list,0)))),0,1),"""")"),"MF ")</f>
        <v>MF </v>
      </c>
      <c r="CA66" s="236" t="str">
        <f>IFERROR(__xludf.DUMMYFUNCTION("if(countif(ecn.list,FA66),OFFSET(INDIRECT(CONCAT(""A"",to_text(match(FA66,ecn.list,0)))),0,1),"""")"),"")</f>
        <v/>
      </c>
      <c r="CB66" s="236" t="str">
        <f>IFERROR(__xludf.DUMMYFUNCTION("if(countif(ecn.list,FB66),OFFSET(INDIRECT(CONCAT(""A"",to_text(match(FB66,ecn.list,0)))),0,1),"""")"),"")</f>
        <v/>
      </c>
      <c r="CC66" s="236" t="str">
        <f>IFERROR(__xludf.DUMMYFUNCTION("if(countif(ecn.list,FC66),OFFSET(INDIRECT(CONCAT(""A"",to_text(match(FC66,ecn.list,0)))),0,1),"""")"),"N2 ")</f>
        <v>N2 </v>
      </c>
      <c r="CD66" s="236" t="str">
        <f>IFERROR(__xludf.DUMMYFUNCTION("if(countif(ecn.list,FD66),OFFSET(INDIRECT(CONCAT(""A"",to_text(match(FD66,ecn.list,0)))),0,1),"""")"),"")</f>
        <v/>
      </c>
      <c r="CE66" s="236" t="str">
        <f>IFERROR(__xludf.DUMMYFUNCTION("if(countif(ecn.list,FE66),OFFSET(INDIRECT(CONCAT(""A"",to_text(match(FE66,ecn.list,0)))),0,1),"""")"),"")</f>
        <v/>
      </c>
      <c r="CF66" s="236" t="str">
        <f>IFERROR(__xludf.DUMMYFUNCTION("if(countif(ecn.list,FF66),OFFSET(INDIRECT(CONCAT(""A"",to_text(match(FF66,ecn.list,0)))),0,1),"""")"),"")</f>
        <v/>
      </c>
      <c r="CG66" s="236" t="str">
        <f>IFERROR(__xludf.DUMMYFUNCTION("if(countif(ecn.list,FG66),OFFSET(INDIRECT(CONCAT(""A"",to_text(match(FG66,ecn.list,0)))),0,1),"""")"),"")</f>
        <v/>
      </c>
      <c r="CH66" s="236" t="str">
        <f>IFERROR(__xludf.DUMMYFUNCTION("if(countif(ecn.list,FH66),OFFSET(INDIRECT(CONCAT(""A"",to_text(match(FH66,ecn.list,0)))),0,1),"""")"),"N7 ")</f>
        <v>N7 </v>
      </c>
      <c r="CI66" s="236" t="str">
        <f>IFERROR(__xludf.DUMMYFUNCTION("if(countif(ecn.list,FI66),OFFSET(INDIRECT(CONCAT(""A"",to_text(match(FI66,ecn.list,0)))),0,1),"""")"),"")</f>
        <v/>
      </c>
      <c r="CJ66" s="236" t="str">
        <f>IFERROR(__xludf.DUMMYFUNCTION("if(countif(ecn.list,FJ66),OFFSET(INDIRECT(CONCAT(""A"",to_text(match(FJ66,ecn.list,0)))),0,1),"""")"),"")</f>
        <v/>
      </c>
      <c r="CK66" s="236" t="str">
        <f>IFERROR(__xludf.DUMMYFUNCTION("if(countif(ecn.list,FK66),OFFSET(INDIRECT(CONCAT(""A"",to_text(match(FK66,ecn.list,0)))),0,1),"""")"),"NA ")</f>
        <v>NA </v>
      </c>
      <c r="CL66" s="236" t="str">
        <f>IFERROR(__xludf.DUMMYFUNCTION("if(countif(ecn.list,FL66),OFFSET(INDIRECT(CONCAT(""A"",to_text(match(FL66,ecn.list,0)))),0,1),"""")"),"")</f>
        <v/>
      </c>
      <c r="CM66" s="236" t="str">
        <f>IFERROR(__xludf.DUMMYFUNCTION("if(countif(ecn.list,FM66),OFFSET(INDIRECT(CONCAT(""A"",to_text(match(FM66,ecn.list,0)))),0,1),"""")"),"")</f>
        <v/>
      </c>
      <c r="CN66" s="198" t="s">
        <v>271</v>
      </c>
      <c r="CO66" s="198" t="s">
        <v>1447</v>
      </c>
      <c r="CP66" s="198" t="s">
        <v>1451</v>
      </c>
      <c r="CQ66" s="198" t="s">
        <v>1452</v>
      </c>
      <c r="CR66" s="198" t="s">
        <v>1453</v>
      </c>
      <c r="CS66" s="198" t="s">
        <v>1453</v>
      </c>
      <c r="CT66" s="198" t="s">
        <v>1454</v>
      </c>
      <c r="CU66" s="198" t="s">
        <v>1455</v>
      </c>
      <c r="CV66" s="198" t="s">
        <v>1456</v>
      </c>
      <c r="CW66" s="198" t="s">
        <v>1453</v>
      </c>
      <c r="CX66" s="198" t="s">
        <v>1453</v>
      </c>
      <c r="CY66" s="198" t="s">
        <v>1484</v>
      </c>
      <c r="CZ66" s="198" t="s">
        <v>1453</v>
      </c>
      <c r="DA66" s="198" t="s">
        <v>1457</v>
      </c>
      <c r="DB66" s="198" t="s">
        <v>1453</v>
      </c>
      <c r="DC66" s="198" t="s">
        <v>1453</v>
      </c>
      <c r="DD66" s="198" t="s">
        <v>1458</v>
      </c>
      <c r="DE66" s="198" t="s">
        <v>1459</v>
      </c>
      <c r="DF66" s="198" t="s">
        <v>1453</v>
      </c>
      <c r="DG66" s="198" t="s">
        <v>1453</v>
      </c>
      <c r="DH66" s="198" t="s">
        <v>1500</v>
      </c>
      <c r="DI66" s="198" t="s">
        <v>1501</v>
      </c>
      <c r="DJ66" s="198" t="s">
        <v>1460</v>
      </c>
      <c r="DK66" s="198" t="s">
        <v>1453</v>
      </c>
      <c r="DL66" s="198" t="s">
        <v>1461</v>
      </c>
      <c r="DM66" s="198" t="s">
        <v>1453</v>
      </c>
      <c r="DN66" s="198" t="s">
        <v>1463</v>
      </c>
      <c r="DO66" s="198" t="s">
        <v>1464</v>
      </c>
      <c r="DP66" s="198" t="s">
        <v>1465</v>
      </c>
      <c r="DQ66" s="198" t="s">
        <v>1466</v>
      </c>
      <c r="DR66" s="198" t="s">
        <v>1467</v>
      </c>
      <c r="DS66" s="198" t="s">
        <v>1453</v>
      </c>
      <c r="DT66" s="198" t="s">
        <v>1468</v>
      </c>
      <c r="DU66" s="198" t="s">
        <v>1453</v>
      </c>
      <c r="DV66" s="198" t="s">
        <v>1469</v>
      </c>
      <c r="DW66" s="198" t="s">
        <v>1453</v>
      </c>
      <c r="DX66" s="198" t="s">
        <v>1453</v>
      </c>
      <c r="DY66" s="198" t="s">
        <v>1453</v>
      </c>
      <c r="DZ66" s="198" t="s">
        <v>1453</v>
      </c>
      <c r="EA66" s="198" t="s">
        <v>1453</v>
      </c>
      <c r="EB66" s="198" t="s">
        <v>1453</v>
      </c>
      <c r="EC66" s="198" t="s">
        <v>1483</v>
      </c>
      <c r="ED66" s="198" t="s">
        <v>1453</v>
      </c>
      <c r="EE66" s="198" t="s">
        <v>1470</v>
      </c>
      <c r="EF66" s="198" t="s">
        <v>1453</v>
      </c>
      <c r="EG66" s="198" t="s">
        <v>1471</v>
      </c>
      <c r="EH66" s="198" t="s">
        <v>1453</v>
      </c>
      <c r="EI66" s="198" t="s">
        <v>1453</v>
      </c>
      <c r="EJ66" s="198" t="s">
        <v>1472</v>
      </c>
      <c r="EK66" s="198" t="s">
        <v>1487</v>
      </c>
      <c r="EL66" s="198" t="s">
        <v>1473</v>
      </c>
      <c r="EM66" s="198" t="s">
        <v>1453</v>
      </c>
      <c r="EN66" s="198" t="s">
        <v>1474</v>
      </c>
      <c r="EO66" s="198" t="s">
        <v>1475</v>
      </c>
      <c r="EP66" s="198" t="s">
        <v>1453</v>
      </c>
      <c r="EQ66" s="198" t="s">
        <v>1453</v>
      </c>
      <c r="ER66" s="198" t="s">
        <v>1453</v>
      </c>
      <c r="ES66" s="198" t="s">
        <v>1505</v>
      </c>
      <c r="ET66" s="198" t="s">
        <v>1453</v>
      </c>
      <c r="EU66" s="198" t="s">
        <v>1453</v>
      </c>
      <c r="EV66" s="198" t="s">
        <v>1453</v>
      </c>
      <c r="EW66" s="198" t="s">
        <v>1453</v>
      </c>
      <c r="EX66" s="198" t="s">
        <v>1453</v>
      </c>
      <c r="EY66" s="198" t="s">
        <v>1453</v>
      </c>
      <c r="EZ66" s="198" t="s">
        <v>1477</v>
      </c>
      <c r="FA66" s="198" t="s">
        <v>1453</v>
      </c>
      <c r="FB66" s="198" t="s">
        <v>1453</v>
      </c>
      <c r="FC66" s="198" t="s">
        <v>1478</v>
      </c>
      <c r="FD66" s="198" t="s">
        <v>1453</v>
      </c>
      <c r="FE66" s="198" t="s">
        <v>1453</v>
      </c>
      <c r="FF66" s="198" t="s">
        <v>1453</v>
      </c>
      <c r="FG66" s="198" t="s">
        <v>1453</v>
      </c>
      <c r="FH66" s="198" t="s">
        <v>1479</v>
      </c>
      <c r="FI66" s="198" t="s">
        <v>1453</v>
      </c>
      <c r="FJ66" s="198" t="s">
        <v>1453</v>
      </c>
      <c r="FK66" s="198" t="s">
        <v>1481</v>
      </c>
      <c r="FL66" s="198" t="s">
        <v>1482</v>
      </c>
      <c r="FM66" s="198" t="s">
        <v>1453</v>
      </c>
    </row>
    <row r="67" ht="15.75" customHeight="1">
      <c r="A67" s="236" t="s">
        <v>1477</v>
      </c>
      <c r="B67" s="198" t="str">
        <f t="shared" si="7"/>
        <v>MF </v>
      </c>
      <c r="C67" s="234" t="s">
        <v>1518</v>
      </c>
      <c r="D67" s="232" t="s">
        <v>770</v>
      </c>
      <c r="E67" s="232" t="s">
        <v>1448</v>
      </c>
      <c r="F67" s="232" t="s">
        <v>1449</v>
      </c>
      <c r="G67" s="232" t="s">
        <v>1450</v>
      </c>
      <c r="H67" s="232" t="s">
        <v>804</v>
      </c>
      <c r="I67" s="232" t="s">
        <v>941</v>
      </c>
      <c r="J67" s="232" t="s">
        <v>897</v>
      </c>
      <c r="K67" s="232" t="s">
        <v>1143</v>
      </c>
      <c r="L67" s="188" t="s">
        <v>274</v>
      </c>
      <c r="M67" s="236" t="str">
        <f>IFERROR(__xludf.DUMMYFUNCTION("regexreplace(N67,"" "","", "")"),"J0, J1, J2, J5, J6, J7, JA, JC, JF, K0, K3, K4, K5, K7, K9, KA, KB, KC, KD, KF, L1, L8, LA, LC, M0, M1, M3, M4, MF, N2, N7, NA, ")</f>
        <v>J0, J1, J2, J5, J6, J7, JA, JC, JF, K0, K3, K4, K5, K7, K9, KA, KB, KC, KD, KF, L1, L8, LA, LC, M0, M1, M3, M4, MF, N2, N7, NA, </v>
      </c>
      <c r="N67" s="236" t="str">
        <f t="shared" si="2"/>
        <v>J0 J1 J2 J5 J6 J7 JA JC JF K0 K3 K4 K5 K7 K9 KA KB KC KD KF L1 L8 LA LC M0 M1 M3 M4 MF N2 N7 NA </v>
      </c>
      <c r="O67" s="236" t="str">
        <f>IFERROR(__xludf.DUMMYFUNCTION("if(countif(ecn.list,CO67),OFFSET(INDIRECT(CONCAT(""A"",to_text(match(CO67,ecn.list,0)))),0,1),"""")"),"J0 ")</f>
        <v>J0 </v>
      </c>
      <c r="P67" s="236" t="str">
        <f>IFERROR(__xludf.DUMMYFUNCTION("if(countif(ecn.list,CP67),OFFSET(INDIRECT(CONCAT(""A"",to_text(match(CP67,ecn.list,0)))),0,1),"""")"),"J1 ")</f>
        <v>J1 </v>
      </c>
      <c r="Q67" s="236" t="str">
        <f>IFERROR(__xludf.DUMMYFUNCTION("if(countif(ecn.list,CQ67),OFFSET(INDIRECT(CONCAT(""A"",to_text(match(CQ67,ecn.list,0)))),0,1),"""")"),"J2 ")</f>
        <v>J2 </v>
      </c>
      <c r="R67" s="236" t="str">
        <f>IFERROR(__xludf.DUMMYFUNCTION("if(countif(ecn.list,CR67),OFFSET(INDIRECT(CONCAT(""A"",to_text(match(CR67,ecn.list,0)))),0,1),"""")"),"")</f>
        <v/>
      </c>
      <c r="S67" s="236" t="str">
        <f>IFERROR(__xludf.DUMMYFUNCTION("if(countif(ecn.list,CS67),OFFSET(INDIRECT(CONCAT(""A"",to_text(match(CS67,ecn.list,0)))),0,1),"""")"),"")</f>
        <v/>
      </c>
      <c r="T67" s="236" t="str">
        <f>IFERROR(__xludf.DUMMYFUNCTION("if(countif(ecn.list,CT67),OFFSET(INDIRECT(CONCAT(""A"",to_text(match(CT67,ecn.list,0)))),0,1),"""")"),"J5 ")</f>
        <v>J5 </v>
      </c>
      <c r="U67" s="236" t="str">
        <f>IFERROR(__xludf.DUMMYFUNCTION("if(countif(ecn.list,CU67),OFFSET(INDIRECT(CONCAT(""A"",to_text(match(CU67,ecn.list,0)))),0,1),"""")"),"J6 ")</f>
        <v>J6 </v>
      </c>
      <c r="V67" s="236" t="str">
        <f>IFERROR(__xludf.DUMMYFUNCTION("if(countif(ecn.list,CV67),OFFSET(INDIRECT(CONCAT(""A"",to_text(match(CV67,ecn.list,0)))),0,1),"""")"),"J7 ")</f>
        <v>J7 </v>
      </c>
      <c r="W67" s="236" t="str">
        <f>IFERROR(__xludf.DUMMYFUNCTION("if(countif(ecn.list,CW67),OFFSET(INDIRECT(CONCAT(""A"",to_text(match(CW67,ecn.list,0)))),0,1),"""")"),"")</f>
        <v/>
      </c>
      <c r="X67" s="236" t="str">
        <f>IFERROR(__xludf.DUMMYFUNCTION("if(countif(ecn.list,CX67),OFFSET(INDIRECT(CONCAT(""A"",to_text(match(CX67,ecn.list,0)))),0,1),"""")"),"")</f>
        <v/>
      </c>
      <c r="Y67" s="236" t="str">
        <f>IFERROR(__xludf.DUMMYFUNCTION("if(countif(ecn.list,CY67),OFFSET(INDIRECT(CONCAT(""A"",to_text(match(CY67,ecn.list,0)))),0,1),"""")"),"JA ")</f>
        <v>JA </v>
      </c>
      <c r="Z67" s="236" t="str">
        <f>IFERROR(__xludf.DUMMYFUNCTION("if(countif(ecn.list,CZ67),OFFSET(INDIRECT(CONCAT(""A"",to_text(match(CZ67,ecn.list,0)))),0,1),"""")"),"")</f>
        <v/>
      </c>
      <c r="AA67" s="236" t="str">
        <f>IFERROR(__xludf.DUMMYFUNCTION("if(countif(ecn.list,DA67),OFFSET(INDIRECT(CONCAT(""A"",to_text(match(DA67,ecn.list,0)))),0,1),"""")"),"JC ")</f>
        <v>JC </v>
      </c>
      <c r="AB67" s="236" t="str">
        <f>IFERROR(__xludf.DUMMYFUNCTION("if(countif(ecn.list,DB67),OFFSET(INDIRECT(CONCAT(""A"",to_text(match(DB67,ecn.list,0)))),0,1),"""")"),"")</f>
        <v/>
      </c>
      <c r="AC67" s="236" t="str">
        <f>IFERROR(__xludf.DUMMYFUNCTION("if(countif(ecn.list,DC67),OFFSET(INDIRECT(CONCAT(""A"",to_text(match(DC67,ecn.list,0)))),0,1),"""")"),"")</f>
        <v/>
      </c>
      <c r="AD67" s="236" t="str">
        <f>IFERROR(__xludf.DUMMYFUNCTION("if(countif(ecn.list,DD67),OFFSET(INDIRECT(CONCAT(""A"",to_text(match(DD67,ecn.list,0)))),0,1),"""")"),"JF ")</f>
        <v>JF </v>
      </c>
      <c r="AE67" s="236" t="str">
        <f>IFERROR(__xludf.DUMMYFUNCTION("if(countif(ecn.list,DE67),OFFSET(INDIRECT(CONCAT(""A"",to_text(match(DE67,ecn.list,0)))),0,1),"""")"),"K0 ")</f>
        <v>K0 </v>
      </c>
      <c r="AF67" s="236" t="str">
        <f>IFERROR(__xludf.DUMMYFUNCTION("if(countif(ecn.list,DF67),OFFSET(INDIRECT(CONCAT(""A"",to_text(match(DF67,ecn.list,0)))),0,1),"""")"),"")</f>
        <v/>
      </c>
      <c r="AG67" s="236" t="str">
        <f>IFERROR(__xludf.DUMMYFUNCTION("if(countif(ecn.list,DG67),OFFSET(INDIRECT(CONCAT(""A"",to_text(match(DG67,ecn.list,0)))),0,1),"""")"),"")</f>
        <v/>
      </c>
      <c r="AH67" s="236" t="str">
        <f>IFERROR(__xludf.DUMMYFUNCTION("if(countif(ecn.list,DH67),OFFSET(INDIRECT(CONCAT(""A"",to_text(match(DH67,ecn.list,0)))),0,1),"""")"),"K3 ")</f>
        <v>K3 </v>
      </c>
      <c r="AI67" s="236" t="str">
        <f>IFERROR(__xludf.DUMMYFUNCTION("if(countif(ecn.list,DI67),OFFSET(INDIRECT(CONCAT(""A"",to_text(match(DI67,ecn.list,0)))),0,1),"""")"),"K4 ")</f>
        <v>K4 </v>
      </c>
      <c r="AJ67" s="236" t="str">
        <f>IFERROR(__xludf.DUMMYFUNCTION("if(countif(ecn.list,DJ67),OFFSET(INDIRECT(CONCAT(""A"",to_text(match(DJ67,ecn.list,0)))),0,1),"""")"),"K5 ")</f>
        <v>K5 </v>
      </c>
      <c r="AK67" s="236" t="str">
        <f>IFERROR(__xludf.DUMMYFUNCTION("if(countif(ecn.list,DK67),OFFSET(INDIRECT(CONCAT(""A"",to_text(match(DK67,ecn.list,0)))),0,1),"""")"),"")</f>
        <v/>
      </c>
      <c r="AL67" s="236" t="str">
        <f>IFERROR(__xludf.DUMMYFUNCTION("if(countif(ecn.list,DL67),OFFSET(INDIRECT(CONCAT(""A"",to_text(match(DL67,ecn.list,0)))),0,1),"""")"),"K7 ")</f>
        <v>K7 </v>
      </c>
      <c r="AM67" s="236" t="str">
        <f>IFERROR(__xludf.DUMMYFUNCTION("if(countif(ecn.list,DM67),OFFSET(INDIRECT(CONCAT(""A"",to_text(match(DM67,ecn.list,0)))),0,1),"""")"),"")</f>
        <v/>
      </c>
      <c r="AN67" s="236" t="str">
        <f>IFERROR(__xludf.DUMMYFUNCTION("if(countif(ecn.list,DN67),OFFSET(INDIRECT(CONCAT(""A"",to_text(match(DN67,ecn.list,0)))),0,1),"""")"),"K9 ")</f>
        <v>K9 </v>
      </c>
      <c r="AO67" s="236" t="str">
        <f>IFERROR(__xludf.DUMMYFUNCTION("if(countif(ecn.list,DO67),OFFSET(INDIRECT(CONCAT(""A"",to_text(match(DO67,ecn.list,0)))),0,1),"""")"),"KA ")</f>
        <v>KA </v>
      </c>
      <c r="AP67" s="236" t="str">
        <f>IFERROR(__xludf.DUMMYFUNCTION("if(countif(ecn.list,DP67),OFFSET(INDIRECT(CONCAT(""A"",to_text(match(DP67,ecn.list,0)))),0,1),"""")"),"KB ")</f>
        <v>KB </v>
      </c>
      <c r="AQ67" s="236" t="str">
        <f>IFERROR(__xludf.DUMMYFUNCTION("if(countif(ecn.list,DQ67),OFFSET(INDIRECT(CONCAT(""A"",to_text(match(DQ67,ecn.list,0)))),0,1),"""")"),"KC ")</f>
        <v>KC </v>
      </c>
      <c r="AR67" s="236" t="str">
        <f>IFERROR(__xludf.DUMMYFUNCTION("if(countif(ecn.list,DR67),OFFSET(INDIRECT(CONCAT(""A"",to_text(match(DR67,ecn.list,0)))),0,1),"""")"),"KD ")</f>
        <v>KD </v>
      </c>
      <c r="AS67" s="236" t="str">
        <f>IFERROR(__xludf.DUMMYFUNCTION("if(countif(ecn.list,DS67),OFFSET(INDIRECT(CONCAT(""A"",to_text(match(DS67,ecn.list,0)))),0,1),"""")"),"")</f>
        <v/>
      </c>
      <c r="AT67" s="236" t="str">
        <f>IFERROR(__xludf.DUMMYFUNCTION("if(countif(ecn.list,DT67),OFFSET(INDIRECT(CONCAT(""A"",to_text(match(DT67,ecn.list,0)))),0,1),"""")"),"KF ")</f>
        <v>KF </v>
      </c>
      <c r="AU67" s="236" t="str">
        <f>IFERROR(__xludf.DUMMYFUNCTION("if(countif(ecn.list,DU67),OFFSET(INDIRECT(CONCAT(""A"",to_text(match(DU67,ecn.list,0)))),0,1),"""")"),"")</f>
        <v/>
      </c>
      <c r="AV67" s="236" t="str">
        <f>IFERROR(__xludf.DUMMYFUNCTION("if(countif(ecn.list,DV67),OFFSET(INDIRECT(CONCAT(""A"",to_text(match(DV67,ecn.list,0)))),0,1),"""")"),"L1 ")</f>
        <v>L1 </v>
      </c>
      <c r="AW67" s="236" t="str">
        <f>IFERROR(__xludf.DUMMYFUNCTION("if(countif(ecn.list,DW67),OFFSET(INDIRECT(CONCAT(""A"",to_text(match(DW67,ecn.list,0)))),0,1),"""")"),"")</f>
        <v/>
      </c>
      <c r="AX67" s="236" t="str">
        <f>IFERROR(__xludf.DUMMYFUNCTION("if(countif(ecn.list,DX67),OFFSET(INDIRECT(CONCAT(""A"",to_text(match(DX67,ecn.list,0)))),0,1),"""")"),"")</f>
        <v/>
      </c>
      <c r="AY67" s="236" t="str">
        <f>IFERROR(__xludf.DUMMYFUNCTION("if(countif(ecn.list,DY67),OFFSET(INDIRECT(CONCAT(""A"",to_text(match(DY67,ecn.list,0)))),0,1),"""")"),"")</f>
        <v/>
      </c>
      <c r="AZ67" s="236" t="str">
        <f>IFERROR(__xludf.DUMMYFUNCTION("if(countif(ecn.list,DZ67),OFFSET(INDIRECT(CONCAT(""A"",to_text(match(DZ67,ecn.list,0)))),0,1),"""")"),"")</f>
        <v/>
      </c>
      <c r="BA67" s="236" t="str">
        <f>IFERROR(__xludf.DUMMYFUNCTION("if(countif(ecn.list,EA67),OFFSET(INDIRECT(CONCAT(""A"",to_text(match(EA67,ecn.list,0)))),0,1),"""")"),"")</f>
        <v/>
      </c>
      <c r="BB67" s="236" t="str">
        <f>IFERROR(__xludf.DUMMYFUNCTION("if(countif(ecn.list,EB67),OFFSET(INDIRECT(CONCAT(""A"",to_text(match(EB67,ecn.list,0)))),0,1),"""")"),"")</f>
        <v/>
      </c>
      <c r="BC67" s="236" t="str">
        <f>IFERROR(__xludf.DUMMYFUNCTION("if(countif(ecn.list,EC67),OFFSET(INDIRECT(CONCAT(""A"",to_text(match(EC67,ecn.list,0)))),0,1),"""")"),"L8 ")</f>
        <v>L8 </v>
      </c>
      <c r="BD67" s="236" t="str">
        <f>IFERROR(__xludf.DUMMYFUNCTION("if(countif(ecn.list,ED67),OFFSET(INDIRECT(CONCAT(""A"",to_text(match(ED67,ecn.list,0)))),0,1),"""")"),"")</f>
        <v/>
      </c>
      <c r="BE67" s="236" t="str">
        <f>IFERROR(__xludf.DUMMYFUNCTION("if(countif(ecn.list,EE67),OFFSET(INDIRECT(CONCAT(""A"",to_text(match(EE67,ecn.list,0)))),0,1),"""")"),"LA ")</f>
        <v>LA </v>
      </c>
      <c r="BF67" s="236" t="str">
        <f>IFERROR(__xludf.DUMMYFUNCTION("if(countif(ecn.list,EF67),OFFSET(INDIRECT(CONCAT(""A"",to_text(match(EF67,ecn.list,0)))),0,1),"""")"),"")</f>
        <v/>
      </c>
      <c r="BG67" s="236" t="str">
        <f>IFERROR(__xludf.DUMMYFUNCTION("if(countif(ecn.list,EG67),OFFSET(INDIRECT(CONCAT(""A"",to_text(match(EG67,ecn.list,0)))),0,1),"""")"),"LC ")</f>
        <v>LC </v>
      </c>
      <c r="BH67" s="236" t="str">
        <f>IFERROR(__xludf.DUMMYFUNCTION("if(countif(ecn.list,EH67),OFFSET(INDIRECT(CONCAT(""A"",to_text(match(EH67,ecn.list,0)))),0,1),"""")"),"")</f>
        <v/>
      </c>
      <c r="BI67" s="236" t="str">
        <f>IFERROR(__xludf.DUMMYFUNCTION("if(countif(ecn.list,EI67),OFFSET(INDIRECT(CONCAT(""A"",to_text(match(EI67,ecn.list,0)))),0,1),"""")"),"")</f>
        <v/>
      </c>
      <c r="BJ67" s="236" t="str">
        <f>IFERROR(__xludf.DUMMYFUNCTION("if(countif(ecn.list,EJ67),OFFSET(INDIRECT(CONCAT(""A"",to_text(match(EJ67,ecn.list,0)))),0,1),"""")"),"")</f>
        <v/>
      </c>
      <c r="BK67" s="236" t="str">
        <f>IFERROR(__xludf.DUMMYFUNCTION("if(countif(ecn.list,EK67),OFFSET(INDIRECT(CONCAT(""A"",to_text(match(EK67,ecn.list,0)))),0,1),"""")"),"M0 ")</f>
        <v>M0 </v>
      </c>
      <c r="BL67" s="236" t="str">
        <f>IFERROR(__xludf.DUMMYFUNCTION("if(countif(ecn.list,EL67),OFFSET(INDIRECT(CONCAT(""A"",to_text(match(EL67,ecn.list,0)))),0,1),"""")"),"M1 ")</f>
        <v>M1 </v>
      </c>
      <c r="BM67" s="236" t="str">
        <f>IFERROR(__xludf.DUMMYFUNCTION("if(countif(ecn.list,EM67),OFFSET(INDIRECT(CONCAT(""A"",to_text(match(EM67,ecn.list,0)))),0,1),"""")"),"")</f>
        <v/>
      </c>
      <c r="BN67" s="236" t="str">
        <f>IFERROR(__xludf.DUMMYFUNCTION("if(countif(ecn.list,EN67),OFFSET(INDIRECT(CONCAT(""A"",to_text(match(EN67,ecn.list,0)))),0,1),"""")"),"M3 ")</f>
        <v>M3 </v>
      </c>
      <c r="BO67" s="236" t="str">
        <f>IFERROR(__xludf.DUMMYFUNCTION("if(countif(ecn.list,EO67),OFFSET(INDIRECT(CONCAT(""A"",to_text(match(EO67,ecn.list,0)))),0,1),"""")"),"M4 ")</f>
        <v>M4 </v>
      </c>
      <c r="BP67" s="236" t="str">
        <f>IFERROR(__xludf.DUMMYFUNCTION("if(countif(ecn.list,EP67),OFFSET(INDIRECT(CONCAT(""A"",to_text(match(EP67,ecn.list,0)))),0,1),"""")"),"")</f>
        <v/>
      </c>
      <c r="BQ67" s="236" t="str">
        <f>IFERROR(__xludf.DUMMYFUNCTION("if(countif(ecn.list,EQ67),OFFSET(INDIRECT(CONCAT(""A"",to_text(match(EQ67,ecn.list,0)))),0,1),"""")"),"")</f>
        <v/>
      </c>
      <c r="BR67" s="236" t="str">
        <f>IFERROR(__xludf.DUMMYFUNCTION("if(countif(ecn.list,ER67),OFFSET(INDIRECT(CONCAT(""A"",to_text(match(ER67,ecn.list,0)))),0,1),"""")"),"")</f>
        <v/>
      </c>
      <c r="BS67" s="236" t="str">
        <f>IFERROR(__xludf.DUMMYFUNCTION("if(countif(ecn.list,ES67),OFFSET(INDIRECT(CONCAT(""A"",to_text(match(ES67,ecn.list,0)))),0,1),"""")"),"")</f>
        <v/>
      </c>
      <c r="BT67" s="236" t="str">
        <f>IFERROR(__xludf.DUMMYFUNCTION("if(countif(ecn.list,ET67),OFFSET(INDIRECT(CONCAT(""A"",to_text(match(ET67,ecn.list,0)))),0,1),"""")"),"")</f>
        <v/>
      </c>
      <c r="BU67" s="236" t="str">
        <f>IFERROR(__xludf.DUMMYFUNCTION("if(countif(ecn.list,EU67),OFFSET(INDIRECT(CONCAT(""A"",to_text(match(EU67,ecn.list,0)))),0,1),"""")"),"")</f>
        <v/>
      </c>
      <c r="BV67" s="236" t="str">
        <f>IFERROR(__xludf.DUMMYFUNCTION("if(countif(ecn.list,EV67),OFFSET(INDIRECT(CONCAT(""A"",to_text(match(EV67,ecn.list,0)))),0,1),"""")"),"")</f>
        <v/>
      </c>
      <c r="BW67" s="236" t="str">
        <f>IFERROR(__xludf.DUMMYFUNCTION("if(countif(ecn.list,EW67),OFFSET(INDIRECT(CONCAT(""A"",to_text(match(EW67,ecn.list,0)))),0,1),"""")"),"")</f>
        <v/>
      </c>
      <c r="BX67" s="236" t="str">
        <f>IFERROR(__xludf.DUMMYFUNCTION("if(countif(ecn.list,EX67),OFFSET(INDIRECT(CONCAT(""A"",to_text(match(EX67,ecn.list,0)))),0,1),"""")"),"")</f>
        <v/>
      </c>
      <c r="BY67" s="236" t="str">
        <f>IFERROR(__xludf.DUMMYFUNCTION("if(countif(ecn.list,EY67),OFFSET(INDIRECT(CONCAT(""A"",to_text(match(EY67,ecn.list,0)))),0,1),"""")"),"")</f>
        <v/>
      </c>
      <c r="BZ67" s="236" t="str">
        <f>IFERROR(__xludf.DUMMYFUNCTION("if(countif(ecn.list,EZ67),OFFSET(INDIRECT(CONCAT(""A"",to_text(match(EZ67,ecn.list,0)))),0,1),"""")"),"MF ")</f>
        <v>MF </v>
      </c>
      <c r="CA67" s="236" t="str">
        <f>IFERROR(__xludf.DUMMYFUNCTION("if(countif(ecn.list,FA67),OFFSET(INDIRECT(CONCAT(""A"",to_text(match(FA67,ecn.list,0)))),0,1),"""")"),"")</f>
        <v/>
      </c>
      <c r="CB67" s="236" t="str">
        <f>IFERROR(__xludf.DUMMYFUNCTION("if(countif(ecn.list,FB67),OFFSET(INDIRECT(CONCAT(""A"",to_text(match(FB67,ecn.list,0)))),0,1),"""")"),"")</f>
        <v/>
      </c>
      <c r="CC67" s="236" t="str">
        <f>IFERROR(__xludf.DUMMYFUNCTION("if(countif(ecn.list,FC67),OFFSET(INDIRECT(CONCAT(""A"",to_text(match(FC67,ecn.list,0)))),0,1),"""")"),"N2 ")</f>
        <v>N2 </v>
      </c>
      <c r="CD67" s="236" t="str">
        <f>IFERROR(__xludf.DUMMYFUNCTION("if(countif(ecn.list,FD67),OFFSET(INDIRECT(CONCAT(""A"",to_text(match(FD67,ecn.list,0)))),0,1),"""")"),"")</f>
        <v/>
      </c>
      <c r="CE67" s="236" t="str">
        <f>IFERROR(__xludf.DUMMYFUNCTION("if(countif(ecn.list,FE67),OFFSET(INDIRECT(CONCAT(""A"",to_text(match(FE67,ecn.list,0)))),0,1),"""")"),"")</f>
        <v/>
      </c>
      <c r="CF67" s="236" t="str">
        <f>IFERROR(__xludf.DUMMYFUNCTION("if(countif(ecn.list,FF67),OFFSET(INDIRECT(CONCAT(""A"",to_text(match(FF67,ecn.list,0)))),0,1),"""")"),"")</f>
        <v/>
      </c>
      <c r="CG67" s="236" t="str">
        <f>IFERROR(__xludf.DUMMYFUNCTION("if(countif(ecn.list,FG67),OFFSET(INDIRECT(CONCAT(""A"",to_text(match(FG67,ecn.list,0)))),0,1),"""")"),"")</f>
        <v/>
      </c>
      <c r="CH67" s="236" t="str">
        <f>IFERROR(__xludf.DUMMYFUNCTION("if(countif(ecn.list,FH67),OFFSET(INDIRECT(CONCAT(""A"",to_text(match(FH67,ecn.list,0)))),0,1),"""")"),"N7 ")</f>
        <v>N7 </v>
      </c>
      <c r="CI67" s="236" t="str">
        <f>IFERROR(__xludf.DUMMYFUNCTION("if(countif(ecn.list,FI67),OFFSET(INDIRECT(CONCAT(""A"",to_text(match(FI67,ecn.list,0)))),0,1),"""")"),"")</f>
        <v/>
      </c>
      <c r="CJ67" s="236" t="str">
        <f>IFERROR(__xludf.DUMMYFUNCTION("if(countif(ecn.list,FJ67),OFFSET(INDIRECT(CONCAT(""A"",to_text(match(FJ67,ecn.list,0)))),0,1),"""")"),"")</f>
        <v/>
      </c>
      <c r="CK67" s="236" t="str">
        <f>IFERROR(__xludf.DUMMYFUNCTION("if(countif(ecn.list,FK67),OFFSET(INDIRECT(CONCAT(""A"",to_text(match(FK67,ecn.list,0)))),0,1),"""")"),"NA ")</f>
        <v>NA </v>
      </c>
      <c r="CL67" s="236" t="str">
        <f>IFERROR(__xludf.DUMMYFUNCTION("if(countif(ecn.list,FL67),OFFSET(INDIRECT(CONCAT(""A"",to_text(match(FL67,ecn.list,0)))),0,1),"""")"),"")</f>
        <v/>
      </c>
      <c r="CM67" s="236" t="str">
        <f>IFERROR(__xludf.DUMMYFUNCTION("if(countif(ecn.list,FM67),OFFSET(INDIRECT(CONCAT(""A"",to_text(match(FM67,ecn.list,0)))),0,1),"""")"),"")</f>
        <v/>
      </c>
      <c r="CN67" s="198" t="s">
        <v>274</v>
      </c>
      <c r="CO67" s="198" t="s">
        <v>1447</v>
      </c>
      <c r="CP67" s="198" t="s">
        <v>1451</v>
      </c>
      <c r="CQ67" s="198" t="s">
        <v>1452</v>
      </c>
      <c r="CR67" s="198" t="s">
        <v>1453</v>
      </c>
      <c r="CS67" s="198" t="s">
        <v>1453</v>
      </c>
      <c r="CT67" s="198" t="s">
        <v>1454</v>
      </c>
      <c r="CU67" s="198" t="s">
        <v>1455</v>
      </c>
      <c r="CV67" s="198" t="s">
        <v>1456</v>
      </c>
      <c r="CW67" s="198" t="s">
        <v>1453</v>
      </c>
      <c r="CX67" s="198" t="s">
        <v>1453</v>
      </c>
      <c r="CY67" s="198" t="s">
        <v>1484</v>
      </c>
      <c r="CZ67" s="198" t="s">
        <v>1453</v>
      </c>
      <c r="DA67" s="198" t="s">
        <v>1457</v>
      </c>
      <c r="DB67" s="198" t="s">
        <v>1453</v>
      </c>
      <c r="DC67" s="198" t="s">
        <v>1453</v>
      </c>
      <c r="DD67" s="198" t="s">
        <v>1458</v>
      </c>
      <c r="DE67" s="198" t="s">
        <v>1459</v>
      </c>
      <c r="DF67" s="198" t="s">
        <v>1453</v>
      </c>
      <c r="DG67" s="198" t="s">
        <v>1453</v>
      </c>
      <c r="DH67" s="198" t="s">
        <v>1500</v>
      </c>
      <c r="DI67" s="198" t="s">
        <v>1501</v>
      </c>
      <c r="DJ67" s="198" t="s">
        <v>1460</v>
      </c>
      <c r="DK67" s="198" t="s">
        <v>1453</v>
      </c>
      <c r="DL67" s="198" t="s">
        <v>1461</v>
      </c>
      <c r="DM67" s="198" t="s">
        <v>1453</v>
      </c>
      <c r="DN67" s="198" t="s">
        <v>1463</v>
      </c>
      <c r="DO67" s="198" t="s">
        <v>1464</v>
      </c>
      <c r="DP67" s="198" t="s">
        <v>1465</v>
      </c>
      <c r="DQ67" s="198" t="s">
        <v>1466</v>
      </c>
      <c r="DR67" s="198" t="s">
        <v>1467</v>
      </c>
      <c r="DS67" s="198" t="s">
        <v>1453</v>
      </c>
      <c r="DT67" s="198" t="s">
        <v>1468</v>
      </c>
      <c r="DU67" s="198" t="s">
        <v>1453</v>
      </c>
      <c r="DV67" s="198" t="s">
        <v>1469</v>
      </c>
      <c r="DW67" s="198" t="s">
        <v>1453</v>
      </c>
      <c r="DX67" s="198" t="s">
        <v>1453</v>
      </c>
      <c r="DY67" s="198" t="s">
        <v>1453</v>
      </c>
      <c r="DZ67" s="198" t="s">
        <v>1453</v>
      </c>
      <c r="EA67" s="198" t="s">
        <v>1453</v>
      </c>
      <c r="EB67" s="198" t="s">
        <v>1453</v>
      </c>
      <c r="EC67" s="198" t="s">
        <v>1483</v>
      </c>
      <c r="ED67" s="198" t="s">
        <v>1453</v>
      </c>
      <c r="EE67" s="198" t="s">
        <v>1470</v>
      </c>
      <c r="EF67" s="198" t="s">
        <v>1453</v>
      </c>
      <c r="EG67" s="198" t="s">
        <v>1471</v>
      </c>
      <c r="EH67" s="198" t="s">
        <v>1453</v>
      </c>
      <c r="EI67" s="198" t="s">
        <v>1453</v>
      </c>
      <c r="EJ67" s="198" t="s">
        <v>1453</v>
      </c>
      <c r="EK67" s="198" t="s">
        <v>1487</v>
      </c>
      <c r="EL67" s="198" t="s">
        <v>1473</v>
      </c>
      <c r="EM67" s="198" t="s">
        <v>1453</v>
      </c>
      <c r="EN67" s="198" t="s">
        <v>1474</v>
      </c>
      <c r="EO67" s="198" t="s">
        <v>1475</v>
      </c>
      <c r="EP67" s="198" t="s">
        <v>1453</v>
      </c>
      <c r="EQ67" s="198" t="s">
        <v>1453</v>
      </c>
      <c r="ER67" s="198" t="s">
        <v>1453</v>
      </c>
      <c r="ES67" s="198" t="s">
        <v>1453</v>
      </c>
      <c r="ET67" s="198" t="s">
        <v>1453</v>
      </c>
      <c r="EU67" s="198" t="s">
        <v>1453</v>
      </c>
      <c r="EV67" s="198" t="s">
        <v>1453</v>
      </c>
      <c r="EW67" s="198" t="s">
        <v>1453</v>
      </c>
      <c r="EX67" s="198" t="s">
        <v>1453</v>
      </c>
      <c r="EY67" s="198" t="s">
        <v>1453</v>
      </c>
      <c r="EZ67" s="198" t="s">
        <v>1477</v>
      </c>
      <c r="FA67" s="198" t="s">
        <v>1453</v>
      </c>
      <c r="FB67" s="198" t="s">
        <v>1453</v>
      </c>
      <c r="FC67" s="198" t="s">
        <v>1478</v>
      </c>
      <c r="FD67" s="198" t="s">
        <v>1453</v>
      </c>
      <c r="FE67" s="198" t="s">
        <v>1453</v>
      </c>
      <c r="FF67" s="198" t="s">
        <v>1453</v>
      </c>
      <c r="FG67" s="198" t="s">
        <v>1453</v>
      </c>
      <c r="FH67" s="198" t="s">
        <v>1479</v>
      </c>
      <c r="FI67" s="198" t="s">
        <v>1453</v>
      </c>
      <c r="FJ67" s="198" t="s">
        <v>1453</v>
      </c>
      <c r="FK67" s="198" t="s">
        <v>1481</v>
      </c>
      <c r="FL67" s="198" t="s">
        <v>1482</v>
      </c>
      <c r="FM67" s="198" t="s">
        <v>1453</v>
      </c>
    </row>
    <row r="68" ht="15.75" customHeight="1">
      <c r="A68" s="236" t="s">
        <v>1532</v>
      </c>
      <c r="B68" s="198" t="str">
        <f t="shared" ref="B68:B80" si="8">concatenate("N",C68," ")</f>
        <v>N0 </v>
      </c>
      <c r="C68" s="234">
        <v>0.0</v>
      </c>
      <c r="D68" s="232" t="s">
        <v>770</v>
      </c>
      <c r="E68" s="232" t="s">
        <v>1448</v>
      </c>
      <c r="F68" s="232" t="s">
        <v>1449</v>
      </c>
      <c r="G68" s="232" t="s">
        <v>1450</v>
      </c>
      <c r="H68" s="232" t="s">
        <v>804</v>
      </c>
      <c r="I68" s="232" t="s">
        <v>941</v>
      </c>
      <c r="J68" s="232" t="s">
        <v>897</v>
      </c>
      <c r="K68" s="232" t="s">
        <v>1143</v>
      </c>
      <c r="L68" s="188" t="s">
        <v>277</v>
      </c>
      <c r="M68" s="236" t="str">
        <f>IFERROR(__xludf.DUMMYFUNCTION("regexreplace(N68,"" "","", "")"),"J0, J1, J2, J5, J6, J7, JA, JC, JF, K0, K3, K4, K5, K7, K9, KA, KB, KC, KD, KF, L1, L8, LA, LC, LF, M0, M1, M3, M4, M8, MF, N2, N7, NA, ")</f>
        <v>J0, J1, J2, J5, J6, J7, JA, JC, JF, K0, K3, K4, K5, K7, K9, KA, KB, KC, KD, KF, L1, L8, LA, LC, LF, M0, M1, M3, M4, M8, MF, N2, N7, NA, </v>
      </c>
      <c r="N68" s="236" t="str">
        <f t="shared" si="2"/>
        <v>J0 J1 J2 J5 J6 J7 JA JC JF K0 K3 K4 K5 K7 K9 KA KB KC KD KF L1 L8 LA LC LF M0 M1 M3 M4 M8 MF N2 N7 NA </v>
      </c>
      <c r="O68" s="236" t="str">
        <f>IFERROR(__xludf.DUMMYFUNCTION("if(countif(ecn.list,CO68),OFFSET(INDIRECT(CONCAT(""A"",to_text(match(CO68,ecn.list,0)))),0,1),"""")"),"J0 ")</f>
        <v>J0 </v>
      </c>
      <c r="P68" s="236" t="str">
        <f>IFERROR(__xludf.DUMMYFUNCTION("if(countif(ecn.list,CP68),OFFSET(INDIRECT(CONCAT(""A"",to_text(match(CP68,ecn.list,0)))),0,1),"""")"),"J1 ")</f>
        <v>J1 </v>
      </c>
      <c r="Q68" s="236" t="str">
        <f>IFERROR(__xludf.DUMMYFUNCTION("if(countif(ecn.list,CQ68),OFFSET(INDIRECT(CONCAT(""A"",to_text(match(CQ68,ecn.list,0)))),0,1),"""")"),"J2 ")</f>
        <v>J2 </v>
      </c>
      <c r="R68" s="236" t="str">
        <f>IFERROR(__xludf.DUMMYFUNCTION("if(countif(ecn.list,CR68),OFFSET(INDIRECT(CONCAT(""A"",to_text(match(CR68,ecn.list,0)))),0,1),"""")"),"")</f>
        <v/>
      </c>
      <c r="S68" s="236" t="str">
        <f>IFERROR(__xludf.DUMMYFUNCTION("if(countif(ecn.list,CS68),OFFSET(INDIRECT(CONCAT(""A"",to_text(match(CS68,ecn.list,0)))),0,1),"""")"),"")</f>
        <v/>
      </c>
      <c r="T68" s="236" t="str">
        <f>IFERROR(__xludf.DUMMYFUNCTION("if(countif(ecn.list,CT68),OFFSET(INDIRECT(CONCAT(""A"",to_text(match(CT68,ecn.list,0)))),0,1),"""")"),"J5 ")</f>
        <v>J5 </v>
      </c>
      <c r="U68" s="236" t="str">
        <f>IFERROR(__xludf.DUMMYFUNCTION("if(countif(ecn.list,CU68),OFFSET(INDIRECT(CONCAT(""A"",to_text(match(CU68,ecn.list,0)))),0,1),"""")"),"J6 ")</f>
        <v>J6 </v>
      </c>
      <c r="V68" s="236" t="str">
        <f>IFERROR(__xludf.DUMMYFUNCTION("if(countif(ecn.list,CV68),OFFSET(INDIRECT(CONCAT(""A"",to_text(match(CV68,ecn.list,0)))),0,1),"""")"),"J7 ")</f>
        <v>J7 </v>
      </c>
      <c r="W68" s="236" t="str">
        <f>IFERROR(__xludf.DUMMYFUNCTION("if(countif(ecn.list,CW68),OFFSET(INDIRECT(CONCAT(""A"",to_text(match(CW68,ecn.list,0)))),0,1),"""")"),"")</f>
        <v/>
      </c>
      <c r="X68" s="236" t="str">
        <f>IFERROR(__xludf.DUMMYFUNCTION("if(countif(ecn.list,CX68),OFFSET(INDIRECT(CONCAT(""A"",to_text(match(CX68,ecn.list,0)))),0,1),"""")"),"")</f>
        <v/>
      </c>
      <c r="Y68" s="236" t="str">
        <f>IFERROR(__xludf.DUMMYFUNCTION("if(countif(ecn.list,CY68),OFFSET(INDIRECT(CONCAT(""A"",to_text(match(CY68,ecn.list,0)))),0,1),"""")"),"JA ")</f>
        <v>JA </v>
      </c>
      <c r="Z68" s="236" t="str">
        <f>IFERROR(__xludf.DUMMYFUNCTION("if(countif(ecn.list,CZ68),OFFSET(INDIRECT(CONCAT(""A"",to_text(match(CZ68,ecn.list,0)))),0,1),"""")"),"")</f>
        <v/>
      </c>
      <c r="AA68" s="236" t="str">
        <f>IFERROR(__xludf.DUMMYFUNCTION("if(countif(ecn.list,DA68),OFFSET(INDIRECT(CONCAT(""A"",to_text(match(DA68,ecn.list,0)))),0,1),"""")"),"JC ")</f>
        <v>JC </v>
      </c>
      <c r="AB68" s="236" t="str">
        <f>IFERROR(__xludf.DUMMYFUNCTION("if(countif(ecn.list,DB68),OFFSET(INDIRECT(CONCAT(""A"",to_text(match(DB68,ecn.list,0)))),0,1),"""")"),"")</f>
        <v/>
      </c>
      <c r="AC68" s="236" t="str">
        <f>IFERROR(__xludf.DUMMYFUNCTION("if(countif(ecn.list,DC68),OFFSET(INDIRECT(CONCAT(""A"",to_text(match(DC68,ecn.list,0)))),0,1),"""")"),"")</f>
        <v/>
      </c>
      <c r="AD68" s="236" t="str">
        <f>IFERROR(__xludf.DUMMYFUNCTION("if(countif(ecn.list,DD68),OFFSET(INDIRECT(CONCAT(""A"",to_text(match(DD68,ecn.list,0)))),0,1),"""")"),"JF ")</f>
        <v>JF </v>
      </c>
      <c r="AE68" s="236" t="str">
        <f>IFERROR(__xludf.DUMMYFUNCTION("if(countif(ecn.list,DE68),OFFSET(INDIRECT(CONCAT(""A"",to_text(match(DE68,ecn.list,0)))),0,1),"""")"),"K0 ")</f>
        <v>K0 </v>
      </c>
      <c r="AF68" s="236" t="str">
        <f>IFERROR(__xludf.DUMMYFUNCTION("if(countif(ecn.list,DF68),OFFSET(INDIRECT(CONCAT(""A"",to_text(match(DF68,ecn.list,0)))),0,1),"""")"),"")</f>
        <v/>
      </c>
      <c r="AG68" s="236" t="str">
        <f>IFERROR(__xludf.DUMMYFUNCTION("if(countif(ecn.list,DG68),OFFSET(INDIRECT(CONCAT(""A"",to_text(match(DG68,ecn.list,0)))),0,1),"""")"),"")</f>
        <v/>
      </c>
      <c r="AH68" s="236" t="str">
        <f>IFERROR(__xludf.DUMMYFUNCTION("if(countif(ecn.list,DH68),OFFSET(INDIRECT(CONCAT(""A"",to_text(match(DH68,ecn.list,0)))),0,1),"""")"),"K3 ")</f>
        <v>K3 </v>
      </c>
      <c r="AI68" s="236" t="str">
        <f>IFERROR(__xludf.DUMMYFUNCTION("if(countif(ecn.list,DI68),OFFSET(INDIRECT(CONCAT(""A"",to_text(match(DI68,ecn.list,0)))),0,1),"""")"),"K4 ")</f>
        <v>K4 </v>
      </c>
      <c r="AJ68" s="236" t="str">
        <f>IFERROR(__xludf.DUMMYFUNCTION("if(countif(ecn.list,DJ68),OFFSET(INDIRECT(CONCAT(""A"",to_text(match(DJ68,ecn.list,0)))),0,1),"""")"),"K5 ")</f>
        <v>K5 </v>
      </c>
      <c r="AK68" s="236" t="str">
        <f>IFERROR(__xludf.DUMMYFUNCTION("if(countif(ecn.list,DK68),OFFSET(INDIRECT(CONCAT(""A"",to_text(match(DK68,ecn.list,0)))),0,1),"""")"),"")</f>
        <v/>
      </c>
      <c r="AL68" s="236" t="str">
        <f>IFERROR(__xludf.DUMMYFUNCTION("if(countif(ecn.list,DL68),OFFSET(INDIRECT(CONCAT(""A"",to_text(match(DL68,ecn.list,0)))),0,1),"""")"),"K7 ")</f>
        <v>K7 </v>
      </c>
      <c r="AM68" s="236" t="str">
        <f>IFERROR(__xludf.DUMMYFUNCTION("if(countif(ecn.list,DM68),OFFSET(INDIRECT(CONCAT(""A"",to_text(match(DM68,ecn.list,0)))),0,1),"""")"),"")</f>
        <v/>
      </c>
      <c r="AN68" s="236" t="str">
        <f>IFERROR(__xludf.DUMMYFUNCTION("if(countif(ecn.list,DN68),OFFSET(INDIRECT(CONCAT(""A"",to_text(match(DN68,ecn.list,0)))),0,1),"""")"),"K9 ")</f>
        <v>K9 </v>
      </c>
      <c r="AO68" s="236" t="str">
        <f>IFERROR(__xludf.DUMMYFUNCTION("if(countif(ecn.list,DO68),OFFSET(INDIRECT(CONCAT(""A"",to_text(match(DO68,ecn.list,0)))),0,1),"""")"),"KA ")</f>
        <v>KA </v>
      </c>
      <c r="AP68" s="236" t="str">
        <f>IFERROR(__xludf.DUMMYFUNCTION("if(countif(ecn.list,DP68),OFFSET(INDIRECT(CONCAT(""A"",to_text(match(DP68,ecn.list,0)))),0,1),"""")"),"KB ")</f>
        <v>KB </v>
      </c>
      <c r="AQ68" s="236" t="str">
        <f>IFERROR(__xludf.DUMMYFUNCTION("if(countif(ecn.list,DQ68),OFFSET(INDIRECT(CONCAT(""A"",to_text(match(DQ68,ecn.list,0)))),0,1),"""")"),"KC ")</f>
        <v>KC </v>
      </c>
      <c r="AR68" s="236" t="str">
        <f>IFERROR(__xludf.DUMMYFUNCTION("if(countif(ecn.list,DR68),OFFSET(INDIRECT(CONCAT(""A"",to_text(match(DR68,ecn.list,0)))),0,1),"""")"),"KD ")</f>
        <v>KD </v>
      </c>
      <c r="AS68" s="236" t="str">
        <f>IFERROR(__xludf.DUMMYFUNCTION("if(countif(ecn.list,DS68),OFFSET(INDIRECT(CONCAT(""A"",to_text(match(DS68,ecn.list,0)))),0,1),"""")"),"")</f>
        <v/>
      </c>
      <c r="AT68" s="236" t="str">
        <f>IFERROR(__xludf.DUMMYFUNCTION("if(countif(ecn.list,DT68),OFFSET(INDIRECT(CONCAT(""A"",to_text(match(DT68,ecn.list,0)))),0,1),"""")"),"KF ")</f>
        <v>KF </v>
      </c>
      <c r="AU68" s="236" t="str">
        <f>IFERROR(__xludf.DUMMYFUNCTION("if(countif(ecn.list,DU68),OFFSET(INDIRECT(CONCAT(""A"",to_text(match(DU68,ecn.list,0)))),0,1),"""")"),"")</f>
        <v/>
      </c>
      <c r="AV68" s="236" t="str">
        <f>IFERROR(__xludf.DUMMYFUNCTION("if(countif(ecn.list,DV68),OFFSET(INDIRECT(CONCAT(""A"",to_text(match(DV68,ecn.list,0)))),0,1),"""")"),"L1 ")</f>
        <v>L1 </v>
      </c>
      <c r="AW68" s="236" t="str">
        <f>IFERROR(__xludf.DUMMYFUNCTION("if(countif(ecn.list,DW68),OFFSET(INDIRECT(CONCAT(""A"",to_text(match(DW68,ecn.list,0)))),0,1),"""")"),"")</f>
        <v/>
      </c>
      <c r="AX68" s="236" t="str">
        <f>IFERROR(__xludf.DUMMYFUNCTION("if(countif(ecn.list,DX68),OFFSET(INDIRECT(CONCAT(""A"",to_text(match(DX68,ecn.list,0)))),0,1),"""")"),"")</f>
        <v/>
      </c>
      <c r="AY68" s="236" t="str">
        <f>IFERROR(__xludf.DUMMYFUNCTION("if(countif(ecn.list,DY68),OFFSET(INDIRECT(CONCAT(""A"",to_text(match(DY68,ecn.list,0)))),0,1),"""")"),"")</f>
        <v/>
      </c>
      <c r="AZ68" s="236" t="str">
        <f>IFERROR(__xludf.DUMMYFUNCTION("if(countif(ecn.list,DZ68),OFFSET(INDIRECT(CONCAT(""A"",to_text(match(DZ68,ecn.list,0)))),0,1),"""")"),"")</f>
        <v/>
      </c>
      <c r="BA68" s="236" t="str">
        <f>IFERROR(__xludf.DUMMYFUNCTION("if(countif(ecn.list,EA68),OFFSET(INDIRECT(CONCAT(""A"",to_text(match(EA68,ecn.list,0)))),0,1),"""")"),"")</f>
        <v/>
      </c>
      <c r="BB68" s="236" t="str">
        <f>IFERROR(__xludf.DUMMYFUNCTION("if(countif(ecn.list,EB68),OFFSET(INDIRECT(CONCAT(""A"",to_text(match(EB68,ecn.list,0)))),0,1),"""")"),"")</f>
        <v/>
      </c>
      <c r="BC68" s="236" t="str">
        <f>IFERROR(__xludf.DUMMYFUNCTION("if(countif(ecn.list,EC68),OFFSET(INDIRECT(CONCAT(""A"",to_text(match(EC68,ecn.list,0)))),0,1),"""")"),"L8 ")</f>
        <v>L8 </v>
      </c>
      <c r="BD68" s="236" t="str">
        <f>IFERROR(__xludf.DUMMYFUNCTION("if(countif(ecn.list,ED68),OFFSET(INDIRECT(CONCAT(""A"",to_text(match(ED68,ecn.list,0)))),0,1),"""")"),"")</f>
        <v/>
      </c>
      <c r="BE68" s="236" t="str">
        <f>IFERROR(__xludf.DUMMYFUNCTION("if(countif(ecn.list,EE68),OFFSET(INDIRECT(CONCAT(""A"",to_text(match(EE68,ecn.list,0)))),0,1),"""")"),"LA ")</f>
        <v>LA </v>
      </c>
      <c r="BF68" s="236" t="str">
        <f>IFERROR(__xludf.DUMMYFUNCTION("if(countif(ecn.list,EF68),OFFSET(INDIRECT(CONCAT(""A"",to_text(match(EF68,ecn.list,0)))),0,1),"""")"),"")</f>
        <v/>
      </c>
      <c r="BG68" s="236" t="str">
        <f>IFERROR(__xludf.DUMMYFUNCTION("if(countif(ecn.list,EG68),OFFSET(INDIRECT(CONCAT(""A"",to_text(match(EG68,ecn.list,0)))),0,1),"""")"),"LC ")</f>
        <v>LC </v>
      </c>
      <c r="BH68" s="236" t="str">
        <f>IFERROR(__xludf.DUMMYFUNCTION("if(countif(ecn.list,EH68),OFFSET(INDIRECT(CONCAT(""A"",to_text(match(EH68,ecn.list,0)))),0,1),"""")"),"")</f>
        <v/>
      </c>
      <c r="BI68" s="236" t="str">
        <f>IFERROR(__xludf.DUMMYFUNCTION("if(countif(ecn.list,EI68),OFFSET(INDIRECT(CONCAT(""A"",to_text(match(EI68,ecn.list,0)))),0,1),"""")"),"")</f>
        <v/>
      </c>
      <c r="BJ68" s="236" t="str">
        <f>IFERROR(__xludf.DUMMYFUNCTION("if(countif(ecn.list,EJ68),OFFSET(INDIRECT(CONCAT(""A"",to_text(match(EJ68,ecn.list,0)))),0,1),"""")"),"LF ")</f>
        <v>LF </v>
      </c>
      <c r="BK68" s="236" t="str">
        <f>IFERROR(__xludf.DUMMYFUNCTION("if(countif(ecn.list,EK68),OFFSET(INDIRECT(CONCAT(""A"",to_text(match(EK68,ecn.list,0)))),0,1),"""")"),"M0 ")</f>
        <v>M0 </v>
      </c>
      <c r="BL68" s="236" t="str">
        <f>IFERROR(__xludf.DUMMYFUNCTION("if(countif(ecn.list,EL68),OFFSET(INDIRECT(CONCAT(""A"",to_text(match(EL68,ecn.list,0)))),0,1),"""")"),"M1 ")</f>
        <v>M1 </v>
      </c>
      <c r="BM68" s="236" t="str">
        <f>IFERROR(__xludf.DUMMYFUNCTION("if(countif(ecn.list,EM68),OFFSET(INDIRECT(CONCAT(""A"",to_text(match(EM68,ecn.list,0)))),0,1),"""")"),"")</f>
        <v/>
      </c>
      <c r="BN68" s="236" t="str">
        <f>IFERROR(__xludf.DUMMYFUNCTION("if(countif(ecn.list,EN68),OFFSET(INDIRECT(CONCAT(""A"",to_text(match(EN68,ecn.list,0)))),0,1),"""")"),"M3 ")</f>
        <v>M3 </v>
      </c>
      <c r="BO68" s="236" t="str">
        <f>IFERROR(__xludf.DUMMYFUNCTION("if(countif(ecn.list,EO68),OFFSET(INDIRECT(CONCAT(""A"",to_text(match(EO68,ecn.list,0)))),0,1),"""")"),"M4 ")</f>
        <v>M4 </v>
      </c>
      <c r="BP68" s="236" t="str">
        <f>IFERROR(__xludf.DUMMYFUNCTION("if(countif(ecn.list,EP68),OFFSET(INDIRECT(CONCAT(""A"",to_text(match(EP68,ecn.list,0)))),0,1),"""")"),"")</f>
        <v/>
      </c>
      <c r="BQ68" s="236" t="str">
        <f>IFERROR(__xludf.DUMMYFUNCTION("if(countif(ecn.list,EQ68),OFFSET(INDIRECT(CONCAT(""A"",to_text(match(EQ68,ecn.list,0)))),0,1),"""")"),"")</f>
        <v/>
      </c>
      <c r="BR68" s="236" t="str">
        <f>IFERROR(__xludf.DUMMYFUNCTION("if(countif(ecn.list,ER68),OFFSET(INDIRECT(CONCAT(""A"",to_text(match(ER68,ecn.list,0)))),0,1),"""")"),"")</f>
        <v/>
      </c>
      <c r="BS68" s="236" t="str">
        <f>IFERROR(__xludf.DUMMYFUNCTION("if(countif(ecn.list,ES68),OFFSET(INDIRECT(CONCAT(""A"",to_text(match(ES68,ecn.list,0)))),0,1),"""")"),"M8 ")</f>
        <v>M8 </v>
      </c>
      <c r="BT68" s="236" t="str">
        <f>IFERROR(__xludf.DUMMYFUNCTION("if(countif(ecn.list,ET68),OFFSET(INDIRECT(CONCAT(""A"",to_text(match(ET68,ecn.list,0)))),0,1),"""")"),"")</f>
        <v/>
      </c>
      <c r="BU68" s="236" t="str">
        <f>IFERROR(__xludf.DUMMYFUNCTION("if(countif(ecn.list,EU68),OFFSET(INDIRECT(CONCAT(""A"",to_text(match(EU68,ecn.list,0)))),0,1),"""")"),"")</f>
        <v/>
      </c>
      <c r="BV68" s="236" t="str">
        <f>IFERROR(__xludf.DUMMYFUNCTION("if(countif(ecn.list,EV68),OFFSET(INDIRECT(CONCAT(""A"",to_text(match(EV68,ecn.list,0)))),0,1),"""")"),"")</f>
        <v/>
      </c>
      <c r="BW68" s="236" t="str">
        <f>IFERROR(__xludf.DUMMYFUNCTION("if(countif(ecn.list,EW68),OFFSET(INDIRECT(CONCAT(""A"",to_text(match(EW68,ecn.list,0)))),0,1),"""")"),"")</f>
        <v/>
      </c>
      <c r="BX68" s="236" t="str">
        <f>IFERROR(__xludf.DUMMYFUNCTION("if(countif(ecn.list,EX68),OFFSET(INDIRECT(CONCAT(""A"",to_text(match(EX68,ecn.list,0)))),0,1),"""")"),"")</f>
        <v/>
      </c>
      <c r="BY68" s="236" t="str">
        <f>IFERROR(__xludf.DUMMYFUNCTION("if(countif(ecn.list,EY68),OFFSET(INDIRECT(CONCAT(""A"",to_text(match(EY68,ecn.list,0)))),0,1),"""")"),"")</f>
        <v/>
      </c>
      <c r="BZ68" s="236" t="str">
        <f>IFERROR(__xludf.DUMMYFUNCTION("if(countif(ecn.list,EZ68),OFFSET(INDIRECT(CONCAT(""A"",to_text(match(EZ68,ecn.list,0)))),0,1),"""")"),"MF ")</f>
        <v>MF </v>
      </c>
      <c r="CA68" s="236" t="str">
        <f>IFERROR(__xludf.DUMMYFUNCTION("if(countif(ecn.list,FA68),OFFSET(INDIRECT(CONCAT(""A"",to_text(match(FA68,ecn.list,0)))),0,1),"""")"),"")</f>
        <v/>
      </c>
      <c r="CB68" s="236" t="str">
        <f>IFERROR(__xludf.DUMMYFUNCTION("if(countif(ecn.list,FB68),OFFSET(INDIRECT(CONCAT(""A"",to_text(match(FB68,ecn.list,0)))),0,1),"""")"),"")</f>
        <v/>
      </c>
      <c r="CC68" s="236" t="str">
        <f>IFERROR(__xludf.DUMMYFUNCTION("if(countif(ecn.list,FC68),OFFSET(INDIRECT(CONCAT(""A"",to_text(match(FC68,ecn.list,0)))),0,1),"""")"),"N2 ")</f>
        <v>N2 </v>
      </c>
      <c r="CD68" s="236" t="str">
        <f>IFERROR(__xludf.DUMMYFUNCTION("if(countif(ecn.list,FD68),OFFSET(INDIRECT(CONCAT(""A"",to_text(match(FD68,ecn.list,0)))),0,1),"""")"),"")</f>
        <v/>
      </c>
      <c r="CE68" s="236" t="str">
        <f>IFERROR(__xludf.DUMMYFUNCTION("if(countif(ecn.list,FE68),OFFSET(INDIRECT(CONCAT(""A"",to_text(match(FE68,ecn.list,0)))),0,1),"""")"),"")</f>
        <v/>
      </c>
      <c r="CF68" s="236" t="str">
        <f>IFERROR(__xludf.DUMMYFUNCTION("if(countif(ecn.list,FF68),OFFSET(INDIRECT(CONCAT(""A"",to_text(match(FF68,ecn.list,0)))),0,1),"""")"),"")</f>
        <v/>
      </c>
      <c r="CG68" s="236" t="str">
        <f>IFERROR(__xludf.DUMMYFUNCTION("if(countif(ecn.list,FG68),OFFSET(INDIRECT(CONCAT(""A"",to_text(match(FG68,ecn.list,0)))),0,1),"""")"),"")</f>
        <v/>
      </c>
      <c r="CH68" s="236" t="str">
        <f>IFERROR(__xludf.DUMMYFUNCTION("if(countif(ecn.list,FH68),OFFSET(INDIRECT(CONCAT(""A"",to_text(match(FH68,ecn.list,0)))),0,1),"""")"),"N7 ")</f>
        <v>N7 </v>
      </c>
      <c r="CI68" s="236" t="str">
        <f>IFERROR(__xludf.DUMMYFUNCTION("if(countif(ecn.list,FI68),OFFSET(INDIRECT(CONCAT(""A"",to_text(match(FI68,ecn.list,0)))),0,1),"""")"),"")</f>
        <v/>
      </c>
      <c r="CJ68" s="236" t="str">
        <f>IFERROR(__xludf.DUMMYFUNCTION("if(countif(ecn.list,FJ68),OFFSET(INDIRECT(CONCAT(""A"",to_text(match(FJ68,ecn.list,0)))),0,1),"""")"),"")</f>
        <v/>
      </c>
      <c r="CK68" s="236" t="str">
        <f>IFERROR(__xludf.DUMMYFUNCTION("if(countif(ecn.list,FK68),OFFSET(INDIRECT(CONCAT(""A"",to_text(match(FK68,ecn.list,0)))),0,1),"""")"),"NA ")</f>
        <v>NA </v>
      </c>
      <c r="CL68" s="236" t="str">
        <f>IFERROR(__xludf.DUMMYFUNCTION("if(countif(ecn.list,FL68),OFFSET(INDIRECT(CONCAT(""A"",to_text(match(FL68,ecn.list,0)))),0,1),"""")"),"")</f>
        <v/>
      </c>
      <c r="CM68" s="236" t="str">
        <f>IFERROR(__xludf.DUMMYFUNCTION("if(countif(ecn.list,FM68),OFFSET(INDIRECT(CONCAT(""A"",to_text(match(FM68,ecn.list,0)))),0,1),"""")"),"")</f>
        <v/>
      </c>
      <c r="CN68" s="198" t="s">
        <v>277</v>
      </c>
      <c r="CO68" s="198" t="s">
        <v>1447</v>
      </c>
      <c r="CP68" s="198" t="s">
        <v>1451</v>
      </c>
      <c r="CQ68" s="198" t="s">
        <v>1452</v>
      </c>
      <c r="CR68" s="198" t="s">
        <v>1453</v>
      </c>
      <c r="CS68" s="198" t="s">
        <v>1453</v>
      </c>
      <c r="CT68" s="198" t="s">
        <v>1454</v>
      </c>
      <c r="CU68" s="198" t="s">
        <v>1455</v>
      </c>
      <c r="CV68" s="198" t="s">
        <v>1456</v>
      </c>
      <c r="CW68" s="198" t="s">
        <v>1453</v>
      </c>
      <c r="CX68" s="198" t="s">
        <v>1453</v>
      </c>
      <c r="CY68" s="198" t="s">
        <v>1484</v>
      </c>
      <c r="CZ68" s="198" t="s">
        <v>1453</v>
      </c>
      <c r="DA68" s="198" t="s">
        <v>1457</v>
      </c>
      <c r="DB68" s="198" t="s">
        <v>1453</v>
      </c>
      <c r="DC68" s="198" t="s">
        <v>1453</v>
      </c>
      <c r="DD68" s="198" t="s">
        <v>1458</v>
      </c>
      <c r="DE68" s="198" t="s">
        <v>1459</v>
      </c>
      <c r="DF68" s="198" t="s">
        <v>1453</v>
      </c>
      <c r="DG68" s="198" t="s">
        <v>1453</v>
      </c>
      <c r="DH68" s="198" t="s">
        <v>1500</v>
      </c>
      <c r="DI68" s="198" t="s">
        <v>1501</v>
      </c>
      <c r="DJ68" s="198" t="s">
        <v>1460</v>
      </c>
      <c r="DK68" s="198" t="s">
        <v>1453</v>
      </c>
      <c r="DL68" s="198" t="s">
        <v>1461</v>
      </c>
      <c r="DM68" s="198" t="s">
        <v>1453</v>
      </c>
      <c r="DN68" s="198" t="s">
        <v>1463</v>
      </c>
      <c r="DO68" s="198" t="s">
        <v>1464</v>
      </c>
      <c r="DP68" s="198" t="s">
        <v>1465</v>
      </c>
      <c r="DQ68" s="198" t="s">
        <v>1466</v>
      </c>
      <c r="DR68" s="198" t="s">
        <v>1467</v>
      </c>
      <c r="DS68" s="198" t="s">
        <v>1453</v>
      </c>
      <c r="DT68" s="198" t="s">
        <v>1468</v>
      </c>
      <c r="DU68" s="198" t="s">
        <v>1453</v>
      </c>
      <c r="DV68" s="198" t="s">
        <v>1469</v>
      </c>
      <c r="DW68" s="198" t="s">
        <v>1453</v>
      </c>
      <c r="DX68" s="198" t="s">
        <v>1453</v>
      </c>
      <c r="DY68" s="198" t="s">
        <v>1453</v>
      </c>
      <c r="DZ68" s="198" t="s">
        <v>1453</v>
      </c>
      <c r="EA68" s="198" t="s">
        <v>1453</v>
      </c>
      <c r="EB68" s="198" t="s">
        <v>1453</v>
      </c>
      <c r="EC68" s="198" t="s">
        <v>1483</v>
      </c>
      <c r="ED68" s="198" t="s">
        <v>1453</v>
      </c>
      <c r="EE68" s="198" t="s">
        <v>1470</v>
      </c>
      <c r="EF68" s="198" t="s">
        <v>1453</v>
      </c>
      <c r="EG68" s="198" t="s">
        <v>1471</v>
      </c>
      <c r="EH68" s="198" t="s">
        <v>1453</v>
      </c>
      <c r="EI68" s="198" t="s">
        <v>1453</v>
      </c>
      <c r="EJ68" s="198" t="s">
        <v>1472</v>
      </c>
      <c r="EK68" s="198" t="s">
        <v>1487</v>
      </c>
      <c r="EL68" s="198" t="s">
        <v>1473</v>
      </c>
      <c r="EM68" s="198" t="s">
        <v>1453</v>
      </c>
      <c r="EN68" s="198" t="s">
        <v>1474</v>
      </c>
      <c r="EO68" s="198" t="s">
        <v>1475</v>
      </c>
      <c r="EP68" s="198" t="s">
        <v>1453</v>
      </c>
      <c r="EQ68" s="198" t="s">
        <v>1453</v>
      </c>
      <c r="ER68" s="198" t="s">
        <v>1453</v>
      </c>
      <c r="ES68" s="198" t="s">
        <v>1505</v>
      </c>
      <c r="ET68" s="198" t="s">
        <v>1453</v>
      </c>
      <c r="EU68" s="198" t="s">
        <v>1453</v>
      </c>
      <c r="EV68" s="198" t="s">
        <v>1453</v>
      </c>
      <c r="EW68" s="198" t="s">
        <v>1453</v>
      </c>
      <c r="EX68" s="198" t="s">
        <v>1453</v>
      </c>
      <c r="EY68" s="198" t="s">
        <v>1453</v>
      </c>
      <c r="EZ68" s="198" t="s">
        <v>1477</v>
      </c>
      <c r="FA68" s="198" t="s">
        <v>1453</v>
      </c>
      <c r="FB68" s="198" t="s">
        <v>1453</v>
      </c>
      <c r="FC68" s="198" t="s">
        <v>1478</v>
      </c>
      <c r="FD68" s="198" t="s">
        <v>1453</v>
      </c>
      <c r="FE68" s="198" t="s">
        <v>1453</v>
      </c>
      <c r="FF68" s="198" t="s">
        <v>1453</v>
      </c>
      <c r="FG68" s="198" t="s">
        <v>1453</v>
      </c>
      <c r="FH68" s="198" t="s">
        <v>1479</v>
      </c>
      <c r="FI68" s="198" t="s">
        <v>1453</v>
      </c>
      <c r="FJ68" s="198" t="s">
        <v>1453</v>
      </c>
      <c r="FK68" s="198" t="s">
        <v>1481</v>
      </c>
      <c r="FL68" s="198" t="s">
        <v>1482</v>
      </c>
      <c r="FM68" s="198" t="s">
        <v>1453</v>
      </c>
    </row>
    <row r="69" ht="15.75" customHeight="1">
      <c r="A69" s="236" t="s">
        <v>1533</v>
      </c>
      <c r="B69" s="198" t="str">
        <f t="shared" si="8"/>
        <v>N1 </v>
      </c>
      <c r="C69" s="234">
        <v>1.0</v>
      </c>
      <c r="D69" s="232" t="s">
        <v>770</v>
      </c>
      <c r="E69" s="232" t="s">
        <v>1448</v>
      </c>
      <c r="F69" s="232" t="s">
        <v>1449</v>
      </c>
      <c r="G69" s="232" t="s">
        <v>1450</v>
      </c>
      <c r="H69" s="232" t="s">
        <v>804</v>
      </c>
      <c r="I69" s="232" t="s">
        <v>941</v>
      </c>
      <c r="J69" s="232" t="s">
        <v>897</v>
      </c>
      <c r="K69" s="232" t="s">
        <v>1143</v>
      </c>
      <c r="L69" s="188" t="s">
        <v>280</v>
      </c>
      <c r="M69" s="236" t="str">
        <f>IFERROR(__xludf.DUMMYFUNCTION("regexreplace(N69,"" "","", "")"),"J0, J1, J2, J5, J6, J7, JA, JC, JF, K0, K3, K4, K5, K7, K9, KA, KB, KC, KD, KF, L1, L8, LA, LC, M0, M1, M3, M4, MF, N2, N7, NA, ")</f>
        <v>J0, J1, J2, J5, J6, J7, JA, JC, JF, K0, K3, K4, K5, K7, K9, KA, KB, KC, KD, KF, L1, L8, LA, LC, M0, M1, M3, M4, MF, N2, N7, NA, </v>
      </c>
      <c r="N69" s="236" t="str">
        <f t="shared" si="2"/>
        <v>J0 J1 J2 J5 J6 J7 JA JC JF K0 K3 K4 K5 K7 K9 KA KB KC KD KF L1 L8 LA LC M0 M1 M3 M4 MF N2 N7 NA </v>
      </c>
      <c r="O69" s="236" t="str">
        <f>IFERROR(__xludf.DUMMYFUNCTION("if(countif(ecn.list,CO69),OFFSET(INDIRECT(CONCAT(""A"",to_text(match(CO69,ecn.list,0)))),0,1),"""")"),"J0 ")</f>
        <v>J0 </v>
      </c>
      <c r="P69" s="236" t="str">
        <f>IFERROR(__xludf.DUMMYFUNCTION("if(countif(ecn.list,CP69),OFFSET(INDIRECT(CONCAT(""A"",to_text(match(CP69,ecn.list,0)))),0,1),"""")"),"J1 ")</f>
        <v>J1 </v>
      </c>
      <c r="Q69" s="236" t="str">
        <f>IFERROR(__xludf.DUMMYFUNCTION("if(countif(ecn.list,CQ69),OFFSET(INDIRECT(CONCAT(""A"",to_text(match(CQ69,ecn.list,0)))),0,1),"""")"),"J2 ")</f>
        <v>J2 </v>
      </c>
      <c r="R69" s="236" t="str">
        <f>IFERROR(__xludf.DUMMYFUNCTION("if(countif(ecn.list,CR69),OFFSET(INDIRECT(CONCAT(""A"",to_text(match(CR69,ecn.list,0)))),0,1),"""")"),"")</f>
        <v/>
      </c>
      <c r="S69" s="236" t="str">
        <f>IFERROR(__xludf.DUMMYFUNCTION("if(countif(ecn.list,CS69),OFFSET(INDIRECT(CONCAT(""A"",to_text(match(CS69,ecn.list,0)))),0,1),"""")"),"")</f>
        <v/>
      </c>
      <c r="T69" s="236" t="str">
        <f>IFERROR(__xludf.DUMMYFUNCTION("if(countif(ecn.list,CT69),OFFSET(INDIRECT(CONCAT(""A"",to_text(match(CT69,ecn.list,0)))),0,1),"""")"),"J5 ")</f>
        <v>J5 </v>
      </c>
      <c r="U69" s="236" t="str">
        <f>IFERROR(__xludf.DUMMYFUNCTION("if(countif(ecn.list,CU69),OFFSET(INDIRECT(CONCAT(""A"",to_text(match(CU69,ecn.list,0)))),0,1),"""")"),"J6 ")</f>
        <v>J6 </v>
      </c>
      <c r="V69" s="236" t="str">
        <f>IFERROR(__xludf.DUMMYFUNCTION("if(countif(ecn.list,CV69),OFFSET(INDIRECT(CONCAT(""A"",to_text(match(CV69,ecn.list,0)))),0,1),"""")"),"J7 ")</f>
        <v>J7 </v>
      </c>
      <c r="W69" s="236" t="str">
        <f>IFERROR(__xludf.DUMMYFUNCTION("if(countif(ecn.list,CW69),OFFSET(INDIRECT(CONCAT(""A"",to_text(match(CW69,ecn.list,0)))),0,1),"""")"),"")</f>
        <v/>
      </c>
      <c r="X69" s="236" t="str">
        <f>IFERROR(__xludf.DUMMYFUNCTION("if(countif(ecn.list,CX69),OFFSET(INDIRECT(CONCAT(""A"",to_text(match(CX69,ecn.list,0)))),0,1),"""")"),"")</f>
        <v/>
      </c>
      <c r="Y69" s="236" t="str">
        <f>IFERROR(__xludf.DUMMYFUNCTION("if(countif(ecn.list,CY69),OFFSET(INDIRECT(CONCAT(""A"",to_text(match(CY69,ecn.list,0)))),0,1),"""")"),"JA ")</f>
        <v>JA </v>
      </c>
      <c r="Z69" s="236" t="str">
        <f>IFERROR(__xludf.DUMMYFUNCTION("if(countif(ecn.list,CZ69),OFFSET(INDIRECT(CONCAT(""A"",to_text(match(CZ69,ecn.list,0)))),0,1),"""")"),"")</f>
        <v/>
      </c>
      <c r="AA69" s="236" t="str">
        <f>IFERROR(__xludf.DUMMYFUNCTION("if(countif(ecn.list,DA69),OFFSET(INDIRECT(CONCAT(""A"",to_text(match(DA69,ecn.list,0)))),0,1),"""")"),"JC ")</f>
        <v>JC </v>
      </c>
      <c r="AB69" s="236" t="str">
        <f>IFERROR(__xludf.DUMMYFUNCTION("if(countif(ecn.list,DB69),OFFSET(INDIRECT(CONCAT(""A"",to_text(match(DB69,ecn.list,0)))),0,1),"""")"),"")</f>
        <v/>
      </c>
      <c r="AC69" s="236" t="str">
        <f>IFERROR(__xludf.DUMMYFUNCTION("if(countif(ecn.list,DC69),OFFSET(INDIRECT(CONCAT(""A"",to_text(match(DC69,ecn.list,0)))),0,1),"""")"),"")</f>
        <v/>
      </c>
      <c r="AD69" s="236" t="str">
        <f>IFERROR(__xludf.DUMMYFUNCTION("if(countif(ecn.list,DD69),OFFSET(INDIRECT(CONCAT(""A"",to_text(match(DD69,ecn.list,0)))),0,1),"""")"),"JF ")</f>
        <v>JF </v>
      </c>
      <c r="AE69" s="236" t="str">
        <f>IFERROR(__xludf.DUMMYFUNCTION("if(countif(ecn.list,DE69),OFFSET(INDIRECT(CONCAT(""A"",to_text(match(DE69,ecn.list,0)))),0,1),"""")"),"K0 ")</f>
        <v>K0 </v>
      </c>
      <c r="AF69" s="236" t="str">
        <f>IFERROR(__xludf.DUMMYFUNCTION("if(countif(ecn.list,DF69),OFFSET(INDIRECT(CONCAT(""A"",to_text(match(DF69,ecn.list,0)))),0,1),"""")"),"")</f>
        <v/>
      </c>
      <c r="AG69" s="236" t="str">
        <f>IFERROR(__xludf.DUMMYFUNCTION("if(countif(ecn.list,DG69),OFFSET(INDIRECT(CONCAT(""A"",to_text(match(DG69,ecn.list,0)))),0,1),"""")"),"")</f>
        <v/>
      </c>
      <c r="AH69" s="236" t="str">
        <f>IFERROR(__xludf.DUMMYFUNCTION("if(countif(ecn.list,DH69),OFFSET(INDIRECT(CONCAT(""A"",to_text(match(DH69,ecn.list,0)))),0,1),"""")"),"K3 ")</f>
        <v>K3 </v>
      </c>
      <c r="AI69" s="236" t="str">
        <f>IFERROR(__xludf.DUMMYFUNCTION("if(countif(ecn.list,DI69),OFFSET(INDIRECT(CONCAT(""A"",to_text(match(DI69,ecn.list,0)))),0,1),"""")"),"K4 ")</f>
        <v>K4 </v>
      </c>
      <c r="AJ69" s="236" t="str">
        <f>IFERROR(__xludf.DUMMYFUNCTION("if(countif(ecn.list,DJ69),OFFSET(INDIRECT(CONCAT(""A"",to_text(match(DJ69,ecn.list,0)))),0,1),"""")"),"K5 ")</f>
        <v>K5 </v>
      </c>
      <c r="AK69" s="236" t="str">
        <f>IFERROR(__xludf.DUMMYFUNCTION("if(countif(ecn.list,DK69),OFFSET(INDIRECT(CONCAT(""A"",to_text(match(DK69,ecn.list,0)))),0,1),"""")"),"")</f>
        <v/>
      </c>
      <c r="AL69" s="236" t="str">
        <f>IFERROR(__xludf.DUMMYFUNCTION("if(countif(ecn.list,DL69),OFFSET(INDIRECT(CONCAT(""A"",to_text(match(DL69,ecn.list,0)))),0,1),"""")"),"K7 ")</f>
        <v>K7 </v>
      </c>
      <c r="AM69" s="236" t="str">
        <f>IFERROR(__xludf.DUMMYFUNCTION("if(countif(ecn.list,DM69),OFFSET(INDIRECT(CONCAT(""A"",to_text(match(DM69,ecn.list,0)))),0,1),"""")"),"")</f>
        <v/>
      </c>
      <c r="AN69" s="236" t="str">
        <f>IFERROR(__xludf.DUMMYFUNCTION("if(countif(ecn.list,DN69),OFFSET(INDIRECT(CONCAT(""A"",to_text(match(DN69,ecn.list,0)))),0,1),"""")"),"K9 ")</f>
        <v>K9 </v>
      </c>
      <c r="AO69" s="236" t="str">
        <f>IFERROR(__xludf.DUMMYFUNCTION("if(countif(ecn.list,DO69),OFFSET(INDIRECT(CONCAT(""A"",to_text(match(DO69,ecn.list,0)))),0,1),"""")"),"KA ")</f>
        <v>KA </v>
      </c>
      <c r="AP69" s="236" t="str">
        <f>IFERROR(__xludf.DUMMYFUNCTION("if(countif(ecn.list,DP69),OFFSET(INDIRECT(CONCAT(""A"",to_text(match(DP69,ecn.list,0)))),0,1),"""")"),"KB ")</f>
        <v>KB </v>
      </c>
      <c r="AQ69" s="236" t="str">
        <f>IFERROR(__xludf.DUMMYFUNCTION("if(countif(ecn.list,DQ69),OFFSET(INDIRECT(CONCAT(""A"",to_text(match(DQ69,ecn.list,0)))),0,1),"""")"),"KC ")</f>
        <v>KC </v>
      </c>
      <c r="AR69" s="236" t="str">
        <f>IFERROR(__xludf.DUMMYFUNCTION("if(countif(ecn.list,DR69),OFFSET(INDIRECT(CONCAT(""A"",to_text(match(DR69,ecn.list,0)))),0,1),"""")"),"KD ")</f>
        <v>KD </v>
      </c>
      <c r="AS69" s="236" t="str">
        <f>IFERROR(__xludf.DUMMYFUNCTION("if(countif(ecn.list,DS69),OFFSET(INDIRECT(CONCAT(""A"",to_text(match(DS69,ecn.list,0)))),0,1),"""")"),"")</f>
        <v/>
      </c>
      <c r="AT69" s="236" t="str">
        <f>IFERROR(__xludf.DUMMYFUNCTION("if(countif(ecn.list,DT69),OFFSET(INDIRECT(CONCAT(""A"",to_text(match(DT69,ecn.list,0)))),0,1),"""")"),"KF ")</f>
        <v>KF </v>
      </c>
      <c r="AU69" s="236" t="str">
        <f>IFERROR(__xludf.DUMMYFUNCTION("if(countif(ecn.list,DU69),OFFSET(INDIRECT(CONCAT(""A"",to_text(match(DU69,ecn.list,0)))),0,1),"""")"),"")</f>
        <v/>
      </c>
      <c r="AV69" s="236" t="str">
        <f>IFERROR(__xludf.DUMMYFUNCTION("if(countif(ecn.list,DV69),OFFSET(INDIRECT(CONCAT(""A"",to_text(match(DV69,ecn.list,0)))),0,1),"""")"),"L1 ")</f>
        <v>L1 </v>
      </c>
      <c r="AW69" s="236" t="str">
        <f>IFERROR(__xludf.DUMMYFUNCTION("if(countif(ecn.list,DW69),OFFSET(INDIRECT(CONCAT(""A"",to_text(match(DW69,ecn.list,0)))),0,1),"""")"),"")</f>
        <v/>
      </c>
      <c r="AX69" s="236" t="str">
        <f>IFERROR(__xludf.DUMMYFUNCTION("if(countif(ecn.list,DX69),OFFSET(INDIRECT(CONCAT(""A"",to_text(match(DX69,ecn.list,0)))),0,1),"""")"),"")</f>
        <v/>
      </c>
      <c r="AY69" s="236" t="str">
        <f>IFERROR(__xludf.DUMMYFUNCTION("if(countif(ecn.list,DY69),OFFSET(INDIRECT(CONCAT(""A"",to_text(match(DY69,ecn.list,0)))),0,1),"""")"),"")</f>
        <v/>
      </c>
      <c r="AZ69" s="236" t="str">
        <f>IFERROR(__xludf.DUMMYFUNCTION("if(countif(ecn.list,DZ69),OFFSET(INDIRECT(CONCAT(""A"",to_text(match(DZ69,ecn.list,0)))),0,1),"""")"),"")</f>
        <v/>
      </c>
      <c r="BA69" s="236" t="str">
        <f>IFERROR(__xludf.DUMMYFUNCTION("if(countif(ecn.list,EA69),OFFSET(INDIRECT(CONCAT(""A"",to_text(match(EA69,ecn.list,0)))),0,1),"""")"),"")</f>
        <v/>
      </c>
      <c r="BB69" s="236" t="str">
        <f>IFERROR(__xludf.DUMMYFUNCTION("if(countif(ecn.list,EB69),OFFSET(INDIRECT(CONCAT(""A"",to_text(match(EB69,ecn.list,0)))),0,1),"""")"),"")</f>
        <v/>
      </c>
      <c r="BC69" s="236" t="str">
        <f>IFERROR(__xludf.DUMMYFUNCTION("if(countif(ecn.list,EC69),OFFSET(INDIRECT(CONCAT(""A"",to_text(match(EC69,ecn.list,0)))),0,1),"""")"),"L8 ")</f>
        <v>L8 </v>
      </c>
      <c r="BD69" s="236" t="str">
        <f>IFERROR(__xludf.DUMMYFUNCTION("if(countif(ecn.list,ED69),OFFSET(INDIRECT(CONCAT(""A"",to_text(match(ED69,ecn.list,0)))),0,1),"""")"),"")</f>
        <v/>
      </c>
      <c r="BE69" s="236" t="str">
        <f>IFERROR(__xludf.DUMMYFUNCTION("if(countif(ecn.list,EE69),OFFSET(INDIRECT(CONCAT(""A"",to_text(match(EE69,ecn.list,0)))),0,1),"""")"),"LA ")</f>
        <v>LA </v>
      </c>
      <c r="BF69" s="236" t="str">
        <f>IFERROR(__xludf.DUMMYFUNCTION("if(countif(ecn.list,EF69),OFFSET(INDIRECT(CONCAT(""A"",to_text(match(EF69,ecn.list,0)))),0,1),"""")"),"")</f>
        <v/>
      </c>
      <c r="BG69" s="236" t="str">
        <f>IFERROR(__xludf.DUMMYFUNCTION("if(countif(ecn.list,EG69),OFFSET(INDIRECT(CONCAT(""A"",to_text(match(EG69,ecn.list,0)))),0,1),"""")"),"LC ")</f>
        <v>LC </v>
      </c>
      <c r="BH69" s="236" t="str">
        <f>IFERROR(__xludf.DUMMYFUNCTION("if(countif(ecn.list,EH69),OFFSET(INDIRECT(CONCAT(""A"",to_text(match(EH69,ecn.list,0)))),0,1),"""")"),"")</f>
        <v/>
      </c>
      <c r="BI69" s="236" t="str">
        <f>IFERROR(__xludf.DUMMYFUNCTION("if(countif(ecn.list,EI69),OFFSET(INDIRECT(CONCAT(""A"",to_text(match(EI69,ecn.list,0)))),0,1),"""")"),"")</f>
        <v/>
      </c>
      <c r="BJ69" s="236" t="str">
        <f>IFERROR(__xludf.DUMMYFUNCTION("if(countif(ecn.list,EJ69),OFFSET(INDIRECT(CONCAT(""A"",to_text(match(EJ69,ecn.list,0)))),0,1),"""")"),"")</f>
        <v/>
      </c>
      <c r="BK69" s="236" t="str">
        <f>IFERROR(__xludf.DUMMYFUNCTION("if(countif(ecn.list,EK69),OFFSET(INDIRECT(CONCAT(""A"",to_text(match(EK69,ecn.list,0)))),0,1),"""")"),"M0 ")</f>
        <v>M0 </v>
      </c>
      <c r="BL69" s="236" t="str">
        <f>IFERROR(__xludf.DUMMYFUNCTION("if(countif(ecn.list,EL69),OFFSET(INDIRECT(CONCAT(""A"",to_text(match(EL69,ecn.list,0)))),0,1),"""")"),"M1 ")</f>
        <v>M1 </v>
      </c>
      <c r="BM69" s="236" t="str">
        <f>IFERROR(__xludf.DUMMYFUNCTION("if(countif(ecn.list,EM69),OFFSET(INDIRECT(CONCAT(""A"",to_text(match(EM69,ecn.list,0)))),0,1),"""")"),"")</f>
        <v/>
      </c>
      <c r="BN69" s="236" t="str">
        <f>IFERROR(__xludf.DUMMYFUNCTION("if(countif(ecn.list,EN69),OFFSET(INDIRECT(CONCAT(""A"",to_text(match(EN69,ecn.list,0)))),0,1),"""")"),"M3 ")</f>
        <v>M3 </v>
      </c>
      <c r="BO69" s="236" t="str">
        <f>IFERROR(__xludf.DUMMYFUNCTION("if(countif(ecn.list,EO69),OFFSET(INDIRECT(CONCAT(""A"",to_text(match(EO69,ecn.list,0)))),0,1),"""")"),"M4 ")</f>
        <v>M4 </v>
      </c>
      <c r="BP69" s="236" t="str">
        <f>IFERROR(__xludf.DUMMYFUNCTION("if(countif(ecn.list,EP69),OFFSET(INDIRECT(CONCAT(""A"",to_text(match(EP69,ecn.list,0)))),0,1),"""")"),"")</f>
        <v/>
      </c>
      <c r="BQ69" s="236" t="str">
        <f>IFERROR(__xludf.DUMMYFUNCTION("if(countif(ecn.list,EQ69),OFFSET(INDIRECT(CONCAT(""A"",to_text(match(EQ69,ecn.list,0)))),0,1),"""")"),"")</f>
        <v/>
      </c>
      <c r="BR69" s="236" t="str">
        <f>IFERROR(__xludf.DUMMYFUNCTION("if(countif(ecn.list,ER69),OFFSET(INDIRECT(CONCAT(""A"",to_text(match(ER69,ecn.list,0)))),0,1),"""")"),"")</f>
        <v/>
      </c>
      <c r="BS69" s="236" t="str">
        <f>IFERROR(__xludf.DUMMYFUNCTION("if(countif(ecn.list,ES69),OFFSET(INDIRECT(CONCAT(""A"",to_text(match(ES69,ecn.list,0)))),0,1),"""")"),"")</f>
        <v/>
      </c>
      <c r="BT69" s="236" t="str">
        <f>IFERROR(__xludf.DUMMYFUNCTION("if(countif(ecn.list,ET69),OFFSET(INDIRECT(CONCAT(""A"",to_text(match(ET69,ecn.list,0)))),0,1),"""")"),"")</f>
        <v/>
      </c>
      <c r="BU69" s="236" t="str">
        <f>IFERROR(__xludf.DUMMYFUNCTION("if(countif(ecn.list,EU69),OFFSET(INDIRECT(CONCAT(""A"",to_text(match(EU69,ecn.list,0)))),0,1),"""")"),"")</f>
        <v/>
      </c>
      <c r="BV69" s="236" t="str">
        <f>IFERROR(__xludf.DUMMYFUNCTION("if(countif(ecn.list,EV69),OFFSET(INDIRECT(CONCAT(""A"",to_text(match(EV69,ecn.list,0)))),0,1),"""")"),"")</f>
        <v/>
      </c>
      <c r="BW69" s="236" t="str">
        <f>IFERROR(__xludf.DUMMYFUNCTION("if(countif(ecn.list,EW69),OFFSET(INDIRECT(CONCAT(""A"",to_text(match(EW69,ecn.list,0)))),0,1),"""")"),"")</f>
        <v/>
      </c>
      <c r="BX69" s="236" t="str">
        <f>IFERROR(__xludf.DUMMYFUNCTION("if(countif(ecn.list,EX69),OFFSET(INDIRECT(CONCAT(""A"",to_text(match(EX69,ecn.list,0)))),0,1),"""")"),"")</f>
        <v/>
      </c>
      <c r="BY69" s="236" t="str">
        <f>IFERROR(__xludf.DUMMYFUNCTION("if(countif(ecn.list,EY69),OFFSET(INDIRECT(CONCAT(""A"",to_text(match(EY69,ecn.list,0)))),0,1),"""")"),"")</f>
        <v/>
      </c>
      <c r="BZ69" s="236" t="str">
        <f>IFERROR(__xludf.DUMMYFUNCTION("if(countif(ecn.list,EZ69),OFFSET(INDIRECT(CONCAT(""A"",to_text(match(EZ69,ecn.list,0)))),0,1),"""")"),"MF ")</f>
        <v>MF </v>
      </c>
      <c r="CA69" s="236" t="str">
        <f>IFERROR(__xludf.DUMMYFUNCTION("if(countif(ecn.list,FA69),OFFSET(INDIRECT(CONCAT(""A"",to_text(match(FA69,ecn.list,0)))),0,1),"""")"),"")</f>
        <v/>
      </c>
      <c r="CB69" s="236" t="str">
        <f>IFERROR(__xludf.DUMMYFUNCTION("if(countif(ecn.list,FB69),OFFSET(INDIRECT(CONCAT(""A"",to_text(match(FB69,ecn.list,0)))),0,1),"""")"),"")</f>
        <v/>
      </c>
      <c r="CC69" s="236" t="str">
        <f>IFERROR(__xludf.DUMMYFUNCTION("if(countif(ecn.list,FC69),OFFSET(INDIRECT(CONCAT(""A"",to_text(match(FC69,ecn.list,0)))),0,1),"""")"),"N2 ")</f>
        <v>N2 </v>
      </c>
      <c r="CD69" s="236" t="str">
        <f>IFERROR(__xludf.DUMMYFUNCTION("if(countif(ecn.list,FD69),OFFSET(INDIRECT(CONCAT(""A"",to_text(match(FD69,ecn.list,0)))),0,1),"""")"),"")</f>
        <v/>
      </c>
      <c r="CE69" s="236" t="str">
        <f>IFERROR(__xludf.DUMMYFUNCTION("if(countif(ecn.list,FE69),OFFSET(INDIRECT(CONCAT(""A"",to_text(match(FE69,ecn.list,0)))),0,1),"""")"),"")</f>
        <v/>
      </c>
      <c r="CF69" s="236" t="str">
        <f>IFERROR(__xludf.DUMMYFUNCTION("if(countif(ecn.list,FF69),OFFSET(INDIRECT(CONCAT(""A"",to_text(match(FF69,ecn.list,0)))),0,1),"""")"),"")</f>
        <v/>
      </c>
      <c r="CG69" s="236" t="str">
        <f>IFERROR(__xludf.DUMMYFUNCTION("if(countif(ecn.list,FG69),OFFSET(INDIRECT(CONCAT(""A"",to_text(match(FG69,ecn.list,0)))),0,1),"""")"),"")</f>
        <v/>
      </c>
      <c r="CH69" s="236" t="str">
        <f>IFERROR(__xludf.DUMMYFUNCTION("if(countif(ecn.list,FH69),OFFSET(INDIRECT(CONCAT(""A"",to_text(match(FH69,ecn.list,0)))),0,1),"""")"),"N7 ")</f>
        <v>N7 </v>
      </c>
      <c r="CI69" s="236" t="str">
        <f>IFERROR(__xludf.DUMMYFUNCTION("if(countif(ecn.list,FI69),OFFSET(INDIRECT(CONCAT(""A"",to_text(match(FI69,ecn.list,0)))),0,1),"""")"),"")</f>
        <v/>
      </c>
      <c r="CJ69" s="236" t="str">
        <f>IFERROR(__xludf.DUMMYFUNCTION("if(countif(ecn.list,FJ69),OFFSET(INDIRECT(CONCAT(""A"",to_text(match(FJ69,ecn.list,0)))),0,1),"""")"),"")</f>
        <v/>
      </c>
      <c r="CK69" s="236" t="str">
        <f>IFERROR(__xludf.DUMMYFUNCTION("if(countif(ecn.list,FK69),OFFSET(INDIRECT(CONCAT(""A"",to_text(match(FK69,ecn.list,0)))),0,1),"""")"),"NA ")</f>
        <v>NA </v>
      </c>
      <c r="CL69" s="236" t="str">
        <f>IFERROR(__xludf.DUMMYFUNCTION("if(countif(ecn.list,FL69),OFFSET(INDIRECT(CONCAT(""A"",to_text(match(FL69,ecn.list,0)))),0,1),"""")"),"")</f>
        <v/>
      </c>
      <c r="CM69" s="236" t="str">
        <f>IFERROR(__xludf.DUMMYFUNCTION("if(countif(ecn.list,FM69),OFFSET(INDIRECT(CONCAT(""A"",to_text(match(FM69,ecn.list,0)))),0,1),"""")"),"")</f>
        <v/>
      </c>
      <c r="CN69" s="198" t="s">
        <v>280</v>
      </c>
      <c r="CO69" s="198" t="s">
        <v>1447</v>
      </c>
      <c r="CP69" s="198" t="s">
        <v>1451</v>
      </c>
      <c r="CQ69" s="198" t="s">
        <v>1452</v>
      </c>
      <c r="CR69" s="198" t="s">
        <v>1453</v>
      </c>
      <c r="CS69" s="198" t="s">
        <v>1453</v>
      </c>
      <c r="CT69" s="198" t="s">
        <v>1454</v>
      </c>
      <c r="CU69" s="198" t="s">
        <v>1455</v>
      </c>
      <c r="CV69" s="198" t="s">
        <v>1456</v>
      </c>
      <c r="CW69" s="198" t="s">
        <v>1453</v>
      </c>
      <c r="CX69" s="198" t="s">
        <v>1453</v>
      </c>
      <c r="CY69" s="198" t="s">
        <v>1484</v>
      </c>
      <c r="CZ69" s="198" t="s">
        <v>1453</v>
      </c>
      <c r="DA69" s="198" t="s">
        <v>1457</v>
      </c>
      <c r="DB69" s="198" t="s">
        <v>1453</v>
      </c>
      <c r="DC69" s="198" t="s">
        <v>1453</v>
      </c>
      <c r="DD69" s="198" t="s">
        <v>1458</v>
      </c>
      <c r="DE69" s="198" t="s">
        <v>1459</v>
      </c>
      <c r="DF69" s="198" t="s">
        <v>1453</v>
      </c>
      <c r="DG69" s="198" t="s">
        <v>1453</v>
      </c>
      <c r="DH69" s="198" t="s">
        <v>1500</v>
      </c>
      <c r="DI69" s="198" t="s">
        <v>1501</v>
      </c>
      <c r="DJ69" s="198" t="s">
        <v>1460</v>
      </c>
      <c r="DK69" s="198" t="s">
        <v>1453</v>
      </c>
      <c r="DL69" s="198" t="s">
        <v>1461</v>
      </c>
      <c r="DM69" s="198" t="s">
        <v>1453</v>
      </c>
      <c r="DN69" s="198" t="s">
        <v>1463</v>
      </c>
      <c r="DO69" s="198" t="s">
        <v>1464</v>
      </c>
      <c r="DP69" s="198" t="s">
        <v>1465</v>
      </c>
      <c r="DQ69" s="198" t="s">
        <v>1466</v>
      </c>
      <c r="DR69" s="198" t="s">
        <v>1467</v>
      </c>
      <c r="DS69" s="198" t="s">
        <v>1453</v>
      </c>
      <c r="DT69" s="198" t="s">
        <v>1468</v>
      </c>
      <c r="DU69" s="198" t="s">
        <v>1453</v>
      </c>
      <c r="DV69" s="198" t="s">
        <v>1469</v>
      </c>
      <c r="DW69" s="198" t="s">
        <v>1453</v>
      </c>
      <c r="DX69" s="198" t="s">
        <v>1453</v>
      </c>
      <c r="DY69" s="198" t="s">
        <v>1453</v>
      </c>
      <c r="DZ69" s="198" t="s">
        <v>1453</v>
      </c>
      <c r="EA69" s="198" t="s">
        <v>1453</v>
      </c>
      <c r="EB69" s="198" t="s">
        <v>1453</v>
      </c>
      <c r="EC69" s="198" t="s">
        <v>1483</v>
      </c>
      <c r="ED69" s="198" t="s">
        <v>1453</v>
      </c>
      <c r="EE69" s="198" t="s">
        <v>1470</v>
      </c>
      <c r="EF69" s="198" t="s">
        <v>1453</v>
      </c>
      <c r="EG69" s="198" t="s">
        <v>1471</v>
      </c>
      <c r="EH69" s="198" t="s">
        <v>1453</v>
      </c>
      <c r="EI69" s="198" t="s">
        <v>1453</v>
      </c>
      <c r="EJ69" s="198" t="s">
        <v>1453</v>
      </c>
      <c r="EK69" s="198" t="s">
        <v>1487</v>
      </c>
      <c r="EL69" s="198" t="s">
        <v>1473</v>
      </c>
      <c r="EM69" s="198" t="s">
        <v>1453</v>
      </c>
      <c r="EN69" s="198" t="s">
        <v>1474</v>
      </c>
      <c r="EO69" s="198" t="s">
        <v>1475</v>
      </c>
      <c r="EP69" s="198" t="s">
        <v>1453</v>
      </c>
      <c r="EQ69" s="198" t="s">
        <v>1453</v>
      </c>
      <c r="ER69" s="198" t="s">
        <v>1453</v>
      </c>
      <c r="ES69" s="198" t="s">
        <v>1453</v>
      </c>
      <c r="ET69" s="198" t="s">
        <v>1453</v>
      </c>
      <c r="EU69" s="198" t="s">
        <v>1453</v>
      </c>
      <c r="EV69" s="198" t="s">
        <v>1453</v>
      </c>
      <c r="EW69" s="198" t="s">
        <v>1453</v>
      </c>
      <c r="EX69" s="198" t="s">
        <v>1453</v>
      </c>
      <c r="EY69" s="198" t="s">
        <v>1453</v>
      </c>
      <c r="EZ69" s="198" t="s">
        <v>1477</v>
      </c>
      <c r="FA69" s="198" t="s">
        <v>1453</v>
      </c>
      <c r="FB69" s="198" t="s">
        <v>1453</v>
      </c>
      <c r="FC69" s="198" t="s">
        <v>1478</v>
      </c>
      <c r="FD69" s="198" t="s">
        <v>1453</v>
      </c>
      <c r="FE69" s="198" t="s">
        <v>1453</v>
      </c>
      <c r="FF69" s="198" t="s">
        <v>1453</v>
      </c>
      <c r="FG69" s="198" t="s">
        <v>1453</v>
      </c>
      <c r="FH69" s="198" t="s">
        <v>1479</v>
      </c>
      <c r="FI69" s="198" t="s">
        <v>1453</v>
      </c>
      <c r="FJ69" s="198" t="s">
        <v>1453</v>
      </c>
      <c r="FK69" s="198" t="s">
        <v>1481</v>
      </c>
      <c r="FL69" s="198" t="s">
        <v>1482</v>
      </c>
      <c r="FM69" s="198" t="s">
        <v>1453</v>
      </c>
    </row>
    <row r="70" ht="15.75" customHeight="1">
      <c r="A70" s="236" t="s">
        <v>1478</v>
      </c>
      <c r="B70" s="198" t="str">
        <f t="shared" si="8"/>
        <v>N2 </v>
      </c>
      <c r="C70" s="234">
        <v>2.0</v>
      </c>
      <c r="D70" s="232" t="s">
        <v>770</v>
      </c>
      <c r="E70" s="232" t="s">
        <v>1448</v>
      </c>
      <c r="F70" s="232" t="s">
        <v>1449</v>
      </c>
      <c r="G70" s="232" t="s">
        <v>1450</v>
      </c>
      <c r="H70" s="232" t="s">
        <v>804</v>
      </c>
      <c r="I70" s="232" t="s">
        <v>1005</v>
      </c>
      <c r="J70" s="232" t="s">
        <v>1534</v>
      </c>
      <c r="K70" s="232" t="s">
        <v>1075</v>
      </c>
      <c r="L70" s="188" t="s">
        <v>283</v>
      </c>
      <c r="M70" s="236" t="str">
        <f>IFERROR(__xludf.DUMMYFUNCTION("regexreplace(N70,"" "","", "")"),"J0, J1, J2, J5, J6, J7, JA, JC, K0, K3, K4, K5, K7, K8, K9, KA, KB, KC, KD, L1, L8, LA, LC, LF, M0, M1, M3, M4, M8, MB, MD, MF, N2, N7, NA, ")</f>
        <v>J0, J1, J2, J5, J6, J7, JA, JC, K0, K3, K4, K5, K7, K8, K9, KA, KB, KC, KD, L1, L8, LA, LC, LF, M0, M1, M3, M4, M8, MB, MD, MF, N2, N7, NA, </v>
      </c>
      <c r="N70" s="236" t="str">
        <f t="shared" si="2"/>
        <v>J0 J1 J2 J5 J6 J7 JA JC K0 K3 K4 K5 K7 K8 K9 KA KB KC KD L1 L8 LA LC LF M0 M1 M3 M4 M8 MB MD MF N2 N7 NA </v>
      </c>
      <c r="O70" s="236" t="str">
        <f>IFERROR(__xludf.DUMMYFUNCTION("if(countif(ecn.list,CO70),OFFSET(INDIRECT(CONCAT(""A"",to_text(match(CO70,ecn.list,0)))),0,1),"""")"),"J0 ")</f>
        <v>J0 </v>
      </c>
      <c r="P70" s="236" t="str">
        <f>IFERROR(__xludf.DUMMYFUNCTION("if(countif(ecn.list,CP70),OFFSET(INDIRECT(CONCAT(""A"",to_text(match(CP70,ecn.list,0)))),0,1),"""")"),"J1 ")</f>
        <v>J1 </v>
      </c>
      <c r="Q70" s="236" t="str">
        <f>IFERROR(__xludf.DUMMYFUNCTION("if(countif(ecn.list,CQ70),OFFSET(INDIRECT(CONCAT(""A"",to_text(match(CQ70,ecn.list,0)))),0,1),"""")"),"J2 ")</f>
        <v>J2 </v>
      </c>
      <c r="R70" s="236" t="str">
        <f>IFERROR(__xludf.DUMMYFUNCTION("if(countif(ecn.list,CR70),OFFSET(INDIRECT(CONCAT(""A"",to_text(match(CR70,ecn.list,0)))),0,1),"""")"),"")</f>
        <v/>
      </c>
      <c r="S70" s="236" t="str">
        <f>IFERROR(__xludf.DUMMYFUNCTION("if(countif(ecn.list,CS70),OFFSET(INDIRECT(CONCAT(""A"",to_text(match(CS70,ecn.list,0)))),0,1),"""")"),"")</f>
        <v/>
      </c>
      <c r="T70" s="236" t="str">
        <f>IFERROR(__xludf.DUMMYFUNCTION("if(countif(ecn.list,CT70),OFFSET(INDIRECT(CONCAT(""A"",to_text(match(CT70,ecn.list,0)))),0,1),"""")"),"J5 ")</f>
        <v>J5 </v>
      </c>
      <c r="U70" s="236" t="str">
        <f>IFERROR(__xludf.DUMMYFUNCTION("if(countif(ecn.list,CU70),OFFSET(INDIRECT(CONCAT(""A"",to_text(match(CU70,ecn.list,0)))),0,1),"""")"),"J6 ")</f>
        <v>J6 </v>
      </c>
      <c r="V70" s="236" t="str">
        <f>IFERROR(__xludf.DUMMYFUNCTION("if(countif(ecn.list,CV70),OFFSET(INDIRECT(CONCAT(""A"",to_text(match(CV70,ecn.list,0)))),0,1),"""")"),"J7 ")</f>
        <v>J7 </v>
      </c>
      <c r="W70" s="236" t="str">
        <f>IFERROR(__xludf.DUMMYFUNCTION("if(countif(ecn.list,CW70),OFFSET(INDIRECT(CONCAT(""A"",to_text(match(CW70,ecn.list,0)))),0,1),"""")"),"")</f>
        <v/>
      </c>
      <c r="X70" s="236" t="str">
        <f>IFERROR(__xludf.DUMMYFUNCTION("if(countif(ecn.list,CX70),OFFSET(INDIRECT(CONCAT(""A"",to_text(match(CX70,ecn.list,0)))),0,1),"""")"),"")</f>
        <v/>
      </c>
      <c r="Y70" s="236" t="str">
        <f>IFERROR(__xludf.DUMMYFUNCTION("if(countif(ecn.list,CY70),OFFSET(INDIRECT(CONCAT(""A"",to_text(match(CY70,ecn.list,0)))),0,1),"""")"),"JA ")</f>
        <v>JA </v>
      </c>
      <c r="Z70" s="236" t="str">
        <f>IFERROR(__xludf.DUMMYFUNCTION("if(countif(ecn.list,CZ70),OFFSET(INDIRECT(CONCAT(""A"",to_text(match(CZ70,ecn.list,0)))),0,1),"""")"),"")</f>
        <v/>
      </c>
      <c r="AA70" s="236" t="str">
        <f>IFERROR(__xludf.DUMMYFUNCTION("if(countif(ecn.list,DA70),OFFSET(INDIRECT(CONCAT(""A"",to_text(match(DA70,ecn.list,0)))),0,1),"""")"),"JC ")</f>
        <v>JC </v>
      </c>
      <c r="AB70" s="236" t="str">
        <f>IFERROR(__xludf.DUMMYFUNCTION("if(countif(ecn.list,DB70),OFFSET(INDIRECT(CONCAT(""A"",to_text(match(DB70,ecn.list,0)))),0,1),"""")"),"")</f>
        <v/>
      </c>
      <c r="AC70" s="236" t="str">
        <f>IFERROR(__xludf.DUMMYFUNCTION("if(countif(ecn.list,DC70),OFFSET(INDIRECT(CONCAT(""A"",to_text(match(DC70,ecn.list,0)))),0,1),"""")"),"")</f>
        <v/>
      </c>
      <c r="AD70" s="236" t="str">
        <f>IFERROR(__xludf.DUMMYFUNCTION("if(countif(ecn.list,DD70),OFFSET(INDIRECT(CONCAT(""A"",to_text(match(DD70,ecn.list,0)))),0,1),"""")"),"")</f>
        <v/>
      </c>
      <c r="AE70" s="236" t="str">
        <f>IFERROR(__xludf.DUMMYFUNCTION("if(countif(ecn.list,DE70),OFFSET(INDIRECT(CONCAT(""A"",to_text(match(DE70,ecn.list,0)))),0,1),"""")"),"K0 ")</f>
        <v>K0 </v>
      </c>
      <c r="AF70" s="236" t="str">
        <f>IFERROR(__xludf.DUMMYFUNCTION("if(countif(ecn.list,DF70),OFFSET(INDIRECT(CONCAT(""A"",to_text(match(DF70,ecn.list,0)))),0,1),"""")"),"")</f>
        <v/>
      </c>
      <c r="AG70" s="236" t="str">
        <f>IFERROR(__xludf.DUMMYFUNCTION("if(countif(ecn.list,DG70),OFFSET(INDIRECT(CONCAT(""A"",to_text(match(DG70,ecn.list,0)))),0,1),"""")"),"")</f>
        <v/>
      </c>
      <c r="AH70" s="236" t="str">
        <f>IFERROR(__xludf.DUMMYFUNCTION("if(countif(ecn.list,DH70),OFFSET(INDIRECT(CONCAT(""A"",to_text(match(DH70,ecn.list,0)))),0,1),"""")"),"K3 ")</f>
        <v>K3 </v>
      </c>
      <c r="AI70" s="236" t="str">
        <f>IFERROR(__xludf.DUMMYFUNCTION("if(countif(ecn.list,DI70),OFFSET(INDIRECT(CONCAT(""A"",to_text(match(DI70,ecn.list,0)))),0,1),"""")"),"K4 ")</f>
        <v>K4 </v>
      </c>
      <c r="AJ70" s="236" t="str">
        <f>IFERROR(__xludf.DUMMYFUNCTION("if(countif(ecn.list,DJ70),OFFSET(INDIRECT(CONCAT(""A"",to_text(match(DJ70,ecn.list,0)))),0,1),"""")"),"K5 ")</f>
        <v>K5 </v>
      </c>
      <c r="AK70" s="236" t="str">
        <f>IFERROR(__xludf.DUMMYFUNCTION("if(countif(ecn.list,DK70),OFFSET(INDIRECT(CONCAT(""A"",to_text(match(DK70,ecn.list,0)))),0,1),"""")"),"")</f>
        <v/>
      </c>
      <c r="AL70" s="236" t="str">
        <f>IFERROR(__xludf.DUMMYFUNCTION("if(countif(ecn.list,DL70),OFFSET(INDIRECT(CONCAT(""A"",to_text(match(DL70,ecn.list,0)))),0,1),"""")"),"K7 ")</f>
        <v>K7 </v>
      </c>
      <c r="AM70" s="236" t="str">
        <f>IFERROR(__xludf.DUMMYFUNCTION("if(countif(ecn.list,DM70),OFFSET(INDIRECT(CONCAT(""A"",to_text(match(DM70,ecn.list,0)))),0,1),"""")"),"K8 ")</f>
        <v>K8 </v>
      </c>
      <c r="AN70" s="236" t="str">
        <f>IFERROR(__xludf.DUMMYFUNCTION("if(countif(ecn.list,DN70),OFFSET(INDIRECT(CONCAT(""A"",to_text(match(DN70,ecn.list,0)))),0,1),"""")"),"K9 ")</f>
        <v>K9 </v>
      </c>
      <c r="AO70" s="236" t="str">
        <f>IFERROR(__xludf.DUMMYFUNCTION("if(countif(ecn.list,DO70),OFFSET(INDIRECT(CONCAT(""A"",to_text(match(DO70,ecn.list,0)))),0,1),"""")"),"KA ")</f>
        <v>KA </v>
      </c>
      <c r="AP70" s="236" t="str">
        <f>IFERROR(__xludf.DUMMYFUNCTION("if(countif(ecn.list,DP70),OFFSET(INDIRECT(CONCAT(""A"",to_text(match(DP70,ecn.list,0)))),0,1),"""")"),"KB ")</f>
        <v>KB </v>
      </c>
      <c r="AQ70" s="236" t="str">
        <f>IFERROR(__xludf.DUMMYFUNCTION("if(countif(ecn.list,DQ70),OFFSET(INDIRECT(CONCAT(""A"",to_text(match(DQ70,ecn.list,0)))),0,1),"""")"),"KC ")</f>
        <v>KC </v>
      </c>
      <c r="AR70" s="236" t="str">
        <f>IFERROR(__xludf.DUMMYFUNCTION("if(countif(ecn.list,DR70),OFFSET(INDIRECT(CONCAT(""A"",to_text(match(DR70,ecn.list,0)))),0,1),"""")"),"KD ")</f>
        <v>KD </v>
      </c>
      <c r="AS70" s="236" t="str">
        <f>IFERROR(__xludf.DUMMYFUNCTION("if(countif(ecn.list,DS70),OFFSET(INDIRECT(CONCAT(""A"",to_text(match(DS70,ecn.list,0)))),0,1),"""")"),"")</f>
        <v/>
      </c>
      <c r="AT70" s="236" t="str">
        <f>IFERROR(__xludf.DUMMYFUNCTION("if(countif(ecn.list,DT70),OFFSET(INDIRECT(CONCAT(""A"",to_text(match(DT70,ecn.list,0)))),0,1),"""")"),"")</f>
        <v/>
      </c>
      <c r="AU70" s="236" t="str">
        <f>IFERROR(__xludf.DUMMYFUNCTION("if(countif(ecn.list,DU70),OFFSET(INDIRECT(CONCAT(""A"",to_text(match(DU70,ecn.list,0)))),0,1),"""")"),"")</f>
        <v/>
      </c>
      <c r="AV70" s="236" t="str">
        <f>IFERROR(__xludf.DUMMYFUNCTION("if(countif(ecn.list,DV70),OFFSET(INDIRECT(CONCAT(""A"",to_text(match(DV70,ecn.list,0)))),0,1),"""")"),"L1 ")</f>
        <v>L1 </v>
      </c>
      <c r="AW70" s="236" t="str">
        <f>IFERROR(__xludf.DUMMYFUNCTION("if(countif(ecn.list,DW70),OFFSET(INDIRECT(CONCAT(""A"",to_text(match(DW70,ecn.list,0)))),0,1),"""")"),"")</f>
        <v/>
      </c>
      <c r="AX70" s="236" t="str">
        <f>IFERROR(__xludf.DUMMYFUNCTION("if(countif(ecn.list,DX70),OFFSET(INDIRECT(CONCAT(""A"",to_text(match(DX70,ecn.list,0)))),0,1),"""")"),"")</f>
        <v/>
      </c>
      <c r="AY70" s="236" t="str">
        <f>IFERROR(__xludf.DUMMYFUNCTION("if(countif(ecn.list,DY70),OFFSET(INDIRECT(CONCAT(""A"",to_text(match(DY70,ecn.list,0)))),0,1),"""")"),"")</f>
        <v/>
      </c>
      <c r="AZ70" s="236" t="str">
        <f>IFERROR(__xludf.DUMMYFUNCTION("if(countif(ecn.list,DZ70),OFFSET(INDIRECT(CONCAT(""A"",to_text(match(DZ70,ecn.list,0)))),0,1),"""")"),"")</f>
        <v/>
      </c>
      <c r="BA70" s="236" t="str">
        <f>IFERROR(__xludf.DUMMYFUNCTION("if(countif(ecn.list,EA70),OFFSET(INDIRECT(CONCAT(""A"",to_text(match(EA70,ecn.list,0)))),0,1),"""")"),"")</f>
        <v/>
      </c>
      <c r="BB70" s="236" t="str">
        <f>IFERROR(__xludf.DUMMYFUNCTION("if(countif(ecn.list,EB70),OFFSET(INDIRECT(CONCAT(""A"",to_text(match(EB70,ecn.list,0)))),0,1),"""")"),"")</f>
        <v/>
      </c>
      <c r="BC70" s="236" t="str">
        <f>IFERROR(__xludf.DUMMYFUNCTION("if(countif(ecn.list,EC70),OFFSET(INDIRECT(CONCAT(""A"",to_text(match(EC70,ecn.list,0)))),0,1),"""")"),"L8 ")</f>
        <v>L8 </v>
      </c>
      <c r="BD70" s="236" t="str">
        <f>IFERROR(__xludf.DUMMYFUNCTION("if(countif(ecn.list,ED70),OFFSET(INDIRECT(CONCAT(""A"",to_text(match(ED70,ecn.list,0)))),0,1),"""")"),"")</f>
        <v/>
      </c>
      <c r="BE70" s="236" t="str">
        <f>IFERROR(__xludf.DUMMYFUNCTION("if(countif(ecn.list,EE70),OFFSET(INDIRECT(CONCAT(""A"",to_text(match(EE70,ecn.list,0)))),0,1),"""")"),"LA ")</f>
        <v>LA </v>
      </c>
      <c r="BF70" s="236" t="str">
        <f>IFERROR(__xludf.DUMMYFUNCTION("if(countif(ecn.list,EF70),OFFSET(INDIRECT(CONCAT(""A"",to_text(match(EF70,ecn.list,0)))),0,1),"""")"),"")</f>
        <v/>
      </c>
      <c r="BG70" s="236" t="str">
        <f>IFERROR(__xludf.DUMMYFUNCTION("if(countif(ecn.list,EG70),OFFSET(INDIRECT(CONCAT(""A"",to_text(match(EG70,ecn.list,0)))),0,1),"""")"),"LC ")</f>
        <v>LC </v>
      </c>
      <c r="BH70" s="236" t="str">
        <f>IFERROR(__xludf.DUMMYFUNCTION("if(countif(ecn.list,EH70),OFFSET(INDIRECT(CONCAT(""A"",to_text(match(EH70,ecn.list,0)))),0,1),"""")"),"")</f>
        <v/>
      </c>
      <c r="BI70" s="236" t="str">
        <f>IFERROR(__xludf.DUMMYFUNCTION("if(countif(ecn.list,EI70),OFFSET(INDIRECT(CONCAT(""A"",to_text(match(EI70,ecn.list,0)))),0,1),"""")"),"")</f>
        <v/>
      </c>
      <c r="BJ70" s="236" t="str">
        <f>IFERROR(__xludf.DUMMYFUNCTION("if(countif(ecn.list,EJ70),OFFSET(INDIRECT(CONCAT(""A"",to_text(match(EJ70,ecn.list,0)))),0,1),"""")"),"LF ")</f>
        <v>LF </v>
      </c>
      <c r="BK70" s="236" t="str">
        <f>IFERROR(__xludf.DUMMYFUNCTION("if(countif(ecn.list,EK70),OFFSET(INDIRECT(CONCAT(""A"",to_text(match(EK70,ecn.list,0)))),0,1),"""")"),"M0 ")</f>
        <v>M0 </v>
      </c>
      <c r="BL70" s="236" t="str">
        <f>IFERROR(__xludf.DUMMYFUNCTION("if(countif(ecn.list,EL70),OFFSET(INDIRECT(CONCAT(""A"",to_text(match(EL70,ecn.list,0)))),0,1),"""")"),"M1 ")</f>
        <v>M1 </v>
      </c>
      <c r="BM70" s="236" t="str">
        <f>IFERROR(__xludf.DUMMYFUNCTION("if(countif(ecn.list,EM70),OFFSET(INDIRECT(CONCAT(""A"",to_text(match(EM70,ecn.list,0)))),0,1),"""")"),"")</f>
        <v/>
      </c>
      <c r="BN70" s="236" t="str">
        <f>IFERROR(__xludf.DUMMYFUNCTION("if(countif(ecn.list,EN70),OFFSET(INDIRECT(CONCAT(""A"",to_text(match(EN70,ecn.list,0)))),0,1),"""")"),"M3 ")</f>
        <v>M3 </v>
      </c>
      <c r="BO70" s="236" t="str">
        <f>IFERROR(__xludf.DUMMYFUNCTION("if(countif(ecn.list,EO70),OFFSET(INDIRECT(CONCAT(""A"",to_text(match(EO70,ecn.list,0)))),0,1),"""")"),"M4 ")</f>
        <v>M4 </v>
      </c>
      <c r="BP70" s="236" t="str">
        <f>IFERROR(__xludf.DUMMYFUNCTION("if(countif(ecn.list,EP70),OFFSET(INDIRECT(CONCAT(""A"",to_text(match(EP70,ecn.list,0)))),0,1),"""")"),"")</f>
        <v/>
      </c>
      <c r="BQ70" s="236" t="str">
        <f>IFERROR(__xludf.DUMMYFUNCTION("if(countif(ecn.list,EQ70),OFFSET(INDIRECT(CONCAT(""A"",to_text(match(EQ70,ecn.list,0)))),0,1),"""")"),"")</f>
        <v/>
      </c>
      <c r="BR70" s="236" t="str">
        <f>IFERROR(__xludf.DUMMYFUNCTION("if(countif(ecn.list,ER70),OFFSET(INDIRECT(CONCAT(""A"",to_text(match(ER70,ecn.list,0)))),0,1),"""")"),"")</f>
        <v/>
      </c>
      <c r="BS70" s="236" t="str">
        <f>IFERROR(__xludf.DUMMYFUNCTION("if(countif(ecn.list,ES70),OFFSET(INDIRECT(CONCAT(""A"",to_text(match(ES70,ecn.list,0)))),0,1),"""")"),"M8 ")</f>
        <v>M8 </v>
      </c>
      <c r="BT70" s="236" t="str">
        <f>IFERROR(__xludf.DUMMYFUNCTION("if(countif(ecn.list,ET70),OFFSET(INDIRECT(CONCAT(""A"",to_text(match(ET70,ecn.list,0)))),0,1),"""")"),"")</f>
        <v/>
      </c>
      <c r="BU70" s="236" t="str">
        <f>IFERROR(__xludf.DUMMYFUNCTION("if(countif(ecn.list,EU70),OFFSET(INDIRECT(CONCAT(""A"",to_text(match(EU70,ecn.list,0)))),0,1),"""")"),"")</f>
        <v/>
      </c>
      <c r="BV70" s="236" t="str">
        <f>IFERROR(__xludf.DUMMYFUNCTION("if(countif(ecn.list,EV70),OFFSET(INDIRECT(CONCAT(""A"",to_text(match(EV70,ecn.list,0)))),0,1),"""")"),"MB ")</f>
        <v>MB </v>
      </c>
      <c r="BW70" s="236" t="str">
        <f>IFERROR(__xludf.DUMMYFUNCTION("if(countif(ecn.list,EW70),OFFSET(INDIRECT(CONCAT(""A"",to_text(match(EW70,ecn.list,0)))),0,1),"""")"),"")</f>
        <v/>
      </c>
      <c r="BX70" s="236" t="str">
        <f>IFERROR(__xludf.DUMMYFUNCTION("if(countif(ecn.list,EX70),OFFSET(INDIRECT(CONCAT(""A"",to_text(match(EX70,ecn.list,0)))),0,1),"""")"),"MD ")</f>
        <v>MD </v>
      </c>
      <c r="BY70" s="236" t="str">
        <f>IFERROR(__xludf.DUMMYFUNCTION("if(countif(ecn.list,EY70),OFFSET(INDIRECT(CONCAT(""A"",to_text(match(EY70,ecn.list,0)))),0,1),"""")"),"")</f>
        <v/>
      </c>
      <c r="BZ70" s="236" t="str">
        <f>IFERROR(__xludf.DUMMYFUNCTION("if(countif(ecn.list,EZ70),OFFSET(INDIRECT(CONCAT(""A"",to_text(match(EZ70,ecn.list,0)))),0,1),"""")"),"MF ")</f>
        <v>MF </v>
      </c>
      <c r="CA70" s="236" t="str">
        <f>IFERROR(__xludf.DUMMYFUNCTION("if(countif(ecn.list,FA70),OFFSET(INDIRECT(CONCAT(""A"",to_text(match(FA70,ecn.list,0)))),0,1),"""")"),"")</f>
        <v/>
      </c>
      <c r="CB70" s="236" t="str">
        <f>IFERROR(__xludf.DUMMYFUNCTION("if(countif(ecn.list,FB70),OFFSET(INDIRECT(CONCAT(""A"",to_text(match(FB70,ecn.list,0)))),0,1),"""")"),"")</f>
        <v/>
      </c>
      <c r="CC70" s="236" t="str">
        <f>IFERROR(__xludf.DUMMYFUNCTION("if(countif(ecn.list,FC70),OFFSET(INDIRECT(CONCAT(""A"",to_text(match(FC70,ecn.list,0)))),0,1),"""")"),"N2 ")</f>
        <v>N2 </v>
      </c>
      <c r="CD70" s="236" t="str">
        <f>IFERROR(__xludf.DUMMYFUNCTION("if(countif(ecn.list,FD70),OFFSET(INDIRECT(CONCAT(""A"",to_text(match(FD70,ecn.list,0)))),0,1),"""")"),"")</f>
        <v/>
      </c>
      <c r="CE70" s="236" t="str">
        <f>IFERROR(__xludf.DUMMYFUNCTION("if(countif(ecn.list,FE70),OFFSET(INDIRECT(CONCAT(""A"",to_text(match(FE70,ecn.list,0)))),0,1),"""")"),"")</f>
        <v/>
      </c>
      <c r="CF70" s="236" t="str">
        <f>IFERROR(__xludf.DUMMYFUNCTION("if(countif(ecn.list,FF70),OFFSET(INDIRECT(CONCAT(""A"",to_text(match(FF70,ecn.list,0)))),0,1),"""")"),"")</f>
        <v/>
      </c>
      <c r="CG70" s="236" t="str">
        <f>IFERROR(__xludf.DUMMYFUNCTION("if(countif(ecn.list,FG70),OFFSET(INDIRECT(CONCAT(""A"",to_text(match(FG70,ecn.list,0)))),0,1),"""")"),"")</f>
        <v/>
      </c>
      <c r="CH70" s="236" t="str">
        <f>IFERROR(__xludf.DUMMYFUNCTION("if(countif(ecn.list,FH70),OFFSET(INDIRECT(CONCAT(""A"",to_text(match(FH70,ecn.list,0)))),0,1),"""")"),"N7 ")</f>
        <v>N7 </v>
      </c>
      <c r="CI70" s="236" t="str">
        <f>IFERROR(__xludf.DUMMYFUNCTION("if(countif(ecn.list,FI70),OFFSET(INDIRECT(CONCAT(""A"",to_text(match(FI70,ecn.list,0)))),0,1),"""")"),"")</f>
        <v/>
      </c>
      <c r="CJ70" s="236" t="str">
        <f>IFERROR(__xludf.DUMMYFUNCTION("if(countif(ecn.list,FJ70),OFFSET(INDIRECT(CONCAT(""A"",to_text(match(FJ70,ecn.list,0)))),0,1),"""")"),"")</f>
        <v/>
      </c>
      <c r="CK70" s="236" t="str">
        <f>IFERROR(__xludf.DUMMYFUNCTION("if(countif(ecn.list,FK70),OFFSET(INDIRECT(CONCAT(""A"",to_text(match(FK70,ecn.list,0)))),0,1),"""")"),"NA ")</f>
        <v>NA </v>
      </c>
      <c r="CL70" s="236" t="str">
        <f>IFERROR(__xludf.DUMMYFUNCTION("if(countif(ecn.list,FL70),OFFSET(INDIRECT(CONCAT(""A"",to_text(match(FL70,ecn.list,0)))),0,1),"""")"),"")</f>
        <v/>
      </c>
      <c r="CM70" s="236" t="str">
        <f>IFERROR(__xludf.DUMMYFUNCTION("if(countif(ecn.list,FM70),OFFSET(INDIRECT(CONCAT(""A"",to_text(match(FM70,ecn.list,0)))),0,1),"""")"),"")</f>
        <v/>
      </c>
      <c r="CN70" s="198" t="s">
        <v>283</v>
      </c>
      <c r="CO70" s="198" t="s">
        <v>1447</v>
      </c>
      <c r="CP70" s="198" t="s">
        <v>1451</v>
      </c>
      <c r="CQ70" s="198" t="s">
        <v>1452</v>
      </c>
      <c r="CR70" s="198" t="s">
        <v>1453</v>
      </c>
      <c r="CS70" s="198" t="s">
        <v>1453</v>
      </c>
      <c r="CT70" s="198" t="s">
        <v>1454</v>
      </c>
      <c r="CU70" s="198" t="s">
        <v>1455</v>
      </c>
      <c r="CV70" s="198" t="s">
        <v>1456</v>
      </c>
      <c r="CW70" s="198" t="s">
        <v>1453</v>
      </c>
      <c r="CX70" s="198" t="s">
        <v>1453</v>
      </c>
      <c r="CY70" s="198" t="s">
        <v>1484</v>
      </c>
      <c r="CZ70" s="198" t="s">
        <v>1453</v>
      </c>
      <c r="DA70" s="198" t="s">
        <v>1457</v>
      </c>
      <c r="DB70" s="198" t="s">
        <v>1453</v>
      </c>
      <c r="DC70" s="198" t="s">
        <v>1453</v>
      </c>
      <c r="DD70" s="198" t="s">
        <v>1453</v>
      </c>
      <c r="DE70" s="198" t="s">
        <v>1459</v>
      </c>
      <c r="DF70" s="198" t="s">
        <v>1453</v>
      </c>
      <c r="DG70" s="198" t="s">
        <v>1453</v>
      </c>
      <c r="DH70" s="198" t="s">
        <v>1500</v>
      </c>
      <c r="DI70" s="198" t="s">
        <v>1501</v>
      </c>
      <c r="DJ70" s="198" t="s">
        <v>1460</v>
      </c>
      <c r="DK70" s="198" t="s">
        <v>1453</v>
      </c>
      <c r="DL70" s="198" t="s">
        <v>1461</v>
      </c>
      <c r="DM70" s="198" t="s">
        <v>1462</v>
      </c>
      <c r="DN70" s="198" t="s">
        <v>1463</v>
      </c>
      <c r="DO70" s="198" t="s">
        <v>1464</v>
      </c>
      <c r="DP70" s="198" t="s">
        <v>1465</v>
      </c>
      <c r="DQ70" s="198" t="s">
        <v>1466</v>
      </c>
      <c r="DR70" s="198" t="s">
        <v>1467</v>
      </c>
      <c r="DS70" s="198" t="s">
        <v>1453</v>
      </c>
      <c r="DT70" s="198" t="s">
        <v>1453</v>
      </c>
      <c r="DU70" s="198" t="s">
        <v>1453</v>
      </c>
      <c r="DV70" s="198" t="s">
        <v>1469</v>
      </c>
      <c r="DW70" s="198" t="s">
        <v>1453</v>
      </c>
      <c r="DX70" s="198" t="s">
        <v>1453</v>
      </c>
      <c r="DY70" s="198" t="s">
        <v>1453</v>
      </c>
      <c r="DZ70" s="198" t="s">
        <v>1453</v>
      </c>
      <c r="EA70" s="198" t="s">
        <v>1453</v>
      </c>
      <c r="EB70" s="198" t="s">
        <v>1453</v>
      </c>
      <c r="EC70" s="198" t="s">
        <v>1483</v>
      </c>
      <c r="ED70" s="198" t="s">
        <v>1453</v>
      </c>
      <c r="EE70" s="198" t="s">
        <v>1470</v>
      </c>
      <c r="EF70" s="198" t="s">
        <v>1453</v>
      </c>
      <c r="EG70" s="198" t="s">
        <v>1471</v>
      </c>
      <c r="EH70" s="198" t="s">
        <v>1453</v>
      </c>
      <c r="EI70" s="198" t="s">
        <v>1453</v>
      </c>
      <c r="EJ70" s="198" t="s">
        <v>1472</v>
      </c>
      <c r="EK70" s="198" t="s">
        <v>1487</v>
      </c>
      <c r="EL70" s="198" t="s">
        <v>1473</v>
      </c>
      <c r="EM70" s="198" t="s">
        <v>1453</v>
      </c>
      <c r="EN70" s="198" t="s">
        <v>1474</v>
      </c>
      <c r="EO70" s="198" t="s">
        <v>1475</v>
      </c>
      <c r="EP70" s="198" t="s">
        <v>1453</v>
      </c>
      <c r="EQ70" s="198" t="s">
        <v>1453</v>
      </c>
      <c r="ER70" s="198" t="s">
        <v>1453</v>
      </c>
      <c r="ES70" s="198" t="s">
        <v>1505</v>
      </c>
      <c r="ET70" s="198" t="s">
        <v>1453</v>
      </c>
      <c r="EU70" s="198" t="s">
        <v>1453</v>
      </c>
      <c r="EV70" s="198" t="s">
        <v>1476</v>
      </c>
      <c r="EW70" s="198" t="s">
        <v>1453</v>
      </c>
      <c r="EX70" s="198" t="s">
        <v>1488</v>
      </c>
      <c r="EY70" s="198" t="s">
        <v>1453</v>
      </c>
      <c r="EZ70" s="198" t="s">
        <v>1477</v>
      </c>
      <c r="FA70" s="198" t="s">
        <v>1453</v>
      </c>
      <c r="FB70" s="198" t="s">
        <v>1453</v>
      </c>
      <c r="FC70" s="198" t="s">
        <v>1478</v>
      </c>
      <c r="FD70" s="198" t="s">
        <v>1453</v>
      </c>
      <c r="FE70" s="198" t="s">
        <v>1453</v>
      </c>
      <c r="FF70" s="198" t="s">
        <v>1453</v>
      </c>
      <c r="FG70" s="198" t="s">
        <v>1453</v>
      </c>
      <c r="FH70" s="198" t="s">
        <v>1479</v>
      </c>
      <c r="FI70" s="198" t="s">
        <v>1453</v>
      </c>
      <c r="FJ70" s="198" t="s">
        <v>1453</v>
      </c>
      <c r="FK70" s="198" t="s">
        <v>1481</v>
      </c>
      <c r="FL70" s="198" t="s">
        <v>1482</v>
      </c>
      <c r="FM70" s="198" t="s">
        <v>1453</v>
      </c>
    </row>
    <row r="71" ht="15.75" customHeight="1">
      <c r="A71" s="236" t="s">
        <v>1535</v>
      </c>
      <c r="B71" s="198" t="str">
        <f t="shared" si="8"/>
        <v>N3 </v>
      </c>
      <c r="C71" s="234">
        <v>3.0</v>
      </c>
      <c r="D71" s="232" t="s">
        <v>770</v>
      </c>
      <c r="E71" s="232" t="s">
        <v>1448</v>
      </c>
      <c r="F71" s="232" t="s">
        <v>1449</v>
      </c>
      <c r="G71" s="232" t="s">
        <v>1450</v>
      </c>
      <c r="H71" s="232" t="s">
        <v>788</v>
      </c>
      <c r="I71" s="232" t="s">
        <v>980</v>
      </c>
      <c r="J71" s="232" t="s">
        <v>847</v>
      </c>
      <c r="K71" s="232" t="s">
        <v>1100</v>
      </c>
      <c r="L71" s="188" t="s">
        <v>286</v>
      </c>
      <c r="M71" s="236" t="str">
        <f>IFERROR(__xludf.DUMMYFUNCTION("regexreplace(N71,"" "","", "")"),"J0, J1, J2, J5, J6, J7, JC, JF, K0, K5, K7, K8, K9, KB, KC, KD, KF, L1, LA, LC, LF, M1, M3, M4, MB, MF, N2, N7, N8, NA, ")</f>
        <v>J0, J1, J2, J5, J6, J7, JC, JF, K0, K5, K7, K8, K9, KB, KC, KD, KF, L1, LA, LC, LF, M1, M3, M4, MB, MF, N2, N7, N8, NA, </v>
      </c>
      <c r="N71" s="236" t="str">
        <f t="shared" si="2"/>
        <v>J0 J1 J2 J5 J6 J7 JC JF K0 K5 K7 K8 K9 KB KC KD KF L1 LA LC LF M1 M3 M4 MB MF N2 N7 N8 NA </v>
      </c>
      <c r="O71" s="236" t="str">
        <f>IFERROR(__xludf.DUMMYFUNCTION("if(countif(ecn.list,CO71),OFFSET(INDIRECT(CONCAT(""A"",to_text(match(CO71,ecn.list,0)))),0,1),"""")"),"J0 ")</f>
        <v>J0 </v>
      </c>
      <c r="P71" s="236" t="str">
        <f>IFERROR(__xludf.DUMMYFUNCTION("if(countif(ecn.list,CP71),OFFSET(INDIRECT(CONCAT(""A"",to_text(match(CP71,ecn.list,0)))),0,1),"""")"),"J1 ")</f>
        <v>J1 </v>
      </c>
      <c r="Q71" s="236" t="str">
        <f>IFERROR(__xludf.DUMMYFUNCTION("if(countif(ecn.list,CQ71),OFFSET(INDIRECT(CONCAT(""A"",to_text(match(CQ71,ecn.list,0)))),0,1),"""")"),"J2 ")</f>
        <v>J2 </v>
      </c>
      <c r="R71" s="236" t="str">
        <f>IFERROR(__xludf.DUMMYFUNCTION("if(countif(ecn.list,CR71),OFFSET(INDIRECT(CONCAT(""A"",to_text(match(CR71,ecn.list,0)))),0,1),"""")"),"")</f>
        <v/>
      </c>
      <c r="S71" s="236" t="str">
        <f>IFERROR(__xludf.DUMMYFUNCTION("if(countif(ecn.list,CS71),OFFSET(INDIRECT(CONCAT(""A"",to_text(match(CS71,ecn.list,0)))),0,1),"""")"),"")</f>
        <v/>
      </c>
      <c r="T71" s="236" t="str">
        <f>IFERROR(__xludf.DUMMYFUNCTION("if(countif(ecn.list,CT71),OFFSET(INDIRECT(CONCAT(""A"",to_text(match(CT71,ecn.list,0)))),0,1),"""")"),"J5 ")</f>
        <v>J5 </v>
      </c>
      <c r="U71" s="236" t="str">
        <f>IFERROR(__xludf.DUMMYFUNCTION("if(countif(ecn.list,CU71),OFFSET(INDIRECT(CONCAT(""A"",to_text(match(CU71,ecn.list,0)))),0,1),"""")"),"J6 ")</f>
        <v>J6 </v>
      </c>
      <c r="V71" s="236" t="str">
        <f>IFERROR(__xludf.DUMMYFUNCTION("if(countif(ecn.list,CV71),OFFSET(INDIRECT(CONCAT(""A"",to_text(match(CV71,ecn.list,0)))),0,1),"""")"),"J7 ")</f>
        <v>J7 </v>
      </c>
      <c r="W71" s="236" t="str">
        <f>IFERROR(__xludf.DUMMYFUNCTION("if(countif(ecn.list,CW71),OFFSET(INDIRECT(CONCAT(""A"",to_text(match(CW71,ecn.list,0)))),0,1),"""")"),"")</f>
        <v/>
      </c>
      <c r="X71" s="236" t="str">
        <f>IFERROR(__xludf.DUMMYFUNCTION("if(countif(ecn.list,CX71),OFFSET(INDIRECT(CONCAT(""A"",to_text(match(CX71,ecn.list,0)))),0,1),"""")"),"")</f>
        <v/>
      </c>
      <c r="Y71" s="236" t="str">
        <f>IFERROR(__xludf.DUMMYFUNCTION("if(countif(ecn.list,CY71),OFFSET(INDIRECT(CONCAT(""A"",to_text(match(CY71,ecn.list,0)))),0,1),"""")"),"")</f>
        <v/>
      </c>
      <c r="Z71" s="236" t="str">
        <f>IFERROR(__xludf.DUMMYFUNCTION("if(countif(ecn.list,CZ71),OFFSET(INDIRECT(CONCAT(""A"",to_text(match(CZ71,ecn.list,0)))),0,1),"""")"),"")</f>
        <v/>
      </c>
      <c r="AA71" s="236" t="str">
        <f>IFERROR(__xludf.DUMMYFUNCTION("if(countif(ecn.list,DA71),OFFSET(INDIRECT(CONCAT(""A"",to_text(match(DA71,ecn.list,0)))),0,1),"""")"),"JC ")</f>
        <v>JC </v>
      </c>
      <c r="AB71" s="236" t="str">
        <f>IFERROR(__xludf.DUMMYFUNCTION("if(countif(ecn.list,DB71),OFFSET(INDIRECT(CONCAT(""A"",to_text(match(DB71,ecn.list,0)))),0,1),"""")"),"")</f>
        <v/>
      </c>
      <c r="AC71" s="236" t="str">
        <f>IFERROR(__xludf.DUMMYFUNCTION("if(countif(ecn.list,DC71),OFFSET(INDIRECT(CONCAT(""A"",to_text(match(DC71,ecn.list,0)))),0,1),"""")"),"")</f>
        <v/>
      </c>
      <c r="AD71" s="236" t="str">
        <f>IFERROR(__xludf.DUMMYFUNCTION("if(countif(ecn.list,DD71),OFFSET(INDIRECT(CONCAT(""A"",to_text(match(DD71,ecn.list,0)))),0,1),"""")"),"JF ")</f>
        <v>JF </v>
      </c>
      <c r="AE71" s="236" t="str">
        <f>IFERROR(__xludf.DUMMYFUNCTION("if(countif(ecn.list,DE71),OFFSET(INDIRECT(CONCAT(""A"",to_text(match(DE71,ecn.list,0)))),0,1),"""")"),"K0 ")</f>
        <v>K0 </v>
      </c>
      <c r="AF71" s="236" t="str">
        <f>IFERROR(__xludf.DUMMYFUNCTION("if(countif(ecn.list,DF71),OFFSET(INDIRECT(CONCAT(""A"",to_text(match(DF71,ecn.list,0)))),0,1),"""")"),"")</f>
        <v/>
      </c>
      <c r="AG71" s="236" t="str">
        <f>IFERROR(__xludf.DUMMYFUNCTION("if(countif(ecn.list,DG71),OFFSET(INDIRECT(CONCAT(""A"",to_text(match(DG71,ecn.list,0)))),0,1),"""")"),"")</f>
        <v/>
      </c>
      <c r="AH71" s="236" t="str">
        <f>IFERROR(__xludf.DUMMYFUNCTION("if(countif(ecn.list,DH71),OFFSET(INDIRECT(CONCAT(""A"",to_text(match(DH71,ecn.list,0)))),0,1),"""")"),"")</f>
        <v/>
      </c>
      <c r="AI71" s="236" t="str">
        <f>IFERROR(__xludf.DUMMYFUNCTION("if(countif(ecn.list,DI71),OFFSET(INDIRECT(CONCAT(""A"",to_text(match(DI71,ecn.list,0)))),0,1),"""")"),"")</f>
        <v/>
      </c>
      <c r="AJ71" s="236" t="str">
        <f>IFERROR(__xludf.DUMMYFUNCTION("if(countif(ecn.list,DJ71),OFFSET(INDIRECT(CONCAT(""A"",to_text(match(DJ71,ecn.list,0)))),0,1),"""")"),"K5 ")</f>
        <v>K5 </v>
      </c>
      <c r="AK71" s="236" t="str">
        <f>IFERROR(__xludf.DUMMYFUNCTION("if(countif(ecn.list,DK71),OFFSET(INDIRECT(CONCAT(""A"",to_text(match(DK71,ecn.list,0)))),0,1),"""")"),"")</f>
        <v/>
      </c>
      <c r="AL71" s="236" t="str">
        <f>IFERROR(__xludf.DUMMYFUNCTION("if(countif(ecn.list,DL71),OFFSET(INDIRECT(CONCAT(""A"",to_text(match(DL71,ecn.list,0)))),0,1),"""")"),"K7 ")</f>
        <v>K7 </v>
      </c>
      <c r="AM71" s="236" t="str">
        <f>IFERROR(__xludf.DUMMYFUNCTION("if(countif(ecn.list,DM71),OFFSET(INDIRECT(CONCAT(""A"",to_text(match(DM71,ecn.list,0)))),0,1),"""")"),"K8 ")</f>
        <v>K8 </v>
      </c>
      <c r="AN71" s="236" t="str">
        <f>IFERROR(__xludf.DUMMYFUNCTION("if(countif(ecn.list,DN71),OFFSET(INDIRECT(CONCAT(""A"",to_text(match(DN71,ecn.list,0)))),0,1),"""")"),"K9 ")</f>
        <v>K9 </v>
      </c>
      <c r="AO71" s="236" t="str">
        <f>IFERROR(__xludf.DUMMYFUNCTION("if(countif(ecn.list,DO71),OFFSET(INDIRECT(CONCAT(""A"",to_text(match(DO71,ecn.list,0)))),0,1),"""")"),"")</f>
        <v/>
      </c>
      <c r="AP71" s="236" t="str">
        <f>IFERROR(__xludf.DUMMYFUNCTION("if(countif(ecn.list,DP71),OFFSET(INDIRECT(CONCAT(""A"",to_text(match(DP71,ecn.list,0)))),0,1),"""")"),"KB ")</f>
        <v>KB </v>
      </c>
      <c r="AQ71" s="236" t="str">
        <f>IFERROR(__xludf.DUMMYFUNCTION("if(countif(ecn.list,DQ71),OFFSET(INDIRECT(CONCAT(""A"",to_text(match(DQ71,ecn.list,0)))),0,1),"""")"),"KC ")</f>
        <v>KC </v>
      </c>
      <c r="AR71" s="236" t="str">
        <f>IFERROR(__xludf.DUMMYFUNCTION("if(countif(ecn.list,DR71),OFFSET(INDIRECT(CONCAT(""A"",to_text(match(DR71,ecn.list,0)))),0,1),"""")"),"KD ")</f>
        <v>KD </v>
      </c>
      <c r="AS71" s="236" t="str">
        <f>IFERROR(__xludf.DUMMYFUNCTION("if(countif(ecn.list,DS71),OFFSET(INDIRECT(CONCAT(""A"",to_text(match(DS71,ecn.list,0)))),0,1),"""")"),"")</f>
        <v/>
      </c>
      <c r="AT71" s="236" t="str">
        <f>IFERROR(__xludf.DUMMYFUNCTION("if(countif(ecn.list,DT71),OFFSET(INDIRECT(CONCAT(""A"",to_text(match(DT71,ecn.list,0)))),0,1),"""")"),"KF ")</f>
        <v>KF </v>
      </c>
      <c r="AU71" s="236" t="str">
        <f>IFERROR(__xludf.DUMMYFUNCTION("if(countif(ecn.list,DU71),OFFSET(INDIRECT(CONCAT(""A"",to_text(match(DU71,ecn.list,0)))),0,1),"""")"),"")</f>
        <v/>
      </c>
      <c r="AV71" s="236" t="str">
        <f>IFERROR(__xludf.DUMMYFUNCTION("if(countif(ecn.list,DV71),OFFSET(INDIRECT(CONCAT(""A"",to_text(match(DV71,ecn.list,0)))),0,1),"""")"),"L1 ")</f>
        <v>L1 </v>
      </c>
      <c r="AW71" s="236" t="str">
        <f>IFERROR(__xludf.DUMMYFUNCTION("if(countif(ecn.list,DW71),OFFSET(INDIRECT(CONCAT(""A"",to_text(match(DW71,ecn.list,0)))),0,1),"""")"),"")</f>
        <v/>
      </c>
      <c r="AX71" s="236" t="str">
        <f>IFERROR(__xludf.DUMMYFUNCTION("if(countif(ecn.list,DX71),OFFSET(INDIRECT(CONCAT(""A"",to_text(match(DX71,ecn.list,0)))),0,1),"""")"),"")</f>
        <v/>
      </c>
      <c r="AY71" s="236" t="str">
        <f>IFERROR(__xludf.DUMMYFUNCTION("if(countif(ecn.list,DY71),OFFSET(INDIRECT(CONCAT(""A"",to_text(match(DY71,ecn.list,0)))),0,1),"""")"),"")</f>
        <v/>
      </c>
      <c r="AZ71" s="236" t="str">
        <f>IFERROR(__xludf.DUMMYFUNCTION("if(countif(ecn.list,DZ71),OFFSET(INDIRECT(CONCAT(""A"",to_text(match(DZ71,ecn.list,0)))),0,1),"""")"),"")</f>
        <v/>
      </c>
      <c r="BA71" s="236" t="str">
        <f>IFERROR(__xludf.DUMMYFUNCTION("if(countif(ecn.list,EA71),OFFSET(INDIRECT(CONCAT(""A"",to_text(match(EA71,ecn.list,0)))),0,1),"""")"),"")</f>
        <v/>
      </c>
      <c r="BB71" s="236" t="str">
        <f>IFERROR(__xludf.DUMMYFUNCTION("if(countif(ecn.list,EB71),OFFSET(INDIRECT(CONCAT(""A"",to_text(match(EB71,ecn.list,0)))),0,1),"""")"),"")</f>
        <v/>
      </c>
      <c r="BC71" s="236" t="str">
        <f>IFERROR(__xludf.DUMMYFUNCTION("if(countif(ecn.list,EC71),OFFSET(INDIRECT(CONCAT(""A"",to_text(match(EC71,ecn.list,0)))),0,1),"""")"),"")</f>
        <v/>
      </c>
      <c r="BD71" s="236" t="str">
        <f>IFERROR(__xludf.DUMMYFUNCTION("if(countif(ecn.list,ED71),OFFSET(INDIRECT(CONCAT(""A"",to_text(match(ED71,ecn.list,0)))),0,1),"""")"),"")</f>
        <v/>
      </c>
      <c r="BE71" s="236" t="str">
        <f>IFERROR(__xludf.DUMMYFUNCTION("if(countif(ecn.list,EE71),OFFSET(INDIRECT(CONCAT(""A"",to_text(match(EE71,ecn.list,0)))),0,1),"""")"),"LA ")</f>
        <v>LA </v>
      </c>
      <c r="BF71" s="236" t="str">
        <f>IFERROR(__xludf.DUMMYFUNCTION("if(countif(ecn.list,EF71),OFFSET(INDIRECT(CONCAT(""A"",to_text(match(EF71,ecn.list,0)))),0,1),"""")"),"")</f>
        <v/>
      </c>
      <c r="BG71" s="236" t="str">
        <f>IFERROR(__xludf.DUMMYFUNCTION("if(countif(ecn.list,EG71),OFFSET(INDIRECT(CONCAT(""A"",to_text(match(EG71,ecn.list,0)))),0,1),"""")"),"LC ")</f>
        <v>LC </v>
      </c>
      <c r="BH71" s="236" t="str">
        <f>IFERROR(__xludf.DUMMYFUNCTION("if(countif(ecn.list,EH71),OFFSET(INDIRECT(CONCAT(""A"",to_text(match(EH71,ecn.list,0)))),0,1),"""")"),"")</f>
        <v/>
      </c>
      <c r="BI71" s="236" t="str">
        <f>IFERROR(__xludf.DUMMYFUNCTION("if(countif(ecn.list,EI71),OFFSET(INDIRECT(CONCAT(""A"",to_text(match(EI71,ecn.list,0)))),0,1),"""")"),"")</f>
        <v/>
      </c>
      <c r="BJ71" s="236" t="str">
        <f>IFERROR(__xludf.DUMMYFUNCTION("if(countif(ecn.list,EJ71),OFFSET(INDIRECT(CONCAT(""A"",to_text(match(EJ71,ecn.list,0)))),0,1),"""")"),"LF ")</f>
        <v>LF </v>
      </c>
      <c r="BK71" s="236" t="str">
        <f>IFERROR(__xludf.DUMMYFUNCTION("if(countif(ecn.list,EK71),OFFSET(INDIRECT(CONCAT(""A"",to_text(match(EK71,ecn.list,0)))),0,1),"""")"),"")</f>
        <v/>
      </c>
      <c r="BL71" s="236" t="str">
        <f>IFERROR(__xludf.DUMMYFUNCTION("if(countif(ecn.list,EL71),OFFSET(INDIRECT(CONCAT(""A"",to_text(match(EL71,ecn.list,0)))),0,1),"""")"),"M1 ")</f>
        <v>M1 </v>
      </c>
      <c r="BM71" s="236" t="str">
        <f>IFERROR(__xludf.DUMMYFUNCTION("if(countif(ecn.list,EM71),OFFSET(INDIRECT(CONCAT(""A"",to_text(match(EM71,ecn.list,0)))),0,1),"""")"),"")</f>
        <v/>
      </c>
      <c r="BN71" s="236" t="str">
        <f>IFERROR(__xludf.DUMMYFUNCTION("if(countif(ecn.list,EN71),OFFSET(INDIRECT(CONCAT(""A"",to_text(match(EN71,ecn.list,0)))),0,1),"""")"),"M3 ")</f>
        <v>M3 </v>
      </c>
      <c r="BO71" s="236" t="str">
        <f>IFERROR(__xludf.DUMMYFUNCTION("if(countif(ecn.list,EO71),OFFSET(INDIRECT(CONCAT(""A"",to_text(match(EO71,ecn.list,0)))),0,1),"""")"),"M4 ")</f>
        <v>M4 </v>
      </c>
      <c r="BP71" s="236" t="str">
        <f>IFERROR(__xludf.DUMMYFUNCTION("if(countif(ecn.list,EP71),OFFSET(INDIRECT(CONCAT(""A"",to_text(match(EP71,ecn.list,0)))),0,1),"""")"),"")</f>
        <v/>
      </c>
      <c r="BQ71" s="236" t="str">
        <f>IFERROR(__xludf.DUMMYFUNCTION("if(countif(ecn.list,EQ71),OFFSET(INDIRECT(CONCAT(""A"",to_text(match(EQ71,ecn.list,0)))),0,1),"""")"),"")</f>
        <v/>
      </c>
      <c r="BR71" s="236" t="str">
        <f>IFERROR(__xludf.DUMMYFUNCTION("if(countif(ecn.list,ER71),OFFSET(INDIRECT(CONCAT(""A"",to_text(match(ER71,ecn.list,0)))),0,1),"""")"),"")</f>
        <v/>
      </c>
      <c r="BS71" s="236" t="str">
        <f>IFERROR(__xludf.DUMMYFUNCTION("if(countif(ecn.list,ES71),OFFSET(INDIRECT(CONCAT(""A"",to_text(match(ES71,ecn.list,0)))),0,1),"""")"),"")</f>
        <v/>
      </c>
      <c r="BT71" s="236" t="str">
        <f>IFERROR(__xludf.DUMMYFUNCTION("if(countif(ecn.list,ET71),OFFSET(INDIRECT(CONCAT(""A"",to_text(match(ET71,ecn.list,0)))),0,1),"""")"),"")</f>
        <v/>
      </c>
      <c r="BU71" s="236" t="str">
        <f>IFERROR(__xludf.DUMMYFUNCTION("if(countif(ecn.list,EU71),OFFSET(INDIRECT(CONCAT(""A"",to_text(match(EU71,ecn.list,0)))),0,1),"""")"),"")</f>
        <v/>
      </c>
      <c r="BV71" s="236" t="str">
        <f>IFERROR(__xludf.DUMMYFUNCTION("if(countif(ecn.list,EV71),OFFSET(INDIRECT(CONCAT(""A"",to_text(match(EV71,ecn.list,0)))),0,1),"""")"),"MB ")</f>
        <v>MB </v>
      </c>
      <c r="BW71" s="236" t="str">
        <f>IFERROR(__xludf.DUMMYFUNCTION("if(countif(ecn.list,EW71),OFFSET(INDIRECT(CONCAT(""A"",to_text(match(EW71,ecn.list,0)))),0,1),"""")"),"")</f>
        <v/>
      </c>
      <c r="BX71" s="236" t="str">
        <f>IFERROR(__xludf.DUMMYFUNCTION("if(countif(ecn.list,EX71),OFFSET(INDIRECT(CONCAT(""A"",to_text(match(EX71,ecn.list,0)))),0,1),"""")"),"")</f>
        <v/>
      </c>
      <c r="BY71" s="236" t="str">
        <f>IFERROR(__xludf.DUMMYFUNCTION("if(countif(ecn.list,EY71),OFFSET(INDIRECT(CONCAT(""A"",to_text(match(EY71,ecn.list,0)))),0,1),"""")"),"")</f>
        <v/>
      </c>
      <c r="BZ71" s="236" t="str">
        <f>IFERROR(__xludf.DUMMYFUNCTION("if(countif(ecn.list,EZ71),OFFSET(INDIRECT(CONCAT(""A"",to_text(match(EZ71,ecn.list,0)))),0,1),"""")"),"MF ")</f>
        <v>MF </v>
      </c>
      <c r="CA71" s="236" t="str">
        <f>IFERROR(__xludf.DUMMYFUNCTION("if(countif(ecn.list,FA71),OFFSET(INDIRECT(CONCAT(""A"",to_text(match(FA71,ecn.list,0)))),0,1),"""")"),"")</f>
        <v/>
      </c>
      <c r="CB71" s="236" t="str">
        <f>IFERROR(__xludf.DUMMYFUNCTION("if(countif(ecn.list,FB71),OFFSET(INDIRECT(CONCAT(""A"",to_text(match(FB71,ecn.list,0)))),0,1),"""")"),"")</f>
        <v/>
      </c>
      <c r="CC71" s="236" t="str">
        <f>IFERROR(__xludf.DUMMYFUNCTION("if(countif(ecn.list,FC71),OFFSET(INDIRECT(CONCAT(""A"",to_text(match(FC71,ecn.list,0)))),0,1),"""")"),"N2 ")</f>
        <v>N2 </v>
      </c>
      <c r="CD71" s="236" t="str">
        <f>IFERROR(__xludf.DUMMYFUNCTION("if(countif(ecn.list,FD71),OFFSET(INDIRECT(CONCAT(""A"",to_text(match(FD71,ecn.list,0)))),0,1),"""")"),"")</f>
        <v/>
      </c>
      <c r="CE71" s="236" t="str">
        <f>IFERROR(__xludf.DUMMYFUNCTION("if(countif(ecn.list,FE71),OFFSET(INDIRECT(CONCAT(""A"",to_text(match(FE71,ecn.list,0)))),0,1),"""")"),"")</f>
        <v/>
      </c>
      <c r="CF71" s="236" t="str">
        <f>IFERROR(__xludf.DUMMYFUNCTION("if(countif(ecn.list,FF71),OFFSET(INDIRECT(CONCAT(""A"",to_text(match(FF71,ecn.list,0)))),0,1),"""")"),"")</f>
        <v/>
      </c>
      <c r="CG71" s="236" t="str">
        <f>IFERROR(__xludf.DUMMYFUNCTION("if(countif(ecn.list,FG71),OFFSET(INDIRECT(CONCAT(""A"",to_text(match(FG71,ecn.list,0)))),0,1),"""")"),"")</f>
        <v/>
      </c>
      <c r="CH71" s="236" t="str">
        <f>IFERROR(__xludf.DUMMYFUNCTION("if(countif(ecn.list,FH71),OFFSET(INDIRECT(CONCAT(""A"",to_text(match(FH71,ecn.list,0)))),0,1),"""")"),"N7 ")</f>
        <v>N7 </v>
      </c>
      <c r="CI71" s="236" t="str">
        <f>IFERROR(__xludf.DUMMYFUNCTION("if(countif(ecn.list,FI71),OFFSET(INDIRECT(CONCAT(""A"",to_text(match(FI71,ecn.list,0)))),0,1),"""")"),"N8 ")</f>
        <v>N8 </v>
      </c>
      <c r="CJ71" s="236" t="str">
        <f>IFERROR(__xludf.DUMMYFUNCTION("if(countif(ecn.list,FJ71),OFFSET(INDIRECT(CONCAT(""A"",to_text(match(FJ71,ecn.list,0)))),0,1),"""")"),"")</f>
        <v/>
      </c>
      <c r="CK71" s="236" t="str">
        <f>IFERROR(__xludf.DUMMYFUNCTION("if(countif(ecn.list,FK71),OFFSET(INDIRECT(CONCAT(""A"",to_text(match(FK71,ecn.list,0)))),0,1),"""")"),"NA ")</f>
        <v>NA </v>
      </c>
      <c r="CL71" s="236" t="str">
        <f>IFERROR(__xludf.DUMMYFUNCTION("if(countif(ecn.list,FL71),OFFSET(INDIRECT(CONCAT(""A"",to_text(match(FL71,ecn.list,0)))),0,1),"""")"),"")</f>
        <v/>
      </c>
      <c r="CM71" s="236" t="str">
        <f>IFERROR(__xludf.DUMMYFUNCTION("if(countif(ecn.list,FM71),OFFSET(INDIRECT(CONCAT(""A"",to_text(match(FM71,ecn.list,0)))),0,1),"""")"),"")</f>
        <v/>
      </c>
      <c r="CN71" s="198" t="s">
        <v>286</v>
      </c>
      <c r="CO71" s="198" t="s">
        <v>1447</v>
      </c>
      <c r="CP71" s="198" t="s">
        <v>1451</v>
      </c>
      <c r="CQ71" s="198" t="s">
        <v>1452</v>
      </c>
      <c r="CR71" s="198" t="s">
        <v>1453</v>
      </c>
      <c r="CS71" s="198" t="s">
        <v>1453</v>
      </c>
      <c r="CT71" s="198" t="s">
        <v>1454</v>
      </c>
      <c r="CU71" s="198" t="s">
        <v>1455</v>
      </c>
      <c r="CV71" s="198" t="s">
        <v>1456</v>
      </c>
      <c r="CW71" s="198" t="s">
        <v>1453</v>
      </c>
      <c r="CX71" s="198" t="s">
        <v>1453</v>
      </c>
      <c r="CY71" s="198" t="s">
        <v>1453</v>
      </c>
      <c r="CZ71" s="198" t="s">
        <v>1453</v>
      </c>
      <c r="DA71" s="198" t="s">
        <v>1457</v>
      </c>
      <c r="DB71" s="198" t="s">
        <v>1453</v>
      </c>
      <c r="DC71" s="198" t="s">
        <v>1453</v>
      </c>
      <c r="DD71" s="198" t="s">
        <v>1458</v>
      </c>
      <c r="DE71" s="198" t="s">
        <v>1459</v>
      </c>
      <c r="DF71" s="198" t="s">
        <v>1453</v>
      </c>
      <c r="DG71" s="198" t="s">
        <v>1453</v>
      </c>
      <c r="DH71" s="198" t="s">
        <v>1453</v>
      </c>
      <c r="DI71" s="198" t="s">
        <v>1453</v>
      </c>
      <c r="DJ71" s="198" t="s">
        <v>1460</v>
      </c>
      <c r="DK71" s="198" t="s">
        <v>1453</v>
      </c>
      <c r="DL71" s="198" t="s">
        <v>1461</v>
      </c>
      <c r="DM71" s="198" t="s">
        <v>1462</v>
      </c>
      <c r="DN71" s="198" t="s">
        <v>1463</v>
      </c>
      <c r="DO71" s="198" t="s">
        <v>1453</v>
      </c>
      <c r="DP71" s="198" t="s">
        <v>1465</v>
      </c>
      <c r="DQ71" s="198" t="s">
        <v>1466</v>
      </c>
      <c r="DR71" s="198" t="s">
        <v>1467</v>
      </c>
      <c r="DS71" s="198" t="s">
        <v>1453</v>
      </c>
      <c r="DT71" s="198" t="s">
        <v>1468</v>
      </c>
      <c r="DU71" s="198" t="s">
        <v>1453</v>
      </c>
      <c r="DV71" s="198" t="s">
        <v>1469</v>
      </c>
      <c r="DW71" s="198" t="s">
        <v>1453</v>
      </c>
      <c r="DX71" s="198" t="s">
        <v>1453</v>
      </c>
      <c r="DY71" s="198" t="s">
        <v>1453</v>
      </c>
      <c r="DZ71" s="198" t="s">
        <v>1453</v>
      </c>
      <c r="EA71" s="198" t="s">
        <v>1453</v>
      </c>
      <c r="EB71" s="198" t="s">
        <v>1453</v>
      </c>
      <c r="EC71" s="198" t="s">
        <v>1453</v>
      </c>
      <c r="ED71" s="198" t="s">
        <v>1453</v>
      </c>
      <c r="EE71" s="198" t="s">
        <v>1470</v>
      </c>
      <c r="EF71" s="198" t="s">
        <v>1453</v>
      </c>
      <c r="EG71" s="198" t="s">
        <v>1471</v>
      </c>
      <c r="EH71" s="198" t="s">
        <v>1453</v>
      </c>
      <c r="EI71" s="198" t="s">
        <v>1453</v>
      </c>
      <c r="EJ71" s="198" t="s">
        <v>1472</v>
      </c>
      <c r="EK71" s="198" t="s">
        <v>1453</v>
      </c>
      <c r="EL71" s="198" t="s">
        <v>1473</v>
      </c>
      <c r="EM71" s="198" t="s">
        <v>1453</v>
      </c>
      <c r="EN71" s="198" t="s">
        <v>1474</v>
      </c>
      <c r="EO71" s="198" t="s">
        <v>1475</v>
      </c>
      <c r="EP71" s="198" t="s">
        <v>1453</v>
      </c>
      <c r="EQ71" s="198" t="s">
        <v>1453</v>
      </c>
      <c r="ER71" s="198" t="s">
        <v>1453</v>
      </c>
      <c r="ES71" s="198" t="s">
        <v>1453</v>
      </c>
      <c r="ET71" s="198" t="s">
        <v>1453</v>
      </c>
      <c r="EU71" s="198" t="s">
        <v>1453</v>
      </c>
      <c r="EV71" s="198" t="s">
        <v>1476</v>
      </c>
      <c r="EW71" s="198" t="s">
        <v>1453</v>
      </c>
      <c r="EX71" s="198" t="s">
        <v>1453</v>
      </c>
      <c r="EY71" s="198" t="s">
        <v>1453</v>
      </c>
      <c r="EZ71" s="198" t="s">
        <v>1477</v>
      </c>
      <c r="FA71" s="198" t="s">
        <v>1453</v>
      </c>
      <c r="FB71" s="198" t="s">
        <v>1453</v>
      </c>
      <c r="FC71" s="198" t="s">
        <v>1478</v>
      </c>
      <c r="FD71" s="198" t="s">
        <v>1453</v>
      </c>
      <c r="FE71" s="198" t="s">
        <v>1453</v>
      </c>
      <c r="FF71" s="198" t="s">
        <v>1453</v>
      </c>
      <c r="FG71" s="198" t="s">
        <v>1453</v>
      </c>
      <c r="FH71" s="198" t="s">
        <v>1479</v>
      </c>
      <c r="FI71" s="198" t="s">
        <v>1480</v>
      </c>
      <c r="FJ71" s="198" t="s">
        <v>1453</v>
      </c>
      <c r="FK71" s="198" t="s">
        <v>1481</v>
      </c>
      <c r="FL71" s="198" t="s">
        <v>1482</v>
      </c>
      <c r="FM71" s="198" t="s">
        <v>1453</v>
      </c>
    </row>
    <row r="72" ht="15.75" customHeight="1">
      <c r="A72" s="198" t="s">
        <v>1489</v>
      </c>
      <c r="B72" s="198" t="str">
        <f t="shared" si="8"/>
        <v>N4 </v>
      </c>
      <c r="C72" s="234">
        <v>4.0</v>
      </c>
      <c r="D72" s="232" t="s">
        <v>770</v>
      </c>
      <c r="E72" s="232" t="s">
        <v>1448</v>
      </c>
      <c r="F72" s="232" t="s">
        <v>1449</v>
      </c>
      <c r="G72" s="232" t="s">
        <v>1450</v>
      </c>
      <c r="H72" s="232" t="s">
        <v>788</v>
      </c>
      <c r="I72" s="232" t="s">
        <v>980</v>
      </c>
      <c r="J72" s="232" t="s">
        <v>847</v>
      </c>
      <c r="K72" s="232" t="s">
        <v>1100</v>
      </c>
      <c r="L72" s="188" t="s">
        <v>1440</v>
      </c>
      <c r="M72" s="236" t="str">
        <f>IFERROR(__xludf.DUMMYFUNCTION("regexreplace(N72,"" "","", "")"),"J0, J1, J2, J5, J6, J7, J8, J9, JC, JE, JF, K0, K5, K7, K8, K9, KA, KB, KC, KD, KF, L1, L5, L8, LA, LC, LF, M1, M4, MB, MC, MF, N0, N1, N2, N3, N7, N8, N9, NA, ")</f>
        <v>J0, J1, J2, J5, J6, J7, J8, J9, JC, JE, JF, K0, K5, K7, K8, K9, KA, KB, KC, KD, KF, L1, L5, L8, LA, LC, LF, M1, M4, MB, MC, MF, N0, N1, N2, N3, N7, N8, N9, NA, </v>
      </c>
      <c r="N72" s="236" t="str">
        <f t="shared" si="2"/>
        <v>J0 J1 J2 J5 J6 J7 J8 J9 JC JE JF K0 K5 K7 K8 K9 KA KB KC KD KF L1 L5 L8 LA LC LF M1 M4 MB MC MF N0 N1 N2 N3 N7 N8 N9 NA </v>
      </c>
      <c r="O72" s="236" t="str">
        <f>IFERROR(__xludf.DUMMYFUNCTION("if(countif(ecn.list,CO72),OFFSET(INDIRECT(CONCAT(""A"",to_text(match(CO72,ecn.list,0)))),0,1),"""")"),"J0 ")</f>
        <v>J0 </v>
      </c>
      <c r="P72" s="236" t="str">
        <f>IFERROR(__xludf.DUMMYFUNCTION("if(countif(ecn.list,CP72),OFFSET(INDIRECT(CONCAT(""A"",to_text(match(CP72,ecn.list,0)))),0,1),"""")"),"J1 ")</f>
        <v>J1 </v>
      </c>
      <c r="Q72" s="236" t="str">
        <f>IFERROR(__xludf.DUMMYFUNCTION("if(countif(ecn.list,CQ72),OFFSET(INDIRECT(CONCAT(""A"",to_text(match(CQ72,ecn.list,0)))),0,1),"""")"),"J2 ")</f>
        <v>J2 </v>
      </c>
      <c r="R72" s="236" t="str">
        <f>IFERROR(__xludf.DUMMYFUNCTION("if(countif(ecn.list,CR72),OFFSET(INDIRECT(CONCAT(""A"",to_text(match(CR72,ecn.list,0)))),0,1),"""")"),"")</f>
        <v/>
      </c>
      <c r="S72" s="236" t="str">
        <f>IFERROR(__xludf.DUMMYFUNCTION("if(countif(ecn.list,CS72),OFFSET(INDIRECT(CONCAT(""A"",to_text(match(CS72,ecn.list,0)))),0,1),"""")"),"")</f>
        <v/>
      </c>
      <c r="T72" s="236" t="str">
        <f>IFERROR(__xludf.DUMMYFUNCTION("if(countif(ecn.list,CT72),OFFSET(INDIRECT(CONCAT(""A"",to_text(match(CT72,ecn.list,0)))),0,1),"""")"),"J5 ")</f>
        <v>J5 </v>
      </c>
      <c r="U72" s="236" t="str">
        <f>IFERROR(__xludf.DUMMYFUNCTION("if(countif(ecn.list,CU72),OFFSET(INDIRECT(CONCAT(""A"",to_text(match(CU72,ecn.list,0)))),0,1),"""")"),"J6 ")</f>
        <v>J6 </v>
      </c>
      <c r="V72" s="236" t="str">
        <f>IFERROR(__xludf.DUMMYFUNCTION("if(countif(ecn.list,CV72),OFFSET(INDIRECT(CONCAT(""A"",to_text(match(CV72,ecn.list,0)))),0,1),"""")"),"J7 ")</f>
        <v>J7 </v>
      </c>
      <c r="W72" s="236" t="str">
        <f>IFERROR(__xludf.DUMMYFUNCTION("if(countif(ecn.list,CW72),OFFSET(INDIRECT(CONCAT(""A"",to_text(match(CW72,ecn.list,0)))),0,1),"""")"),"J8 ")</f>
        <v>J8 </v>
      </c>
      <c r="X72" s="236" t="str">
        <f>IFERROR(__xludf.DUMMYFUNCTION("if(countif(ecn.list,CX72),OFFSET(INDIRECT(CONCAT(""A"",to_text(match(CX72,ecn.list,0)))),0,1),"""")"),"J9 ")</f>
        <v>J9 </v>
      </c>
      <c r="Y72" s="236" t="str">
        <f>IFERROR(__xludf.DUMMYFUNCTION("if(countif(ecn.list,CY72),OFFSET(INDIRECT(CONCAT(""A"",to_text(match(CY72,ecn.list,0)))),0,1),"""")"),"")</f>
        <v/>
      </c>
      <c r="Z72" s="236" t="str">
        <f>IFERROR(__xludf.DUMMYFUNCTION("if(countif(ecn.list,CZ72),OFFSET(INDIRECT(CONCAT(""A"",to_text(match(CZ72,ecn.list,0)))),0,1),"""")"),"")</f>
        <v/>
      </c>
      <c r="AA72" s="236" t="str">
        <f>IFERROR(__xludf.DUMMYFUNCTION("if(countif(ecn.list,DA72),OFFSET(INDIRECT(CONCAT(""A"",to_text(match(DA72,ecn.list,0)))),0,1),"""")"),"JC ")</f>
        <v>JC </v>
      </c>
      <c r="AB72" s="236" t="str">
        <f>IFERROR(__xludf.DUMMYFUNCTION("if(countif(ecn.list,DB72),OFFSET(INDIRECT(CONCAT(""A"",to_text(match(DB72,ecn.list,0)))),0,1),"""")"),"")</f>
        <v/>
      </c>
      <c r="AC72" s="236" t="str">
        <f>IFERROR(__xludf.DUMMYFUNCTION("if(countif(ecn.list,DC72),OFFSET(INDIRECT(CONCAT(""A"",to_text(match(DC72,ecn.list,0)))),0,1),"""")"),"JE ")</f>
        <v>JE </v>
      </c>
      <c r="AD72" s="236" t="str">
        <f>IFERROR(__xludf.DUMMYFUNCTION("if(countif(ecn.list,DD72),OFFSET(INDIRECT(CONCAT(""A"",to_text(match(DD72,ecn.list,0)))),0,1),"""")"),"JF ")</f>
        <v>JF </v>
      </c>
      <c r="AE72" s="236" t="str">
        <f>IFERROR(__xludf.DUMMYFUNCTION("if(countif(ecn.list,DE72),OFFSET(INDIRECT(CONCAT(""A"",to_text(match(DE72,ecn.list,0)))),0,1),"""")"),"K0 ")</f>
        <v>K0 </v>
      </c>
      <c r="AF72" s="236" t="str">
        <f>IFERROR(__xludf.DUMMYFUNCTION("if(countif(ecn.list,DF72),OFFSET(INDIRECT(CONCAT(""A"",to_text(match(DF72,ecn.list,0)))),0,1),"""")"),"")</f>
        <v/>
      </c>
      <c r="AG72" s="236" t="str">
        <f>IFERROR(__xludf.DUMMYFUNCTION("if(countif(ecn.list,DG72),OFFSET(INDIRECT(CONCAT(""A"",to_text(match(DG72,ecn.list,0)))),0,1),"""")"),"")</f>
        <v/>
      </c>
      <c r="AH72" s="236" t="str">
        <f>IFERROR(__xludf.DUMMYFUNCTION("if(countif(ecn.list,DH72),OFFSET(INDIRECT(CONCAT(""A"",to_text(match(DH72,ecn.list,0)))),0,1),"""")"),"")</f>
        <v/>
      </c>
      <c r="AI72" s="236" t="str">
        <f>IFERROR(__xludf.DUMMYFUNCTION("if(countif(ecn.list,DI72),OFFSET(INDIRECT(CONCAT(""A"",to_text(match(DI72,ecn.list,0)))),0,1),"""")"),"")</f>
        <v/>
      </c>
      <c r="AJ72" s="236" t="str">
        <f>IFERROR(__xludf.DUMMYFUNCTION("if(countif(ecn.list,DJ72),OFFSET(INDIRECT(CONCAT(""A"",to_text(match(DJ72,ecn.list,0)))),0,1),"""")"),"K5 ")</f>
        <v>K5 </v>
      </c>
      <c r="AK72" s="236" t="str">
        <f>IFERROR(__xludf.DUMMYFUNCTION("if(countif(ecn.list,DK72),OFFSET(INDIRECT(CONCAT(""A"",to_text(match(DK72,ecn.list,0)))),0,1),"""")"),"")</f>
        <v/>
      </c>
      <c r="AL72" s="236" t="str">
        <f>IFERROR(__xludf.DUMMYFUNCTION("if(countif(ecn.list,DL72),OFFSET(INDIRECT(CONCAT(""A"",to_text(match(DL72,ecn.list,0)))),0,1),"""")"),"K7 ")</f>
        <v>K7 </v>
      </c>
      <c r="AM72" s="236" t="str">
        <f>IFERROR(__xludf.DUMMYFUNCTION("if(countif(ecn.list,DM72),OFFSET(INDIRECT(CONCAT(""A"",to_text(match(DM72,ecn.list,0)))),0,1),"""")"),"K8 ")</f>
        <v>K8 </v>
      </c>
      <c r="AN72" s="236" t="str">
        <f>IFERROR(__xludf.DUMMYFUNCTION("if(countif(ecn.list,DN72),OFFSET(INDIRECT(CONCAT(""A"",to_text(match(DN72,ecn.list,0)))),0,1),"""")"),"K9 ")</f>
        <v>K9 </v>
      </c>
      <c r="AO72" s="236" t="str">
        <f>IFERROR(__xludf.DUMMYFUNCTION("if(countif(ecn.list,DO72),OFFSET(INDIRECT(CONCAT(""A"",to_text(match(DO72,ecn.list,0)))),0,1),"""")"),"KA ")</f>
        <v>KA </v>
      </c>
      <c r="AP72" s="236" t="str">
        <f>IFERROR(__xludf.DUMMYFUNCTION("if(countif(ecn.list,DP72),OFFSET(INDIRECT(CONCAT(""A"",to_text(match(DP72,ecn.list,0)))),0,1),"""")"),"KB ")</f>
        <v>KB </v>
      </c>
      <c r="AQ72" s="236" t="str">
        <f>IFERROR(__xludf.DUMMYFUNCTION("if(countif(ecn.list,DQ72),OFFSET(INDIRECT(CONCAT(""A"",to_text(match(DQ72,ecn.list,0)))),0,1),"""")"),"KC ")</f>
        <v>KC </v>
      </c>
      <c r="AR72" s="236" t="str">
        <f>IFERROR(__xludf.DUMMYFUNCTION("if(countif(ecn.list,DR72),OFFSET(INDIRECT(CONCAT(""A"",to_text(match(DR72,ecn.list,0)))),0,1),"""")"),"KD ")</f>
        <v>KD </v>
      </c>
      <c r="AS72" s="236" t="str">
        <f>IFERROR(__xludf.DUMMYFUNCTION("if(countif(ecn.list,DS72),OFFSET(INDIRECT(CONCAT(""A"",to_text(match(DS72,ecn.list,0)))),0,1),"""")"),"")</f>
        <v/>
      </c>
      <c r="AT72" s="236" t="str">
        <f>IFERROR(__xludf.DUMMYFUNCTION("if(countif(ecn.list,DT72),OFFSET(INDIRECT(CONCAT(""A"",to_text(match(DT72,ecn.list,0)))),0,1),"""")"),"KF ")</f>
        <v>KF </v>
      </c>
      <c r="AU72" s="236" t="str">
        <f>IFERROR(__xludf.DUMMYFUNCTION("if(countif(ecn.list,DU72),OFFSET(INDIRECT(CONCAT(""A"",to_text(match(DU72,ecn.list,0)))),0,1),"""")"),"")</f>
        <v/>
      </c>
      <c r="AV72" s="236" t="str">
        <f>IFERROR(__xludf.DUMMYFUNCTION("if(countif(ecn.list,DV72),OFFSET(INDIRECT(CONCAT(""A"",to_text(match(DV72,ecn.list,0)))),0,1),"""")"),"L1 ")</f>
        <v>L1 </v>
      </c>
      <c r="AW72" s="236" t="str">
        <f>IFERROR(__xludf.DUMMYFUNCTION("if(countif(ecn.list,DW72),OFFSET(INDIRECT(CONCAT(""A"",to_text(match(DW72,ecn.list,0)))),0,1),"""")"),"")</f>
        <v/>
      </c>
      <c r="AX72" s="236" t="str">
        <f>IFERROR(__xludf.DUMMYFUNCTION("if(countif(ecn.list,DX72),OFFSET(INDIRECT(CONCAT(""A"",to_text(match(DX72,ecn.list,0)))),0,1),"""")"),"")</f>
        <v/>
      </c>
      <c r="AY72" s="236" t="str">
        <f>IFERROR(__xludf.DUMMYFUNCTION("if(countif(ecn.list,DY72),OFFSET(INDIRECT(CONCAT(""A"",to_text(match(DY72,ecn.list,0)))),0,1),"""")"),"")</f>
        <v/>
      </c>
      <c r="AZ72" s="236" t="str">
        <f>IFERROR(__xludf.DUMMYFUNCTION("if(countif(ecn.list,DZ72),OFFSET(INDIRECT(CONCAT(""A"",to_text(match(DZ72,ecn.list,0)))),0,1),"""")"),"L5 ")</f>
        <v>L5 </v>
      </c>
      <c r="BA72" s="236" t="str">
        <f>IFERROR(__xludf.DUMMYFUNCTION("if(countif(ecn.list,EA72),OFFSET(INDIRECT(CONCAT(""A"",to_text(match(EA72,ecn.list,0)))),0,1),"""")"),"")</f>
        <v/>
      </c>
      <c r="BB72" s="236" t="str">
        <f>IFERROR(__xludf.DUMMYFUNCTION("if(countif(ecn.list,EB72),OFFSET(INDIRECT(CONCAT(""A"",to_text(match(EB72,ecn.list,0)))),0,1),"""")"),"")</f>
        <v/>
      </c>
      <c r="BC72" s="236" t="str">
        <f>IFERROR(__xludf.DUMMYFUNCTION("if(countif(ecn.list,EC72),OFFSET(INDIRECT(CONCAT(""A"",to_text(match(EC72,ecn.list,0)))),0,1),"""")"),"L8 ")</f>
        <v>L8 </v>
      </c>
      <c r="BD72" s="236" t="str">
        <f>IFERROR(__xludf.DUMMYFUNCTION("if(countif(ecn.list,ED72),OFFSET(INDIRECT(CONCAT(""A"",to_text(match(ED72,ecn.list,0)))),0,1),"""")"),"")</f>
        <v/>
      </c>
      <c r="BE72" s="236" t="str">
        <f>IFERROR(__xludf.DUMMYFUNCTION("if(countif(ecn.list,EE72),OFFSET(INDIRECT(CONCAT(""A"",to_text(match(EE72,ecn.list,0)))),0,1),"""")"),"LA ")</f>
        <v>LA </v>
      </c>
      <c r="BF72" s="236" t="str">
        <f>IFERROR(__xludf.DUMMYFUNCTION("if(countif(ecn.list,EF72),OFFSET(INDIRECT(CONCAT(""A"",to_text(match(EF72,ecn.list,0)))),0,1),"""")"),"")</f>
        <v/>
      </c>
      <c r="BG72" s="236" t="str">
        <f>IFERROR(__xludf.DUMMYFUNCTION("if(countif(ecn.list,EG72),OFFSET(INDIRECT(CONCAT(""A"",to_text(match(EG72,ecn.list,0)))),0,1),"""")"),"LC ")</f>
        <v>LC </v>
      </c>
      <c r="BH72" s="236" t="str">
        <f>IFERROR(__xludf.DUMMYFUNCTION("if(countif(ecn.list,EH72),OFFSET(INDIRECT(CONCAT(""A"",to_text(match(EH72,ecn.list,0)))),0,1),"""")"),"")</f>
        <v/>
      </c>
      <c r="BI72" s="236" t="str">
        <f>IFERROR(__xludf.DUMMYFUNCTION("if(countif(ecn.list,EI72),OFFSET(INDIRECT(CONCAT(""A"",to_text(match(EI72,ecn.list,0)))),0,1),"""")"),"")</f>
        <v/>
      </c>
      <c r="BJ72" s="236" t="str">
        <f>IFERROR(__xludf.DUMMYFUNCTION("if(countif(ecn.list,EJ72),OFFSET(INDIRECT(CONCAT(""A"",to_text(match(EJ72,ecn.list,0)))),0,1),"""")"),"LF ")</f>
        <v>LF </v>
      </c>
      <c r="BK72" s="236" t="str">
        <f>IFERROR(__xludf.DUMMYFUNCTION("if(countif(ecn.list,EK72),OFFSET(INDIRECT(CONCAT(""A"",to_text(match(EK72,ecn.list,0)))),0,1),"""")"),"")</f>
        <v/>
      </c>
      <c r="BL72" s="236" t="str">
        <f>IFERROR(__xludf.DUMMYFUNCTION("if(countif(ecn.list,EL72),OFFSET(INDIRECT(CONCAT(""A"",to_text(match(EL72,ecn.list,0)))),0,1),"""")"),"M1 ")</f>
        <v>M1 </v>
      </c>
      <c r="BM72" s="236" t="str">
        <f>IFERROR(__xludf.DUMMYFUNCTION("if(countif(ecn.list,EM72),OFFSET(INDIRECT(CONCAT(""A"",to_text(match(EM72,ecn.list,0)))),0,1),"""")"),"")</f>
        <v/>
      </c>
      <c r="BN72" s="236" t="str">
        <f>IFERROR(__xludf.DUMMYFUNCTION("if(countif(ecn.list,EN72),OFFSET(INDIRECT(CONCAT(""A"",to_text(match(EN72,ecn.list,0)))),0,1),"""")"),"")</f>
        <v/>
      </c>
      <c r="BO72" s="236" t="str">
        <f>IFERROR(__xludf.DUMMYFUNCTION("if(countif(ecn.list,EO72),OFFSET(INDIRECT(CONCAT(""A"",to_text(match(EO72,ecn.list,0)))),0,1),"""")"),"M4 ")</f>
        <v>M4 </v>
      </c>
      <c r="BP72" s="236" t="str">
        <f>IFERROR(__xludf.DUMMYFUNCTION("if(countif(ecn.list,EP72),OFFSET(INDIRECT(CONCAT(""A"",to_text(match(EP72,ecn.list,0)))),0,1),"""")"),"")</f>
        <v/>
      </c>
      <c r="BQ72" s="236" t="str">
        <f>IFERROR(__xludf.DUMMYFUNCTION("if(countif(ecn.list,EQ72),OFFSET(INDIRECT(CONCAT(""A"",to_text(match(EQ72,ecn.list,0)))),0,1),"""")"),"")</f>
        <v/>
      </c>
      <c r="BR72" s="236" t="str">
        <f>IFERROR(__xludf.DUMMYFUNCTION("if(countif(ecn.list,ER72),OFFSET(INDIRECT(CONCAT(""A"",to_text(match(ER72,ecn.list,0)))),0,1),"""")"),"")</f>
        <v/>
      </c>
      <c r="BS72" s="236" t="str">
        <f>IFERROR(__xludf.DUMMYFUNCTION("if(countif(ecn.list,ES72),OFFSET(INDIRECT(CONCAT(""A"",to_text(match(ES72,ecn.list,0)))),0,1),"""")"),"")</f>
        <v/>
      </c>
      <c r="BT72" s="236" t="str">
        <f>IFERROR(__xludf.DUMMYFUNCTION("if(countif(ecn.list,ET72),OFFSET(INDIRECT(CONCAT(""A"",to_text(match(ET72,ecn.list,0)))),0,1),"""")"),"")</f>
        <v/>
      </c>
      <c r="BU72" s="236" t="str">
        <f>IFERROR(__xludf.DUMMYFUNCTION("if(countif(ecn.list,EU72),OFFSET(INDIRECT(CONCAT(""A"",to_text(match(EU72,ecn.list,0)))),0,1),"""")"),"")</f>
        <v/>
      </c>
      <c r="BV72" s="236" t="str">
        <f>IFERROR(__xludf.DUMMYFUNCTION("if(countif(ecn.list,EV72),OFFSET(INDIRECT(CONCAT(""A"",to_text(match(EV72,ecn.list,0)))),0,1),"""")"),"MB ")</f>
        <v>MB </v>
      </c>
      <c r="BW72" s="236" t="str">
        <f>IFERROR(__xludf.DUMMYFUNCTION("if(countif(ecn.list,EW72),OFFSET(INDIRECT(CONCAT(""A"",to_text(match(EW72,ecn.list,0)))),0,1),"""")"),"MC ")</f>
        <v>MC </v>
      </c>
      <c r="BX72" s="236" t="str">
        <f>IFERROR(__xludf.DUMMYFUNCTION("if(countif(ecn.list,EX72),OFFSET(INDIRECT(CONCAT(""A"",to_text(match(EX72,ecn.list,0)))),0,1),"""")"),"")</f>
        <v/>
      </c>
      <c r="BY72" s="236" t="str">
        <f>IFERROR(__xludf.DUMMYFUNCTION("if(countif(ecn.list,EY72),OFFSET(INDIRECT(CONCAT(""A"",to_text(match(EY72,ecn.list,0)))),0,1),"""")"),"")</f>
        <v/>
      </c>
      <c r="BZ72" s="236" t="str">
        <f>IFERROR(__xludf.DUMMYFUNCTION("if(countif(ecn.list,EZ72),OFFSET(INDIRECT(CONCAT(""A"",to_text(match(EZ72,ecn.list,0)))),0,1),"""")"),"MF ")</f>
        <v>MF </v>
      </c>
      <c r="CA72" s="236" t="str">
        <f>IFERROR(__xludf.DUMMYFUNCTION("if(countif(ecn.list,FA72),OFFSET(INDIRECT(CONCAT(""A"",to_text(match(FA72,ecn.list,0)))),0,1),"""")"),"N0 ")</f>
        <v>N0 </v>
      </c>
      <c r="CB72" s="236" t="str">
        <f>IFERROR(__xludf.DUMMYFUNCTION("if(countif(ecn.list,FB72),OFFSET(INDIRECT(CONCAT(""A"",to_text(match(FB72,ecn.list,0)))),0,1),"""")"),"N1 ")</f>
        <v>N1 </v>
      </c>
      <c r="CC72" s="236" t="str">
        <f>IFERROR(__xludf.DUMMYFUNCTION("if(countif(ecn.list,FC72),OFFSET(INDIRECT(CONCAT(""A"",to_text(match(FC72,ecn.list,0)))),0,1),"""")"),"N2 ")</f>
        <v>N2 </v>
      </c>
      <c r="CD72" s="236" t="str">
        <f>IFERROR(__xludf.DUMMYFUNCTION("if(countif(ecn.list,FD72),OFFSET(INDIRECT(CONCAT(""A"",to_text(match(FD72,ecn.list,0)))),0,1),"""")"),"N3 ")</f>
        <v>N3 </v>
      </c>
      <c r="CE72" s="236" t="str">
        <f>IFERROR(__xludf.DUMMYFUNCTION("if(countif(ecn.list,FE72),OFFSET(INDIRECT(CONCAT(""A"",to_text(match(FE72,ecn.list,0)))),0,1),"""")"),"")</f>
        <v/>
      </c>
      <c r="CF72" s="236" t="str">
        <f>IFERROR(__xludf.DUMMYFUNCTION("if(countif(ecn.list,FF72),OFFSET(INDIRECT(CONCAT(""A"",to_text(match(FF72,ecn.list,0)))),0,1),"""")"),"")</f>
        <v/>
      </c>
      <c r="CG72" s="236" t="str">
        <f>IFERROR(__xludf.DUMMYFUNCTION("if(countif(ecn.list,FG72),OFFSET(INDIRECT(CONCAT(""A"",to_text(match(FG72,ecn.list,0)))),0,1),"""")"),"")</f>
        <v/>
      </c>
      <c r="CH72" s="236" t="str">
        <f>IFERROR(__xludf.DUMMYFUNCTION("if(countif(ecn.list,FH72),OFFSET(INDIRECT(CONCAT(""A"",to_text(match(FH72,ecn.list,0)))),0,1),"""")"),"N7 ")</f>
        <v>N7 </v>
      </c>
      <c r="CI72" s="236" t="str">
        <f>IFERROR(__xludf.DUMMYFUNCTION("if(countif(ecn.list,FI72),OFFSET(INDIRECT(CONCAT(""A"",to_text(match(FI72,ecn.list,0)))),0,1),"""")"),"N8 ")</f>
        <v>N8 </v>
      </c>
      <c r="CJ72" s="236" t="str">
        <f>IFERROR(__xludf.DUMMYFUNCTION("if(countif(ecn.list,FJ72),OFFSET(INDIRECT(CONCAT(""A"",to_text(match(FJ72,ecn.list,0)))),0,1),"""")"),"N9 ")</f>
        <v>N9 </v>
      </c>
      <c r="CK72" s="236" t="str">
        <f>IFERROR(__xludf.DUMMYFUNCTION("if(countif(ecn.list,FK72),OFFSET(INDIRECT(CONCAT(""A"",to_text(match(FK72,ecn.list,0)))),0,1),"""")"),"NA ")</f>
        <v>NA </v>
      </c>
      <c r="CL72" s="236" t="str">
        <f>IFERROR(__xludf.DUMMYFUNCTION("if(countif(ecn.list,FL72),OFFSET(INDIRECT(CONCAT(""A"",to_text(match(FL72,ecn.list,0)))),0,1),"""")"),"")</f>
        <v/>
      </c>
      <c r="CM72" s="236" t="str">
        <f>IFERROR(__xludf.DUMMYFUNCTION("if(countif(ecn.list,FM72),OFFSET(INDIRECT(CONCAT(""A"",to_text(match(FM72,ecn.list,0)))),0,1),"""")"),"")</f>
        <v/>
      </c>
      <c r="CN72" s="198" t="s">
        <v>1440</v>
      </c>
      <c r="CO72" s="198" t="s">
        <v>1447</v>
      </c>
      <c r="CP72" s="198" t="s">
        <v>1451</v>
      </c>
      <c r="CQ72" s="198" t="s">
        <v>1452</v>
      </c>
      <c r="CR72" s="198" t="s">
        <v>1453</v>
      </c>
      <c r="CS72" s="198" t="s">
        <v>1453</v>
      </c>
      <c r="CT72" s="198" t="s">
        <v>1454</v>
      </c>
      <c r="CU72" s="198" t="s">
        <v>1455</v>
      </c>
      <c r="CV72" s="198" t="s">
        <v>1456</v>
      </c>
      <c r="CW72" s="198" t="s">
        <v>1506</v>
      </c>
      <c r="CX72" s="198" t="s">
        <v>1507</v>
      </c>
      <c r="CY72" s="198" t="s">
        <v>1453</v>
      </c>
      <c r="CZ72" s="198" t="s">
        <v>1453</v>
      </c>
      <c r="DA72" s="198" t="s">
        <v>1457</v>
      </c>
      <c r="DB72" s="198" t="s">
        <v>1453</v>
      </c>
      <c r="DC72" s="198" t="s">
        <v>1513</v>
      </c>
      <c r="DD72" s="198" t="s">
        <v>1458</v>
      </c>
      <c r="DE72" s="198" t="s">
        <v>1459</v>
      </c>
      <c r="DF72" s="198" t="s">
        <v>1453</v>
      </c>
      <c r="DG72" s="198" t="s">
        <v>1453</v>
      </c>
      <c r="DH72" s="198" t="s">
        <v>1453</v>
      </c>
      <c r="DI72" s="198" t="s">
        <v>1453</v>
      </c>
      <c r="DJ72" s="198" t="s">
        <v>1460</v>
      </c>
      <c r="DK72" s="198" t="s">
        <v>1453</v>
      </c>
      <c r="DL72" s="198" t="s">
        <v>1461</v>
      </c>
      <c r="DM72" s="198" t="s">
        <v>1462</v>
      </c>
      <c r="DN72" s="198" t="s">
        <v>1463</v>
      </c>
      <c r="DO72" s="198" t="s">
        <v>1464</v>
      </c>
      <c r="DP72" s="198" t="s">
        <v>1465</v>
      </c>
      <c r="DQ72" s="198" t="s">
        <v>1466</v>
      </c>
      <c r="DR72" s="198" t="s">
        <v>1467</v>
      </c>
      <c r="DS72" s="198" t="s">
        <v>1453</v>
      </c>
      <c r="DT72" s="198" t="s">
        <v>1468</v>
      </c>
      <c r="DU72" s="198" t="s">
        <v>1453</v>
      </c>
      <c r="DV72" s="198" t="s">
        <v>1469</v>
      </c>
      <c r="DW72" s="198" t="s">
        <v>1453</v>
      </c>
      <c r="DX72" s="198" t="s">
        <v>1453</v>
      </c>
      <c r="DY72" s="198" t="s">
        <v>1453</v>
      </c>
      <c r="DZ72" s="198" t="s">
        <v>1522</v>
      </c>
      <c r="EA72" s="198" t="s">
        <v>1453</v>
      </c>
      <c r="EB72" s="198" t="s">
        <v>1453</v>
      </c>
      <c r="EC72" s="198" t="s">
        <v>1483</v>
      </c>
      <c r="ED72" s="198" t="s">
        <v>1453</v>
      </c>
      <c r="EE72" s="198" t="s">
        <v>1470</v>
      </c>
      <c r="EF72" s="198" t="s">
        <v>1453</v>
      </c>
      <c r="EG72" s="198" t="s">
        <v>1471</v>
      </c>
      <c r="EH72" s="198" t="s">
        <v>1453</v>
      </c>
      <c r="EI72" s="198" t="s">
        <v>1453</v>
      </c>
      <c r="EJ72" s="198" t="s">
        <v>1472</v>
      </c>
      <c r="EK72" s="198" t="s">
        <v>1453</v>
      </c>
      <c r="EL72" s="198" t="s">
        <v>1473</v>
      </c>
      <c r="EM72" s="198" t="s">
        <v>1453</v>
      </c>
      <c r="EN72" s="198" t="s">
        <v>1453</v>
      </c>
      <c r="EO72" s="198" t="s">
        <v>1475</v>
      </c>
      <c r="EP72" s="198" t="s">
        <v>1453</v>
      </c>
      <c r="EQ72" s="198" t="s">
        <v>1453</v>
      </c>
      <c r="ER72" s="198" t="s">
        <v>1453</v>
      </c>
      <c r="ES72" s="198" t="s">
        <v>1453</v>
      </c>
      <c r="ET72" s="198" t="s">
        <v>1453</v>
      </c>
      <c r="EU72" s="198" t="s">
        <v>1453</v>
      </c>
      <c r="EV72" s="198" t="s">
        <v>1476</v>
      </c>
      <c r="EW72" s="198" t="s">
        <v>1495</v>
      </c>
      <c r="EX72" s="198" t="s">
        <v>1453</v>
      </c>
      <c r="EY72" s="198" t="s">
        <v>1453</v>
      </c>
      <c r="EZ72" s="198" t="s">
        <v>1477</v>
      </c>
      <c r="FA72" s="198" t="s">
        <v>1532</v>
      </c>
      <c r="FB72" s="198" t="s">
        <v>1533</v>
      </c>
      <c r="FC72" s="198" t="s">
        <v>1478</v>
      </c>
      <c r="FD72" s="198" t="s">
        <v>1535</v>
      </c>
      <c r="FE72" s="198" t="s">
        <v>1453</v>
      </c>
      <c r="FF72" s="198" t="s">
        <v>1453</v>
      </c>
      <c r="FG72" s="198" t="s">
        <v>1453</v>
      </c>
      <c r="FH72" s="198" t="s">
        <v>1479</v>
      </c>
      <c r="FI72" s="198" t="s">
        <v>1480</v>
      </c>
      <c r="FJ72" s="198" t="s">
        <v>1536</v>
      </c>
      <c r="FK72" s="198" t="s">
        <v>1481</v>
      </c>
      <c r="FL72" s="198" t="s">
        <v>1482</v>
      </c>
      <c r="FM72" s="198" t="s">
        <v>1453</v>
      </c>
    </row>
    <row r="73" ht="15.75" customHeight="1">
      <c r="A73" s="236" t="s">
        <v>1537</v>
      </c>
      <c r="B73" s="198" t="str">
        <f t="shared" si="8"/>
        <v>N5 </v>
      </c>
      <c r="C73" s="234">
        <v>5.0</v>
      </c>
      <c r="D73" s="232" t="s">
        <v>770</v>
      </c>
      <c r="E73" s="232" t="s">
        <v>1448</v>
      </c>
      <c r="F73" s="232" t="s">
        <v>1449</v>
      </c>
      <c r="G73" s="232" t="s">
        <v>1450</v>
      </c>
      <c r="H73" s="232" t="s">
        <v>788</v>
      </c>
      <c r="I73" s="232" t="s">
        <v>980</v>
      </c>
      <c r="J73" s="232" t="s">
        <v>847</v>
      </c>
      <c r="K73" s="232" t="s">
        <v>1100</v>
      </c>
      <c r="L73" s="188" t="s">
        <v>1441</v>
      </c>
      <c r="M73" s="236" t="str">
        <f>IFERROR(__xludf.DUMMYFUNCTION("regexreplace(N73,"" "","", "")"),"J0, J5, J6, J7, JC, JF, K0, K5, K7, K8, K9, KA, KB, KC, KD, KF, L1, L5, LA, LC, LF, M1, M4, MB, MF, N2, N7, N8, NA, ")</f>
        <v>J0, J5, J6, J7, JC, JF, K0, K5, K7, K8, K9, KA, KB, KC, KD, KF, L1, L5, LA, LC, LF, M1, M4, MB, MF, N2, N7, N8, NA, </v>
      </c>
      <c r="N73" s="236" t="str">
        <f t="shared" si="2"/>
        <v>J0 J5 J6 J7 JC JF K0 K5 K7 K8 K9 KA KB KC KD KF L1 L5 LA LC LF M1 M4 MB MF N2 N7 N8 NA </v>
      </c>
      <c r="O73" s="236" t="str">
        <f>IFERROR(__xludf.DUMMYFUNCTION("if(countif(ecn.list,CO73),OFFSET(INDIRECT(CONCAT(""A"",to_text(match(CO73,ecn.list,0)))),0,1),"""")"),"J0 ")</f>
        <v>J0 </v>
      </c>
      <c r="P73" s="236" t="str">
        <f>IFERROR(__xludf.DUMMYFUNCTION("if(countif(ecn.list,CP73),OFFSET(INDIRECT(CONCAT(""A"",to_text(match(CP73,ecn.list,0)))),0,1),"""")"),"")</f>
        <v/>
      </c>
      <c r="Q73" s="236" t="str">
        <f>IFERROR(__xludf.DUMMYFUNCTION("if(countif(ecn.list,CQ73),OFFSET(INDIRECT(CONCAT(""A"",to_text(match(CQ73,ecn.list,0)))),0,1),"""")"),"")</f>
        <v/>
      </c>
      <c r="R73" s="236" t="str">
        <f>IFERROR(__xludf.DUMMYFUNCTION("if(countif(ecn.list,CR73),OFFSET(INDIRECT(CONCAT(""A"",to_text(match(CR73,ecn.list,0)))),0,1),"""")"),"")</f>
        <v/>
      </c>
      <c r="S73" s="236" t="str">
        <f>IFERROR(__xludf.DUMMYFUNCTION("if(countif(ecn.list,CS73),OFFSET(INDIRECT(CONCAT(""A"",to_text(match(CS73,ecn.list,0)))),0,1),"""")"),"")</f>
        <v/>
      </c>
      <c r="T73" s="236" t="str">
        <f>IFERROR(__xludf.DUMMYFUNCTION("if(countif(ecn.list,CT73),OFFSET(INDIRECT(CONCAT(""A"",to_text(match(CT73,ecn.list,0)))),0,1),"""")"),"J5 ")</f>
        <v>J5 </v>
      </c>
      <c r="U73" s="236" t="str">
        <f>IFERROR(__xludf.DUMMYFUNCTION("if(countif(ecn.list,CU73),OFFSET(INDIRECT(CONCAT(""A"",to_text(match(CU73,ecn.list,0)))),0,1),"""")"),"J6 ")</f>
        <v>J6 </v>
      </c>
      <c r="V73" s="236" t="str">
        <f>IFERROR(__xludf.DUMMYFUNCTION("if(countif(ecn.list,CV73),OFFSET(INDIRECT(CONCAT(""A"",to_text(match(CV73,ecn.list,0)))),0,1),"""")"),"J7 ")</f>
        <v>J7 </v>
      </c>
      <c r="W73" s="236" t="str">
        <f>IFERROR(__xludf.DUMMYFUNCTION("if(countif(ecn.list,CW73),OFFSET(INDIRECT(CONCAT(""A"",to_text(match(CW73,ecn.list,0)))),0,1),"""")"),"")</f>
        <v/>
      </c>
      <c r="X73" s="236" t="str">
        <f>IFERROR(__xludf.DUMMYFUNCTION("if(countif(ecn.list,CX73),OFFSET(INDIRECT(CONCAT(""A"",to_text(match(CX73,ecn.list,0)))),0,1),"""")"),"")</f>
        <v/>
      </c>
      <c r="Y73" s="236" t="str">
        <f>IFERROR(__xludf.DUMMYFUNCTION("if(countif(ecn.list,CY73),OFFSET(INDIRECT(CONCAT(""A"",to_text(match(CY73,ecn.list,0)))),0,1),"""")"),"")</f>
        <v/>
      </c>
      <c r="Z73" s="236" t="str">
        <f>IFERROR(__xludf.DUMMYFUNCTION("if(countif(ecn.list,CZ73),OFFSET(INDIRECT(CONCAT(""A"",to_text(match(CZ73,ecn.list,0)))),0,1),"""")"),"")</f>
        <v/>
      </c>
      <c r="AA73" s="236" t="str">
        <f>IFERROR(__xludf.DUMMYFUNCTION("if(countif(ecn.list,DA73),OFFSET(INDIRECT(CONCAT(""A"",to_text(match(DA73,ecn.list,0)))),0,1),"""")"),"JC ")</f>
        <v>JC </v>
      </c>
      <c r="AB73" s="236" t="str">
        <f>IFERROR(__xludf.DUMMYFUNCTION("if(countif(ecn.list,DB73),OFFSET(INDIRECT(CONCAT(""A"",to_text(match(DB73,ecn.list,0)))),0,1),"""")"),"")</f>
        <v/>
      </c>
      <c r="AC73" s="236" t="str">
        <f>IFERROR(__xludf.DUMMYFUNCTION("if(countif(ecn.list,DC73),OFFSET(INDIRECT(CONCAT(""A"",to_text(match(DC73,ecn.list,0)))),0,1),"""")"),"")</f>
        <v/>
      </c>
      <c r="AD73" s="236" t="str">
        <f>IFERROR(__xludf.DUMMYFUNCTION("if(countif(ecn.list,DD73),OFFSET(INDIRECT(CONCAT(""A"",to_text(match(DD73,ecn.list,0)))),0,1),"""")"),"JF ")</f>
        <v>JF </v>
      </c>
      <c r="AE73" s="236" t="str">
        <f>IFERROR(__xludf.DUMMYFUNCTION("if(countif(ecn.list,DE73),OFFSET(INDIRECT(CONCAT(""A"",to_text(match(DE73,ecn.list,0)))),0,1),"""")"),"K0 ")</f>
        <v>K0 </v>
      </c>
      <c r="AF73" s="236" t="str">
        <f>IFERROR(__xludf.DUMMYFUNCTION("if(countif(ecn.list,DF73),OFFSET(INDIRECT(CONCAT(""A"",to_text(match(DF73,ecn.list,0)))),0,1),"""")"),"")</f>
        <v/>
      </c>
      <c r="AG73" s="236" t="str">
        <f>IFERROR(__xludf.DUMMYFUNCTION("if(countif(ecn.list,DG73),OFFSET(INDIRECT(CONCAT(""A"",to_text(match(DG73,ecn.list,0)))),0,1),"""")"),"")</f>
        <v/>
      </c>
      <c r="AH73" s="236" t="str">
        <f>IFERROR(__xludf.DUMMYFUNCTION("if(countif(ecn.list,DH73),OFFSET(INDIRECT(CONCAT(""A"",to_text(match(DH73,ecn.list,0)))),0,1),"""")"),"")</f>
        <v/>
      </c>
      <c r="AI73" s="236" t="str">
        <f>IFERROR(__xludf.DUMMYFUNCTION("if(countif(ecn.list,DI73),OFFSET(INDIRECT(CONCAT(""A"",to_text(match(DI73,ecn.list,0)))),0,1),"""")"),"")</f>
        <v/>
      </c>
      <c r="AJ73" s="236" t="str">
        <f>IFERROR(__xludf.DUMMYFUNCTION("if(countif(ecn.list,DJ73),OFFSET(INDIRECT(CONCAT(""A"",to_text(match(DJ73,ecn.list,0)))),0,1),"""")"),"K5 ")</f>
        <v>K5 </v>
      </c>
      <c r="AK73" s="236" t="str">
        <f>IFERROR(__xludf.DUMMYFUNCTION("if(countif(ecn.list,DK73),OFFSET(INDIRECT(CONCAT(""A"",to_text(match(DK73,ecn.list,0)))),0,1),"""")"),"")</f>
        <v/>
      </c>
      <c r="AL73" s="236" t="str">
        <f>IFERROR(__xludf.DUMMYFUNCTION("if(countif(ecn.list,DL73),OFFSET(INDIRECT(CONCAT(""A"",to_text(match(DL73,ecn.list,0)))),0,1),"""")"),"K7 ")</f>
        <v>K7 </v>
      </c>
      <c r="AM73" s="236" t="str">
        <f>IFERROR(__xludf.DUMMYFUNCTION("if(countif(ecn.list,DM73),OFFSET(INDIRECT(CONCAT(""A"",to_text(match(DM73,ecn.list,0)))),0,1),"""")"),"K8 ")</f>
        <v>K8 </v>
      </c>
      <c r="AN73" s="236" t="str">
        <f>IFERROR(__xludf.DUMMYFUNCTION("if(countif(ecn.list,DN73),OFFSET(INDIRECT(CONCAT(""A"",to_text(match(DN73,ecn.list,0)))),0,1),"""")"),"K9 ")</f>
        <v>K9 </v>
      </c>
      <c r="AO73" s="236" t="str">
        <f>IFERROR(__xludf.DUMMYFUNCTION("if(countif(ecn.list,DO73),OFFSET(INDIRECT(CONCAT(""A"",to_text(match(DO73,ecn.list,0)))),0,1),"""")"),"KA ")</f>
        <v>KA </v>
      </c>
      <c r="AP73" s="236" t="str">
        <f>IFERROR(__xludf.DUMMYFUNCTION("if(countif(ecn.list,DP73),OFFSET(INDIRECT(CONCAT(""A"",to_text(match(DP73,ecn.list,0)))),0,1),"""")"),"KB ")</f>
        <v>KB </v>
      </c>
      <c r="AQ73" s="236" t="str">
        <f>IFERROR(__xludf.DUMMYFUNCTION("if(countif(ecn.list,DQ73),OFFSET(INDIRECT(CONCAT(""A"",to_text(match(DQ73,ecn.list,0)))),0,1),"""")"),"KC ")</f>
        <v>KC </v>
      </c>
      <c r="AR73" s="236" t="str">
        <f>IFERROR(__xludf.DUMMYFUNCTION("if(countif(ecn.list,DR73),OFFSET(INDIRECT(CONCAT(""A"",to_text(match(DR73,ecn.list,0)))),0,1),"""")"),"KD ")</f>
        <v>KD </v>
      </c>
      <c r="AS73" s="236" t="str">
        <f>IFERROR(__xludf.DUMMYFUNCTION("if(countif(ecn.list,DS73),OFFSET(INDIRECT(CONCAT(""A"",to_text(match(DS73,ecn.list,0)))),0,1),"""")"),"")</f>
        <v/>
      </c>
      <c r="AT73" s="236" t="str">
        <f>IFERROR(__xludf.DUMMYFUNCTION("if(countif(ecn.list,DT73),OFFSET(INDIRECT(CONCAT(""A"",to_text(match(DT73,ecn.list,0)))),0,1),"""")"),"KF ")</f>
        <v>KF </v>
      </c>
      <c r="AU73" s="236" t="str">
        <f>IFERROR(__xludf.DUMMYFUNCTION("if(countif(ecn.list,DU73),OFFSET(INDIRECT(CONCAT(""A"",to_text(match(DU73,ecn.list,0)))),0,1),"""")"),"")</f>
        <v/>
      </c>
      <c r="AV73" s="236" t="str">
        <f>IFERROR(__xludf.DUMMYFUNCTION("if(countif(ecn.list,DV73),OFFSET(INDIRECT(CONCAT(""A"",to_text(match(DV73,ecn.list,0)))),0,1),"""")"),"L1 ")</f>
        <v>L1 </v>
      </c>
      <c r="AW73" s="236" t="str">
        <f>IFERROR(__xludf.DUMMYFUNCTION("if(countif(ecn.list,DW73),OFFSET(INDIRECT(CONCAT(""A"",to_text(match(DW73,ecn.list,0)))),0,1),"""")"),"")</f>
        <v/>
      </c>
      <c r="AX73" s="236" t="str">
        <f>IFERROR(__xludf.DUMMYFUNCTION("if(countif(ecn.list,DX73),OFFSET(INDIRECT(CONCAT(""A"",to_text(match(DX73,ecn.list,0)))),0,1),"""")"),"")</f>
        <v/>
      </c>
      <c r="AY73" s="236" t="str">
        <f>IFERROR(__xludf.DUMMYFUNCTION("if(countif(ecn.list,DY73),OFFSET(INDIRECT(CONCAT(""A"",to_text(match(DY73,ecn.list,0)))),0,1),"""")"),"")</f>
        <v/>
      </c>
      <c r="AZ73" s="236" t="str">
        <f>IFERROR(__xludf.DUMMYFUNCTION("if(countif(ecn.list,DZ73),OFFSET(INDIRECT(CONCAT(""A"",to_text(match(DZ73,ecn.list,0)))),0,1),"""")"),"L5 ")</f>
        <v>L5 </v>
      </c>
      <c r="BA73" s="236" t="str">
        <f>IFERROR(__xludf.DUMMYFUNCTION("if(countif(ecn.list,EA73),OFFSET(INDIRECT(CONCAT(""A"",to_text(match(EA73,ecn.list,0)))),0,1),"""")"),"")</f>
        <v/>
      </c>
      <c r="BB73" s="236" t="str">
        <f>IFERROR(__xludf.DUMMYFUNCTION("if(countif(ecn.list,EB73),OFFSET(INDIRECT(CONCAT(""A"",to_text(match(EB73,ecn.list,0)))),0,1),"""")"),"")</f>
        <v/>
      </c>
      <c r="BC73" s="236" t="str">
        <f>IFERROR(__xludf.DUMMYFUNCTION("if(countif(ecn.list,EC73),OFFSET(INDIRECT(CONCAT(""A"",to_text(match(EC73,ecn.list,0)))),0,1),"""")"),"")</f>
        <v/>
      </c>
      <c r="BD73" s="236" t="str">
        <f>IFERROR(__xludf.DUMMYFUNCTION("if(countif(ecn.list,ED73),OFFSET(INDIRECT(CONCAT(""A"",to_text(match(ED73,ecn.list,0)))),0,1),"""")"),"")</f>
        <v/>
      </c>
      <c r="BE73" s="236" t="str">
        <f>IFERROR(__xludf.DUMMYFUNCTION("if(countif(ecn.list,EE73),OFFSET(INDIRECT(CONCAT(""A"",to_text(match(EE73,ecn.list,0)))),0,1),"""")"),"LA ")</f>
        <v>LA </v>
      </c>
      <c r="BF73" s="236" t="str">
        <f>IFERROR(__xludf.DUMMYFUNCTION("if(countif(ecn.list,EF73),OFFSET(INDIRECT(CONCAT(""A"",to_text(match(EF73,ecn.list,0)))),0,1),"""")"),"")</f>
        <v/>
      </c>
      <c r="BG73" s="236" t="str">
        <f>IFERROR(__xludf.DUMMYFUNCTION("if(countif(ecn.list,EG73),OFFSET(INDIRECT(CONCAT(""A"",to_text(match(EG73,ecn.list,0)))),0,1),"""")"),"LC ")</f>
        <v>LC </v>
      </c>
      <c r="BH73" s="236" t="str">
        <f>IFERROR(__xludf.DUMMYFUNCTION("if(countif(ecn.list,EH73),OFFSET(INDIRECT(CONCAT(""A"",to_text(match(EH73,ecn.list,0)))),0,1),"""")"),"")</f>
        <v/>
      </c>
      <c r="BI73" s="236" t="str">
        <f>IFERROR(__xludf.DUMMYFUNCTION("if(countif(ecn.list,EI73),OFFSET(INDIRECT(CONCAT(""A"",to_text(match(EI73,ecn.list,0)))),0,1),"""")"),"")</f>
        <v/>
      </c>
      <c r="BJ73" s="236" t="str">
        <f>IFERROR(__xludf.DUMMYFUNCTION("if(countif(ecn.list,EJ73),OFFSET(INDIRECT(CONCAT(""A"",to_text(match(EJ73,ecn.list,0)))),0,1),"""")"),"LF ")</f>
        <v>LF </v>
      </c>
      <c r="BK73" s="236" t="str">
        <f>IFERROR(__xludf.DUMMYFUNCTION("if(countif(ecn.list,EK73),OFFSET(INDIRECT(CONCAT(""A"",to_text(match(EK73,ecn.list,0)))),0,1),"""")"),"")</f>
        <v/>
      </c>
      <c r="BL73" s="236" t="str">
        <f>IFERROR(__xludf.DUMMYFUNCTION("if(countif(ecn.list,EL73),OFFSET(INDIRECT(CONCAT(""A"",to_text(match(EL73,ecn.list,0)))),0,1),"""")"),"M1 ")</f>
        <v>M1 </v>
      </c>
      <c r="BM73" s="236" t="str">
        <f>IFERROR(__xludf.DUMMYFUNCTION("if(countif(ecn.list,EM73),OFFSET(INDIRECT(CONCAT(""A"",to_text(match(EM73,ecn.list,0)))),0,1),"""")"),"")</f>
        <v/>
      </c>
      <c r="BN73" s="236" t="str">
        <f>IFERROR(__xludf.DUMMYFUNCTION("if(countif(ecn.list,EN73),OFFSET(INDIRECT(CONCAT(""A"",to_text(match(EN73,ecn.list,0)))),0,1),"""")"),"")</f>
        <v/>
      </c>
      <c r="BO73" s="236" t="str">
        <f>IFERROR(__xludf.DUMMYFUNCTION("if(countif(ecn.list,EO73),OFFSET(INDIRECT(CONCAT(""A"",to_text(match(EO73,ecn.list,0)))),0,1),"""")"),"M4 ")</f>
        <v>M4 </v>
      </c>
      <c r="BP73" s="236" t="str">
        <f>IFERROR(__xludf.DUMMYFUNCTION("if(countif(ecn.list,EP73),OFFSET(INDIRECT(CONCAT(""A"",to_text(match(EP73,ecn.list,0)))),0,1),"""")"),"")</f>
        <v/>
      </c>
      <c r="BQ73" s="236" t="str">
        <f>IFERROR(__xludf.DUMMYFUNCTION("if(countif(ecn.list,EQ73),OFFSET(INDIRECT(CONCAT(""A"",to_text(match(EQ73,ecn.list,0)))),0,1),"""")"),"")</f>
        <v/>
      </c>
      <c r="BR73" s="236" t="str">
        <f>IFERROR(__xludf.DUMMYFUNCTION("if(countif(ecn.list,ER73),OFFSET(INDIRECT(CONCAT(""A"",to_text(match(ER73,ecn.list,0)))),0,1),"""")"),"")</f>
        <v/>
      </c>
      <c r="BS73" s="236" t="str">
        <f>IFERROR(__xludf.DUMMYFUNCTION("if(countif(ecn.list,ES73),OFFSET(INDIRECT(CONCAT(""A"",to_text(match(ES73,ecn.list,0)))),0,1),"""")"),"")</f>
        <v/>
      </c>
      <c r="BT73" s="236" t="str">
        <f>IFERROR(__xludf.DUMMYFUNCTION("if(countif(ecn.list,ET73),OFFSET(INDIRECT(CONCAT(""A"",to_text(match(ET73,ecn.list,0)))),0,1),"""")"),"")</f>
        <v/>
      </c>
      <c r="BU73" s="236" t="str">
        <f>IFERROR(__xludf.DUMMYFUNCTION("if(countif(ecn.list,EU73),OFFSET(INDIRECT(CONCAT(""A"",to_text(match(EU73,ecn.list,0)))),0,1),"""")"),"")</f>
        <v/>
      </c>
      <c r="BV73" s="236" t="str">
        <f>IFERROR(__xludf.DUMMYFUNCTION("if(countif(ecn.list,EV73),OFFSET(INDIRECT(CONCAT(""A"",to_text(match(EV73,ecn.list,0)))),0,1),"""")"),"MB ")</f>
        <v>MB </v>
      </c>
      <c r="BW73" s="236" t="str">
        <f>IFERROR(__xludf.DUMMYFUNCTION("if(countif(ecn.list,EW73),OFFSET(INDIRECT(CONCAT(""A"",to_text(match(EW73,ecn.list,0)))),0,1),"""")"),"")</f>
        <v/>
      </c>
      <c r="BX73" s="236" t="str">
        <f>IFERROR(__xludf.DUMMYFUNCTION("if(countif(ecn.list,EX73),OFFSET(INDIRECT(CONCAT(""A"",to_text(match(EX73,ecn.list,0)))),0,1),"""")"),"")</f>
        <v/>
      </c>
      <c r="BY73" s="236" t="str">
        <f>IFERROR(__xludf.DUMMYFUNCTION("if(countif(ecn.list,EY73),OFFSET(INDIRECT(CONCAT(""A"",to_text(match(EY73,ecn.list,0)))),0,1),"""")"),"")</f>
        <v/>
      </c>
      <c r="BZ73" s="236" t="str">
        <f>IFERROR(__xludf.DUMMYFUNCTION("if(countif(ecn.list,EZ73),OFFSET(INDIRECT(CONCAT(""A"",to_text(match(EZ73,ecn.list,0)))),0,1),"""")"),"MF ")</f>
        <v>MF </v>
      </c>
      <c r="CA73" s="236" t="str">
        <f>IFERROR(__xludf.DUMMYFUNCTION("if(countif(ecn.list,FA73),OFFSET(INDIRECT(CONCAT(""A"",to_text(match(FA73,ecn.list,0)))),0,1),"""")"),"")</f>
        <v/>
      </c>
      <c r="CB73" s="236" t="str">
        <f>IFERROR(__xludf.DUMMYFUNCTION("if(countif(ecn.list,FB73),OFFSET(INDIRECT(CONCAT(""A"",to_text(match(FB73,ecn.list,0)))),0,1),"""")"),"")</f>
        <v/>
      </c>
      <c r="CC73" s="236" t="str">
        <f>IFERROR(__xludf.DUMMYFUNCTION("if(countif(ecn.list,FC73),OFFSET(INDIRECT(CONCAT(""A"",to_text(match(FC73,ecn.list,0)))),0,1),"""")"),"N2 ")</f>
        <v>N2 </v>
      </c>
      <c r="CD73" s="236" t="str">
        <f>IFERROR(__xludf.DUMMYFUNCTION("if(countif(ecn.list,FD73),OFFSET(INDIRECT(CONCAT(""A"",to_text(match(FD73,ecn.list,0)))),0,1),"""")"),"")</f>
        <v/>
      </c>
      <c r="CE73" s="236" t="str">
        <f>IFERROR(__xludf.DUMMYFUNCTION("if(countif(ecn.list,FE73),OFFSET(INDIRECT(CONCAT(""A"",to_text(match(FE73,ecn.list,0)))),0,1),"""")"),"")</f>
        <v/>
      </c>
      <c r="CF73" s="236" t="str">
        <f>IFERROR(__xludf.DUMMYFUNCTION("if(countif(ecn.list,FF73),OFFSET(INDIRECT(CONCAT(""A"",to_text(match(FF73,ecn.list,0)))),0,1),"""")"),"")</f>
        <v/>
      </c>
      <c r="CG73" s="236" t="str">
        <f>IFERROR(__xludf.DUMMYFUNCTION("if(countif(ecn.list,FG73),OFFSET(INDIRECT(CONCAT(""A"",to_text(match(FG73,ecn.list,0)))),0,1),"""")"),"")</f>
        <v/>
      </c>
      <c r="CH73" s="236" t="str">
        <f>IFERROR(__xludf.DUMMYFUNCTION("if(countif(ecn.list,FH73),OFFSET(INDIRECT(CONCAT(""A"",to_text(match(FH73,ecn.list,0)))),0,1),"""")"),"N7 ")</f>
        <v>N7 </v>
      </c>
      <c r="CI73" s="236" t="str">
        <f>IFERROR(__xludf.DUMMYFUNCTION("if(countif(ecn.list,FI73),OFFSET(INDIRECT(CONCAT(""A"",to_text(match(FI73,ecn.list,0)))),0,1),"""")"),"N8 ")</f>
        <v>N8 </v>
      </c>
      <c r="CJ73" s="236" t="str">
        <f>IFERROR(__xludf.DUMMYFUNCTION("if(countif(ecn.list,FJ73),OFFSET(INDIRECT(CONCAT(""A"",to_text(match(FJ73,ecn.list,0)))),0,1),"""")"),"")</f>
        <v/>
      </c>
      <c r="CK73" s="236" t="str">
        <f>IFERROR(__xludf.DUMMYFUNCTION("if(countif(ecn.list,FK73),OFFSET(INDIRECT(CONCAT(""A"",to_text(match(FK73,ecn.list,0)))),0,1),"""")"),"NA ")</f>
        <v>NA </v>
      </c>
      <c r="CL73" s="236" t="str">
        <f>IFERROR(__xludf.DUMMYFUNCTION("if(countif(ecn.list,FL73),OFFSET(INDIRECT(CONCAT(""A"",to_text(match(FL73,ecn.list,0)))),0,1),"""")"),"")</f>
        <v/>
      </c>
      <c r="CM73" s="236" t="str">
        <f>IFERROR(__xludf.DUMMYFUNCTION("if(countif(ecn.list,FM73),OFFSET(INDIRECT(CONCAT(""A"",to_text(match(FM73,ecn.list,0)))),0,1),"""")"),"")</f>
        <v/>
      </c>
      <c r="CN73" s="198" t="s">
        <v>1441</v>
      </c>
      <c r="CO73" s="198" t="s">
        <v>1447</v>
      </c>
      <c r="CP73" s="198" t="s">
        <v>1453</v>
      </c>
      <c r="CQ73" s="198" t="s">
        <v>1453</v>
      </c>
      <c r="CR73" s="198" t="s">
        <v>1453</v>
      </c>
      <c r="CS73" s="198" t="s">
        <v>1453</v>
      </c>
      <c r="CT73" s="198" t="s">
        <v>1454</v>
      </c>
      <c r="CU73" s="198" t="s">
        <v>1455</v>
      </c>
      <c r="CV73" s="198" t="s">
        <v>1456</v>
      </c>
      <c r="CW73" s="198" t="s">
        <v>1453</v>
      </c>
      <c r="CX73" s="198" t="s">
        <v>1453</v>
      </c>
      <c r="CY73" s="198" t="s">
        <v>1453</v>
      </c>
      <c r="CZ73" s="198" t="s">
        <v>1453</v>
      </c>
      <c r="DA73" s="198" t="s">
        <v>1457</v>
      </c>
      <c r="DB73" s="198" t="s">
        <v>1453</v>
      </c>
      <c r="DC73" s="198" t="s">
        <v>1453</v>
      </c>
      <c r="DD73" s="198" t="s">
        <v>1458</v>
      </c>
      <c r="DE73" s="198" t="s">
        <v>1459</v>
      </c>
      <c r="DF73" s="198" t="s">
        <v>1453</v>
      </c>
      <c r="DG73" s="198" t="s">
        <v>1453</v>
      </c>
      <c r="DH73" s="198" t="s">
        <v>1453</v>
      </c>
      <c r="DI73" s="198" t="s">
        <v>1453</v>
      </c>
      <c r="DJ73" s="198" t="s">
        <v>1460</v>
      </c>
      <c r="DK73" s="198" t="s">
        <v>1453</v>
      </c>
      <c r="DL73" s="198" t="s">
        <v>1461</v>
      </c>
      <c r="DM73" s="198" t="s">
        <v>1462</v>
      </c>
      <c r="DN73" s="198" t="s">
        <v>1463</v>
      </c>
      <c r="DO73" s="198" t="s">
        <v>1464</v>
      </c>
      <c r="DP73" s="198" t="s">
        <v>1465</v>
      </c>
      <c r="DQ73" s="198" t="s">
        <v>1466</v>
      </c>
      <c r="DR73" s="198" t="s">
        <v>1467</v>
      </c>
      <c r="DS73" s="198" t="s">
        <v>1453</v>
      </c>
      <c r="DT73" s="198" t="s">
        <v>1468</v>
      </c>
      <c r="DU73" s="198" t="s">
        <v>1453</v>
      </c>
      <c r="DV73" s="198" t="s">
        <v>1469</v>
      </c>
      <c r="DW73" s="198" t="s">
        <v>1453</v>
      </c>
      <c r="DX73" s="198" t="s">
        <v>1453</v>
      </c>
      <c r="DY73" s="198" t="s">
        <v>1453</v>
      </c>
      <c r="DZ73" s="198" t="s">
        <v>1522</v>
      </c>
      <c r="EA73" s="198" t="s">
        <v>1453</v>
      </c>
      <c r="EB73" s="198" t="s">
        <v>1453</v>
      </c>
      <c r="EC73" s="198" t="s">
        <v>1453</v>
      </c>
      <c r="ED73" s="198" t="s">
        <v>1453</v>
      </c>
      <c r="EE73" s="198" t="s">
        <v>1470</v>
      </c>
      <c r="EF73" s="198" t="s">
        <v>1453</v>
      </c>
      <c r="EG73" s="198" t="s">
        <v>1471</v>
      </c>
      <c r="EH73" s="198" t="s">
        <v>1453</v>
      </c>
      <c r="EI73" s="198" t="s">
        <v>1453</v>
      </c>
      <c r="EJ73" s="198" t="s">
        <v>1472</v>
      </c>
      <c r="EK73" s="198" t="s">
        <v>1453</v>
      </c>
      <c r="EL73" s="198" t="s">
        <v>1473</v>
      </c>
      <c r="EM73" s="198" t="s">
        <v>1453</v>
      </c>
      <c r="EN73" s="198" t="s">
        <v>1453</v>
      </c>
      <c r="EO73" s="198" t="s">
        <v>1475</v>
      </c>
      <c r="EP73" s="198" t="s">
        <v>1453</v>
      </c>
      <c r="EQ73" s="198" t="s">
        <v>1453</v>
      </c>
      <c r="ER73" s="198" t="s">
        <v>1453</v>
      </c>
      <c r="ES73" s="198" t="s">
        <v>1453</v>
      </c>
      <c r="ET73" s="198" t="s">
        <v>1453</v>
      </c>
      <c r="EU73" s="198" t="s">
        <v>1453</v>
      </c>
      <c r="EV73" s="198" t="s">
        <v>1476</v>
      </c>
      <c r="EW73" s="198" t="s">
        <v>1453</v>
      </c>
      <c r="EX73" s="198" t="s">
        <v>1453</v>
      </c>
      <c r="EY73" s="198" t="s">
        <v>1453</v>
      </c>
      <c r="EZ73" s="198" t="s">
        <v>1477</v>
      </c>
      <c r="FA73" s="198" t="s">
        <v>1453</v>
      </c>
      <c r="FB73" s="198" t="s">
        <v>1453</v>
      </c>
      <c r="FC73" s="198" t="s">
        <v>1478</v>
      </c>
      <c r="FD73" s="198" t="s">
        <v>1453</v>
      </c>
      <c r="FE73" s="198" t="s">
        <v>1453</v>
      </c>
      <c r="FF73" s="198" t="s">
        <v>1453</v>
      </c>
      <c r="FG73" s="198" t="s">
        <v>1453</v>
      </c>
      <c r="FH73" s="198" t="s">
        <v>1479</v>
      </c>
      <c r="FI73" s="198" t="s">
        <v>1480</v>
      </c>
      <c r="FJ73" s="198" t="s">
        <v>1453</v>
      </c>
      <c r="FK73" s="198" t="s">
        <v>1481</v>
      </c>
      <c r="FL73" s="198" t="s">
        <v>1482</v>
      </c>
      <c r="FM73" s="198" t="s">
        <v>1453</v>
      </c>
    </row>
    <row r="74" ht="15.75" customHeight="1">
      <c r="A74" s="198" t="s">
        <v>1517</v>
      </c>
      <c r="B74" s="198" t="str">
        <f t="shared" si="8"/>
        <v>N6 </v>
      </c>
      <c r="C74" s="234">
        <v>6.0</v>
      </c>
      <c r="D74" s="232" t="s">
        <v>860</v>
      </c>
      <c r="E74" s="232" t="s">
        <v>785</v>
      </c>
      <c r="F74" s="232" t="s">
        <v>861</v>
      </c>
      <c r="G74" s="232" t="s">
        <v>862</v>
      </c>
      <c r="H74" s="232" t="s">
        <v>775</v>
      </c>
      <c r="I74" s="232" t="s">
        <v>863</v>
      </c>
      <c r="J74" s="232" t="s">
        <v>864</v>
      </c>
      <c r="K74" s="232" t="s">
        <v>871</v>
      </c>
      <c r="L74" s="188" t="s">
        <v>294</v>
      </c>
      <c r="M74" s="236" t="str">
        <f>IFERROR(__xludf.DUMMYFUNCTION("regexreplace(N74,"" "","", "")"),"")</f>
        <v/>
      </c>
      <c r="N74" s="236" t="str">
        <f t="shared" si="2"/>
        <v/>
      </c>
      <c r="O74" s="236" t="str">
        <f>IFERROR(__xludf.DUMMYFUNCTION("if(countif(ecn.list,CO74),OFFSET(INDIRECT(CONCAT(""A"",to_text(match(CO74,ecn.list,0)))),0,1),"""")"),"")</f>
        <v/>
      </c>
      <c r="P74" s="236" t="str">
        <f>IFERROR(__xludf.DUMMYFUNCTION("if(countif(ecn.list,CP74),OFFSET(INDIRECT(CONCAT(""A"",to_text(match(CP74,ecn.list,0)))),0,1),"""")"),"")</f>
        <v/>
      </c>
      <c r="Q74" s="236" t="str">
        <f>IFERROR(__xludf.DUMMYFUNCTION("if(countif(ecn.list,CQ74),OFFSET(INDIRECT(CONCAT(""A"",to_text(match(CQ74,ecn.list,0)))),0,1),"""")"),"")</f>
        <v/>
      </c>
      <c r="R74" s="236" t="str">
        <f>IFERROR(__xludf.DUMMYFUNCTION("if(countif(ecn.list,CR74),OFFSET(INDIRECT(CONCAT(""A"",to_text(match(CR74,ecn.list,0)))),0,1),"""")"),"")</f>
        <v/>
      </c>
      <c r="S74" s="236" t="str">
        <f>IFERROR(__xludf.DUMMYFUNCTION("if(countif(ecn.list,CS74),OFFSET(INDIRECT(CONCAT(""A"",to_text(match(CS74,ecn.list,0)))),0,1),"""")"),"")</f>
        <v/>
      </c>
      <c r="T74" s="236" t="str">
        <f>IFERROR(__xludf.DUMMYFUNCTION("if(countif(ecn.list,CT74),OFFSET(INDIRECT(CONCAT(""A"",to_text(match(CT74,ecn.list,0)))),0,1),"""")"),"")</f>
        <v/>
      </c>
      <c r="U74" s="236" t="str">
        <f>IFERROR(__xludf.DUMMYFUNCTION("if(countif(ecn.list,CU74),OFFSET(INDIRECT(CONCAT(""A"",to_text(match(CU74,ecn.list,0)))),0,1),"""")"),"")</f>
        <v/>
      </c>
      <c r="V74" s="236" t="str">
        <f>IFERROR(__xludf.DUMMYFUNCTION("if(countif(ecn.list,CV74),OFFSET(INDIRECT(CONCAT(""A"",to_text(match(CV74,ecn.list,0)))),0,1),"""")"),"")</f>
        <v/>
      </c>
      <c r="W74" s="236" t="str">
        <f>IFERROR(__xludf.DUMMYFUNCTION("if(countif(ecn.list,CW74),OFFSET(INDIRECT(CONCAT(""A"",to_text(match(CW74,ecn.list,0)))),0,1),"""")"),"")</f>
        <v/>
      </c>
      <c r="X74" s="236" t="str">
        <f>IFERROR(__xludf.DUMMYFUNCTION("if(countif(ecn.list,CX74),OFFSET(INDIRECT(CONCAT(""A"",to_text(match(CX74,ecn.list,0)))),0,1),"""")"),"")</f>
        <v/>
      </c>
      <c r="Y74" s="236" t="str">
        <f>IFERROR(__xludf.DUMMYFUNCTION("if(countif(ecn.list,CY74),OFFSET(INDIRECT(CONCAT(""A"",to_text(match(CY74,ecn.list,0)))),0,1),"""")"),"")</f>
        <v/>
      </c>
      <c r="Z74" s="236" t="str">
        <f>IFERROR(__xludf.DUMMYFUNCTION("if(countif(ecn.list,CZ74),OFFSET(INDIRECT(CONCAT(""A"",to_text(match(CZ74,ecn.list,0)))),0,1),"""")"),"")</f>
        <v/>
      </c>
      <c r="AA74" s="236" t="str">
        <f>IFERROR(__xludf.DUMMYFUNCTION("if(countif(ecn.list,DA74),OFFSET(INDIRECT(CONCAT(""A"",to_text(match(DA74,ecn.list,0)))),0,1),"""")"),"")</f>
        <v/>
      </c>
      <c r="AB74" s="236" t="str">
        <f>IFERROR(__xludf.DUMMYFUNCTION("if(countif(ecn.list,DB74),OFFSET(INDIRECT(CONCAT(""A"",to_text(match(DB74,ecn.list,0)))),0,1),"""")"),"")</f>
        <v/>
      </c>
      <c r="AC74" s="236" t="str">
        <f>IFERROR(__xludf.DUMMYFUNCTION("if(countif(ecn.list,DC74),OFFSET(INDIRECT(CONCAT(""A"",to_text(match(DC74,ecn.list,0)))),0,1),"""")"),"")</f>
        <v/>
      </c>
      <c r="AD74" s="236" t="str">
        <f>IFERROR(__xludf.DUMMYFUNCTION("if(countif(ecn.list,DD74),OFFSET(INDIRECT(CONCAT(""A"",to_text(match(DD74,ecn.list,0)))),0,1),"""")"),"")</f>
        <v/>
      </c>
      <c r="AE74" s="236" t="str">
        <f>IFERROR(__xludf.DUMMYFUNCTION("if(countif(ecn.list,DE74),OFFSET(INDIRECT(CONCAT(""A"",to_text(match(DE74,ecn.list,0)))),0,1),"""")"),"")</f>
        <v/>
      </c>
      <c r="AF74" s="236" t="str">
        <f>IFERROR(__xludf.DUMMYFUNCTION("if(countif(ecn.list,DF74),OFFSET(INDIRECT(CONCAT(""A"",to_text(match(DF74,ecn.list,0)))),0,1),"""")"),"")</f>
        <v/>
      </c>
      <c r="AG74" s="236" t="str">
        <f>IFERROR(__xludf.DUMMYFUNCTION("if(countif(ecn.list,DG74),OFFSET(INDIRECT(CONCAT(""A"",to_text(match(DG74,ecn.list,0)))),0,1),"""")"),"")</f>
        <v/>
      </c>
      <c r="AH74" s="236" t="str">
        <f>IFERROR(__xludf.DUMMYFUNCTION("if(countif(ecn.list,DH74),OFFSET(INDIRECT(CONCAT(""A"",to_text(match(DH74,ecn.list,0)))),0,1),"""")"),"")</f>
        <v/>
      </c>
      <c r="AI74" s="236" t="str">
        <f>IFERROR(__xludf.DUMMYFUNCTION("if(countif(ecn.list,DI74),OFFSET(INDIRECT(CONCAT(""A"",to_text(match(DI74,ecn.list,0)))),0,1),"""")"),"")</f>
        <v/>
      </c>
      <c r="AJ74" s="236" t="str">
        <f>IFERROR(__xludf.DUMMYFUNCTION("if(countif(ecn.list,DJ74),OFFSET(INDIRECT(CONCAT(""A"",to_text(match(DJ74,ecn.list,0)))),0,1),"""")"),"")</f>
        <v/>
      </c>
      <c r="AK74" s="236" t="str">
        <f>IFERROR(__xludf.DUMMYFUNCTION("if(countif(ecn.list,DK74),OFFSET(INDIRECT(CONCAT(""A"",to_text(match(DK74,ecn.list,0)))),0,1),"""")"),"")</f>
        <v/>
      </c>
      <c r="AL74" s="236" t="str">
        <f>IFERROR(__xludf.DUMMYFUNCTION("if(countif(ecn.list,DL74),OFFSET(INDIRECT(CONCAT(""A"",to_text(match(DL74,ecn.list,0)))),0,1),"""")"),"")</f>
        <v/>
      </c>
      <c r="AM74" s="236" t="str">
        <f>IFERROR(__xludf.DUMMYFUNCTION("if(countif(ecn.list,DM74),OFFSET(INDIRECT(CONCAT(""A"",to_text(match(DM74,ecn.list,0)))),0,1),"""")"),"")</f>
        <v/>
      </c>
      <c r="AN74" s="236" t="str">
        <f>IFERROR(__xludf.DUMMYFUNCTION("if(countif(ecn.list,DN74),OFFSET(INDIRECT(CONCAT(""A"",to_text(match(DN74,ecn.list,0)))),0,1),"""")"),"")</f>
        <v/>
      </c>
      <c r="AO74" s="236" t="str">
        <f>IFERROR(__xludf.DUMMYFUNCTION("if(countif(ecn.list,DO74),OFFSET(INDIRECT(CONCAT(""A"",to_text(match(DO74,ecn.list,0)))),0,1),"""")"),"")</f>
        <v/>
      </c>
      <c r="AP74" s="236" t="str">
        <f>IFERROR(__xludf.DUMMYFUNCTION("if(countif(ecn.list,DP74),OFFSET(INDIRECT(CONCAT(""A"",to_text(match(DP74,ecn.list,0)))),0,1),"""")"),"")</f>
        <v/>
      </c>
      <c r="AQ74" s="236" t="str">
        <f>IFERROR(__xludf.DUMMYFUNCTION("if(countif(ecn.list,DQ74),OFFSET(INDIRECT(CONCAT(""A"",to_text(match(DQ74,ecn.list,0)))),0,1),"""")"),"")</f>
        <v/>
      </c>
      <c r="AR74" s="236" t="str">
        <f>IFERROR(__xludf.DUMMYFUNCTION("if(countif(ecn.list,DR74),OFFSET(INDIRECT(CONCAT(""A"",to_text(match(DR74,ecn.list,0)))),0,1),"""")"),"")</f>
        <v/>
      </c>
      <c r="AS74" s="236" t="str">
        <f>IFERROR(__xludf.DUMMYFUNCTION("if(countif(ecn.list,DS74),OFFSET(INDIRECT(CONCAT(""A"",to_text(match(DS74,ecn.list,0)))),0,1),"""")"),"")</f>
        <v/>
      </c>
      <c r="AT74" s="236" t="str">
        <f>IFERROR(__xludf.DUMMYFUNCTION("if(countif(ecn.list,DT74),OFFSET(INDIRECT(CONCAT(""A"",to_text(match(DT74,ecn.list,0)))),0,1),"""")"),"")</f>
        <v/>
      </c>
      <c r="AU74" s="236" t="str">
        <f>IFERROR(__xludf.DUMMYFUNCTION("if(countif(ecn.list,DU74),OFFSET(INDIRECT(CONCAT(""A"",to_text(match(DU74,ecn.list,0)))),0,1),"""")"),"")</f>
        <v/>
      </c>
      <c r="AV74" s="236" t="str">
        <f>IFERROR(__xludf.DUMMYFUNCTION("if(countif(ecn.list,DV74),OFFSET(INDIRECT(CONCAT(""A"",to_text(match(DV74,ecn.list,0)))),0,1),"""")"),"")</f>
        <v/>
      </c>
      <c r="AW74" s="236" t="str">
        <f>IFERROR(__xludf.DUMMYFUNCTION("if(countif(ecn.list,DW74),OFFSET(INDIRECT(CONCAT(""A"",to_text(match(DW74,ecn.list,0)))),0,1),"""")"),"")</f>
        <v/>
      </c>
      <c r="AX74" s="236" t="str">
        <f>IFERROR(__xludf.DUMMYFUNCTION("if(countif(ecn.list,DX74),OFFSET(INDIRECT(CONCAT(""A"",to_text(match(DX74,ecn.list,0)))),0,1),"""")"),"")</f>
        <v/>
      </c>
      <c r="AY74" s="236" t="str">
        <f>IFERROR(__xludf.DUMMYFUNCTION("if(countif(ecn.list,DY74),OFFSET(INDIRECT(CONCAT(""A"",to_text(match(DY74,ecn.list,0)))),0,1),"""")"),"")</f>
        <v/>
      </c>
      <c r="AZ74" s="236" t="str">
        <f>IFERROR(__xludf.DUMMYFUNCTION("if(countif(ecn.list,DZ74),OFFSET(INDIRECT(CONCAT(""A"",to_text(match(DZ74,ecn.list,0)))),0,1),"""")"),"")</f>
        <v/>
      </c>
      <c r="BA74" s="236" t="str">
        <f>IFERROR(__xludf.DUMMYFUNCTION("if(countif(ecn.list,EA74),OFFSET(INDIRECT(CONCAT(""A"",to_text(match(EA74,ecn.list,0)))),0,1),"""")"),"")</f>
        <v/>
      </c>
      <c r="BB74" s="236" t="str">
        <f>IFERROR(__xludf.DUMMYFUNCTION("if(countif(ecn.list,EB74),OFFSET(INDIRECT(CONCAT(""A"",to_text(match(EB74,ecn.list,0)))),0,1),"""")"),"")</f>
        <v/>
      </c>
      <c r="BC74" s="236" t="str">
        <f>IFERROR(__xludf.DUMMYFUNCTION("if(countif(ecn.list,EC74),OFFSET(INDIRECT(CONCAT(""A"",to_text(match(EC74,ecn.list,0)))),0,1),"""")"),"")</f>
        <v/>
      </c>
      <c r="BD74" s="236" t="str">
        <f>IFERROR(__xludf.DUMMYFUNCTION("if(countif(ecn.list,ED74),OFFSET(INDIRECT(CONCAT(""A"",to_text(match(ED74,ecn.list,0)))),0,1),"""")"),"")</f>
        <v/>
      </c>
      <c r="BE74" s="236" t="str">
        <f>IFERROR(__xludf.DUMMYFUNCTION("if(countif(ecn.list,EE74),OFFSET(INDIRECT(CONCAT(""A"",to_text(match(EE74,ecn.list,0)))),0,1),"""")"),"")</f>
        <v/>
      </c>
      <c r="BF74" s="236" t="str">
        <f>IFERROR(__xludf.DUMMYFUNCTION("if(countif(ecn.list,EF74),OFFSET(INDIRECT(CONCAT(""A"",to_text(match(EF74,ecn.list,0)))),0,1),"""")"),"")</f>
        <v/>
      </c>
      <c r="BG74" s="236" t="str">
        <f>IFERROR(__xludf.DUMMYFUNCTION("if(countif(ecn.list,EG74),OFFSET(INDIRECT(CONCAT(""A"",to_text(match(EG74,ecn.list,0)))),0,1),"""")"),"")</f>
        <v/>
      </c>
      <c r="BH74" s="236" t="str">
        <f>IFERROR(__xludf.DUMMYFUNCTION("if(countif(ecn.list,EH74),OFFSET(INDIRECT(CONCAT(""A"",to_text(match(EH74,ecn.list,0)))),0,1),"""")"),"")</f>
        <v/>
      </c>
      <c r="BI74" s="236" t="str">
        <f>IFERROR(__xludf.DUMMYFUNCTION("if(countif(ecn.list,EI74),OFFSET(INDIRECT(CONCAT(""A"",to_text(match(EI74,ecn.list,0)))),0,1),"""")"),"")</f>
        <v/>
      </c>
      <c r="BJ74" s="236" t="str">
        <f>IFERROR(__xludf.DUMMYFUNCTION("if(countif(ecn.list,EJ74),OFFSET(INDIRECT(CONCAT(""A"",to_text(match(EJ74,ecn.list,0)))),0,1),"""")"),"")</f>
        <v/>
      </c>
      <c r="BK74" s="236" t="str">
        <f>IFERROR(__xludf.DUMMYFUNCTION("if(countif(ecn.list,EK74),OFFSET(INDIRECT(CONCAT(""A"",to_text(match(EK74,ecn.list,0)))),0,1),"""")"),"")</f>
        <v/>
      </c>
      <c r="BL74" s="236" t="str">
        <f>IFERROR(__xludf.DUMMYFUNCTION("if(countif(ecn.list,EL74),OFFSET(INDIRECT(CONCAT(""A"",to_text(match(EL74,ecn.list,0)))),0,1),"""")"),"")</f>
        <v/>
      </c>
      <c r="BM74" s="236" t="str">
        <f>IFERROR(__xludf.DUMMYFUNCTION("if(countif(ecn.list,EM74),OFFSET(INDIRECT(CONCAT(""A"",to_text(match(EM74,ecn.list,0)))),0,1),"""")"),"")</f>
        <v/>
      </c>
      <c r="BN74" s="236" t="str">
        <f>IFERROR(__xludf.DUMMYFUNCTION("if(countif(ecn.list,EN74),OFFSET(INDIRECT(CONCAT(""A"",to_text(match(EN74,ecn.list,0)))),0,1),"""")"),"")</f>
        <v/>
      </c>
      <c r="BO74" s="236" t="str">
        <f>IFERROR(__xludf.DUMMYFUNCTION("if(countif(ecn.list,EO74),OFFSET(INDIRECT(CONCAT(""A"",to_text(match(EO74,ecn.list,0)))),0,1),"""")"),"")</f>
        <v/>
      </c>
      <c r="BP74" s="236" t="str">
        <f>IFERROR(__xludf.DUMMYFUNCTION("if(countif(ecn.list,EP74),OFFSET(INDIRECT(CONCAT(""A"",to_text(match(EP74,ecn.list,0)))),0,1),"""")"),"")</f>
        <v/>
      </c>
      <c r="BQ74" s="236" t="str">
        <f>IFERROR(__xludf.DUMMYFUNCTION("if(countif(ecn.list,EQ74),OFFSET(INDIRECT(CONCAT(""A"",to_text(match(EQ74,ecn.list,0)))),0,1),"""")"),"")</f>
        <v/>
      </c>
      <c r="BR74" s="236" t="str">
        <f>IFERROR(__xludf.DUMMYFUNCTION("if(countif(ecn.list,ER74),OFFSET(INDIRECT(CONCAT(""A"",to_text(match(ER74,ecn.list,0)))),0,1),"""")"),"")</f>
        <v/>
      </c>
      <c r="BS74" s="236" t="str">
        <f>IFERROR(__xludf.DUMMYFUNCTION("if(countif(ecn.list,ES74),OFFSET(INDIRECT(CONCAT(""A"",to_text(match(ES74,ecn.list,0)))),0,1),"""")"),"")</f>
        <v/>
      </c>
      <c r="BT74" s="236" t="str">
        <f>IFERROR(__xludf.DUMMYFUNCTION("if(countif(ecn.list,ET74),OFFSET(INDIRECT(CONCAT(""A"",to_text(match(ET74,ecn.list,0)))),0,1),"""")"),"")</f>
        <v/>
      </c>
      <c r="BU74" s="236" t="str">
        <f>IFERROR(__xludf.DUMMYFUNCTION("if(countif(ecn.list,EU74),OFFSET(INDIRECT(CONCAT(""A"",to_text(match(EU74,ecn.list,0)))),0,1),"""")"),"")</f>
        <v/>
      </c>
      <c r="BV74" s="236" t="str">
        <f>IFERROR(__xludf.DUMMYFUNCTION("if(countif(ecn.list,EV74),OFFSET(INDIRECT(CONCAT(""A"",to_text(match(EV74,ecn.list,0)))),0,1),"""")"),"")</f>
        <v/>
      </c>
      <c r="BW74" s="236" t="str">
        <f>IFERROR(__xludf.DUMMYFUNCTION("if(countif(ecn.list,EW74),OFFSET(INDIRECT(CONCAT(""A"",to_text(match(EW74,ecn.list,0)))),0,1),"""")"),"")</f>
        <v/>
      </c>
      <c r="BX74" s="236" t="str">
        <f>IFERROR(__xludf.DUMMYFUNCTION("if(countif(ecn.list,EX74),OFFSET(INDIRECT(CONCAT(""A"",to_text(match(EX74,ecn.list,0)))),0,1),"""")"),"")</f>
        <v/>
      </c>
      <c r="BY74" s="236" t="str">
        <f>IFERROR(__xludf.DUMMYFUNCTION("if(countif(ecn.list,EY74),OFFSET(INDIRECT(CONCAT(""A"",to_text(match(EY74,ecn.list,0)))),0,1),"""")"),"")</f>
        <v/>
      </c>
      <c r="BZ74" s="236" t="str">
        <f>IFERROR(__xludf.DUMMYFUNCTION("if(countif(ecn.list,EZ74),OFFSET(INDIRECT(CONCAT(""A"",to_text(match(EZ74,ecn.list,0)))),0,1),"""")"),"")</f>
        <v/>
      </c>
      <c r="CA74" s="236" t="str">
        <f>IFERROR(__xludf.DUMMYFUNCTION("if(countif(ecn.list,FA74),OFFSET(INDIRECT(CONCAT(""A"",to_text(match(FA74,ecn.list,0)))),0,1),"""")"),"")</f>
        <v/>
      </c>
      <c r="CB74" s="236" t="str">
        <f>IFERROR(__xludf.DUMMYFUNCTION("if(countif(ecn.list,FB74),OFFSET(INDIRECT(CONCAT(""A"",to_text(match(FB74,ecn.list,0)))),0,1),"""")"),"")</f>
        <v/>
      </c>
      <c r="CC74" s="236" t="str">
        <f>IFERROR(__xludf.DUMMYFUNCTION("if(countif(ecn.list,FC74),OFFSET(INDIRECT(CONCAT(""A"",to_text(match(FC74,ecn.list,0)))),0,1),"""")"),"")</f>
        <v/>
      </c>
      <c r="CD74" s="236" t="str">
        <f>IFERROR(__xludf.DUMMYFUNCTION("if(countif(ecn.list,FD74),OFFSET(INDIRECT(CONCAT(""A"",to_text(match(FD74,ecn.list,0)))),0,1),"""")"),"")</f>
        <v/>
      </c>
      <c r="CE74" s="236" t="str">
        <f>IFERROR(__xludf.DUMMYFUNCTION("if(countif(ecn.list,FE74),OFFSET(INDIRECT(CONCAT(""A"",to_text(match(FE74,ecn.list,0)))),0,1),"""")"),"")</f>
        <v/>
      </c>
      <c r="CF74" s="236" t="str">
        <f>IFERROR(__xludf.DUMMYFUNCTION("if(countif(ecn.list,FF74),OFFSET(INDIRECT(CONCAT(""A"",to_text(match(FF74,ecn.list,0)))),0,1),"""")"),"")</f>
        <v/>
      </c>
      <c r="CG74" s="236" t="str">
        <f>IFERROR(__xludf.DUMMYFUNCTION("if(countif(ecn.list,FG74),OFFSET(INDIRECT(CONCAT(""A"",to_text(match(FG74,ecn.list,0)))),0,1),"""")"),"")</f>
        <v/>
      </c>
      <c r="CH74" s="236" t="str">
        <f>IFERROR(__xludf.DUMMYFUNCTION("if(countif(ecn.list,FH74),OFFSET(INDIRECT(CONCAT(""A"",to_text(match(FH74,ecn.list,0)))),0,1),"""")"),"")</f>
        <v/>
      </c>
      <c r="CI74" s="236" t="str">
        <f>IFERROR(__xludf.DUMMYFUNCTION("if(countif(ecn.list,FI74),OFFSET(INDIRECT(CONCAT(""A"",to_text(match(FI74,ecn.list,0)))),0,1),"""")"),"")</f>
        <v/>
      </c>
      <c r="CJ74" s="236" t="str">
        <f>IFERROR(__xludf.DUMMYFUNCTION("if(countif(ecn.list,FJ74),OFFSET(INDIRECT(CONCAT(""A"",to_text(match(FJ74,ecn.list,0)))),0,1),"""")"),"")</f>
        <v/>
      </c>
      <c r="CK74" s="236" t="str">
        <f>IFERROR(__xludf.DUMMYFUNCTION("if(countif(ecn.list,FK74),OFFSET(INDIRECT(CONCAT(""A"",to_text(match(FK74,ecn.list,0)))),0,1),"""")"),"")</f>
        <v/>
      </c>
      <c r="CL74" s="236" t="str">
        <f>IFERROR(__xludf.DUMMYFUNCTION("if(countif(ecn.list,FL74),OFFSET(INDIRECT(CONCAT(""A"",to_text(match(FL74,ecn.list,0)))),0,1),"""")"),"")</f>
        <v/>
      </c>
      <c r="CM74" s="236" t="str">
        <f>IFERROR(__xludf.DUMMYFUNCTION("if(countif(ecn.list,FM74),OFFSET(INDIRECT(CONCAT(""A"",to_text(match(FM74,ecn.list,0)))),0,1),"""")"),"")</f>
        <v/>
      </c>
      <c r="CN74" s="198" t="s">
        <v>294</v>
      </c>
      <c r="CO74" s="198" t="s">
        <v>1453</v>
      </c>
      <c r="CP74" s="198" t="s">
        <v>1453</v>
      </c>
      <c r="CQ74" s="198" t="s">
        <v>1453</v>
      </c>
      <c r="CR74" s="198" t="s">
        <v>1453</v>
      </c>
      <c r="CS74" s="198" t="s">
        <v>1453</v>
      </c>
      <c r="CT74" s="198" t="s">
        <v>1453</v>
      </c>
      <c r="CU74" s="198" t="s">
        <v>1453</v>
      </c>
      <c r="CV74" s="198" t="s">
        <v>1453</v>
      </c>
      <c r="CW74" s="198" t="s">
        <v>1453</v>
      </c>
      <c r="CX74" s="198" t="s">
        <v>1453</v>
      </c>
      <c r="CY74" s="198" t="s">
        <v>1453</v>
      </c>
      <c r="CZ74" s="198" t="s">
        <v>1453</v>
      </c>
      <c r="DA74" s="198" t="s">
        <v>1453</v>
      </c>
      <c r="DB74" s="198" t="s">
        <v>1453</v>
      </c>
      <c r="DC74" s="198" t="s">
        <v>1453</v>
      </c>
      <c r="DD74" s="198" t="s">
        <v>1453</v>
      </c>
      <c r="DE74" s="198" t="s">
        <v>1453</v>
      </c>
      <c r="DF74" s="198" t="s">
        <v>1453</v>
      </c>
      <c r="DG74" s="198" t="s">
        <v>1453</v>
      </c>
      <c r="DH74" s="198" t="s">
        <v>1453</v>
      </c>
      <c r="DI74" s="198" t="s">
        <v>1453</v>
      </c>
      <c r="DJ74" s="198" t="s">
        <v>1453</v>
      </c>
      <c r="DK74" s="198" t="s">
        <v>1453</v>
      </c>
      <c r="DL74" s="198" t="s">
        <v>1453</v>
      </c>
      <c r="DM74" s="198" t="s">
        <v>1453</v>
      </c>
      <c r="DN74" s="198" t="s">
        <v>1453</v>
      </c>
      <c r="DO74" s="198" t="s">
        <v>1453</v>
      </c>
      <c r="DP74" s="198" t="s">
        <v>1453</v>
      </c>
      <c r="DQ74" s="198" t="s">
        <v>1453</v>
      </c>
      <c r="DR74" s="198" t="s">
        <v>1453</v>
      </c>
      <c r="DS74" s="198" t="s">
        <v>1453</v>
      </c>
      <c r="DT74" s="198" t="s">
        <v>1453</v>
      </c>
      <c r="DU74" s="198" t="s">
        <v>1453</v>
      </c>
      <c r="DV74" s="198" t="s">
        <v>1453</v>
      </c>
      <c r="DW74" s="198" t="s">
        <v>1453</v>
      </c>
      <c r="DX74" s="198" t="s">
        <v>1453</v>
      </c>
      <c r="DY74" s="198" t="s">
        <v>1453</v>
      </c>
      <c r="DZ74" s="198" t="s">
        <v>1453</v>
      </c>
      <c r="EA74" s="198" t="s">
        <v>1453</v>
      </c>
      <c r="EB74" s="198" t="s">
        <v>1453</v>
      </c>
      <c r="EC74" s="198" t="s">
        <v>1453</v>
      </c>
      <c r="ED74" s="198" t="s">
        <v>1453</v>
      </c>
      <c r="EE74" s="198" t="s">
        <v>1453</v>
      </c>
      <c r="EF74" s="198" t="s">
        <v>1453</v>
      </c>
      <c r="EG74" s="198" t="s">
        <v>1453</v>
      </c>
      <c r="EH74" s="198" t="s">
        <v>1453</v>
      </c>
      <c r="EI74" s="198" t="s">
        <v>1453</v>
      </c>
      <c r="EJ74" s="198" t="s">
        <v>1453</v>
      </c>
      <c r="EK74" s="198" t="s">
        <v>1453</v>
      </c>
      <c r="EL74" s="198" t="s">
        <v>1453</v>
      </c>
      <c r="EM74" s="198" t="s">
        <v>1453</v>
      </c>
      <c r="EN74" s="198" t="s">
        <v>1453</v>
      </c>
      <c r="EO74" s="198" t="s">
        <v>1453</v>
      </c>
      <c r="EP74" s="198" t="s">
        <v>1453</v>
      </c>
      <c r="EQ74" s="198" t="s">
        <v>1453</v>
      </c>
      <c r="ER74" s="198" t="s">
        <v>1453</v>
      </c>
      <c r="ES74" s="198" t="s">
        <v>1453</v>
      </c>
      <c r="ET74" s="198" t="s">
        <v>1453</v>
      </c>
      <c r="EU74" s="198" t="s">
        <v>1453</v>
      </c>
      <c r="EV74" s="198" t="s">
        <v>1453</v>
      </c>
      <c r="EW74" s="198" t="s">
        <v>1453</v>
      </c>
      <c r="EX74" s="198" t="s">
        <v>1453</v>
      </c>
      <c r="EY74" s="198" t="s">
        <v>1453</v>
      </c>
      <c r="EZ74" s="198" t="s">
        <v>1453</v>
      </c>
      <c r="FA74" s="198" t="s">
        <v>1453</v>
      </c>
      <c r="FB74" s="198" t="s">
        <v>1453</v>
      </c>
      <c r="FC74" s="198" t="s">
        <v>1453</v>
      </c>
      <c r="FD74" s="198" t="s">
        <v>1453</v>
      </c>
      <c r="FE74" s="198" t="s">
        <v>1453</v>
      </c>
      <c r="FF74" s="198" t="s">
        <v>1453</v>
      </c>
      <c r="FG74" s="198" t="s">
        <v>1453</v>
      </c>
      <c r="FH74" s="198" t="s">
        <v>1453</v>
      </c>
      <c r="FI74" s="198" t="s">
        <v>1453</v>
      </c>
      <c r="FJ74" s="198" t="s">
        <v>1453</v>
      </c>
      <c r="FK74" s="198" t="s">
        <v>1453</v>
      </c>
      <c r="FL74" s="198" t="s">
        <v>1453</v>
      </c>
      <c r="FM74" s="198" t="s">
        <v>1453</v>
      </c>
    </row>
    <row r="75" ht="15.75" customHeight="1">
      <c r="A75" s="236" t="s">
        <v>1479</v>
      </c>
      <c r="B75" s="198" t="str">
        <f t="shared" si="8"/>
        <v>N7 </v>
      </c>
      <c r="C75" s="234">
        <v>7.0</v>
      </c>
      <c r="D75" s="232" t="s">
        <v>860</v>
      </c>
      <c r="E75" s="232" t="s">
        <v>785</v>
      </c>
      <c r="F75" s="232" t="s">
        <v>861</v>
      </c>
      <c r="G75" s="232" t="s">
        <v>862</v>
      </c>
      <c r="H75" s="232" t="s">
        <v>775</v>
      </c>
      <c r="I75" s="232" t="s">
        <v>863</v>
      </c>
      <c r="J75" s="232" t="s">
        <v>864</v>
      </c>
      <c r="K75" s="232" t="s">
        <v>871</v>
      </c>
      <c r="L75" s="188" t="s">
        <v>297</v>
      </c>
      <c r="M75" s="236" t="str">
        <f>IFERROR(__xludf.DUMMYFUNCTION("regexreplace(N75,"" "","", "")"),"")</f>
        <v/>
      </c>
      <c r="N75" s="236" t="str">
        <f t="shared" si="2"/>
        <v/>
      </c>
      <c r="O75" s="236" t="str">
        <f>IFERROR(__xludf.DUMMYFUNCTION("if(countif(ecn.list,CO75),OFFSET(INDIRECT(CONCAT(""A"",to_text(match(CO75,ecn.list,0)))),0,1),"""")"),"")</f>
        <v/>
      </c>
      <c r="P75" s="236" t="str">
        <f>IFERROR(__xludf.DUMMYFUNCTION("if(countif(ecn.list,CP75),OFFSET(INDIRECT(CONCAT(""A"",to_text(match(CP75,ecn.list,0)))),0,1),"""")"),"")</f>
        <v/>
      </c>
      <c r="Q75" s="236" t="str">
        <f>IFERROR(__xludf.DUMMYFUNCTION("if(countif(ecn.list,CQ75),OFFSET(INDIRECT(CONCAT(""A"",to_text(match(CQ75,ecn.list,0)))),0,1),"""")"),"")</f>
        <v/>
      </c>
      <c r="R75" s="236" t="str">
        <f>IFERROR(__xludf.DUMMYFUNCTION("if(countif(ecn.list,CR75),OFFSET(INDIRECT(CONCAT(""A"",to_text(match(CR75,ecn.list,0)))),0,1),"""")"),"")</f>
        <v/>
      </c>
      <c r="S75" s="236" t="str">
        <f>IFERROR(__xludf.DUMMYFUNCTION("if(countif(ecn.list,CS75),OFFSET(INDIRECT(CONCAT(""A"",to_text(match(CS75,ecn.list,0)))),0,1),"""")"),"")</f>
        <v/>
      </c>
      <c r="T75" s="236" t="str">
        <f>IFERROR(__xludf.DUMMYFUNCTION("if(countif(ecn.list,CT75),OFFSET(INDIRECT(CONCAT(""A"",to_text(match(CT75,ecn.list,0)))),0,1),"""")"),"")</f>
        <v/>
      </c>
      <c r="U75" s="236" t="str">
        <f>IFERROR(__xludf.DUMMYFUNCTION("if(countif(ecn.list,CU75),OFFSET(INDIRECT(CONCAT(""A"",to_text(match(CU75,ecn.list,0)))),0,1),"""")"),"")</f>
        <v/>
      </c>
      <c r="V75" s="236" t="str">
        <f>IFERROR(__xludf.DUMMYFUNCTION("if(countif(ecn.list,CV75),OFFSET(INDIRECT(CONCAT(""A"",to_text(match(CV75,ecn.list,0)))),0,1),"""")"),"")</f>
        <v/>
      </c>
      <c r="W75" s="236" t="str">
        <f>IFERROR(__xludf.DUMMYFUNCTION("if(countif(ecn.list,CW75),OFFSET(INDIRECT(CONCAT(""A"",to_text(match(CW75,ecn.list,0)))),0,1),"""")"),"")</f>
        <v/>
      </c>
      <c r="X75" s="236" t="str">
        <f>IFERROR(__xludf.DUMMYFUNCTION("if(countif(ecn.list,CX75),OFFSET(INDIRECT(CONCAT(""A"",to_text(match(CX75,ecn.list,0)))),0,1),"""")"),"")</f>
        <v/>
      </c>
      <c r="Y75" s="236" t="str">
        <f>IFERROR(__xludf.DUMMYFUNCTION("if(countif(ecn.list,CY75),OFFSET(INDIRECT(CONCAT(""A"",to_text(match(CY75,ecn.list,0)))),0,1),"""")"),"")</f>
        <v/>
      </c>
      <c r="Z75" s="236" t="str">
        <f>IFERROR(__xludf.DUMMYFUNCTION("if(countif(ecn.list,CZ75),OFFSET(INDIRECT(CONCAT(""A"",to_text(match(CZ75,ecn.list,0)))),0,1),"""")"),"")</f>
        <v/>
      </c>
      <c r="AA75" s="236" t="str">
        <f>IFERROR(__xludf.DUMMYFUNCTION("if(countif(ecn.list,DA75),OFFSET(INDIRECT(CONCAT(""A"",to_text(match(DA75,ecn.list,0)))),0,1),"""")"),"")</f>
        <v/>
      </c>
      <c r="AB75" s="236" t="str">
        <f>IFERROR(__xludf.DUMMYFUNCTION("if(countif(ecn.list,DB75),OFFSET(INDIRECT(CONCAT(""A"",to_text(match(DB75,ecn.list,0)))),0,1),"""")"),"")</f>
        <v/>
      </c>
      <c r="AC75" s="236" t="str">
        <f>IFERROR(__xludf.DUMMYFUNCTION("if(countif(ecn.list,DC75),OFFSET(INDIRECT(CONCAT(""A"",to_text(match(DC75,ecn.list,0)))),0,1),"""")"),"")</f>
        <v/>
      </c>
      <c r="AD75" s="236" t="str">
        <f>IFERROR(__xludf.DUMMYFUNCTION("if(countif(ecn.list,DD75),OFFSET(INDIRECT(CONCAT(""A"",to_text(match(DD75,ecn.list,0)))),0,1),"""")"),"")</f>
        <v/>
      </c>
      <c r="AE75" s="236" t="str">
        <f>IFERROR(__xludf.DUMMYFUNCTION("if(countif(ecn.list,DE75),OFFSET(INDIRECT(CONCAT(""A"",to_text(match(DE75,ecn.list,0)))),0,1),"""")"),"")</f>
        <v/>
      </c>
      <c r="AF75" s="236" t="str">
        <f>IFERROR(__xludf.DUMMYFUNCTION("if(countif(ecn.list,DF75),OFFSET(INDIRECT(CONCAT(""A"",to_text(match(DF75,ecn.list,0)))),0,1),"""")"),"")</f>
        <v/>
      </c>
      <c r="AG75" s="236" t="str">
        <f>IFERROR(__xludf.DUMMYFUNCTION("if(countif(ecn.list,DG75),OFFSET(INDIRECT(CONCAT(""A"",to_text(match(DG75,ecn.list,0)))),0,1),"""")"),"")</f>
        <v/>
      </c>
      <c r="AH75" s="236" t="str">
        <f>IFERROR(__xludf.DUMMYFUNCTION("if(countif(ecn.list,DH75),OFFSET(INDIRECT(CONCAT(""A"",to_text(match(DH75,ecn.list,0)))),0,1),"""")"),"")</f>
        <v/>
      </c>
      <c r="AI75" s="236" t="str">
        <f>IFERROR(__xludf.DUMMYFUNCTION("if(countif(ecn.list,DI75),OFFSET(INDIRECT(CONCAT(""A"",to_text(match(DI75,ecn.list,0)))),0,1),"""")"),"")</f>
        <v/>
      </c>
      <c r="AJ75" s="236" t="str">
        <f>IFERROR(__xludf.DUMMYFUNCTION("if(countif(ecn.list,DJ75),OFFSET(INDIRECT(CONCAT(""A"",to_text(match(DJ75,ecn.list,0)))),0,1),"""")"),"")</f>
        <v/>
      </c>
      <c r="AK75" s="236" t="str">
        <f>IFERROR(__xludf.DUMMYFUNCTION("if(countif(ecn.list,DK75),OFFSET(INDIRECT(CONCAT(""A"",to_text(match(DK75,ecn.list,0)))),0,1),"""")"),"")</f>
        <v/>
      </c>
      <c r="AL75" s="236" t="str">
        <f>IFERROR(__xludf.DUMMYFUNCTION("if(countif(ecn.list,DL75),OFFSET(INDIRECT(CONCAT(""A"",to_text(match(DL75,ecn.list,0)))),0,1),"""")"),"")</f>
        <v/>
      </c>
      <c r="AM75" s="236" t="str">
        <f>IFERROR(__xludf.DUMMYFUNCTION("if(countif(ecn.list,DM75),OFFSET(INDIRECT(CONCAT(""A"",to_text(match(DM75,ecn.list,0)))),0,1),"""")"),"")</f>
        <v/>
      </c>
      <c r="AN75" s="236" t="str">
        <f>IFERROR(__xludf.DUMMYFUNCTION("if(countif(ecn.list,DN75),OFFSET(INDIRECT(CONCAT(""A"",to_text(match(DN75,ecn.list,0)))),0,1),"""")"),"")</f>
        <v/>
      </c>
      <c r="AO75" s="236" t="str">
        <f>IFERROR(__xludf.DUMMYFUNCTION("if(countif(ecn.list,DO75),OFFSET(INDIRECT(CONCAT(""A"",to_text(match(DO75,ecn.list,0)))),0,1),"""")"),"")</f>
        <v/>
      </c>
      <c r="AP75" s="236" t="str">
        <f>IFERROR(__xludf.DUMMYFUNCTION("if(countif(ecn.list,DP75),OFFSET(INDIRECT(CONCAT(""A"",to_text(match(DP75,ecn.list,0)))),0,1),"""")"),"")</f>
        <v/>
      </c>
      <c r="AQ75" s="236" t="str">
        <f>IFERROR(__xludf.DUMMYFUNCTION("if(countif(ecn.list,DQ75),OFFSET(INDIRECT(CONCAT(""A"",to_text(match(DQ75,ecn.list,0)))),0,1),"""")"),"")</f>
        <v/>
      </c>
      <c r="AR75" s="236" t="str">
        <f>IFERROR(__xludf.DUMMYFUNCTION("if(countif(ecn.list,DR75),OFFSET(INDIRECT(CONCAT(""A"",to_text(match(DR75,ecn.list,0)))),0,1),"""")"),"")</f>
        <v/>
      </c>
      <c r="AS75" s="236" t="str">
        <f>IFERROR(__xludf.DUMMYFUNCTION("if(countif(ecn.list,DS75),OFFSET(INDIRECT(CONCAT(""A"",to_text(match(DS75,ecn.list,0)))),0,1),"""")"),"")</f>
        <v/>
      </c>
      <c r="AT75" s="236" t="str">
        <f>IFERROR(__xludf.DUMMYFUNCTION("if(countif(ecn.list,DT75),OFFSET(INDIRECT(CONCAT(""A"",to_text(match(DT75,ecn.list,0)))),0,1),"""")"),"")</f>
        <v/>
      </c>
      <c r="AU75" s="236" t="str">
        <f>IFERROR(__xludf.DUMMYFUNCTION("if(countif(ecn.list,DU75),OFFSET(INDIRECT(CONCAT(""A"",to_text(match(DU75,ecn.list,0)))),0,1),"""")"),"")</f>
        <v/>
      </c>
      <c r="AV75" s="236" t="str">
        <f>IFERROR(__xludf.DUMMYFUNCTION("if(countif(ecn.list,DV75),OFFSET(INDIRECT(CONCAT(""A"",to_text(match(DV75,ecn.list,0)))),0,1),"""")"),"")</f>
        <v/>
      </c>
      <c r="AW75" s="236" t="str">
        <f>IFERROR(__xludf.DUMMYFUNCTION("if(countif(ecn.list,DW75),OFFSET(INDIRECT(CONCAT(""A"",to_text(match(DW75,ecn.list,0)))),0,1),"""")"),"")</f>
        <v/>
      </c>
      <c r="AX75" s="236" t="str">
        <f>IFERROR(__xludf.DUMMYFUNCTION("if(countif(ecn.list,DX75),OFFSET(INDIRECT(CONCAT(""A"",to_text(match(DX75,ecn.list,0)))),0,1),"""")"),"")</f>
        <v/>
      </c>
      <c r="AY75" s="236" t="str">
        <f>IFERROR(__xludf.DUMMYFUNCTION("if(countif(ecn.list,DY75),OFFSET(INDIRECT(CONCAT(""A"",to_text(match(DY75,ecn.list,0)))),0,1),"""")"),"")</f>
        <v/>
      </c>
      <c r="AZ75" s="236" t="str">
        <f>IFERROR(__xludf.DUMMYFUNCTION("if(countif(ecn.list,DZ75),OFFSET(INDIRECT(CONCAT(""A"",to_text(match(DZ75,ecn.list,0)))),0,1),"""")"),"")</f>
        <v/>
      </c>
      <c r="BA75" s="236" t="str">
        <f>IFERROR(__xludf.DUMMYFUNCTION("if(countif(ecn.list,EA75),OFFSET(INDIRECT(CONCAT(""A"",to_text(match(EA75,ecn.list,0)))),0,1),"""")"),"")</f>
        <v/>
      </c>
      <c r="BB75" s="236" t="str">
        <f>IFERROR(__xludf.DUMMYFUNCTION("if(countif(ecn.list,EB75),OFFSET(INDIRECT(CONCAT(""A"",to_text(match(EB75,ecn.list,0)))),0,1),"""")"),"")</f>
        <v/>
      </c>
      <c r="BC75" s="236" t="str">
        <f>IFERROR(__xludf.DUMMYFUNCTION("if(countif(ecn.list,EC75),OFFSET(INDIRECT(CONCAT(""A"",to_text(match(EC75,ecn.list,0)))),0,1),"""")"),"")</f>
        <v/>
      </c>
      <c r="BD75" s="236" t="str">
        <f>IFERROR(__xludf.DUMMYFUNCTION("if(countif(ecn.list,ED75),OFFSET(INDIRECT(CONCAT(""A"",to_text(match(ED75,ecn.list,0)))),0,1),"""")"),"")</f>
        <v/>
      </c>
      <c r="BE75" s="236" t="str">
        <f>IFERROR(__xludf.DUMMYFUNCTION("if(countif(ecn.list,EE75),OFFSET(INDIRECT(CONCAT(""A"",to_text(match(EE75,ecn.list,0)))),0,1),"""")"),"")</f>
        <v/>
      </c>
      <c r="BF75" s="236" t="str">
        <f>IFERROR(__xludf.DUMMYFUNCTION("if(countif(ecn.list,EF75),OFFSET(INDIRECT(CONCAT(""A"",to_text(match(EF75,ecn.list,0)))),0,1),"""")"),"")</f>
        <v/>
      </c>
      <c r="BG75" s="236" t="str">
        <f>IFERROR(__xludf.DUMMYFUNCTION("if(countif(ecn.list,EG75),OFFSET(INDIRECT(CONCAT(""A"",to_text(match(EG75,ecn.list,0)))),0,1),"""")"),"")</f>
        <v/>
      </c>
      <c r="BH75" s="236" t="str">
        <f>IFERROR(__xludf.DUMMYFUNCTION("if(countif(ecn.list,EH75),OFFSET(INDIRECT(CONCAT(""A"",to_text(match(EH75,ecn.list,0)))),0,1),"""")"),"")</f>
        <v/>
      </c>
      <c r="BI75" s="236" t="str">
        <f>IFERROR(__xludf.DUMMYFUNCTION("if(countif(ecn.list,EI75),OFFSET(INDIRECT(CONCAT(""A"",to_text(match(EI75,ecn.list,0)))),0,1),"""")"),"")</f>
        <v/>
      </c>
      <c r="BJ75" s="236" t="str">
        <f>IFERROR(__xludf.DUMMYFUNCTION("if(countif(ecn.list,EJ75),OFFSET(INDIRECT(CONCAT(""A"",to_text(match(EJ75,ecn.list,0)))),0,1),"""")"),"")</f>
        <v/>
      </c>
      <c r="BK75" s="236" t="str">
        <f>IFERROR(__xludf.DUMMYFUNCTION("if(countif(ecn.list,EK75),OFFSET(INDIRECT(CONCAT(""A"",to_text(match(EK75,ecn.list,0)))),0,1),"""")"),"")</f>
        <v/>
      </c>
      <c r="BL75" s="236" t="str">
        <f>IFERROR(__xludf.DUMMYFUNCTION("if(countif(ecn.list,EL75),OFFSET(INDIRECT(CONCAT(""A"",to_text(match(EL75,ecn.list,0)))),0,1),"""")"),"")</f>
        <v/>
      </c>
      <c r="BM75" s="236" t="str">
        <f>IFERROR(__xludf.DUMMYFUNCTION("if(countif(ecn.list,EM75),OFFSET(INDIRECT(CONCAT(""A"",to_text(match(EM75,ecn.list,0)))),0,1),"""")"),"")</f>
        <v/>
      </c>
      <c r="BN75" s="236" t="str">
        <f>IFERROR(__xludf.DUMMYFUNCTION("if(countif(ecn.list,EN75),OFFSET(INDIRECT(CONCAT(""A"",to_text(match(EN75,ecn.list,0)))),0,1),"""")"),"")</f>
        <v/>
      </c>
      <c r="BO75" s="236" t="str">
        <f>IFERROR(__xludf.DUMMYFUNCTION("if(countif(ecn.list,EO75),OFFSET(INDIRECT(CONCAT(""A"",to_text(match(EO75,ecn.list,0)))),0,1),"""")"),"")</f>
        <v/>
      </c>
      <c r="BP75" s="236" t="str">
        <f>IFERROR(__xludf.DUMMYFUNCTION("if(countif(ecn.list,EP75),OFFSET(INDIRECT(CONCAT(""A"",to_text(match(EP75,ecn.list,0)))),0,1),"""")"),"")</f>
        <v/>
      </c>
      <c r="BQ75" s="236" t="str">
        <f>IFERROR(__xludf.DUMMYFUNCTION("if(countif(ecn.list,EQ75),OFFSET(INDIRECT(CONCAT(""A"",to_text(match(EQ75,ecn.list,0)))),0,1),"""")"),"")</f>
        <v/>
      </c>
      <c r="BR75" s="236" t="str">
        <f>IFERROR(__xludf.DUMMYFUNCTION("if(countif(ecn.list,ER75),OFFSET(INDIRECT(CONCAT(""A"",to_text(match(ER75,ecn.list,0)))),0,1),"""")"),"")</f>
        <v/>
      </c>
      <c r="BS75" s="236" t="str">
        <f>IFERROR(__xludf.DUMMYFUNCTION("if(countif(ecn.list,ES75),OFFSET(INDIRECT(CONCAT(""A"",to_text(match(ES75,ecn.list,0)))),0,1),"""")"),"")</f>
        <v/>
      </c>
      <c r="BT75" s="236" t="str">
        <f>IFERROR(__xludf.DUMMYFUNCTION("if(countif(ecn.list,ET75),OFFSET(INDIRECT(CONCAT(""A"",to_text(match(ET75,ecn.list,0)))),0,1),"""")"),"")</f>
        <v/>
      </c>
      <c r="BU75" s="236" t="str">
        <f>IFERROR(__xludf.DUMMYFUNCTION("if(countif(ecn.list,EU75),OFFSET(INDIRECT(CONCAT(""A"",to_text(match(EU75,ecn.list,0)))),0,1),"""")"),"")</f>
        <v/>
      </c>
      <c r="BV75" s="236" t="str">
        <f>IFERROR(__xludf.DUMMYFUNCTION("if(countif(ecn.list,EV75),OFFSET(INDIRECT(CONCAT(""A"",to_text(match(EV75,ecn.list,0)))),0,1),"""")"),"")</f>
        <v/>
      </c>
      <c r="BW75" s="236" t="str">
        <f>IFERROR(__xludf.DUMMYFUNCTION("if(countif(ecn.list,EW75),OFFSET(INDIRECT(CONCAT(""A"",to_text(match(EW75,ecn.list,0)))),0,1),"""")"),"")</f>
        <v/>
      </c>
      <c r="BX75" s="236" t="str">
        <f>IFERROR(__xludf.DUMMYFUNCTION("if(countif(ecn.list,EX75),OFFSET(INDIRECT(CONCAT(""A"",to_text(match(EX75,ecn.list,0)))),0,1),"""")"),"")</f>
        <v/>
      </c>
      <c r="BY75" s="236" t="str">
        <f>IFERROR(__xludf.DUMMYFUNCTION("if(countif(ecn.list,EY75),OFFSET(INDIRECT(CONCAT(""A"",to_text(match(EY75,ecn.list,0)))),0,1),"""")"),"")</f>
        <v/>
      </c>
      <c r="BZ75" s="236" t="str">
        <f>IFERROR(__xludf.DUMMYFUNCTION("if(countif(ecn.list,EZ75),OFFSET(INDIRECT(CONCAT(""A"",to_text(match(EZ75,ecn.list,0)))),0,1),"""")"),"")</f>
        <v/>
      </c>
      <c r="CA75" s="236" t="str">
        <f>IFERROR(__xludf.DUMMYFUNCTION("if(countif(ecn.list,FA75),OFFSET(INDIRECT(CONCAT(""A"",to_text(match(FA75,ecn.list,0)))),0,1),"""")"),"")</f>
        <v/>
      </c>
      <c r="CB75" s="236" t="str">
        <f>IFERROR(__xludf.DUMMYFUNCTION("if(countif(ecn.list,FB75),OFFSET(INDIRECT(CONCAT(""A"",to_text(match(FB75,ecn.list,0)))),0,1),"""")"),"")</f>
        <v/>
      </c>
      <c r="CC75" s="236" t="str">
        <f>IFERROR(__xludf.DUMMYFUNCTION("if(countif(ecn.list,FC75),OFFSET(INDIRECT(CONCAT(""A"",to_text(match(FC75,ecn.list,0)))),0,1),"""")"),"")</f>
        <v/>
      </c>
      <c r="CD75" s="236" t="str">
        <f>IFERROR(__xludf.DUMMYFUNCTION("if(countif(ecn.list,FD75),OFFSET(INDIRECT(CONCAT(""A"",to_text(match(FD75,ecn.list,0)))),0,1),"""")"),"")</f>
        <v/>
      </c>
      <c r="CE75" s="236" t="str">
        <f>IFERROR(__xludf.DUMMYFUNCTION("if(countif(ecn.list,FE75),OFFSET(INDIRECT(CONCAT(""A"",to_text(match(FE75,ecn.list,0)))),0,1),"""")"),"")</f>
        <v/>
      </c>
      <c r="CF75" s="236" t="str">
        <f>IFERROR(__xludf.DUMMYFUNCTION("if(countif(ecn.list,FF75),OFFSET(INDIRECT(CONCAT(""A"",to_text(match(FF75,ecn.list,0)))),0,1),"""")"),"")</f>
        <v/>
      </c>
      <c r="CG75" s="236" t="str">
        <f>IFERROR(__xludf.DUMMYFUNCTION("if(countif(ecn.list,FG75),OFFSET(INDIRECT(CONCAT(""A"",to_text(match(FG75,ecn.list,0)))),0,1),"""")"),"")</f>
        <v/>
      </c>
      <c r="CH75" s="236" t="str">
        <f>IFERROR(__xludf.DUMMYFUNCTION("if(countif(ecn.list,FH75),OFFSET(INDIRECT(CONCAT(""A"",to_text(match(FH75,ecn.list,0)))),0,1),"""")"),"")</f>
        <v/>
      </c>
      <c r="CI75" s="236" t="str">
        <f>IFERROR(__xludf.DUMMYFUNCTION("if(countif(ecn.list,FI75),OFFSET(INDIRECT(CONCAT(""A"",to_text(match(FI75,ecn.list,0)))),0,1),"""")"),"")</f>
        <v/>
      </c>
      <c r="CJ75" s="236" t="str">
        <f>IFERROR(__xludf.DUMMYFUNCTION("if(countif(ecn.list,FJ75),OFFSET(INDIRECT(CONCAT(""A"",to_text(match(FJ75,ecn.list,0)))),0,1),"""")"),"")</f>
        <v/>
      </c>
      <c r="CK75" s="236" t="str">
        <f>IFERROR(__xludf.DUMMYFUNCTION("if(countif(ecn.list,FK75),OFFSET(INDIRECT(CONCAT(""A"",to_text(match(FK75,ecn.list,0)))),0,1),"""")"),"")</f>
        <v/>
      </c>
      <c r="CL75" s="236" t="str">
        <f>IFERROR(__xludf.DUMMYFUNCTION("if(countif(ecn.list,FL75),OFFSET(INDIRECT(CONCAT(""A"",to_text(match(FL75,ecn.list,0)))),0,1),"""")"),"")</f>
        <v/>
      </c>
      <c r="CM75" s="236" t="str">
        <f>IFERROR(__xludf.DUMMYFUNCTION("if(countif(ecn.list,FM75),OFFSET(INDIRECT(CONCAT(""A"",to_text(match(FM75,ecn.list,0)))),0,1),"""")"),"")</f>
        <v/>
      </c>
      <c r="CN75" s="198" t="s">
        <v>297</v>
      </c>
      <c r="CO75" s="198" t="s">
        <v>1453</v>
      </c>
      <c r="CP75" s="198" t="s">
        <v>1453</v>
      </c>
      <c r="CQ75" s="198" t="s">
        <v>1453</v>
      </c>
      <c r="CR75" s="198" t="s">
        <v>1453</v>
      </c>
      <c r="CS75" s="198" t="s">
        <v>1453</v>
      </c>
      <c r="CT75" s="198" t="s">
        <v>1453</v>
      </c>
      <c r="CU75" s="198" t="s">
        <v>1453</v>
      </c>
      <c r="CV75" s="198" t="s">
        <v>1453</v>
      </c>
      <c r="CW75" s="198" t="s">
        <v>1453</v>
      </c>
      <c r="CX75" s="198" t="s">
        <v>1453</v>
      </c>
      <c r="CY75" s="198" t="s">
        <v>1453</v>
      </c>
      <c r="CZ75" s="198" t="s">
        <v>1453</v>
      </c>
      <c r="DA75" s="198" t="s">
        <v>1453</v>
      </c>
      <c r="DB75" s="198" t="s">
        <v>1453</v>
      </c>
      <c r="DC75" s="198" t="s">
        <v>1453</v>
      </c>
      <c r="DD75" s="198" t="s">
        <v>1453</v>
      </c>
      <c r="DE75" s="198" t="s">
        <v>1453</v>
      </c>
      <c r="DF75" s="198" t="s">
        <v>1453</v>
      </c>
      <c r="DG75" s="198" t="s">
        <v>1453</v>
      </c>
      <c r="DH75" s="198" t="s">
        <v>1453</v>
      </c>
      <c r="DI75" s="198" t="s">
        <v>1453</v>
      </c>
      <c r="DJ75" s="198" t="s">
        <v>1453</v>
      </c>
      <c r="DK75" s="198" t="s">
        <v>1453</v>
      </c>
      <c r="DL75" s="198" t="s">
        <v>1453</v>
      </c>
      <c r="DM75" s="198" t="s">
        <v>1453</v>
      </c>
      <c r="DN75" s="198" t="s">
        <v>1453</v>
      </c>
      <c r="DO75" s="198" t="s">
        <v>1453</v>
      </c>
      <c r="DP75" s="198" t="s">
        <v>1453</v>
      </c>
      <c r="DQ75" s="198" t="s">
        <v>1453</v>
      </c>
      <c r="DR75" s="198" t="s">
        <v>1453</v>
      </c>
      <c r="DS75" s="198" t="s">
        <v>1453</v>
      </c>
      <c r="DT75" s="198" t="s">
        <v>1453</v>
      </c>
      <c r="DU75" s="198" t="s">
        <v>1453</v>
      </c>
      <c r="DV75" s="198" t="s">
        <v>1453</v>
      </c>
      <c r="DW75" s="198" t="s">
        <v>1453</v>
      </c>
      <c r="DX75" s="198" t="s">
        <v>1453</v>
      </c>
      <c r="DY75" s="198" t="s">
        <v>1453</v>
      </c>
      <c r="DZ75" s="198" t="s">
        <v>1453</v>
      </c>
      <c r="EA75" s="198" t="s">
        <v>1453</v>
      </c>
      <c r="EB75" s="198" t="s">
        <v>1453</v>
      </c>
      <c r="EC75" s="198" t="s">
        <v>1453</v>
      </c>
      <c r="ED75" s="198" t="s">
        <v>1453</v>
      </c>
      <c r="EE75" s="198" t="s">
        <v>1453</v>
      </c>
      <c r="EF75" s="198" t="s">
        <v>1453</v>
      </c>
      <c r="EG75" s="198" t="s">
        <v>1453</v>
      </c>
      <c r="EH75" s="198" t="s">
        <v>1453</v>
      </c>
      <c r="EI75" s="198" t="s">
        <v>1453</v>
      </c>
      <c r="EJ75" s="198" t="s">
        <v>1453</v>
      </c>
      <c r="EK75" s="198" t="s">
        <v>1453</v>
      </c>
      <c r="EL75" s="198" t="s">
        <v>1453</v>
      </c>
      <c r="EM75" s="198" t="s">
        <v>1453</v>
      </c>
      <c r="EN75" s="198" t="s">
        <v>1453</v>
      </c>
      <c r="EO75" s="198" t="s">
        <v>1453</v>
      </c>
      <c r="EP75" s="198" t="s">
        <v>1453</v>
      </c>
      <c r="EQ75" s="198" t="s">
        <v>1453</v>
      </c>
      <c r="ER75" s="198" t="s">
        <v>1453</v>
      </c>
      <c r="ES75" s="198" t="s">
        <v>1453</v>
      </c>
      <c r="ET75" s="198" t="s">
        <v>1453</v>
      </c>
      <c r="EU75" s="198" t="s">
        <v>1453</v>
      </c>
      <c r="EV75" s="198" t="s">
        <v>1453</v>
      </c>
      <c r="EW75" s="198" t="s">
        <v>1453</v>
      </c>
      <c r="EX75" s="198" t="s">
        <v>1453</v>
      </c>
      <c r="EY75" s="198" t="s">
        <v>1453</v>
      </c>
      <c r="EZ75" s="198" t="s">
        <v>1453</v>
      </c>
      <c r="FA75" s="198" t="s">
        <v>1453</v>
      </c>
      <c r="FB75" s="198" t="s">
        <v>1453</v>
      </c>
      <c r="FC75" s="198" t="s">
        <v>1453</v>
      </c>
      <c r="FD75" s="198" t="s">
        <v>1453</v>
      </c>
      <c r="FE75" s="198" t="s">
        <v>1453</v>
      </c>
      <c r="FF75" s="198" t="s">
        <v>1453</v>
      </c>
      <c r="FG75" s="198" t="s">
        <v>1453</v>
      </c>
      <c r="FH75" s="198" t="s">
        <v>1453</v>
      </c>
      <c r="FI75" s="198" t="s">
        <v>1453</v>
      </c>
      <c r="FJ75" s="198" t="s">
        <v>1453</v>
      </c>
      <c r="FK75" s="198" t="s">
        <v>1453</v>
      </c>
      <c r="FL75" s="198" t="s">
        <v>1453</v>
      </c>
      <c r="FM75" s="198" t="s">
        <v>1453</v>
      </c>
    </row>
    <row r="76" ht="15.75" customHeight="1">
      <c r="A76" s="198" t="s">
        <v>1480</v>
      </c>
      <c r="B76" s="198" t="str">
        <f t="shared" si="8"/>
        <v>N8 </v>
      </c>
      <c r="C76" s="234">
        <v>8.0</v>
      </c>
      <c r="D76" s="232" t="s">
        <v>770</v>
      </c>
      <c r="E76" s="232" t="s">
        <v>1448</v>
      </c>
      <c r="F76" s="232" t="s">
        <v>1449</v>
      </c>
      <c r="G76" s="232" t="s">
        <v>1450</v>
      </c>
      <c r="H76" s="232" t="s">
        <v>876</v>
      </c>
      <c r="I76" s="232" t="s">
        <v>1078</v>
      </c>
      <c r="J76" s="232" t="s">
        <v>1538</v>
      </c>
      <c r="K76" s="232" t="s">
        <v>1086</v>
      </c>
      <c r="L76" s="188" t="s">
        <v>300</v>
      </c>
      <c r="M76" s="236" t="str">
        <f>IFERROR(__xludf.DUMMYFUNCTION("regexreplace(N76,"" "","", "")"),"J0, J1, J2, J5, J6, J7, JC, K0, K5, K7, K9, KA, KB, KC, KD, KF, L1, L8, LA, LC, LF, M0, M1, M3, M4, M8, MF, N2, N7, NA, ")</f>
        <v>J0, J1, J2, J5, J6, J7, JC, K0, K5, K7, K9, KA, KB, KC, KD, KF, L1, L8, LA, LC, LF, M0, M1, M3, M4, M8, MF, N2, N7, NA, </v>
      </c>
      <c r="N76" s="236" t="str">
        <f t="shared" si="2"/>
        <v>J0 J1 J2 J5 J6 J7 JC K0 K5 K7 K9 KA KB KC KD KF L1 L8 LA LC LF M0 M1 M3 M4 M8 MF N2 N7 NA </v>
      </c>
      <c r="O76" s="236" t="str">
        <f>IFERROR(__xludf.DUMMYFUNCTION("if(countif(ecn.list,CO76),OFFSET(INDIRECT(CONCAT(""A"",to_text(match(CO76,ecn.list,0)))),0,1),"""")"),"J0 ")</f>
        <v>J0 </v>
      </c>
      <c r="P76" s="236" t="str">
        <f>IFERROR(__xludf.DUMMYFUNCTION("if(countif(ecn.list,CP76),OFFSET(INDIRECT(CONCAT(""A"",to_text(match(CP76,ecn.list,0)))),0,1),"""")"),"J1 ")</f>
        <v>J1 </v>
      </c>
      <c r="Q76" s="236" t="str">
        <f>IFERROR(__xludf.DUMMYFUNCTION("if(countif(ecn.list,CQ76),OFFSET(INDIRECT(CONCAT(""A"",to_text(match(CQ76,ecn.list,0)))),0,1),"""")"),"J2 ")</f>
        <v>J2 </v>
      </c>
      <c r="R76" s="236" t="str">
        <f>IFERROR(__xludf.DUMMYFUNCTION("if(countif(ecn.list,CR76),OFFSET(INDIRECT(CONCAT(""A"",to_text(match(CR76,ecn.list,0)))),0,1),"""")"),"")</f>
        <v/>
      </c>
      <c r="S76" s="236" t="str">
        <f>IFERROR(__xludf.DUMMYFUNCTION("if(countif(ecn.list,CS76),OFFSET(INDIRECT(CONCAT(""A"",to_text(match(CS76,ecn.list,0)))),0,1),"""")"),"")</f>
        <v/>
      </c>
      <c r="T76" s="236" t="str">
        <f>IFERROR(__xludf.DUMMYFUNCTION("if(countif(ecn.list,CT76),OFFSET(INDIRECT(CONCAT(""A"",to_text(match(CT76,ecn.list,0)))),0,1),"""")"),"J5 ")</f>
        <v>J5 </v>
      </c>
      <c r="U76" s="236" t="str">
        <f>IFERROR(__xludf.DUMMYFUNCTION("if(countif(ecn.list,CU76),OFFSET(INDIRECT(CONCAT(""A"",to_text(match(CU76,ecn.list,0)))),0,1),"""")"),"J6 ")</f>
        <v>J6 </v>
      </c>
      <c r="V76" s="236" t="str">
        <f>IFERROR(__xludf.DUMMYFUNCTION("if(countif(ecn.list,CV76),OFFSET(INDIRECT(CONCAT(""A"",to_text(match(CV76,ecn.list,0)))),0,1),"""")"),"J7 ")</f>
        <v>J7 </v>
      </c>
      <c r="W76" s="236" t="str">
        <f>IFERROR(__xludf.DUMMYFUNCTION("if(countif(ecn.list,CW76),OFFSET(INDIRECT(CONCAT(""A"",to_text(match(CW76,ecn.list,0)))),0,1),"""")"),"")</f>
        <v/>
      </c>
      <c r="X76" s="236" t="str">
        <f>IFERROR(__xludf.DUMMYFUNCTION("if(countif(ecn.list,CX76),OFFSET(INDIRECT(CONCAT(""A"",to_text(match(CX76,ecn.list,0)))),0,1),"""")"),"")</f>
        <v/>
      </c>
      <c r="Y76" s="236" t="str">
        <f>IFERROR(__xludf.DUMMYFUNCTION("if(countif(ecn.list,CY76),OFFSET(INDIRECT(CONCAT(""A"",to_text(match(CY76,ecn.list,0)))),0,1),"""")"),"")</f>
        <v/>
      </c>
      <c r="Z76" s="236" t="str">
        <f>IFERROR(__xludf.DUMMYFUNCTION("if(countif(ecn.list,CZ76),OFFSET(INDIRECT(CONCAT(""A"",to_text(match(CZ76,ecn.list,0)))),0,1),"""")"),"")</f>
        <v/>
      </c>
      <c r="AA76" s="236" t="str">
        <f>IFERROR(__xludf.DUMMYFUNCTION("if(countif(ecn.list,DA76),OFFSET(INDIRECT(CONCAT(""A"",to_text(match(DA76,ecn.list,0)))),0,1),"""")"),"JC ")</f>
        <v>JC </v>
      </c>
      <c r="AB76" s="236" t="str">
        <f>IFERROR(__xludf.DUMMYFUNCTION("if(countif(ecn.list,DB76),OFFSET(INDIRECT(CONCAT(""A"",to_text(match(DB76,ecn.list,0)))),0,1),"""")"),"")</f>
        <v/>
      </c>
      <c r="AC76" s="236" t="str">
        <f>IFERROR(__xludf.DUMMYFUNCTION("if(countif(ecn.list,DC76),OFFSET(INDIRECT(CONCAT(""A"",to_text(match(DC76,ecn.list,0)))),0,1),"""")"),"")</f>
        <v/>
      </c>
      <c r="AD76" s="236" t="str">
        <f>IFERROR(__xludf.DUMMYFUNCTION("if(countif(ecn.list,DD76),OFFSET(INDIRECT(CONCAT(""A"",to_text(match(DD76,ecn.list,0)))),0,1),"""")"),"")</f>
        <v/>
      </c>
      <c r="AE76" s="236" t="str">
        <f>IFERROR(__xludf.DUMMYFUNCTION("if(countif(ecn.list,DE76),OFFSET(INDIRECT(CONCAT(""A"",to_text(match(DE76,ecn.list,0)))),0,1),"""")"),"K0 ")</f>
        <v>K0 </v>
      </c>
      <c r="AF76" s="236" t="str">
        <f>IFERROR(__xludf.DUMMYFUNCTION("if(countif(ecn.list,DF76),OFFSET(INDIRECT(CONCAT(""A"",to_text(match(DF76,ecn.list,0)))),0,1),"""")"),"")</f>
        <v/>
      </c>
      <c r="AG76" s="236" t="str">
        <f>IFERROR(__xludf.DUMMYFUNCTION("if(countif(ecn.list,DG76),OFFSET(INDIRECT(CONCAT(""A"",to_text(match(DG76,ecn.list,0)))),0,1),"""")"),"")</f>
        <v/>
      </c>
      <c r="AH76" s="236" t="str">
        <f>IFERROR(__xludf.DUMMYFUNCTION("if(countif(ecn.list,DH76),OFFSET(INDIRECT(CONCAT(""A"",to_text(match(DH76,ecn.list,0)))),0,1),"""")"),"")</f>
        <v/>
      </c>
      <c r="AI76" s="236" t="str">
        <f>IFERROR(__xludf.DUMMYFUNCTION("if(countif(ecn.list,DI76),OFFSET(INDIRECT(CONCAT(""A"",to_text(match(DI76,ecn.list,0)))),0,1),"""")"),"")</f>
        <v/>
      </c>
      <c r="AJ76" s="236" t="str">
        <f>IFERROR(__xludf.DUMMYFUNCTION("if(countif(ecn.list,DJ76),OFFSET(INDIRECT(CONCAT(""A"",to_text(match(DJ76,ecn.list,0)))),0,1),"""")"),"K5 ")</f>
        <v>K5 </v>
      </c>
      <c r="AK76" s="236" t="str">
        <f>IFERROR(__xludf.DUMMYFUNCTION("if(countif(ecn.list,DK76),OFFSET(INDIRECT(CONCAT(""A"",to_text(match(DK76,ecn.list,0)))),0,1),"""")"),"")</f>
        <v/>
      </c>
      <c r="AL76" s="236" t="str">
        <f>IFERROR(__xludf.DUMMYFUNCTION("if(countif(ecn.list,DL76),OFFSET(INDIRECT(CONCAT(""A"",to_text(match(DL76,ecn.list,0)))),0,1),"""")"),"K7 ")</f>
        <v>K7 </v>
      </c>
      <c r="AM76" s="236" t="str">
        <f>IFERROR(__xludf.DUMMYFUNCTION("if(countif(ecn.list,DM76),OFFSET(INDIRECT(CONCAT(""A"",to_text(match(DM76,ecn.list,0)))),0,1),"""")"),"")</f>
        <v/>
      </c>
      <c r="AN76" s="236" t="str">
        <f>IFERROR(__xludf.DUMMYFUNCTION("if(countif(ecn.list,DN76),OFFSET(INDIRECT(CONCAT(""A"",to_text(match(DN76,ecn.list,0)))),0,1),"""")"),"K9 ")</f>
        <v>K9 </v>
      </c>
      <c r="AO76" s="236" t="str">
        <f>IFERROR(__xludf.DUMMYFUNCTION("if(countif(ecn.list,DO76),OFFSET(INDIRECT(CONCAT(""A"",to_text(match(DO76,ecn.list,0)))),0,1),"""")"),"KA ")</f>
        <v>KA </v>
      </c>
      <c r="AP76" s="236" t="str">
        <f>IFERROR(__xludf.DUMMYFUNCTION("if(countif(ecn.list,DP76),OFFSET(INDIRECT(CONCAT(""A"",to_text(match(DP76,ecn.list,0)))),0,1),"""")"),"KB ")</f>
        <v>KB </v>
      </c>
      <c r="AQ76" s="236" t="str">
        <f>IFERROR(__xludf.DUMMYFUNCTION("if(countif(ecn.list,DQ76),OFFSET(INDIRECT(CONCAT(""A"",to_text(match(DQ76,ecn.list,0)))),0,1),"""")"),"KC ")</f>
        <v>KC </v>
      </c>
      <c r="AR76" s="236" t="str">
        <f>IFERROR(__xludf.DUMMYFUNCTION("if(countif(ecn.list,DR76),OFFSET(INDIRECT(CONCAT(""A"",to_text(match(DR76,ecn.list,0)))),0,1),"""")"),"KD ")</f>
        <v>KD </v>
      </c>
      <c r="AS76" s="236" t="str">
        <f>IFERROR(__xludf.DUMMYFUNCTION("if(countif(ecn.list,DS76),OFFSET(INDIRECT(CONCAT(""A"",to_text(match(DS76,ecn.list,0)))),0,1),"""")"),"")</f>
        <v/>
      </c>
      <c r="AT76" s="236" t="str">
        <f>IFERROR(__xludf.DUMMYFUNCTION("if(countif(ecn.list,DT76),OFFSET(INDIRECT(CONCAT(""A"",to_text(match(DT76,ecn.list,0)))),0,1),"""")"),"KF ")</f>
        <v>KF </v>
      </c>
      <c r="AU76" s="236" t="str">
        <f>IFERROR(__xludf.DUMMYFUNCTION("if(countif(ecn.list,DU76),OFFSET(INDIRECT(CONCAT(""A"",to_text(match(DU76,ecn.list,0)))),0,1),"""")"),"")</f>
        <v/>
      </c>
      <c r="AV76" s="236" t="str">
        <f>IFERROR(__xludf.DUMMYFUNCTION("if(countif(ecn.list,DV76),OFFSET(INDIRECT(CONCAT(""A"",to_text(match(DV76,ecn.list,0)))),0,1),"""")"),"L1 ")</f>
        <v>L1 </v>
      </c>
      <c r="AW76" s="236" t="str">
        <f>IFERROR(__xludf.DUMMYFUNCTION("if(countif(ecn.list,DW76),OFFSET(INDIRECT(CONCAT(""A"",to_text(match(DW76,ecn.list,0)))),0,1),"""")"),"")</f>
        <v/>
      </c>
      <c r="AX76" s="236" t="str">
        <f>IFERROR(__xludf.DUMMYFUNCTION("if(countif(ecn.list,DX76),OFFSET(INDIRECT(CONCAT(""A"",to_text(match(DX76,ecn.list,0)))),0,1),"""")"),"")</f>
        <v/>
      </c>
      <c r="AY76" s="236" t="str">
        <f>IFERROR(__xludf.DUMMYFUNCTION("if(countif(ecn.list,DY76),OFFSET(INDIRECT(CONCAT(""A"",to_text(match(DY76,ecn.list,0)))),0,1),"""")"),"")</f>
        <v/>
      </c>
      <c r="AZ76" s="236" t="str">
        <f>IFERROR(__xludf.DUMMYFUNCTION("if(countif(ecn.list,DZ76),OFFSET(INDIRECT(CONCAT(""A"",to_text(match(DZ76,ecn.list,0)))),0,1),"""")"),"")</f>
        <v/>
      </c>
      <c r="BA76" s="236" t="str">
        <f>IFERROR(__xludf.DUMMYFUNCTION("if(countif(ecn.list,EA76),OFFSET(INDIRECT(CONCAT(""A"",to_text(match(EA76,ecn.list,0)))),0,1),"""")"),"")</f>
        <v/>
      </c>
      <c r="BB76" s="236" t="str">
        <f>IFERROR(__xludf.DUMMYFUNCTION("if(countif(ecn.list,EB76),OFFSET(INDIRECT(CONCAT(""A"",to_text(match(EB76,ecn.list,0)))),0,1),"""")"),"")</f>
        <v/>
      </c>
      <c r="BC76" s="236" t="str">
        <f>IFERROR(__xludf.DUMMYFUNCTION("if(countif(ecn.list,EC76),OFFSET(INDIRECT(CONCAT(""A"",to_text(match(EC76,ecn.list,0)))),0,1),"""")"),"L8 ")</f>
        <v>L8 </v>
      </c>
      <c r="BD76" s="236" t="str">
        <f>IFERROR(__xludf.DUMMYFUNCTION("if(countif(ecn.list,ED76),OFFSET(INDIRECT(CONCAT(""A"",to_text(match(ED76,ecn.list,0)))),0,1),"""")"),"")</f>
        <v/>
      </c>
      <c r="BE76" s="236" t="str">
        <f>IFERROR(__xludf.DUMMYFUNCTION("if(countif(ecn.list,EE76),OFFSET(INDIRECT(CONCAT(""A"",to_text(match(EE76,ecn.list,0)))),0,1),"""")"),"LA ")</f>
        <v>LA </v>
      </c>
      <c r="BF76" s="236" t="str">
        <f>IFERROR(__xludf.DUMMYFUNCTION("if(countif(ecn.list,EF76),OFFSET(INDIRECT(CONCAT(""A"",to_text(match(EF76,ecn.list,0)))),0,1),"""")"),"")</f>
        <v/>
      </c>
      <c r="BG76" s="236" t="str">
        <f>IFERROR(__xludf.DUMMYFUNCTION("if(countif(ecn.list,EG76),OFFSET(INDIRECT(CONCAT(""A"",to_text(match(EG76,ecn.list,0)))),0,1),"""")"),"LC ")</f>
        <v>LC </v>
      </c>
      <c r="BH76" s="236" t="str">
        <f>IFERROR(__xludf.DUMMYFUNCTION("if(countif(ecn.list,EH76),OFFSET(INDIRECT(CONCAT(""A"",to_text(match(EH76,ecn.list,0)))),0,1),"""")"),"")</f>
        <v/>
      </c>
      <c r="BI76" s="236" t="str">
        <f>IFERROR(__xludf.DUMMYFUNCTION("if(countif(ecn.list,EI76),OFFSET(INDIRECT(CONCAT(""A"",to_text(match(EI76,ecn.list,0)))),0,1),"""")"),"")</f>
        <v/>
      </c>
      <c r="BJ76" s="236" t="str">
        <f>IFERROR(__xludf.DUMMYFUNCTION("if(countif(ecn.list,EJ76),OFFSET(INDIRECT(CONCAT(""A"",to_text(match(EJ76,ecn.list,0)))),0,1),"""")"),"LF ")</f>
        <v>LF </v>
      </c>
      <c r="BK76" s="236" t="str">
        <f>IFERROR(__xludf.DUMMYFUNCTION("if(countif(ecn.list,EK76),OFFSET(INDIRECT(CONCAT(""A"",to_text(match(EK76,ecn.list,0)))),0,1),"""")"),"M0 ")</f>
        <v>M0 </v>
      </c>
      <c r="BL76" s="236" t="str">
        <f>IFERROR(__xludf.DUMMYFUNCTION("if(countif(ecn.list,EL76),OFFSET(INDIRECT(CONCAT(""A"",to_text(match(EL76,ecn.list,0)))),0,1),"""")"),"M1 ")</f>
        <v>M1 </v>
      </c>
      <c r="BM76" s="236" t="str">
        <f>IFERROR(__xludf.DUMMYFUNCTION("if(countif(ecn.list,EM76),OFFSET(INDIRECT(CONCAT(""A"",to_text(match(EM76,ecn.list,0)))),0,1),"""")"),"")</f>
        <v/>
      </c>
      <c r="BN76" s="236" t="str">
        <f>IFERROR(__xludf.DUMMYFUNCTION("if(countif(ecn.list,EN76),OFFSET(INDIRECT(CONCAT(""A"",to_text(match(EN76,ecn.list,0)))),0,1),"""")"),"M3 ")</f>
        <v>M3 </v>
      </c>
      <c r="BO76" s="236" t="str">
        <f>IFERROR(__xludf.DUMMYFUNCTION("if(countif(ecn.list,EO76),OFFSET(INDIRECT(CONCAT(""A"",to_text(match(EO76,ecn.list,0)))),0,1),"""")"),"M4 ")</f>
        <v>M4 </v>
      </c>
      <c r="BP76" s="236" t="str">
        <f>IFERROR(__xludf.DUMMYFUNCTION("if(countif(ecn.list,EP76),OFFSET(INDIRECT(CONCAT(""A"",to_text(match(EP76,ecn.list,0)))),0,1),"""")"),"")</f>
        <v/>
      </c>
      <c r="BQ76" s="236" t="str">
        <f>IFERROR(__xludf.DUMMYFUNCTION("if(countif(ecn.list,EQ76),OFFSET(INDIRECT(CONCAT(""A"",to_text(match(EQ76,ecn.list,0)))),0,1),"""")"),"")</f>
        <v/>
      </c>
      <c r="BR76" s="236" t="str">
        <f>IFERROR(__xludf.DUMMYFUNCTION("if(countif(ecn.list,ER76),OFFSET(INDIRECT(CONCAT(""A"",to_text(match(ER76,ecn.list,0)))),0,1),"""")"),"")</f>
        <v/>
      </c>
      <c r="BS76" s="236" t="str">
        <f>IFERROR(__xludf.DUMMYFUNCTION("if(countif(ecn.list,ES76),OFFSET(INDIRECT(CONCAT(""A"",to_text(match(ES76,ecn.list,0)))),0,1),"""")"),"M8 ")</f>
        <v>M8 </v>
      </c>
      <c r="BT76" s="236" t="str">
        <f>IFERROR(__xludf.DUMMYFUNCTION("if(countif(ecn.list,ET76),OFFSET(INDIRECT(CONCAT(""A"",to_text(match(ET76,ecn.list,0)))),0,1),"""")"),"")</f>
        <v/>
      </c>
      <c r="BU76" s="236" t="str">
        <f>IFERROR(__xludf.DUMMYFUNCTION("if(countif(ecn.list,EU76),OFFSET(INDIRECT(CONCAT(""A"",to_text(match(EU76,ecn.list,0)))),0,1),"""")"),"")</f>
        <v/>
      </c>
      <c r="BV76" s="236" t="str">
        <f>IFERROR(__xludf.DUMMYFUNCTION("if(countif(ecn.list,EV76),OFFSET(INDIRECT(CONCAT(""A"",to_text(match(EV76,ecn.list,0)))),0,1),"""")"),"")</f>
        <v/>
      </c>
      <c r="BW76" s="236" t="str">
        <f>IFERROR(__xludf.DUMMYFUNCTION("if(countif(ecn.list,EW76),OFFSET(INDIRECT(CONCAT(""A"",to_text(match(EW76,ecn.list,0)))),0,1),"""")"),"")</f>
        <v/>
      </c>
      <c r="BX76" s="236" t="str">
        <f>IFERROR(__xludf.DUMMYFUNCTION("if(countif(ecn.list,EX76),OFFSET(INDIRECT(CONCAT(""A"",to_text(match(EX76,ecn.list,0)))),0,1),"""")"),"")</f>
        <v/>
      </c>
      <c r="BY76" s="236" t="str">
        <f>IFERROR(__xludf.DUMMYFUNCTION("if(countif(ecn.list,EY76),OFFSET(INDIRECT(CONCAT(""A"",to_text(match(EY76,ecn.list,0)))),0,1),"""")"),"")</f>
        <v/>
      </c>
      <c r="BZ76" s="236" t="str">
        <f>IFERROR(__xludf.DUMMYFUNCTION("if(countif(ecn.list,EZ76),OFFSET(INDIRECT(CONCAT(""A"",to_text(match(EZ76,ecn.list,0)))),0,1),"""")"),"MF ")</f>
        <v>MF </v>
      </c>
      <c r="CA76" s="236" t="str">
        <f>IFERROR(__xludf.DUMMYFUNCTION("if(countif(ecn.list,FA76),OFFSET(INDIRECT(CONCAT(""A"",to_text(match(FA76,ecn.list,0)))),0,1),"""")"),"")</f>
        <v/>
      </c>
      <c r="CB76" s="236" t="str">
        <f>IFERROR(__xludf.DUMMYFUNCTION("if(countif(ecn.list,FB76),OFFSET(INDIRECT(CONCAT(""A"",to_text(match(FB76,ecn.list,0)))),0,1),"""")"),"")</f>
        <v/>
      </c>
      <c r="CC76" s="236" t="str">
        <f>IFERROR(__xludf.DUMMYFUNCTION("if(countif(ecn.list,FC76),OFFSET(INDIRECT(CONCAT(""A"",to_text(match(FC76,ecn.list,0)))),0,1),"""")"),"N2 ")</f>
        <v>N2 </v>
      </c>
      <c r="CD76" s="236" t="str">
        <f>IFERROR(__xludf.DUMMYFUNCTION("if(countif(ecn.list,FD76),OFFSET(INDIRECT(CONCAT(""A"",to_text(match(FD76,ecn.list,0)))),0,1),"""")"),"")</f>
        <v/>
      </c>
      <c r="CE76" s="236" t="str">
        <f>IFERROR(__xludf.DUMMYFUNCTION("if(countif(ecn.list,FE76),OFFSET(INDIRECT(CONCAT(""A"",to_text(match(FE76,ecn.list,0)))),0,1),"""")"),"")</f>
        <v/>
      </c>
      <c r="CF76" s="236" t="str">
        <f>IFERROR(__xludf.DUMMYFUNCTION("if(countif(ecn.list,FF76),OFFSET(INDIRECT(CONCAT(""A"",to_text(match(FF76,ecn.list,0)))),0,1),"""")"),"")</f>
        <v/>
      </c>
      <c r="CG76" s="236" t="str">
        <f>IFERROR(__xludf.DUMMYFUNCTION("if(countif(ecn.list,FG76),OFFSET(INDIRECT(CONCAT(""A"",to_text(match(FG76,ecn.list,0)))),0,1),"""")"),"")</f>
        <v/>
      </c>
      <c r="CH76" s="236" t="str">
        <f>IFERROR(__xludf.DUMMYFUNCTION("if(countif(ecn.list,FH76),OFFSET(INDIRECT(CONCAT(""A"",to_text(match(FH76,ecn.list,0)))),0,1),"""")"),"N7 ")</f>
        <v>N7 </v>
      </c>
      <c r="CI76" s="236" t="str">
        <f>IFERROR(__xludf.DUMMYFUNCTION("if(countif(ecn.list,FI76),OFFSET(INDIRECT(CONCAT(""A"",to_text(match(FI76,ecn.list,0)))),0,1),"""")"),"")</f>
        <v/>
      </c>
      <c r="CJ76" s="236" t="str">
        <f>IFERROR(__xludf.DUMMYFUNCTION("if(countif(ecn.list,FJ76),OFFSET(INDIRECT(CONCAT(""A"",to_text(match(FJ76,ecn.list,0)))),0,1),"""")"),"")</f>
        <v/>
      </c>
      <c r="CK76" s="236" t="str">
        <f>IFERROR(__xludf.DUMMYFUNCTION("if(countif(ecn.list,FK76),OFFSET(INDIRECT(CONCAT(""A"",to_text(match(FK76,ecn.list,0)))),0,1),"""")"),"NA ")</f>
        <v>NA </v>
      </c>
      <c r="CL76" s="236" t="str">
        <f>IFERROR(__xludf.DUMMYFUNCTION("if(countif(ecn.list,FL76),OFFSET(INDIRECT(CONCAT(""A"",to_text(match(FL76,ecn.list,0)))),0,1),"""")"),"")</f>
        <v/>
      </c>
      <c r="CM76" s="236" t="str">
        <f>IFERROR(__xludf.DUMMYFUNCTION("if(countif(ecn.list,FM76),OFFSET(INDIRECT(CONCAT(""A"",to_text(match(FM76,ecn.list,0)))),0,1),"""")"),"")</f>
        <v/>
      </c>
      <c r="CN76" s="198" t="s">
        <v>300</v>
      </c>
      <c r="CO76" s="198" t="s">
        <v>1447</v>
      </c>
      <c r="CP76" s="198" t="s">
        <v>1451</v>
      </c>
      <c r="CQ76" s="198" t="s">
        <v>1452</v>
      </c>
      <c r="CR76" s="198" t="s">
        <v>1453</v>
      </c>
      <c r="CS76" s="198" t="s">
        <v>1453</v>
      </c>
      <c r="CT76" s="198" t="s">
        <v>1454</v>
      </c>
      <c r="CU76" s="198" t="s">
        <v>1455</v>
      </c>
      <c r="CV76" s="198" t="s">
        <v>1456</v>
      </c>
      <c r="CW76" s="198" t="s">
        <v>1453</v>
      </c>
      <c r="CX76" s="198" t="s">
        <v>1453</v>
      </c>
      <c r="CY76" s="198" t="s">
        <v>1453</v>
      </c>
      <c r="CZ76" s="198" t="s">
        <v>1453</v>
      </c>
      <c r="DA76" s="198" t="s">
        <v>1457</v>
      </c>
      <c r="DB76" s="198" t="s">
        <v>1453</v>
      </c>
      <c r="DC76" s="198" t="s">
        <v>1453</v>
      </c>
      <c r="DD76" s="198" t="s">
        <v>1453</v>
      </c>
      <c r="DE76" s="198" t="s">
        <v>1459</v>
      </c>
      <c r="DF76" s="198" t="s">
        <v>1453</v>
      </c>
      <c r="DG76" s="198" t="s">
        <v>1453</v>
      </c>
      <c r="DH76" s="198" t="s">
        <v>1453</v>
      </c>
      <c r="DI76" s="198" t="s">
        <v>1453</v>
      </c>
      <c r="DJ76" s="198" t="s">
        <v>1460</v>
      </c>
      <c r="DK76" s="198" t="s">
        <v>1453</v>
      </c>
      <c r="DL76" s="198" t="s">
        <v>1461</v>
      </c>
      <c r="DM76" s="198" t="s">
        <v>1453</v>
      </c>
      <c r="DN76" s="198" t="s">
        <v>1463</v>
      </c>
      <c r="DO76" s="198" t="s">
        <v>1464</v>
      </c>
      <c r="DP76" s="198" t="s">
        <v>1465</v>
      </c>
      <c r="DQ76" s="198" t="s">
        <v>1466</v>
      </c>
      <c r="DR76" s="198" t="s">
        <v>1467</v>
      </c>
      <c r="DS76" s="198" t="s">
        <v>1453</v>
      </c>
      <c r="DT76" s="198" t="s">
        <v>1468</v>
      </c>
      <c r="DU76" s="198" t="s">
        <v>1453</v>
      </c>
      <c r="DV76" s="198" t="s">
        <v>1469</v>
      </c>
      <c r="DW76" s="198" t="s">
        <v>1453</v>
      </c>
      <c r="DX76" s="198" t="s">
        <v>1453</v>
      </c>
      <c r="DY76" s="198" t="s">
        <v>1453</v>
      </c>
      <c r="DZ76" s="198" t="s">
        <v>1453</v>
      </c>
      <c r="EA76" s="198" t="s">
        <v>1453</v>
      </c>
      <c r="EB76" s="198" t="s">
        <v>1453</v>
      </c>
      <c r="EC76" s="198" t="s">
        <v>1483</v>
      </c>
      <c r="ED76" s="198" t="s">
        <v>1453</v>
      </c>
      <c r="EE76" s="198" t="s">
        <v>1470</v>
      </c>
      <c r="EF76" s="198" t="s">
        <v>1453</v>
      </c>
      <c r="EG76" s="198" t="s">
        <v>1471</v>
      </c>
      <c r="EH76" s="198" t="s">
        <v>1453</v>
      </c>
      <c r="EI76" s="198" t="s">
        <v>1453</v>
      </c>
      <c r="EJ76" s="198" t="s">
        <v>1472</v>
      </c>
      <c r="EK76" s="198" t="s">
        <v>1487</v>
      </c>
      <c r="EL76" s="198" t="s">
        <v>1473</v>
      </c>
      <c r="EM76" s="198" t="s">
        <v>1453</v>
      </c>
      <c r="EN76" s="198" t="s">
        <v>1474</v>
      </c>
      <c r="EO76" s="198" t="s">
        <v>1475</v>
      </c>
      <c r="EP76" s="198" t="s">
        <v>1453</v>
      </c>
      <c r="EQ76" s="198" t="s">
        <v>1453</v>
      </c>
      <c r="ER76" s="198" t="s">
        <v>1453</v>
      </c>
      <c r="ES76" s="198" t="s">
        <v>1505</v>
      </c>
      <c r="ET76" s="198" t="s">
        <v>1453</v>
      </c>
      <c r="EU76" s="198" t="s">
        <v>1453</v>
      </c>
      <c r="EV76" s="198" t="s">
        <v>1453</v>
      </c>
      <c r="EW76" s="198" t="s">
        <v>1453</v>
      </c>
      <c r="EX76" s="198" t="s">
        <v>1453</v>
      </c>
      <c r="EY76" s="198" t="s">
        <v>1453</v>
      </c>
      <c r="EZ76" s="198" t="s">
        <v>1477</v>
      </c>
      <c r="FA76" s="198" t="s">
        <v>1453</v>
      </c>
      <c r="FB76" s="198" t="s">
        <v>1453</v>
      </c>
      <c r="FC76" s="198" t="s">
        <v>1478</v>
      </c>
      <c r="FD76" s="198" t="s">
        <v>1453</v>
      </c>
      <c r="FE76" s="198" t="s">
        <v>1453</v>
      </c>
      <c r="FF76" s="198" t="s">
        <v>1453</v>
      </c>
      <c r="FG76" s="198" t="s">
        <v>1453</v>
      </c>
      <c r="FH76" s="198" t="s">
        <v>1479</v>
      </c>
      <c r="FI76" s="198" t="s">
        <v>1453</v>
      </c>
      <c r="FJ76" s="198" t="s">
        <v>1453</v>
      </c>
      <c r="FK76" s="198" t="s">
        <v>1481</v>
      </c>
      <c r="FL76" s="198" t="s">
        <v>1482</v>
      </c>
      <c r="FM76" s="198" t="s">
        <v>1453</v>
      </c>
    </row>
    <row r="77" ht="15.75" customHeight="1">
      <c r="A77" s="236" t="s">
        <v>1536</v>
      </c>
      <c r="B77" s="198" t="str">
        <f t="shared" si="8"/>
        <v>N9 </v>
      </c>
      <c r="C77" s="234">
        <v>9.0</v>
      </c>
      <c r="D77" s="232" t="s">
        <v>770</v>
      </c>
      <c r="E77" s="232" t="s">
        <v>1448</v>
      </c>
      <c r="F77" s="232" t="s">
        <v>1449</v>
      </c>
      <c r="G77" s="232" t="s">
        <v>1450</v>
      </c>
      <c r="H77" s="232" t="s">
        <v>788</v>
      </c>
      <c r="I77" s="232" t="s">
        <v>832</v>
      </c>
      <c r="J77" s="232" t="s">
        <v>794</v>
      </c>
      <c r="K77" s="232" t="s">
        <v>1084</v>
      </c>
      <c r="L77" s="188" t="s">
        <v>303</v>
      </c>
      <c r="M77" s="236" t="str">
        <f>IFERROR(__xludf.DUMMYFUNCTION("regexreplace(N77,"" "","", "")"),"J0, J1, J2, J6, J7, JC, JF, K0, K5, K7, K9, KA, KC, KD, L1, L8, LA, LC, M1, M3, M4, MB, MF, N2, N7, NA, ")</f>
        <v>J0, J1, J2, J6, J7, JC, JF, K0, K5, K7, K9, KA, KC, KD, L1, L8, LA, LC, M1, M3, M4, MB, MF, N2, N7, NA, </v>
      </c>
      <c r="N77" s="236" t="str">
        <f t="shared" si="2"/>
        <v>J0 J1 J2 J6 J7 JC JF K0 K5 K7 K9 KA KC KD L1 L8 LA LC M1 M3 M4 MB MF N2 N7 NA </v>
      </c>
      <c r="O77" s="236" t="str">
        <f>IFERROR(__xludf.DUMMYFUNCTION("if(countif(ecn.list,CO77),OFFSET(INDIRECT(CONCAT(""A"",to_text(match(CO77,ecn.list,0)))),0,1),"""")"),"J0 ")</f>
        <v>J0 </v>
      </c>
      <c r="P77" s="236" t="str">
        <f>IFERROR(__xludf.DUMMYFUNCTION("if(countif(ecn.list,CP77),OFFSET(INDIRECT(CONCAT(""A"",to_text(match(CP77,ecn.list,0)))),0,1),"""")"),"J1 ")</f>
        <v>J1 </v>
      </c>
      <c r="Q77" s="236" t="str">
        <f>IFERROR(__xludf.DUMMYFUNCTION("if(countif(ecn.list,CQ77),OFFSET(INDIRECT(CONCAT(""A"",to_text(match(CQ77,ecn.list,0)))),0,1),"""")"),"J2 ")</f>
        <v>J2 </v>
      </c>
      <c r="R77" s="236" t="str">
        <f>IFERROR(__xludf.DUMMYFUNCTION("if(countif(ecn.list,CR77),OFFSET(INDIRECT(CONCAT(""A"",to_text(match(CR77,ecn.list,0)))),0,1),"""")"),"")</f>
        <v/>
      </c>
      <c r="S77" s="236" t="str">
        <f>IFERROR(__xludf.DUMMYFUNCTION("if(countif(ecn.list,CS77),OFFSET(INDIRECT(CONCAT(""A"",to_text(match(CS77,ecn.list,0)))),0,1),"""")"),"")</f>
        <v/>
      </c>
      <c r="T77" s="236" t="str">
        <f>IFERROR(__xludf.DUMMYFUNCTION("if(countif(ecn.list,CT77),OFFSET(INDIRECT(CONCAT(""A"",to_text(match(CT77,ecn.list,0)))),0,1),"""")"),"")</f>
        <v/>
      </c>
      <c r="U77" s="236" t="str">
        <f>IFERROR(__xludf.DUMMYFUNCTION("if(countif(ecn.list,CU77),OFFSET(INDIRECT(CONCAT(""A"",to_text(match(CU77,ecn.list,0)))),0,1),"""")"),"J6 ")</f>
        <v>J6 </v>
      </c>
      <c r="V77" s="236" t="str">
        <f>IFERROR(__xludf.DUMMYFUNCTION("if(countif(ecn.list,CV77),OFFSET(INDIRECT(CONCAT(""A"",to_text(match(CV77,ecn.list,0)))),0,1),"""")"),"J7 ")</f>
        <v>J7 </v>
      </c>
      <c r="W77" s="236" t="str">
        <f>IFERROR(__xludf.DUMMYFUNCTION("if(countif(ecn.list,CW77),OFFSET(INDIRECT(CONCAT(""A"",to_text(match(CW77,ecn.list,0)))),0,1),"""")"),"")</f>
        <v/>
      </c>
      <c r="X77" s="236" t="str">
        <f>IFERROR(__xludf.DUMMYFUNCTION("if(countif(ecn.list,CX77),OFFSET(INDIRECT(CONCAT(""A"",to_text(match(CX77,ecn.list,0)))),0,1),"""")"),"")</f>
        <v/>
      </c>
      <c r="Y77" s="236" t="str">
        <f>IFERROR(__xludf.DUMMYFUNCTION("if(countif(ecn.list,CY77),OFFSET(INDIRECT(CONCAT(""A"",to_text(match(CY77,ecn.list,0)))),0,1),"""")"),"")</f>
        <v/>
      </c>
      <c r="Z77" s="236" t="str">
        <f>IFERROR(__xludf.DUMMYFUNCTION("if(countif(ecn.list,CZ77),OFFSET(INDIRECT(CONCAT(""A"",to_text(match(CZ77,ecn.list,0)))),0,1),"""")"),"")</f>
        <v/>
      </c>
      <c r="AA77" s="236" t="str">
        <f>IFERROR(__xludf.DUMMYFUNCTION("if(countif(ecn.list,DA77),OFFSET(INDIRECT(CONCAT(""A"",to_text(match(DA77,ecn.list,0)))),0,1),"""")"),"JC ")</f>
        <v>JC </v>
      </c>
      <c r="AB77" s="236" t="str">
        <f>IFERROR(__xludf.DUMMYFUNCTION("if(countif(ecn.list,DB77),OFFSET(INDIRECT(CONCAT(""A"",to_text(match(DB77,ecn.list,0)))),0,1),"""")"),"")</f>
        <v/>
      </c>
      <c r="AC77" s="236" t="str">
        <f>IFERROR(__xludf.DUMMYFUNCTION("if(countif(ecn.list,DC77),OFFSET(INDIRECT(CONCAT(""A"",to_text(match(DC77,ecn.list,0)))),0,1),"""")"),"")</f>
        <v/>
      </c>
      <c r="AD77" s="236" t="str">
        <f>IFERROR(__xludf.DUMMYFUNCTION("if(countif(ecn.list,DD77),OFFSET(INDIRECT(CONCAT(""A"",to_text(match(DD77,ecn.list,0)))),0,1),"""")"),"JF ")</f>
        <v>JF </v>
      </c>
      <c r="AE77" s="236" t="str">
        <f>IFERROR(__xludf.DUMMYFUNCTION("if(countif(ecn.list,DE77),OFFSET(INDIRECT(CONCAT(""A"",to_text(match(DE77,ecn.list,0)))),0,1),"""")"),"K0 ")</f>
        <v>K0 </v>
      </c>
      <c r="AF77" s="236" t="str">
        <f>IFERROR(__xludf.DUMMYFUNCTION("if(countif(ecn.list,DF77),OFFSET(INDIRECT(CONCAT(""A"",to_text(match(DF77,ecn.list,0)))),0,1),"""")"),"")</f>
        <v/>
      </c>
      <c r="AG77" s="236" t="str">
        <f>IFERROR(__xludf.DUMMYFUNCTION("if(countif(ecn.list,DG77),OFFSET(INDIRECT(CONCAT(""A"",to_text(match(DG77,ecn.list,0)))),0,1),"""")"),"")</f>
        <v/>
      </c>
      <c r="AH77" s="236" t="str">
        <f>IFERROR(__xludf.DUMMYFUNCTION("if(countif(ecn.list,DH77),OFFSET(INDIRECT(CONCAT(""A"",to_text(match(DH77,ecn.list,0)))),0,1),"""")"),"")</f>
        <v/>
      </c>
      <c r="AI77" s="236" t="str">
        <f>IFERROR(__xludf.DUMMYFUNCTION("if(countif(ecn.list,DI77),OFFSET(INDIRECT(CONCAT(""A"",to_text(match(DI77,ecn.list,0)))),0,1),"""")"),"")</f>
        <v/>
      </c>
      <c r="AJ77" s="236" t="str">
        <f>IFERROR(__xludf.DUMMYFUNCTION("if(countif(ecn.list,DJ77),OFFSET(INDIRECT(CONCAT(""A"",to_text(match(DJ77,ecn.list,0)))),0,1),"""")"),"K5 ")</f>
        <v>K5 </v>
      </c>
      <c r="AK77" s="236" t="str">
        <f>IFERROR(__xludf.DUMMYFUNCTION("if(countif(ecn.list,DK77),OFFSET(INDIRECT(CONCAT(""A"",to_text(match(DK77,ecn.list,0)))),0,1),"""")"),"")</f>
        <v/>
      </c>
      <c r="AL77" s="236" t="str">
        <f>IFERROR(__xludf.DUMMYFUNCTION("if(countif(ecn.list,DL77),OFFSET(INDIRECT(CONCAT(""A"",to_text(match(DL77,ecn.list,0)))),0,1),"""")"),"K7 ")</f>
        <v>K7 </v>
      </c>
      <c r="AM77" s="236" t="str">
        <f>IFERROR(__xludf.DUMMYFUNCTION("if(countif(ecn.list,DM77),OFFSET(INDIRECT(CONCAT(""A"",to_text(match(DM77,ecn.list,0)))),0,1),"""")"),"")</f>
        <v/>
      </c>
      <c r="AN77" s="236" t="str">
        <f>IFERROR(__xludf.DUMMYFUNCTION("if(countif(ecn.list,DN77),OFFSET(INDIRECT(CONCAT(""A"",to_text(match(DN77,ecn.list,0)))),0,1),"""")"),"K9 ")</f>
        <v>K9 </v>
      </c>
      <c r="AO77" s="236" t="str">
        <f>IFERROR(__xludf.DUMMYFUNCTION("if(countif(ecn.list,DO77),OFFSET(INDIRECT(CONCAT(""A"",to_text(match(DO77,ecn.list,0)))),0,1),"""")"),"KA ")</f>
        <v>KA </v>
      </c>
      <c r="AP77" s="236" t="str">
        <f>IFERROR(__xludf.DUMMYFUNCTION("if(countif(ecn.list,DP77),OFFSET(INDIRECT(CONCAT(""A"",to_text(match(DP77,ecn.list,0)))),0,1),"""")"),"")</f>
        <v/>
      </c>
      <c r="AQ77" s="236" t="str">
        <f>IFERROR(__xludf.DUMMYFUNCTION("if(countif(ecn.list,DQ77),OFFSET(INDIRECT(CONCAT(""A"",to_text(match(DQ77,ecn.list,0)))),0,1),"""")"),"KC ")</f>
        <v>KC </v>
      </c>
      <c r="AR77" s="236" t="str">
        <f>IFERROR(__xludf.DUMMYFUNCTION("if(countif(ecn.list,DR77),OFFSET(INDIRECT(CONCAT(""A"",to_text(match(DR77,ecn.list,0)))),0,1),"""")"),"KD ")</f>
        <v>KD </v>
      </c>
      <c r="AS77" s="236" t="str">
        <f>IFERROR(__xludf.DUMMYFUNCTION("if(countif(ecn.list,DS77),OFFSET(INDIRECT(CONCAT(""A"",to_text(match(DS77,ecn.list,0)))),0,1),"""")"),"")</f>
        <v/>
      </c>
      <c r="AT77" s="236" t="str">
        <f>IFERROR(__xludf.DUMMYFUNCTION("if(countif(ecn.list,DT77),OFFSET(INDIRECT(CONCAT(""A"",to_text(match(DT77,ecn.list,0)))),0,1),"""")"),"")</f>
        <v/>
      </c>
      <c r="AU77" s="236" t="str">
        <f>IFERROR(__xludf.DUMMYFUNCTION("if(countif(ecn.list,DU77),OFFSET(INDIRECT(CONCAT(""A"",to_text(match(DU77,ecn.list,0)))),0,1),"""")"),"")</f>
        <v/>
      </c>
      <c r="AV77" s="236" t="str">
        <f>IFERROR(__xludf.DUMMYFUNCTION("if(countif(ecn.list,DV77),OFFSET(INDIRECT(CONCAT(""A"",to_text(match(DV77,ecn.list,0)))),0,1),"""")"),"L1 ")</f>
        <v>L1 </v>
      </c>
      <c r="AW77" s="236" t="str">
        <f>IFERROR(__xludf.DUMMYFUNCTION("if(countif(ecn.list,DW77),OFFSET(INDIRECT(CONCAT(""A"",to_text(match(DW77,ecn.list,0)))),0,1),"""")"),"")</f>
        <v/>
      </c>
      <c r="AX77" s="236" t="str">
        <f>IFERROR(__xludf.DUMMYFUNCTION("if(countif(ecn.list,DX77),OFFSET(INDIRECT(CONCAT(""A"",to_text(match(DX77,ecn.list,0)))),0,1),"""")"),"")</f>
        <v/>
      </c>
      <c r="AY77" s="236" t="str">
        <f>IFERROR(__xludf.DUMMYFUNCTION("if(countif(ecn.list,DY77),OFFSET(INDIRECT(CONCAT(""A"",to_text(match(DY77,ecn.list,0)))),0,1),"""")"),"")</f>
        <v/>
      </c>
      <c r="AZ77" s="236" t="str">
        <f>IFERROR(__xludf.DUMMYFUNCTION("if(countif(ecn.list,DZ77),OFFSET(INDIRECT(CONCAT(""A"",to_text(match(DZ77,ecn.list,0)))),0,1),"""")"),"")</f>
        <v/>
      </c>
      <c r="BA77" s="236" t="str">
        <f>IFERROR(__xludf.DUMMYFUNCTION("if(countif(ecn.list,EA77),OFFSET(INDIRECT(CONCAT(""A"",to_text(match(EA77,ecn.list,0)))),0,1),"""")"),"")</f>
        <v/>
      </c>
      <c r="BB77" s="236" t="str">
        <f>IFERROR(__xludf.DUMMYFUNCTION("if(countif(ecn.list,EB77),OFFSET(INDIRECT(CONCAT(""A"",to_text(match(EB77,ecn.list,0)))),0,1),"""")"),"")</f>
        <v/>
      </c>
      <c r="BC77" s="236" t="str">
        <f>IFERROR(__xludf.DUMMYFUNCTION("if(countif(ecn.list,EC77),OFFSET(INDIRECT(CONCAT(""A"",to_text(match(EC77,ecn.list,0)))),0,1),"""")"),"L8 ")</f>
        <v>L8 </v>
      </c>
      <c r="BD77" s="236" t="str">
        <f>IFERROR(__xludf.DUMMYFUNCTION("if(countif(ecn.list,ED77),OFFSET(INDIRECT(CONCAT(""A"",to_text(match(ED77,ecn.list,0)))),0,1),"""")"),"")</f>
        <v/>
      </c>
      <c r="BE77" s="236" t="str">
        <f>IFERROR(__xludf.DUMMYFUNCTION("if(countif(ecn.list,EE77),OFFSET(INDIRECT(CONCAT(""A"",to_text(match(EE77,ecn.list,0)))),0,1),"""")"),"LA ")</f>
        <v>LA </v>
      </c>
      <c r="BF77" s="236" t="str">
        <f>IFERROR(__xludf.DUMMYFUNCTION("if(countif(ecn.list,EF77),OFFSET(INDIRECT(CONCAT(""A"",to_text(match(EF77,ecn.list,0)))),0,1),"""")"),"")</f>
        <v/>
      </c>
      <c r="BG77" s="236" t="str">
        <f>IFERROR(__xludf.DUMMYFUNCTION("if(countif(ecn.list,EG77),OFFSET(INDIRECT(CONCAT(""A"",to_text(match(EG77,ecn.list,0)))),0,1),"""")"),"LC ")</f>
        <v>LC </v>
      </c>
      <c r="BH77" s="236" t="str">
        <f>IFERROR(__xludf.DUMMYFUNCTION("if(countif(ecn.list,EH77),OFFSET(INDIRECT(CONCAT(""A"",to_text(match(EH77,ecn.list,0)))),0,1),"""")"),"")</f>
        <v/>
      </c>
      <c r="BI77" s="236" t="str">
        <f>IFERROR(__xludf.DUMMYFUNCTION("if(countif(ecn.list,EI77),OFFSET(INDIRECT(CONCAT(""A"",to_text(match(EI77,ecn.list,0)))),0,1),"""")"),"")</f>
        <v/>
      </c>
      <c r="BJ77" s="236" t="str">
        <f>IFERROR(__xludf.DUMMYFUNCTION("if(countif(ecn.list,EJ77),OFFSET(INDIRECT(CONCAT(""A"",to_text(match(EJ77,ecn.list,0)))),0,1),"""")"),"")</f>
        <v/>
      </c>
      <c r="BK77" s="236" t="str">
        <f>IFERROR(__xludf.DUMMYFUNCTION("if(countif(ecn.list,EK77),OFFSET(INDIRECT(CONCAT(""A"",to_text(match(EK77,ecn.list,0)))),0,1),"""")"),"")</f>
        <v/>
      </c>
      <c r="BL77" s="236" t="str">
        <f>IFERROR(__xludf.DUMMYFUNCTION("if(countif(ecn.list,EL77),OFFSET(INDIRECT(CONCAT(""A"",to_text(match(EL77,ecn.list,0)))),0,1),"""")"),"M1 ")</f>
        <v>M1 </v>
      </c>
      <c r="BM77" s="236" t="str">
        <f>IFERROR(__xludf.DUMMYFUNCTION("if(countif(ecn.list,EM77),OFFSET(INDIRECT(CONCAT(""A"",to_text(match(EM77,ecn.list,0)))),0,1),"""")"),"")</f>
        <v/>
      </c>
      <c r="BN77" s="236" t="str">
        <f>IFERROR(__xludf.DUMMYFUNCTION("if(countif(ecn.list,EN77),OFFSET(INDIRECT(CONCAT(""A"",to_text(match(EN77,ecn.list,0)))),0,1),"""")"),"M3 ")</f>
        <v>M3 </v>
      </c>
      <c r="BO77" s="236" t="str">
        <f>IFERROR(__xludf.DUMMYFUNCTION("if(countif(ecn.list,EO77),OFFSET(INDIRECT(CONCAT(""A"",to_text(match(EO77,ecn.list,0)))),0,1),"""")"),"M4 ")</f>
        <v>M4 </v>
      </c>
      <c r="BP77" s="236" t="str">
        <f>IFERROR(__xludf.DUMMYFUNCTION("if(countif(ecn.list,EP77),OFFSET(INDIRECT(CONCAT(""A"",to_text(match(EP77,ecn.list,0)))),0,1),"""")"),"")</f>
        <v/>
      </c>
      <c r="BQ77" s="236" t="str">
        <f>IFERROR(__xludf.DUMMYFUNCTION("if(countif(ecn.list,EQ77),OFFSET(INDIRECT(CONCAT(""A"",to_text(match(EQ77,ecn.list,0)))),0,1),"""")"),"")</f>
        <v/>
      </c>
      <c r="BR77" s="236" t="str">
        <f>IFERROR(__xludf.DUMMYFUNCTION("if(countif(ecn.list,ER77),OFFSET(INDIRECT(CONCAT(""A"",to_text(match(ER77,ecn.list,0)))),0,1),"""")"),"")</f>
        <v/>
      </c>
      <c r="BS77" s="236" t="str">
        <f>IFERROR(__xludf.DUMMYFUNCTION("if(countif(ecn.list,ES77),OFFSET(INDIRECT(CONCAT(""A"",to_text(match(ES77,ecn.list,0)))),0,1),"""")"),"")</f>
        <v/>
      </c>
      <c r="BT77" s="236" t="str">
        <f>IFERROR(__xludf.DUMMYFUNCTION("if(countif(ecn.list,ET77),OFFSET(INDIRECT(CONCAT(""A"",to_text(match(ET77,ecn.list,0)))),0,1),"""")"),"")</f>
        <v/>
      </c>
      <c r="BU77" s="236" t="str">
        <f>IFERROR(__xludf.DUMMYFUNCTION("if(countif(ecn.list,EU77),OFFSET(INDIRECT(CONCAT(""A"",to_text(match(EU77,ecn.list,0)))),0,1),"""")"),"")</f>
        <v/>
      </c>
      <c r="BV77" s="236" t="str">
        <f>IFERROR(__xludf.DUMMYFUNCTION("if(countif(ecn.list,EV77),OFFSET(INDIRECT(CONCAT(""A"",to_text(match(EV77,ecn.list,0)))),0,1),"""")"),"MB ")</f>
        <v>MB </v>
      </c>
      <c r="BW77" s="236" t="str">
        <f>IFERROR(__xludf.DUMMYFUNCTION("if(countif(ecn.list,EW77),OFFSET(INDIRECT(CONCAT(""A"",to_text(match(EW77,ecn.list,0)))),0,1),"""")"),"")</f>
        <v/>
      </c>
      <c r="BX77" s="236" t="str">
        <f>IFERROR(__xludf.DUMMYFUNCTION("if(countif(ecn.list,EX77),OFFSET(INDIRECT(CONCAT(""A"",to_text(match(EX77,ecn.list,0)))),0,1),"""")"),"")</f>
        <v/>
      </c>
      <c r="BY77" s="236" t="str">
        <f>IFERROR(__xludf.DUMMYFUNCTION("if(countif(ecn.list,EY77),OFFSET(INDIRECT(CONCAT(""A"",to_text(match(EY77,ecn.list,0)))),0,1),"""")"),"")</f>
        <v/>
      </c>
      <c r="BZ77" s="236" t="str">
        <f>IFERROR(__xludf.DUMMYFUNCTION("if(countif(ecn.list,EZ77),OFFSET(INDIRECT(CONCAT(""A"",to_text(match(EZ77,ecn.list,0)))),0,1),"""")"),"MF ")</f>
        <v>MF </v>
      </c>
      <c r="CA77" s="236" t="str">
        <f>IFERROR(__xludf.DUMMYFUNCTION("if(countif(ecn.list,FA77),OFFSET(INDIRECT(CONCAT(""A"",to_text(match(FA77,ecn.list,0)))),0,1),"""")"),"")</f>
        <v/>
      </c>
      <c r="CB77" s="236" t="str">
        <f>IFERROR(__xludf.DUMMYFUNCTION("if(countif(ecn.list,FB77),OFFSET(INDIRECT(CONCAT(""A"",to_text(match(FB77,ecn.list,0)))),0,1),"""")"),"")</f>
        <v/>
      </c>
      <c r="CC77" s="236" t="str">
        <f>IFERROR(__xludf.DUMMYFUNCTION("if(countif(ecn.list,FC77),OFFSET(INDIRECT(CONCAT(""A"",to_text(match(FC77,ecn.list,0)))),0,1),"""")"),"N2 ")</f>
        <v>N2 </v>
      </c>
      <c r="CD77" s="236" t="str">
        <f>IFERROR(__xludf.DUMMYFUNCTION("if(countif(ecn.list,FD77),OFFSET(INDIRECT(CONCAT(""A"",to_text(match(FD77,ecn.list,0)))),0,1),"""")"),"")</f>
        <v/>
      </c>
      <c r="CE77" s="236" t="str">
        <f>IFERROR(__xludf.DUMMYFUNCTION("if(countif(ecn.list,FE77),OFFSET(INDIRECT(CONCAT(""A"",to_text(match(FE77,ecn.list,0)))),0,1),"""")"),"")</f>
        <v/>
      </c>
      <c r="CF77" s="236" t="str">
        <f>IFERROR(__xludf.DUMMYFUNCTION("if(countif(ecn.list,FF77),OFFSET(INDIRECT(CONCAT(""A"",to_text(match(FF77,ecn.list,0)))),0,1),"""")"),"")</f>
        <v/>
      </c>
      <c r="CG77" s="236" t="str">
        <f>IFERROR(__xludf.DUMMYFUNCTION("if(countif(ecn.list,FG77),OFFSET(INDIRECT(CONCAT(""A"",to_text(match(FG77,ecn.list,0)))),0,1),"""")"),"")</f>
        <v/>
      </c>
      <c r="CH77" s="236" t="str">
        <f>IFERROR(__xludf.DUMMYFUNCTION("if(countif(ecn.list,FH77),OFFSET(INDIRECT(CONCAT(""A"",to_text(match(FH77,ecn.list,0)))),0,1),"""")"),"N7 ")</f>
        <v>N7 </v>
      </c>
      <c r="CI77" s="236" t="str">
        <f>IFERROR(__xludf.DUMMYFUNCTION("if(countif(ecn.list,FI77),OFFSET(INDIRECT(CONCAT(""A"",to_text(match(FI77,ecn.list,0)))),0,1),"""")"),"")</f>
        <v/>
      </c>
      <c r="CJ77" s="236" t="str">
        <f>IFERROR(__xludf.DUMMYFUNCTION("if(countif(ecn.list,FJ77),OFFSET(INDIRECT(CONCAT(""A"",to_text(match(FJ77,ecn.list,0)))),0,1),"""")"),"")</f>
        <v/>
      </c>
      <c r="CK77" s="236" t="str">
        <f>IFERROR(__xludf.DUMMYFUNCTION("if(countif(ecn.list,FK77),OFFSET(INDIRECT(CONCAT(""A"",to_text(match(FK77,ecn.list,0)))),0,1),"""")"),"NA ")</f>
        <v>NA </v>
      </c>
      <c r="CL77" s="236" t="str">
        <f>IFERROR(__xludf.DUMMYFUNCTION("if(countif(ecn.list,FL77),OFFSET(INDIRECT(CONCAT(""A"",to_text(match(FL77,ecn.list,0)))),0,1),"""")"),"")</f>
        <v/>
      </c>
      <c r="CM77" s="236" t="str">
        <f>IFERROR(__xludf.DUMMYFUNCTION("if(countif(ecn.list,FM77),OFFSET(INDIRECT(CONCAT(""A"",to_text(match(FM77,ecn.list,0)))),0,1),"""")"),"")</f>
        <v/>
      </c>
      <c r="CN77" s="198" t="s">
        <v>303</v>
      </c>
      <c r="CO77" s="198" t="s">
        <v>1447</v>
      </c>
      <c r="CP77" s="198" t="s">
        <v>1451</v>
      </c>
      <c r="CQ77" s="198" t="s">
        <v>1452</v>
      </c>
      <c r="CR77" s="198" t="s">
        <v>1453</v>
      </c>
      <c r="CS77" s="198" t="s">
        <v>1453</v>
      </c>
      <c r="CT77" s="198" t="s">
        <v>1453</v>
      </c>
      <c r="CU77" s="198" t="s">
        <v>1455</v>
      </c>
      <c r="CV77" s="198" t="s">
        <v>1456</v>
      </c>
      <c r="CW77" s="198" t="s">
        <v>1453</v>
      </c>
      <c r="CX77" s="198" t="s">
        <v>1453</v>
      </c>
      <c r="CY77" s="198" t="s">
        <v>1453</v>
      </c>
      <c r="CZ77" s="198" t="s">
        <v>1453</v>
      </c>
      <c r="DA77" s="198" t="s">
        <v>1457</v>
      </c>
      <c r="DB77" s="198" t="s">
        <v>1453</v>
      </c>
      <c r="DC77" s="198" t="s">
        <v>1453</v>
      </c>
      <c r="DD77" s="198" t="s">
        <v>1458</v>
      </c>
      <c r="DE77" s="198" t="s">
        <v>1459</v>
      </c>
      <c r="DF77" s="198" t="s">
        <v>1453</v>
      </c>
      <c r="DG77" s="198" t="s">
        <v>1453</v>
      </c>
      <c r="DH77" s="198" t="s">
        <v>1453</v>
      </c>
      <c r="DI77" s="198" t="s">
        <v>1453</v>
      </c>
      <c r="DJ77" s="198" t="s">
        <v>1460</v>
      </c>
      <c r="DK77" s="198" t="s">
        <v>1453</v>
      </c>
      <c r="DL77" s="198" t="s">
        <v>1461</v>
      </c>
      <c r="DM77" s="198" t="s">
        <v>1453</v>
      </c>
      <c r="DN77" s="198" t="s">
        <v>1463</v>
      </c>
      <c r="DO77" s="198" t="s">
        <v>1464</v>
      </c>
      <c r="DP77" s="198" t="s">
        <v>1453</v>
      </c>
      <c r="DQ77" s="198" t="s">
        <v>1466</v>
      </c>
      <c r="DR77" s="198" t="s">
        <v>1467</v>
      </c>
      <c r="DS77" s="198" t="s">
        <v>1453</v>
      </c>
      <c r="DT77" s="198" t="s">
        <v>1453</v>
      </c>
      <c r="DU77" s="198" t="s">
        <v>1453</v>
      </c>
      <c r="DV77" s="198" t="s">
        <v>1469</v>
      </c>
      <c r="DW77" s="198" t="s">
        <v>1453</v>
      </c>
      <c r="DX77" s="198" t="s">
        <v>1453</v>
      </c>
      <c r="DY77" s="198" t="s">
        <v>1453</v>
      </c>
      <c r="DZ77" s="198" t="s">
        <v>1453</v>
      </c>
      <c r="EA77" s="198" t="s">
        <v>1453</v>
      </c>
      <c r="EB77" s="198" t="s">
        <v>1453</v>
      </c>
      <c r="EC77" s="198" t="s">
        <v>1483</v>
      </c>
      <c r="ED77" s="198" t="s">
        <v>1453</v>
      </c>
      <c r="EE77" s="198" t="s">
        <v>1470</v>
      </c>
      <c r="EF77" s="198" t="s">
        <v>1453</v>
      </c>
      <c r="EG77" s="198" t="s">
        <v>1471</v>
      </c>
      <c r="EH77" s="198" t="s">
        <v>1453</v>
      </c>
      <c r="EI77" s="198" t="s">
        <v>1453</v>
      </c>
      <c r="EJ77" s="198" t="s">
        <v>1453</v>
      </c>
      <c r="EK77" s="198" t="s">
        <v>1453</v>
      </c>
      <c r="EL77" s="198" t="s">
        <v>1473</v>
      </c>
      <c r="EM77" s="198" t="s">
        <v>1453</v>
      </c>
      <c r="EN77" s="198" t="s">
        <v>1474</v>
      </c>
      <c r="EO77" s="198" t="s">
        <v>1475</v>
      </c>
      <c r="EP77" s="198" t="s">
        <v>1453</v>
      </c>
      <c r="EQ77" s="198" t="s">
        <v>1453</v>
      </c>
      <c r="ER77" s="198" t="s">
        <v>1453</v>
      </c>
      <c r="ES77" s="198" t="s">
        <v>1453</v>
      </c>
      <c r="ET77" s="198" t="s">
        <v>1453</v>
      </c>
      <c r="EU77" s="198" t="s">
        <v>1453</v>
      </c>
      <c r="EV77" s="198" t="s">
        <v>1476</v>
      </c>
      <c r="EW77" s="198" t="s">
        <v>1453</v>
      </c>
      <c r="EX77" s="198" t="s">
        <v>1453</v>
      </c>
      <c r="EY77" s="198" t="s">
        <v>1453</v>
      </c>
      <c r="EZ77" s="198" t="s">
        <v>1477</v>
      </c>
      <c r="FA77" s="198" t="s">
        <v>1453</v>
      </c>
      <c r="FB77" s="198" t="s">
        <v>1453</v>
      </c>
      <c r="FC77" s="198" t="s">
        <v>1478</v>
      </c>
      <c r="FD77" s="198" t="s">
        <v>1453</v>
      </c>
      <c r="FE77" s="198" t="s">
        <v>1453</v>
      </c>
      <c r="FF77" s="198" t="s">
        <v>1453</v>
      </c>
      <c r="FG77" s="198" t="s">
        <v>1453</v>
      </c>
      <c r="FH77" s="198" t="s">
        <v>1479</v>
      </c>
      <c r="FI77" s="198" t="s">
        <v>1453</v>
      </c>
      <c r="FJ77" s="198" t="s">
        <v>1453</v>
      </c>
      <c r="FK77" s="198" t="s">
        <v>1481</v>
      </c>
      <c r="FL77" s="198" t="s">
        <v>1482</v>
      </c>
      <c r="FM77" s="198" t="s">
        <v>1453</v>
      </c>
    </row>
    <row r="78" ht="15.75" customHeight="1">
      <c r="A78" s="236" t="s">
        <v>1481</v>
      </c>
      <c r="B78" s="198" t="str">
        <f t="shared" si="8"/>
        <v>NA </v>
      </c>
      <c r="C78" s="234" t="s">
        <v>1508</v>
      </c>
      <c r="D78" s="232" t="s">
        <v>770</v>
      </c>
      <c r="E78" s="232" t="s">
        <v>1448</v>
      </c>
      <c r="F78" s="232" t="s">
        <v>1449</v>
      </c>
      <c r="G78" s="232" t="s">
        <v>1450</v>
      </c>
      <c r="H78" s="232" t="s">
        <v>876</v>
      </c>
      <c r="I78" s="232" t="s">
        <v>987</v>
      </c>
      <c r="J78" s="232" t="s">
        <v>1497</v>
      </c>
      <c r="K78" s="232" t="s">
        <v>1011</v>
      </c>
      <c r="L78" s="188" t="s">
        <v>306</v>
      </c>
      <c r="M78" s="236" t="str">
        <f>IFERROR(__xludf.DUMMYFUNCTION("regexreplace(N78,"" "","", "")"),"J0, J1, J2, J3, J5, J6, J7, JA, JC, JD, JF, K0, K1, K2, K3, K4, K5, K7, K8, K9, KA, KB, KC, KD, KE, KF, L1, L2, L3, L7, L8, LA, LC, LF, M0, M1, M3, M4, M5, M8, MB, MF, N2, N6, N7, NA, ")</f>
        <v>J0, J1, J2, J3, J5, J6, J7, JA, JC, JD, JF, K0, K1, K2, K3, K4, K5, K7, K8, K9, KA, KB, KC, KD, KE, KF, L1, L2, L3, L7, L8, LA, LC, LF, M0, M1, M3, M4, M5, M8, MB, MF, N2, N6, N7, NA, </v>
      </c>
      <c r="N78" s="236" t="str">
        <f t="shared" si="2"/>
        <v>J0 J1 J2 J3 J5 J6 J7 JA JC JD JF K0 K1 K2 K3 K4 K5 K7 K8 K9 KA KB KC KD KE KF L1 L2 L3 L7 L8 LA LC LF M0 M1 M3 M4 M5 M8 MB MF N2 N6 N7 NA </v>
      </c>
      <c r="O78" s="236" t="str">
        <f>IFERROR(__xludf.DUMMYFUNCTION("if(countif(ecn.list,CO78),OFFSET(INDIRECT(CONCAT(""A"",to_text(match(CO78,ecn.list,0)))),0,1),"""")"),"J0 ")</f>
        <v>J0 </v>
      </c>
      <c r="P78" s="236" t="str">
        <f>IFERROR(__xludf.DUMMYFUNCTION("if(countif(ecn.list,CP78),OFFSET(INDIRECT(CONCAT(""A"",to_text(match(CP78,ecn.list,0)))),0,1),"""")"),"J1 ")</f>
        <v>J1 </v>
      </c>
      <c r="Q78" s="236" t="str">
        <f>IFERROR(__xludf.DUMMYFUNCTION("if(countif(ecn.list,CQ78),OFFSET(INDIRECT(CONCAT(""A"",to_text(match(CQ78,ecn.list,0)))),0,1),"""")"),"J2 ")</f>
        <v>J2 </v>
      </c>
      <c r="R78" s="236" t="str">
        <f>IFERROR(__xludf.DUMMYFUNCTION("if(countif(ecn.list,CR78),OFFSET(INDIRECT(CONCAT(""A"",to_text(match(CR78,ecn.list,0)))),0,1),"""")"),"J3 ")</f>
        <v>J3 </v>
      </c>
      <c r="S78" s="236" t="str">
        <f>IFERROR(__xludf.DUMMYFUNCTION("if(countif(ecn.list,CS78),OFFSET(INDIRECT(CONCAT(""A"",to_text(match(CS78,ecn.list,0)))),0,1),"""")"),"")</f>
        <v/>
      </c>
      <c r="T78" s="236" t="str">
        <f>IFERROR(__xludf.DUMMYFUNCTION("if(countif(ecn.list,CT78),OFFSET(INDIRECT(CONCAT(""A"",to_text(match(CT78,ecn.list,0)))),0,1),"""")"),"J5 ")</f>
        <v>J5 </v>
      </c>
      <c r="U78" s="236" t="str">
        <f>IFERROR(__xludf.DUMMYFUNCTION("if(countif(ecn.list,CU78),OFFSET(INDIRECT(CONCAT(""A"",to_text(match(CU78,ecn.list,0)))),0,1),"""")"),"J6 ")</f>
        <v>J6 </v>
      </c>
      <c r="V78" s="236" t="str">
        <f>IFERROR(__xludf.DUMMYFUNCTION("if(countif(ecn.list,CV78),OFFSET(INDIRECT(CONCAT(""A"",to_text(match(CV78,ecn.list,0)))),0,1),"""")"),"J7 ")</f>
        <v>J7 </v>
      </c>
      <c r="W78" s="236" t="str">
        <f>IFERROR(__xludf.DUMMYFUNCTION("if(countif(ecn.list,CW78),OFFSET(INDIRECT(CONCAT(""A"",to_text(match(CW78,ecn.list,0)))),0,1),"""")"),"")</f>
        <v/>
      </c>
      <c r="X78" s="236" t="str">
        <f>IFERROR(__xludf.DUMMYFUNCTION("if(countif(ecn.list,CX78),OFFSET(INDIRECT(CONCAT(""A"",to_text(match(CX78,ecn.list,0)))),0,1),"""")"),"")</f>
        <v/>
      </c>
      <c r="Y78" s="236" t="str">
        <f>IFERROR(__xludf.DUMMYFUNCTION("if(countif(ecn.list,CY78),OFFSET(INDIRECT(CONCAT(""A"",to_text(match(CY78,ecn.list,0)))),0,1),"""")"),"JA ")</f>
        <v>JA </v>
      </c>
      <c r="Z78" s="236" t="str">
        <f>IFERROR(__xludf.DUMMYFUNCTION("if(countif(ecn.list,CZ78),OFFSET(INDIRECT(CONCAT(""A"",to_text(match(CZ78,ecn.list,0)))),0,1),"""")"),"")</f>
        <v/>
      </c>
      <c r="AA78" s="236" t="str">
        <f>IFERROR(__xludf.DUMMYFUNCTION("if(countif(ecn.list,DA78),OFFSET(INDIRECT(CONCAT(""A"",to_text(match(DA78,ecn.list,0)))),0,1),"""")"),"JC ")</f>
        <v>JC </v>
      </c>
      <c r="AB78" s="236" t="str">
        <f>IFERROR(__xludf.DUMMYFUNCTION("if(countif(ecn.list,DB78),OFFSET(INDIRECT(CONCAT(""A"",to_text(match(DB78,ecn.list,0)))),0,1),"""")"),"JD ")</f>
        <v>JD </v>
      </c>
      <c r="AC78" s="236" t="str">
        <f>IFERROR(__xludf.DUMMYFUNCTION("if(countif(ecn.list,DC78),OFFSET(INDIRECT(CONCAT(""A"",to_text(match(DC78,ecn.list,0)))),0,1),"""")"),"")</f>
        <v/>
      </c>
      <c r="AD78" s="236" t="str">
        <f>IFERROR(__xludf.DUMMYFUNCTION("if(countif(ecn.list,DD78),OFFSET(INDIRECT(CONCAT(""A"",to_text(match(DD78,ecn.list,0)))),0,1),"""")"),"JF ")</f>
        <v>JF </v>
      </c>
      <c r="AE78" s="236" t="str">
        <f>IFERROR(__xludf.DUMMYFUNCTION("if(countif(ecn.list,DE78),OFFSET(INDIRECT(CONCAT(""A"",to_text(match(DE78,ecn.list,0)))),0,1),"""")"),"K0 ")</f>
        <v>K0 </v>
      </c>
      <c r="AF78" s="236" t="str">
        <f>IFERROR(__xludf.DUMMYFUNCTION("if(countif(ecn.list,DF78),OFFSET(INDIRECT(CONCAT(""A"",to_text(match(DF78,ecn.list,0)))),0,1),"""")"),"K1 ")</f>
        <v>K1 </v>
      </c>
      <c r="AG78" s="236" t="str">
        <f>IFERROR(__xludf.DUMMYFUNCTION("if(countif(ecn.list,DG78),OFFSET(INDIRECT(CONCAT(""A"",to_text(match(DG78,ecn.list,0)))),0,1),"""")"),"K2 ")</f>
        <v>K2 </v>
      </c>
      <c r="AH78" s="236" t="str">
        <f>IFERROR(__xludf.DUMMYFUNCTION("if(countif(ecn.list,DH78),OFFSET(INDIRECT(CONCAT(""A"",to_text(match(DH78,ecn.list,0)))),0,1),"""")"),"K3 ")</f>
        <v>K3 </v>
      </c>
      <c r="AI78" s="236" t="str">
        <f>IFERROR(__xludf.DUMMYFUNCTION("if(countif(ecn.list,DI78),OFFSET(INDIRECT(CONCAT(""A"",to_text(match(DI78,ecn.list,0)))),0,1),"""")"),"K4 ")</f>
        <v>K4 </v>
      </c>
      <c r="AJ78" s="236" t="str">
        <f>IFERROR(__xludf.DUMMYFUNCTION("if(countif(ecn.list,DJ78),OFFSET(INDIRECT(CONCAT(""A"",to_text(match(DJ78,ecn.list,0)))),0,1),"""")"),"K5 ")</f>
        <v>K5 </v>
      </c>
      <c r="AK78" s="236" t="str">
        <f>IFERROR(__xludf.DUMMYFUNCTION("if(countif(ecn.list,DK78),OFFSET(INDIRECT(CONCAT(""A"",to_text(match(DK78,ecn.list,0)))),0,1),"""")"),"")</f>
        <v/>
      </c>
      <c r="AL78" s="236" t="str">
        <f>IFERROR(__xludf.DUMMYFUNCTION("if(countif(ecn.list,DL78),OFFSET(INDIRECT(CONCAT(""A"",to_text(match(DL78,ecn.list,0)))),0,1),"""")"),"K7 ")</f>
        <v>K7 </v>
      </c>
      <c r="AM78" s="236" t="str">
        <f>IFERROR(__xludf.DUMMYFUNCTION("if(countif(ecn.list,DM78),OFFSET(INDIRECT(CONCAT(""A"",to_text(match(DM78,ecn.list,0)))),0,1),"""")"),"K8 ")</f>
        <v>K8 </v>
      </c>
      <c r="AN78" s="236" t="str">
        <f>IFERROR(__xludf.DUMMYFUNCTION("if(countif(ecn.list,DN78),OFFSET(INDIRECT(CONCAT(""A"",to_text(match(DN78,ecn.list,0)))),0,1),"""")"),"K9 ")</f>
        <v>K9 </v>
      </c>
      <c r="AO78" s="236" t="str">
        <f>IFERROR(__xludf.DUMMYFUNCTION("if(countif(ecn.list,DO78),OFFSET(INDIRECT(CONCAT(""A"",to_text(match(DO78,ecn.list,0)))),0,1),"""")"),"KA ")</f>
        <v>KA </v>
      </c>
      <c r="AP78" s="236" t="str">
        <f>IFERROR(__xludf.DUMMYFUNCTION("if(countif(ecn.list,DP78),OFFSET(INDIRECT(CONCAT(""A"",to_text(match(DP78,ecn.list,0)))),0,1),"""")"),"KB ")</f>
        <v>KB </v>
      </c>
      <c r="AQ78" s="236" t="str">
        <f>IFERROR(__xludf.DUMMYFUNCTION("if(countif(ecn.list,DQ78),OFFSET(INDIRECT(CONCAT(""A"",to_text(match(DQ78,ecn.list,0)))),0,1),"""")"),"KC ")</f>
        <v>KC </v>
      </c>
      <c r="AR78" s="236" t="str">
        <f>IFERROR(__xludf.DUMMYFUNCTION("if(countif(ecn.list,DR78),OFFSET(INDIRECT(CONCAT(""A"",to_text(match(DR78,ecn.list,0)))),0,1),"""")"),"KD ")</f>
        <v>KD </v>
      </c>
      <c r="AS78" s="236" t="str">
        <f>IFERROR(__xludf.DUMMYFUNCTION("if(countif(ecn.list,DS78),OFFSET(INDIRECT(CONCAT(""A"",to_text(match(DS78,ecn.list,0)))),0,1),"""")"),"KE ")</f>
        <v>KE </v>
      </c>
      <c r="AT78" s="236" t="str">
        <f>IFERROR(__xludf.DUMMYFUNCTION("if(countif(ecn.list,DT78),OFFSET(INDIRECT(CONCAT(""A"",to_text(match(DT78,ecn.list,0)))),0,1),"""")"),"KF ")</f>
        <v>KF </v>
      </c>
      <c r="AU78" s="236" t="str">
        <f>IFERROR(__xludf.DUMMYFUNCTION("if(countif(ecn.list,DU78),OFFSET(INDIRECT(CONCAT(""A"",to_text(match(DU78,ecn.list,0)))),0,1),"""")"),"")</f>
        <v/>
      </c>
      <c r="AV78" s="236" t="str">
        <f>IFERROR(__xludf.DUMMYFUNCTION("if(countif(ecn.list,DV78),OFFSET(INDIRECT(CONCAT(""A"",to_text(match(DV78,ecn.list,0)))),0,1),"""")"),"L1 ")</f>
        <v>L1 </v>
      </c>
      <c r="AW78" s="236" t="str">
        <f>IFERROR(__xludf.DUMMYFUNCTION("if(countif(ecn.list,DW78),OFFSET(INDIRECT(CONCAT(""A"",to_text(match(DW78,ecn.list,0)))),0,1),"""")"),"L2 ")</f>
        <v>L2 </v>
      </c>
      <c r="AX78" s="236" t="str">
        <f>IFERROR(__xludf.DUMMYFUNCTION("if(countif(ecn.list,DX78),OFFSET(INDIRECT(CONCAT(""A"",to_text(match(DX78,ecn.list,0)))),0,1),"""")"),"L3 ")</f>
        <v>L3 </v>
      </c>
      <c r="AY78" s="236" t="str">
        <f>IFERROR(__xludf.DUMMYFUNCTION("if(countif(ecn.list,DY78),OFFSET(INDIRECT(CONCAT(""A"",to_text(match(DY78,ecn.list,0)))),0,1),"""")"),"")</f>
        <v/>
      </c>
      <c r="AZ78" s="236" t="str">
        <f>IFERROR(__xludf.DUMMYFUNCTION("if(countif(ecn.list,DZ78),OFFSET(INDIRECT(CONCAT(""A"",to_text(match(DZ78,ecn.list,0)))),0,1),"""")"),"")</f>
        <v/>
      </c>
      <c r="BA78" s="236" t="str">
        <f>IFERROR(__xludf.DUMMYFUNCTION("if(countif(ecn.list,EA78),OFFSET(INDIRECT(CONCAT(""A"",to_text(match(EA78,ecn.list,0)))),0,1),"""")"),"")</f>
        <v/>
      </c>
      <c r="BB78" s="236" t="str">
        <f>IFERROR(__xludf.DUMMYFUNCTION("if(countif(ecn.list,EB78),OFFSET(INDIRECT(CONCAT(""A"",to_text(match(EB78,ecn.list,0)))),0,1),"""")"),"L7 ")</f>
        <v>L7 </v>
      </c>
      <c r="BC78" s="236" t="str">
        <f>IFERROR(__xludf.DUMMYFUNCTION("if(countif(ecn.list,EC78),OFFSET(INDIRECT(CONCAT(""A"",to_text(match(EC78,ecn.list,0)))),0,1),"""")"),"L8 ")</f>
        <v>L8 </v>
      </c>
      <c r="BD78" s="236" t="str">
        <f>IFERROR(__xludf.DUMMYFUNCTION("if(countif(ecn.list,ED78),OFFSET(INDIRECT(CONCAT(""A"",to_text(match(ED78,ecn.list,0)))),0,1),"""")"),"")</f>
        <v/>
      </c>
      <c r="BE78" s="236" t="str">
        <f>IFERROR(__xludf.DUMMYFUNCTION("if(countif(ecn.list,EE78),OFFSET(INDIRECT(CONCAT(""A"",to_text(match(EE78,ecn.list,0)))),0,1),"""")"),"LA ")</f>
        <v>LA </v>
      </c>
      <c r="BF78" s="236" t="str">
        <f>IFERROR(__xludf.DUMMYFUNCTION("if(countif(ecn.list,EF78),OFFSET(INDIRECT(CONCAT(""A"",to_text(match(EF78,ecn.list,0)))),0,1),"""")"),"")</f>
        <v/>
      </c>
      <c r="BG78" s="236" t="str">
        <f>IFERROR(__xludf.DUMMYFUNCTION("if(countif(ecn.list,EG78),OFFSET(INDIRECT(CONCAT(""A"",to_text(match(EG78,ecn.list,0)))),0,1),"""")"),"LC ")</f>
        <v>LC </v>
      </c>
      <c r="BH78" s="236" t="str">
        <f>IFERROR(__xludf.DUMMYFUNCTION("if(countif(ecn.list,EH78),OFFSET(INDIRECT(CONCAT(""A"",to_text(match(EH78,ecn.list,0)))),0,1),"""")"),"")</f>
        <v/>
      </c>
      <c r="BI78" s="236" t="str">
        <f>IFERROR(__xludf.DUMMYFUNCTION("if(countif(ecn.list,EI78),OFFSET(INDIRECT(CONCAT(""A"",to_text(match(EI78,ecn.list,0)))),0,1),"""")"),"")</f>
        <v/>
      </c>
      <c r="BJ78" s="236" t="str">
        <f>IFERROR(__xludf.DUMMYFUNCTION("if(countif(ecn.list,EJ78),OFFSET(INDIRECT(CONCAT(""A"",to_text(match(EJ78,ecn.list,0)))),0,1),"""")"),"LF ")</f>
        <v>LF </v>
      </c>
      <c r="BK78" s="236" t="str">
        <f>IFERROR(__xludf.DUMMYFUNCTION("if(countif(ecn.list,EK78),OFFSET(INDIRECT(CONCAT(""A"",to_text(match(EK78,ecn.list,0)))),0,1),"""")"),"M0 ")</f>
        <v>M0 </v>
      </c>
      <c r="BL78" s="236" t="str">
        <f>IFERROR(__xludf.DUMMYFUNCTION("if(countif(ecn.list,EL78),OFFSET(INDIRECT(CONCAT(""A"",to_text(match(EL78,ecn.list,0)))),0,1),"""")"),"M1 ")</f>
        <v>M1 </v>
      </c>
      <c r="BM78" s="236" t="str">
        <f>IFERROR(__xludf.DUMMYFUNCTION("if(countif(ecn.list,EM78),OFFSET(INDIRECT(CONCAT(""A"",to_text(match(EM78,ecn.list,0)))),0,1),"""")"),"")</f>
        <v/>
      </c>
      <c r="BN78" s="236" t="str">
        <f>IFERROR(__xludf.DUMMYFUNCTION("if(countif(ecn.list,EN78),OFFSET(INDIRECT(CONCAT(""A"",to_text(match(EN78,ecn.list,0)))),0,1),"""")"),"M3 ")</f>
        <v>M3 </v>
      </c>
      <c r="BO78" s="236" t="str">
        <f>IFERROR(__xludf.DUMMYFUNCTION("if(countif(ecn.list,EO78),OFFSET(INDIRECT(CONCAT(""A"",to_text(match(EO78,ecn.list,0)))),0,1),"""")"),"M4 ")</f>
        <v>M4 </v>
      </c>
      <c r="BP78" s="236" t="str">
        <f>IFERROR(__xludf.DUMMYFUNCTION("if(countif(ecn.list,EP78),OFFSET(INDIRECT(CONCAT(""A"",to_text(match(EP78,ecn.list,0)))),0,1),"""")"),"M5 ")</f>
        <v>M5 </v>
      </c>
      <c r="BQ78" s="236" t="str">
        <f>IFERROR(__xludf.DUMMYFUNCTION("if(countif(ecn.list,EQ78),OFFSET(INDIRECT(CONCAT(""A"",to_text(match(EQ78,ecn.list,0)))),0,1),"""")"),"")</f>
        <v/>
      </c>
      <c r="BR78" s="236" t="str">
        <f>IFERROR(__xludf.DUMMYFUNCTION("if(countif(ecn.list,ER78),OFFSET(INDIRECT(CONCAT(""A"",to_text(match(ER78,ecn.list,0)))),0,1),"""")"),"")</f>
        <v/>
      </c>
      <c r="BS78" s="236" t="str">
        <f>IFERROR(__xludf.DUMMYFUNCTION("if(countif(ecn.list,ES78),OFFSET(INDIRECT(CONCAT(""A"",to_text(match(ES78,ecn.list,0)))),0,1),"""")"),"M8 ")</f>
        <v>M8 </v>
      </c>
      <c r="BT78" s="236" t="str">
        <f>IFERROR(__xludf.DUMMYFUNCTION("if(countif(ecn.list,ET78),OFFSET(INDIRECT(CONCAT(""A"",to_text(match(ET78,ecn.list,0)))),0,1),"""")"),"")</f>
        <v/>
      </c>
      <c r="BU78" s="236" t="str">
        <f>IFERROR(__xludf.DUMMYFUNCTION("if(countif(ecn.list,EU78),OFFSET(INDIRECT(CONCAT(""A"",to_text(match(EU78,ecn.list,0)))),0,1),"""")"),"")</f>
        <v/>
      </c>
      <c r="BV78" s="236" t="str">
        <f>IFERROR(__xludf.DUMMYFUNCTION("if(countif(ecn.list,EV78),OFFSET(INDIRECT(CONCAT(""A"",to_text(match(EV78,ecn.list,0)))),0,1),"""")"),"MB ")</f>
        <v>MB </v>
      </c>
      <c r="BW78" s="236" t="str">
        <f>IFERROR(__xludf.DUMMYFUNCTION("if(countif(ecn.list,EW78),OFFSET(INDIRECT(CONCAT(""A"",to_text(match(EW78,ecn.list,0)))),0,1),"""")"),"")</f>
        <v/>
      </c>
      <c r="BX78" s="236" t="str">
        <f>IFERROR(__xludf.DUMMYFUNCTION("if(countif(ecn.list,EX78),OFFSET(INDIRECT(CONCAT(""A"",to_text(match(EX78,ecn.list,0)))),0,1),"""")"),"")</f>
        <v/>
      </c>
      <c r="BY78" s="236" t="str">
        <f>IFERROR(__xludf.DUMMYFUNCTION("if(countif(ecn.list,EY78),OFFSET(INDIRECT(CONCAT(""A"",to_text(match(EY78,ecn.list,0)))),0,1),"""")"),"")</f>
        <v/>
      </c>
      <c r="BZ78" s="236" t="str">
        <f>IFERROR(__xludf.DUMMYFUNCTION("if(countif(ecn.list,EZ78),OFFSET(INDIRECT(CONCAT(""A"",to_text(match(EZ78,ecn.list,0)))),0,1),"""")"),"MF ")</f>
        <v>MF </v>
      </c>
      <c r="CA78" s="236" t="str">
        <f>IFERROR(__xludf.DUMMYFUNCTION("if(countif(ecn.list,FA78),OFFSET(INDIRECT(CONCAT(""A"",to_text(match(FA78,ecn.list,0)))),0,1),"""")"),"")</f>
        <v/>
      </c>
      <c r="CB78" s="236" t="str">
        <f>IFERROR(__xludf.DUMMYFUNCTION("if(countif(ecn.list,FB78),OFFSET(INDIRECT(CONCAT(""A"",to_text(match(FB78,ecn.list,0)))),0,1),"""")"),"")</f>
        <v/>
      </c>
      <c r="CC78" s="236" t="str">
        <f>IFERROR(__xludf.DUMMYFUNCTION("if(countif(ecn.list,FC78),OFFSET(INDIRECT(CONCAT(""A"",to_text(match(FC78,ecn.list,0)))),0,1),"""")"),"N2 ")</f>
        <v>N2 </v>
      </c>
      <c r="CD78" s="236" t="str">
        <f>IFERROR(__xludf.DUMMYFUNCTION("if(countif(ecn.list,FD78),OFFSET(INDIRECT(CONCAT(""A"",to_text(match(FD78,ecn.list,0)))),0,1),"""")"),"")</f>
        <v/>
      </c>
      <c r="CE78" s="236" t="str">
        <f>IFERROR(__xludf.DUMMYFUNCTION("if(countif(ecn.list,FE78),OFFSET(INDIRECT(CONCAT(""A"",to_text(match(FE78,ecn.list,0)))),0,1),"""")"),"")</f>
        <v/>
      </c>
      <c r="CF78" s="236" t="str">
        <f>IFERROR(__xludf.DUMMYFUNCTION("if(countif(ecn.list,FF78),OFFSET(INDIRECT(CONCAT(""A"",to_text(match(FF78,ecn.list,0)))),0,1),"""")"),"")</f>
        <v/>
      </c>
      <c r="CG78" s="236" t="str">
        <f>IFERROR(__xludf.DUMMYFUNCTION("if(countif(ecn.list,FG78),OFFSET(INDIRECT(CONCAT(""A"",to_text(match(FG78,ecn.list,0)))),0,1),"""")"),"N6 ")</f>
        <v>N6 </v>
      </c>
      <c r="CH78" s="236" t="str">
        <f>IFERROR(__xludf.DUMMYFUNCTION("if(countif(ecn.list,FH78),OFFSET(INDIRECT(CONCAT(""A"",to_text(match(FH78,ecn.list,0)))),0,1),"""")"),"N7 ")</f>
        <v>N7 </v>
      </c>
      <c r="CI78" s="236" t="str">
        <f>IFERROR(__xludf.DUMMYFUNCTION("if(countif(ecn.list,FI78),OFFSET(INDIRECT(CONCAT(""A"",to_text(match(FI78,ecn.list,0)))),0,1),"""")"),"")</f>
        <v/>
      </c>
      <c r="CJ78" s="236" t="str">
        <f>IFERROR(__xludf.DUMMYFUNCTION("if(countif(ecn.list,FJ78),OFFSET(INDIRECT(CONCAT(""A"",to_text(match(FJ78,ecn.list,0)))),0,1),"""")"),"")</f>
        <v/>
      </c>
      <c r="CK78" s="236" t="str">
        <f>IFERROR(__xludf.DUMMYFUNCTION("if(countif(ecn.list,FK78),OFFSET(INDIRECT(CONCAT(""A"",to_text(match(FK78,ecn.list,0)))),0,1),"""")"),"NA ")</f>
        <v>NA </v>
      </c>
      <c r="CL78" s="236" t="str">
        <f>IFERROR(__xludf.DUMMYFUNCTION("if(countif(ecn.list,FL78),OFFSET(INDIRECT(CONCAT(""A"",to_text(match(FL78,ecn.list,0)))),0,1),"""")"),"")</f>
        <v/>
      </c>
      <c r="CM78" s="236" t="str">
        <f>IFERROR(__xludf.DUMMYFUNCTION("if(countif(ecn.list,FM78),OFFSET(INDIRECT(CONCAT(""A"",to_text(match(FM78,ecn.list,0)))),0,1),"""")"),"")</f>
        <v/>
      </c>
      <c r="CN78" s="198" t="s">
        <v>306</v>
      </c>
      <c r="CO78" s="198" t="s">
        <v>1447</v>
      </c>
      <c r="CP78" s="198" t="s">
        <v>1451</v>
      </c>
      <c r="CQ78" s="198" t="s">
        <v>1452</v>
      </c>
      <c r="CR78" s="198" t="s">
        <v>1490</v>
      </c>
      <c r="CS78" s="198" t="s">
        <v>1453</v>
      </c>
      <c r="CT78" s="198" t="s">
        <v>1454</v>
      </c>
      <c r="CU78" s="198" t="s">
        <v>1455</v>
      </c>
      <c r="CV78" s="198" t="s">
        <v>1456</v>
      </c>
      <c r="CW78" s="198" t="s">
        <v>1453</v>
      </c>
      <c r="CX78" s="198" t="s">
        <v>1453</v>
      </c>
      <c r="CY78" s="198" t="s">
        <v>1484</v>
      </c>
      <c r="CZ78" s="198" t="s">
        <v>1453</v>
      </c>
      <c r="DA78" s="198" t="s">
        <v>1457</v>
      </c>
      <c r="DB78" s="198" t="s">
        <v>1485</v>
      </c>
      <c r="DC78" s="198" t="s">
        <v>1453</v>
      </c>
      <c r="DD78" s="198" t="s">
        <v>1458</v>
      </c>
      <c r="DE78" s="198" t="s">
        <v>1459</v>
      </c>
      <c r="DF78" s="198" t="s">
        <v>1498</v>
      </c>
      <c r="DG78" s="198" t="s">
        <v>1499</v>
      </c>
      <c r="DH78" s="198" t="s">
        <v>1500</v>
      </c>
      <c r="DI78" s="198" t="s">
        <v>1501</v>
      </c>
      <c r="DJ78" s="198" t="s">
        <v>1460</v>
      </c>
      <c r="DK78" s="198" t="s">
        <v>1453</v>
      </c>
      <c r="DL78" s="198" t="s">
        <v>1461</v>
      </c>
      <c r="DM78" s="198" t="s">
        <v>1462</v>
      </c>
      <c r="DN78" s="198" t="s">
        <v>1463</v>
      </c>
      <c r="DO78" s="198" t="s">
        <v>1464</v>
      </c>
      <c r="DP78" s="198" t="s">
        <v>1465</v>
      </c>
      <c r="DQ78" s="198" t="s">
        <v>1466</v>
      </c>
      <c r="DR78" s="198" t="s">
        <v>1467</v>
      </c>
      <c r="DS78" s="198" t="s">
        <v>1515</v>
      </c>
      <c r="DT78" s="198" t="s">
        <v>1468</v>
      </c>
      <c r="DU78" s="198" t="s">
        <v>1453</v>
      </c>
      <c r="DV78" s="198" t="s">
        <v>1469</v>
      </c>
      <c r="DW78" s="198" t="s">
        <v>1502</v>
      </c>
      <c r="DX78" s="198" t="s">
        <v>1503</v>
      </c>
      <c r="DY78" s="198" t="s">
        <v>1453</v>
      </c>
      <c r="DZ78" s="198" t="s">
        <v>1453</v>
      </c>
      <c r="EA78" s="198" t="s">
        <v>1453</v>
      </c>
      <c r="EB78" s="198" t="s">
        <v>1504</v>
      </c>
      <c r="EC78" s="198" t="s">
        <v>1483</v>
      </c>
      <c r="ED78" s="198" t="s">
        <v>1453</v>
      </c>
      <c r="EE78" s="198" t="s">
        <v>1470</v>
      </c>
      <c r="EF78" s="198" t="s">
        <v>1453</v>
      </c>
      <c r="EG78" s="198" t="s">
        <v>1471</v>
      </c>
      <c r="EH78" s="198" t="s">
        <v>1453</v>
      </c>
      <c r="EI78" s="198" t="s">
        <v>1453</v>
      </c>
      <c r="EJ78" s="198" t="s">
        <v>1472</v>
      </c>
      <c r="EK78" s="198" t="s">
        <v>1487</v>
      </c>
      <c r="EL78" s="198" t="s">
        <v>1473</v>
      </c>
      <c r="EM78" s="198" t="s">
        <v>1453</v>
      </c>
      <c r="EN78" s="198" t="s">
        <v>1474</v>
      </c>
      <c r="EO78" s="198" t="s">
        <v>1475</v>
      </c>
      <c r="EP78" s="198" t="s">
        <v>1524</v>
      </c>
      <c r="EQ78" s="198" t="s">
        <v>1453</v>
      </c>
      <c r="ER78" s="198" t="s">
        <v>1453</v>
      </c>
      <c r="ES78" s="198" t="s">
        <v>1505</v>
      </c>
      <c r="ET78" s="198" t="s">
        <v>1453</v>
      </c>
      <c r="EU78" s="198" t="s">
        <v>1453</v>
      </c>
      <c r="EV78" s="198" t="s">
        <v>1476</v>
      </c>
      <c r="EW78" s="198" t="s">
        <v>1453</v>
      </c>
      <c r="EX78" s="198" t="s">
        <v>1453</v>
      </c>
      <c r="EY78" s="198" t="s">
        <v>1453</v>
      </c>
      <c r="EZ78" s="198" t="s">
        <v>1477</v>
      </c>
      <c r="FA78" s="198" t="s">
        <v>1453</v>
      </c>
      <c r="FB78" s="198" t="s">
        <v>1453</v>
      </c>
      <c r="FC78" s="198" t="s">
        <v>1478</v>
      </c>
      <c r="FD78" s="198" t="s">
        <v>1453</v>
      </c>
      <c r="FE78" s="198" t="s">
        <v>1453</v>
      </c>
      <c r="FF78" s="198" t="s">
        <v>1453</v>
      </c>
      <c r="FG78" s="198" t="s">
        <v>1517</v>
      </c>
      <c r="FH78" s="198" t="s">
        <v>1479</v>
      </c>
      <c r="FI78" s="198" t="s">
        <v>1453</v>
      </c>
      <c r="FJ78" s="198" t="s">
        <v>1453</v>
      </c>
      <c r="FK78" s="198" t="s">
        <v>1481</v>
      </c>
      <c r="FL78" s="198" t="s">
        <v>1482</v>
      </c>
      <c r="FM78" s="198" t="s">
        <v>1453</v>
      </c>
    </row>
    <row r="79" ht="15.75" customHeight="1">
      <c r="A79" s="236" t="s">
        <v>1482</v>
      </c>
      <c r="B79" s="198" t="str">
        <f t="shared" si="8"/>
        <v>NB </v>
      </c>
      <c r="C79" s="234" t="s">
        <v>1510</v>
      </c>
      <c r="D79" s="232" t="s">
        <v>770</v>
      </c>
      <c r="E79" s="232" t="s">
        <v>1448</v>
      </c>
      <c r="F79" s="232" t="s">
        <v>1449</v>
      </c>
      <c r="G79" s="232" t="s">
        <v>1450</v>
      </c>
      <c r="H79" s="232" t="s">
        <v>788</v>
      </c>
      <c r="I79" s="232" t="s">
        <v>816</v>
      </c>
      <c r="J79" s="232" t="s">
        <v>817</v>
      </c>
      <c r="K79" s="232" t="s">
        <v>829</v>
      </c>
      <c r="L79" s="188" t="s">
        <v>309</v>
      </c>
      <c r="M79" s="236" t="str">
        <f>IFERROR(__xludf.DUMMYFUNCTION("regexreplace(N79,"" "","", "")"),"J0, J1, J2, J5, J6, J7, JC, JF, K0, K5, K7, K9, KA, KB, KC, KD, KF, L1, L8, LA, LC, LF, M1, M3, M4, MB, MF, N2, N7, NA, ")</f>
        <v>J0, J1, J2, J5, J6, J7, JC, JF, K0, K5, K7, K9, KA, KB, KC, KD, KF, L1, L8, LA, LC, LF, M1, M3, M4, MB, MF, N2, N7, NA, </v>
      </c>
      <c r="N79" s="236" t="str">
        <f t="shared" si="2"/>
        <v>J0 J1 J2 J5 J6 J7 JC JF K0 K5 K7 K9 KA KB KC KD KF L1 L8 LA LC LF M1 M3 M4 MB MF N2 N7 NA </v>
      </c>
      <c r="O79" s="236" t="str">
        <f>IFERROR(__xludf.DUMMYFUNCTION("if(countif(ecn.list,CO79),OFFSET(INDIRECT(CONCAT(""A"",to_text(match(CO79,ecn.list,0)))),0,1),"""")"),"J0 ")</f>
        <v>J0 </v>
      </c>
      <c r="P79" s="236" t="str">
        <f>IFERROR(__xludf.DUMMYFUNCTION("if(countif(ecn.list,CP79),OFFSET(INDIRECT(CONCAT(""A"",to_text(match(CP79,ecn.list,0)))),0,1),"""")"),"J1 ")</f>
        <v>J1 </v>
      </c>
      <c r="Q79" s="236" t="str">
        <f>IFERROR(__xludf.DUMMYFUNCTION("if(countif(ecn.list,CQ79),OFFSET(INDIRECT(CONCAT(""A"",to_text(match(CQ79,ecn.list,0)))),0,1),"""")"),"J2 ")</f>
        <v>J2 </v>
      </c>
      <c r="R79" s="236" t="str">
        <f>IFERROR(__xludf.DUMMYFUNCTION("if(countif(ecn.list,CR79),OFFSET(INDIRECT(CONCAT(""A"",to_text(match(CR79,ecn.list,0)))),0,1),"""")"),"")</f>
        <v/>
      </c>
      <c r="S79" s="236" t="str">
        <f>IFERROR(__xludf.DUMMYFUNCTION("if(countif(ecn.list,CS79),OFFSET(INDIRECT(CONCAT(""A"",to_text(match(CS79,ecn.list,0)))),0,1),"""")"),"")</f>
        <v/>
      </c>
      <c r="T79" s="236" t="str">
        <f>IFERROR(__xludf.DUMMYFUNCTION("if(countif(ecn.list,CT79),OFFSET(INDIRECT(CONCAT(""A"",to_text(match(CT79,ecn.list,0)))),0,1),"""")"),"J5 ")</f>
        <v>J5 </v>
      </c>
      <c r="U79" s="236" t="str">
        <f>IFERROR(__xludf.DUMMYFUNCTION("if(countif(ecn.list,CU79),OFFSET(INDIRECT(CONCAT(""A"",to_text(match(CU79,ecn.list,0)))),0,1),"""")"),"J6 ")</f>
        <v>J6 </v>
      </c>
      <c r="V79" s="236" t="str">
        <f>IFERROR(__xludf.DUMMYFUNCTION("if(countif(ecn.list,CV79),OFFSET(INDIRECT(CONCAT(""A"",to_text(match(CV79,ecn.list,0)))),0,1),"""")"),"J7 ")</f>
        <v>J7 </v>
      </c>
      <c r="W79" s="236" t="str">
        <f>IFERROR(__xludf.DUMMYFUNCTION("if(countif(ecn.list,CW79),OFFSET(INDIRECT(CONCAT(""A"",to_text(match(CW79,ecn.list,0)))),0,1),"""")"),"")</f>
        <v/>
      </c>
      <c r="X79" s="236" t="str">
        <f>IFERROR(__xludf.DUMMYFUNCTION("if(countif(ecn.list,CX79),OFFSET(INDIRECT(CONCAT(""A"",to_text(match(CX79,ecn.list,0)))),0,1),"""")"),"")</f>
        <v/>
      </c>
      <c r="Y79" s="236" t="str">
        <f>IFERROR(__xludf.DUMMYFUNCTION("if(countif(ecn.list,CY79),OFFSET(INDIRECT(CONCAT(""A"",to_text(match(CY79,ecn.list,0)))),0,1),"""")"),"")</f>
        <v/>
      </c>
      <c r="Z79" s="236" t="str">
        <f>IFERROR(__xludf.DUMMYFUNCTION("if(countif(ecn.list,CZ79),OFFSET(INDIRECT(CONCAT(""A"",to_text(match(CZ79,ecn.list,0)))),0,1),"""")"),"")</f>
        <v/>
      </c>
      <c r="AA79" s="236" t="str">
        <f>IFERROR(__xludf.DUMMYFUNCTION("if(countif(ecn.list,DA79),OFFSET(INDIRECT(CONCAT(""A"",to_text(match(DA79,ecn.list,0)))),0,1),"""")"),"JC ")</f>
        <v>JC </v>
      </c>
      <c r="AB79" s="236" t="str">
        <f>IFERROR(__xludf.DUMMYFUNCTION("if(countif(ecn.list,DB79),OFFSET(INDIRECT(CONCAT(""A"",to_text(match(DB79,ecn.list,0)))),0,1),"""")"),"")</f>
        <v/>
      </c>
      <c r="AC79" s="236" t="str">
        <f>IFERROR(__xludf.DUMMYFUNCTION("if(countif(ecn.list,DC79),OFFSET(INDIRECT(CONCAT(""A"",to_text(match(DC79,ecn.list,0)))),0,1),"""")"),"")</f>
        <v/>
      </c>
      <c r="AD79" s="236" t="str">
        <f>IFERROR(__xludf.DUMMYFUNCTION("if(countif(ecn.list,DD79),OFFSET(INDIRECT(CONCAT(""A"",to_text(match(DD79,ecn.list,0)))),0,1),"""")"),"JF ")</f>
        <v>JF </v>
      </c>
      <c r="AE79" s="236" t="str">
        <f>IFERROR(__xludf.DUMMYFUNCTION("if(countif(ecn.list,DE79),OFFSET(INDIRECT(CONCAT(""A"",to_text(match(DE79,ecn.list,0)))),0,1),"""")"),"K0 ")</f>
        <v>K0 </v>
      </c>
      <c r="AF79" s="236" t="str">
        <f>IFERROR(__xludf.DUMMYFUNCTION("if(countif(ecn.list,DF79),OFFSET(INDIRECT(CONCAT(""A"",to_text(match(DF79,ecn.list,0)))),0,1),"""")"),"")</f>
        <v/>
      </c>
      <c r="AG79" s="236" t="str">
        <f>IFERROR(__xludf.DUMMYFUNCTION("if(countif(ecn.list,DG79),OFFSET(INDIRECT(CONCAT(""A"",to_text(match(DG79,ecn.list,0)))),0,1),"""")"),"")</f>
        <v/>
      </c>
      <c r="AH79" s="236" t="str">
        <f>IFERROR(__xludf.DUMMYFUNCTION("if(countif(ecn.list,DH79),OFFSET(INDIRECT(CONCAT(""A"",to_text(match(DH79,ecn.list,0)))),0,1),"""")"),"")</f>
        <v/>
      </c>
      <c r="AI79" s="236" t="str">
        <f>IFERROR(__xludf.DUMMYFUNCTION("if(countif(ecn.list,DI79),OFFSET(INDIRECT(CONCAT(""A"",to_text(match(DI79,ecn.list,0)))),0,1),"""")"),"")</f>
        <v/>
      </c>
      <c r="AJ79" s="236" t="str">
        <f>IFERROR(__xludf.DUMMYFUNCTION("if(countif(ecn.list,DJ79),OFFSET(INDIRECT(CONCAT(""A"",to_text(match(DJ79,ecn.list,0)))),0,1),"""")"),"K5 ")</f>
        <v>K5 </v>
      </c>
      <c r="AK79" s="236" t="str">
        <f>IFERROR(__xludf.DUMMYFUNCTION("if(countif(ecn.list,DK79),OFFSET(INDIRECT(CONCAT(""A"",to_text(match(DK79,ecn.list,0)))),0,1),"""")"),"")</f>
        <v/>
      </c>
      <c r="AL79" s="236" t="str">
        <f>IFERROR(__xludf.DUMMYFUNCTION("if(countif(ecn.list,DL79),OFFSET(INDIRECT(CONCAT(""A"",to_text(match(DL79,ecn.list,0)))),0,1),"""")"),"K7 ")</f>
        <v>K7 </v>
      </c>
      <c r="AM79" s="236" t="str">
        <f>IFERROR(__xludf.DUMMYFUNCTION("if(countif(ecn.list,DM79),OFFSET(INDIRECT(CONCAT(""A"",to_text(match(DM79,ecn.list,0)))),0,1),"""")"),"")</f>
        <v/>
      </c>
      <c r="AN79" s="236" t="str">
        <f>IFERROR(__xludf.DUMMYFUNCTION("if(countif(ecn.list,DN79),OFFSET(INDIRECT(CONCAT(""A"",to_text(match(DN79,ecn.list,0)))),0,1),"""")"),"K9 ")</f>
        <v>K9 </v>
      </c>
      <c r="AO79" s="236" t="str">
        <f>IFERROR(__xludf.DUMMYFUNCTION("if(countif(ecn.list,DO79),OFFSET(INDIRECT(CONCAT(""A"",to_text(match(DO79,ecn.list,0)))),0,1),"""")"),"KA ")</f>
        <v>KA </v>
      </c>
      <c r="AP79" s="236" t="str">
        <f>IFERROR(__xludf.DUMMYFUNCTION("if(countif(ecn.list,DP79),OFFSET(INDIRECT(CONCAT(""A"",to_text(match(DP79,ecn.list,0)))),0,1),"""")"),"KB ")</f>
        <v>KB </v>
      </c>
      <c r="AQ79" s="236" t="str">
        <f>IFERROR(__xludf.DUMMYFUNCTION("if(countif(ecn.list,DQ79),OFFSET(INDIRECT(CONCAT(""A"",to_text(match(DQ79,ecn.list,0)))),0,1),"""")"),"KC ")</f>
        <v>KC </v>
      </c>
      <c r="AR79" s="236" t="str">
        <f>IFERROR(__xludf.DUMMYFUNCTION("if(countif(ecn.list,DR79),OFFSET(INDIRECT(CONCAT(""A"",to_text(match(DR79,ecn.list,0)))),0,1),"""")"),"KD ")</f>
        <v>KD </v>
      </c>
      <c r="AS79" s="236" t="str">
        <f>IFERROR(__xludf.DUMMYFUNCTION("if(countif(ecn.list,DS79),OFFSET(INDIRECT(CONCAT(""A"",to_text(match(DS79,ecn.list,0)))),0,1),"""")"),"")</f>
        <v/>
      </c>
      <c r="AT79" s="236" t="str">
        <f>IFERROR(__xludf.DUMMYFUNCTION("if(countif(ecn.list,DT79),OFFSET(INDIRECT(CONCAT(""A"",to_text(match(DT79,ecn.list,0)))),0,1),"""")"),"KF ")</f>
        <v>KF </v>
      </c>
      <c r="AU79" s="236" t="str">
        <f>IFERROR(__xludf.DUMMYFUNCTION("if(countif(ecn.list,DU79),OFFSET(INDIRECT(CONCAT(""A"",to_text(match(DU79,ecn.list,0)))),0,1),"""")"),"")</f>
        <v/>
      </c>
      <c r="AV79" s="236" t="str">
        <f>IFERROR(__xludf.DUMMYFUNCTION("if(countif(ecn.list,DV79),OFFSET(INDIRECT(CONCAT(""A"",to_text(match(DV79,ecn.list,0)))),0,1),"""")"),"L1 ")</f>
        <v>L1 </v>
      </c>
      <c r="AW79" s="236" t="str">
        <f>IFERROR(__xludf.DUMMYFUNCTION("if(countif(ecn.list,DW79),OFFSET(INDIRECT(CONCAT(""A"",to_text(match(DW79,ecn.list,0)))),0,1),"""")"),"")</f>
        <v/>
      </c>
      <c r="AX79" s="236" t="str">
        <f>IFERROR(__xludf.DUMMYFUNCTION("if(countif(ecn.list,DX79),OFFSET(INDIRECT(CONCAT(""A"",to_text(match(DX79,ecn.list,0)))),0,1),"""")"),"")</f>
        <v/>
      </c>
      <c r="AY79" s="236" t="str">
        <f>IFERROR(__xludf.DUMMYFUNCTION("if(countif(ecn.list,DY79),OFFSET(INDIRECT(CONCAT(""A"",to_text(match(DY79,ecn.list,0)))),0,1),"""")"),"")</f>
        <v/>
      </c>
      <c r="AZ79" s="236" t="str">
        <f>IFERROR(__xludf.DUMMYFUNCTION("if(countif(ecn.list,DZ79),OFFSET(INDIRECT(CONCAT(""A"",to_text(match(DZ79,ecn.list,0)))),0,1),"""")"),"")</f>
        <v/>
      </c>
      <c r="BA79" s="236" t="str">
        <f>IFERROR(__xludf.DUMMYFUNCTION("if(countif(ecn.list,EA79),OFFSET(INDIRECT(CONCAT(""A"",to_text(match(EA79,ecn.list,0)))),0,1),"""")"),"")</f>
        <v/>
      </c>
      <c r="BB79" s="236" t="str">
        <f>IFERROR(__xludf.DUMMYFUNCTION("if(countif(ecn.list,EB79),OFFSET(INDIRECT(CONCAT(""A"",to_text(match(EB79,ecn.list,0)))),0,1),"""")"),"")</f>
        <v/>
      </c>
      <c r="BC79" s="236" t="str">
        <f>IFERROR(__xludf.DUMMYFUNCTION("if(countif(ecn.list,EC79),OFFSET(INDIRECT(CONCAT(""A"",to_text(match(EC79,ecn.list,0)))),0,1),"""")"),"L8 ")</f>
        <v>L8 </v>
      </c>
      <c r="BD79" s="236" t="str">
        <f>IFERROR(__xludf.DUMMYFUNCTION("if(countif(ecn.list,ED79),OFFSET(INDIRECT(CONCAT(""A"",to_text(match(ED79,ecn.list,0)))),0,1),"""")"),"")</f>
        <v/>
      </c>
      <c r="BE79" s="236" t="str">
        <f>IFERROR(__xludf.DUMMYFUNCTION("if(countif(ecn.list,EE79),OFFSET(INDIRECT(CONCAT(""A"",to_text(match(EE79,ecn.list,0)))),0,1),"""")"),"LA ")</f>
        <v>LA </v>
      </c>
      <c r="BF79" s="236" t="str">
        <f>IFERROR(__xludf.DUMMYFUNCTION("if(countif(ecn.list,EF79),OFFSET(INDIRECT(CONCAT(""A"",to_text(match(EF79,ecn.list,0)))),0,1),"""")"),"")</f>
        <v/>
      </c>
      <c r="BG79" s="236" t="str">
        <f>IFERROR(__xludf.DUMMYFUNCTION("if(countif(ecn.list,EG79),OFFSET(INDIRECT(CONCAT(""A"",to_text(match(EG79,ecn.list,0)))),0,1),"""")"),"LC ")</f>
        <v>LC </v>
      </c>
      <c r="BH79" s="236" t="str">
        <f>IFERROR(__xludf.DUMMYFUNCTION("if(countif(ecn.list,EH79),OFFSET(INDIRECT(CONCAT(""A"",to_text(match(EH79,ecn.list,0)))),0,1),"""")"),"")</f>
        <v/>
      </c>
      <c r="BI79" s="236" t="str">
        <f>IFERROR(__xludf.DUMMYFUNCTION("if(countif(ecn.list,EI79),OFFSET(INDIRECT(CONCAT(""A"",to_text(match(EI79,ecn.list,0)))),0,1),"""")"),"")</f>
        <v/>
      </c>
      <c r="BJ79" s="236" t="str">
        <f>IFERROR(__xludf.DUMMYFUNCTION("if(countif(ecn.list,EJ79),OFFSET(INDIRECT(CONCAT(""A"",to_text(match(EJ79,ecn.list,0)))),0,1),"""")"),"LF ")</f>
        <v>LF </v>
      </c>
      <c r="BK79" s="236" t="str">
        <f>IFERROR(__xludf.DUMMYFUNCTION("if(countif(ecn.list,EK79),OFFSET(INDIRECT(CONCAT(""A"",to_text(match(EK79,ecn.list,0)))),0,1),"""")"),"")</f>
        <v/>
      </c>
      <c r="BL79" s="236" t="str">
        <f>IFERROR(__xludf.DUMMYFUNCTION("if(countif(ecn.list,EL79),OFFSET(INDIRECT(CONCAT(""A"",to_text(match(EL79,ecn.list,0)))),0,1),"""")"),"M1 ")</f>
        <v>M1 </v>
      </c>
      <c r="BM79" s="236" t="str">
        <f>IFERROR(__xludf.DUMMYFUNCTION("if(countif(ecn.list,EM79),OFFSET(INDIRECT(CONCAT(""A"",to_text(match(EM79,ecn.list,0)))),0,1),"""")"),"")</f>
        <v/>
      </c>
      <c r="BN79" s="236" t="str">
        <f>IFERROR(__xludf.DUMMYFUNCTION("if(countif(ecn.list,EN79),OFFSET(INDIRECT(CONCAT(""A"",to_text(match(EN79,ecn.list,0)))),0,1),"""")"),"M3 ")</f>
        <v>M3 </v>
      </c>
      <c r="BO79" s="236" t="str">
        <f>IFERROR(__xludf.DUMMYFUNCTION("if(countif(ecn.list,EO79),OFFSET(INDIRECT(CONCAT(""A"",to_text(match(EO79,ecn.list,0)))),0,1),"""")"),"M4 ")</f>
        <v>M4 </v>
      </c>
      <c r="BP79" s="236" t="str">
        <f>IFERROR(__xludf.DUMMYFUNCTION("if(countif(ecn.list,EP79),OFFSET(INDIRECT(CONCAT(""A"",to_text(match(EP79,ecn.list,0)))),0,1),"""")"),"")</f>
        <v/>
      </c>
      <c r="BQ79" s="236" t="str">
        <f>IFERROR(__xludf.DUMMYFUNCTION("if(countif(ecn.list,EQ79),OFFSET(INDIRECT(CONCAT(""A"",to_text(match(EQ79,ecn.list,0)))),0,1),"""")"),"")</f>
        <v/>
      </c>
      <c r="BR79" s="236" t="str">
        <f>IFERROR(__xludf.DUMMYFUNCTION("if(countif(ecn.list,ER79),OFFSET(INDIRECT(CONCAT(""A"",to_text(match(ER79,ecn.list,0)))),0,1),"""")"),"")</f>
        <v/>
      </c>
      <c r="BS79" s="236" t="str">
        <f>IFERROR(__xludf.DUMMYFUNCTION("if(countif(ecn.list,ES79),OFFSET(INDIRECT(CONCAT(""A"",to_text(match(ES79,ecn.list,0)))),0,1),"""")"),"")</f>
        <v/>
      </c>
      <c r="BT79" s="236" t="str">
        <f>IFERROR(__xludf.DUMMYFUNCTION("if(countif(ecn.list,ET79),OFFSET(INDIRECT(CONCAT(""A"",to_text(match(ET79,ecn.list,0)))),0,1),"""")"),"")</f>
        <v/>
      </c>
      <c r="BU79" s="236" t="str">
        <f>IFERROR(__xludf.DUMMYFUNCTION("if(countif(ecn.list,EU79),OFFSET(INDIRECT(CONCAT(""A"",to_text(match(EU79,ecn.list,0)))),0,1),"""")"),"")</f>
        <v/>
      </c>
      <c r="BV79" s="236" t="str">
        <f>IFERROR(__xludf.DUMMYFUNCTION("if(countif(ecn.list,EV79),OFFSET(INDIRECT(CONCAT(""A"",to_text(match(EV79,ecn.list,0)))),0,1),"""")"),"MB ")</f>
        <v>MB </v>
      </c>
      <c r="BW79" s="236" t="str">
        <f>IFERROR(__xludf.DUMMYFUNCTION("if(countif(ecn.list,EW79),OFFSET(INDIRECT(CONCAT(""A"",to_text(match(EW79,ecn.list,0)))),0,1),"""")"),"")</f>
        <v/>
      </c>
      <c r="BX79" s="236" t="str">
        <f>IFERROR(__xludf.DUMMYFUNCTION("if(countif(ecn.list,EX79),OFFSET(INDIRECT(CONCAT(""A"",to_text(match(EX79,ecn.list,0)))),0,1),"""")"),"")</f>
        <v/>
      </c>
      <c r="BY79" s="236" t="str">
        <f>IFERROR(__xludf.DUMMYFUNCTION("if(countif(ecn.list,EY79),OFFSET(INDIRECT(CONCAT(""A"",to_text(match(EY79,ecn.list,0)))),0,1),"""")"),"")</f>
        <v/>
      </c>
      <c r="BZ79" s="236" t="str">
        <f>IFERROR(__xludf.DUMMYFUNCTION("if(countif(ecn.list,EZ79),OFFSET(INDIRECT(CONCAT(""A"",to_text(match(EZ79,ecn.list,0)))),0,1),"""")"),"MF ")</f>
        <v>MF </v>
      </c>
      <c r="CA79" s="236" t="str">
        <f>IFERROR(__xludf.DUMMYFUNCTION("if(countif(ecn.list,FA79),OFFSET(INDIRECT(CONCAT(""A"",to_text(match(FA79,ecn.list,0)))),0,1),"""")"),"")</f>
        <v/>
      </c>
      <c r="CB79" s="236" t="str">
        <f>IFERROR(__xludf.DUMMYFUNCTION("if(countif(ecn.list,FB79),OFFSET(INDIRECT(CONCAT(""A"",to_text(match(FB79,ecn.list,0)))),0,1),"""")"),"")</f>
        <v/>
      </c>
      <c r="CC79" s="236" t="str">
        <f>IFERROR(__xludf.DUMMYFUNCTION("if(countif(ecn.list,FC79),OFFSET(INDIRECT(CONCAT(""A"",to_text(match(FC79,ecn.list,0)))),0,1),"""")"),"N2 ")</f>
        <v>N2 </v>
      </c>
      <c r="CD79" s="236" t="str">
        <f>IFERROR(__xludf.DUMMYFUNCTION("if(countif(ecn.list,FD79),OFFSET(INDIRECT(CONCAT(""A"",to_text(match(FD79,ecn.list,0)))),0,1),"""")"),"")</f>
        <v/>
      </c>
      <c r="CE79" s="236" t="str">
        <f>IFERROR(__xludf.DUMMYFUNCTION("if(countif(ecn.list,FE79),OFFSET(INDIRECT(CONCAT(""A"",to_text(match(FE79,ecn.list,0)))),0,1),"""")"),"")</f>
        <v/>
      </c>
      <c r="CF79" s="236" t="str">
        <f>IFERROR(__xludf.DUMMYFUNCTION("if(countif(ecn.list,FF79),OFFSET(INDIRECT(CONCAT(""A"",to_text(match(FF79,ecn.list,0)))),0,1),"""")"),"")</f>
        <v/>
      </c>
      <c r="CG79" s="236" t="str">
        <f>IFERROR(__xludf.DUMMYFUNCTION("if(countif(ecn.list,FG79),OFFSET(INDIRECT(CONCAT(""A"",to_text(match(FG79,ecn.list,0)))),0,1),"""")"),"")</f>
        <v/>
      </c>
      <c r="CH79" s="236" t="str">
        <f>IFERROR(__xludf.DUMMYFUNCTION("if(countif(ecn.list,FH79),OFFSET(INDIRECT(CONCAT(""A"",to_text(match(FH79,ecn.list,0)))),0,1),"""")"),"N7 ")</f>
        <v>N7 </v>
      </c>
      <c r="CI79" s="236" t="str">
        <f>IFERROR(__xludf.DUMMYFUNCTION("if(countif(ecn.list,FI79),OFFSET(INDIRECT(CONCAT(""A"",to_text(match(FI79,ecn.list,0)))),0,1),"""")"),"")</f>
        <v/>
      </c>
      <c r="CJ79" s="236" t="str">
        <f>IFERROR(__xludf.DUMMYFUNCTION("if(countif(ecn.list,FJ79),OFFSET(INDIRECT(CONCAT(""A"",to_text(match(FJ79,ecn.list,0)))),0,1),"""")"),"")</f>
        <v/>
      </c>
      <c r="CK79" s="236" t="str">
        <f>IFERROR(__xludf.DUMMYFUNCTION("if(countif(ecn.list,FK79),OFFSET(INDIRECT(CONCAT(""A"",to_text(match(FK79,ecn.list,0)))),0,1),"""")"),"NA ")</f>
        <v>NA </v>
      </c>
      <c r="CL79" s="236" t="str">
        <f>IFERROR(__xludf.DUMMYFUNCTION("if(countif(ecn.list,FL79),OFFSET(INDIRECT(CONCAT(""A"",to_text(match(FL79,ecn.list,0)))),0,1),"""")"),"")</f>
        <v/>
      </c>
      <c r="CM79" s="236" t="str">
        <f>IFERROR(__xludf.DUMMYFUNCTION("if(countif(ecn.list,FM79),OFFSET(INDIRECT(CONCAT(""A"",to_text(match(FM79,ecn.list,0)))),0,1),"""")"),"")</f>
        <v/>
      </c>
      <c r="CN79" s="198" t="s">
        <v>309</v>
      </c>
      <c r="CO79" s="198" t="s">
        <v>1447</v>
      </c>
      <c r="CP79" s="198" t="s">
        <v>1451</v>
      </c>
      <c r="CQ79" s="198" t="s">
        <v>1452</v>
      </c>
      <c r="CR79" s="198" t="s">
        <v>1453</v>
      </c>
      <c r="CS79" s="198" t="s">
        <v>1453</v>
      </c>
      <c r="CT79" s="198" t="s">
        <v>1454</v>
      </c>
      <c r="CU79" s="198" t="s">
        <v>1455</v>
      </c>
      <c r="CV79" s="198" t="s">
        <v>1456</v>
      </c>
      <c r="CW79" s="198" t="s">
        <v>1453</v>
      </c>
      <c r="CX79" s="198" t="s">
        <v>1453</v>
      </c>
      <c r="CY79" s="198" t="s">
        <v>1453</v>
      </c>
      <c r="CZ79" s="198" t="s">
        <v>1453</v>
      </c>
      <c r="DA79" s="198" t="s">
        <v>1457</v>
      </c>
      <c r="DB79" s="198" t="s">
        <v>1453</v>
      </c>
      <c r="DC79" s="198" t="s">
        <v>1453</v>
      </c>
      <c r="DD79" s="198" t="s">
        <v>1458</v>
      </c>
      <c r="DE79" s="198" t="s">
        <v>1459</v>
      </c>
      <c r="DF79" s="198" t="s">
        <v>1453</v>
      </c>
      <c r="DG79" s="198" t="s">
        <v>1453</v>
      </c>
      <c r="DH79" s="198" t="s">
        <v>1453</v>
      </c>
      <c r="DI79" s="198" t="s">
        <v>1453</v>
      </c>
      <c r="DJ79" s="198" t="s">
        <v>1460</v>
      </c>
      <c r="DK79" s="198" t="s">
        <v>1453</v>
      </c>
      <c r="DL79" s="198" t="s">
        <v>1461</v>
      </c>
      <c r="DM79" s="198" t="s">
        <v>1453</v>
      </c>
      <c r="DN79" s="198" t="s">
        <v>1463</v>
      </c>
      <c r="DO79" s="198" t="s">
        <v>1464</v>
      </c>
      <c r="DP79" s="198" t="s">
        <v>1465</v>
      </c>
      <c r="DQ79" s="198" t="s">
        <v>1466</v>
      </c>
      <c r="DR79" s="198" t="s">
        <v>1467</v>
      </c>
      <c r="DS79" s="198" t="s">
        <v>1453</v>
      </c>
      <c r="DT79" s="198" t="s">
        <v>1468</v>
      </c>
      <c r="DU79" s="198" t="s">
        <v>1453</v>
      </c>
      <c r="DV79" s="198" t="s">
        <v>1469</v>
      </c>
      <c r="DW79" s="198" t="s">
        <v>1453</v>
      </c>
      <c r="DX79" s="198" t="s">
        <v>1453</v>
      </c>
      <c r="DY79" s="198" t="s">
        <v>1453</v>
      </c>
      <c r="DZ79" s="198" t="s">
        <v>1453</v>
      </c>
      <c r="EA79" s="198" t="s">
        <v>1453</v>
      </c>
      <c r="EB79" s="198" t="s">
        <v>1453</v>
      </c>
      <c r="EC79" s="198" t="s">
        <v>1483</v>
      </c>
      <c r="ED79" s="198" t="s">
        <v>1453</v>
      </c>
      <c r="EE79" s="198" t="s">
        <v>1470</v>
      </c>
      <c r="EF79" s="198" t="s">
        <v>1453</v>
      </c>
      <c r="EG79" s="198" t="s">
        <v>1471</v>
      </c>
      <c r="EH79" s="198" t="s">
        <v>1453</v>
      </c>
      <c r="EI79" s="198" t="s">
        <v>1453</v>
      </c>
      <c r="EJ79" s="198" t="s">
        <v>1472</v>
      </c>
      <c r="EK79" s="198" t="s">
        <v>1453</v>
      </c>
      <c r="EL79" s="198" t="s">
        <v>1473</v>
      </c>
      <c r="EM79" s="198" t="s">
        <v>1453</v>
      </c>
      <c r="EN79" s="198" t="s">
        <v>1474</v>
      </c>
      <c r="EO79" s="198" t="s">
        <v>1475</v>
      </c>
      <c r="EP79" s="198" t="s">
        <v>1453</v>
      </c>
      <c r="EQ79" s="198" t="s">
        <v>1453</v>
      </c>
      <c r="ER79" s="198" t="s">
        <v>1453</v>
      </c>
      <c r="ES79" s="198" t="s">
        <v>1453</v>
      </c>
      <c r="ET79" s="198" t="s">
        <v>1453</v>
      </c>
      <c r="EU79" s="198" t="s">
        <v>1453</v>
      </c>
      <c r="EV79" s="198" t="s">
        <v>1476</v>
      </c>
      <c r="EW79" s="198" t="s">
        <v>1453</v>
      </c>
      <c r="EX79" s="198" t="s">
        <v>1453</v>
      </c>
      <c r="EY79" s="198" t="s">
        <v>1453</v>
      </c>
      <c r="EZ79" s="198" t="s">
        <v>1477</v>
      </c>
      <c r="FA79" s="198" t="s">
        <v>1453</v>
      </c>
      <c r="FB79" s="198" t="s">
        <v>1453</v>
      </c>
      <c r="FC79" s="198" t="s">
        <v>1478</v>
      </c>
      <c r="FD79" s="198" t="s">
        <v>1453</v>
      </c>
      <c r="FE79" s="198" t="s">
        <v>1453</v>
      </c>
      <c r="FF79" s="198" t="s">
        <v>1453</v>
      </c>
      <c r="FG79" s="198" t="s">
        <v>1453</v>
      </c>
      <c r="FH79" s="198" t="s">
        <v>1479</v>
      </c>
      <c r="FI79" s="198" t="s">
        <v>1453</v>
      </c>
      <c r="FJ79" s="198" t="s">
        <v>1453</v>
      </c>
      <c r="FK79" s="198" t="s">
        <v>1481</v>
      </c>
      <c r="FL79" s="198" t="s">
        <v>1482</v>
      </c>
      <c r="FM79" s="198" t="s">
        <v>1453</v>
      </c>
    </row>
    <row r="80" ht="15.75" customHeight="1">
      <c r="A80" s="198" t="s">
        <v>1539</v>
      </c>
      <c r="B80" s="198" t="str">
        <f t="shared" si="8"/>
        <v>NC </v>
      </c>
      <c r="C80" s="234" t="s">
        <v>1511</v>
      </c>
      <c r="D80" s="232" t="s">
        <v>770</v>
      </c>
      <c r="E80" s="232" t="s">
        <v>1024</v>
      </c>
      <c r="F80" s="232" t="s">
        <v>1025</v>
      </c>
      <c r="G80" s="232" t="s">
        <v>1026</v>
      </c>
      <c r="H80" s="232" t="s">
        <v>775</v>
      </c>
      <c r="I80" s="232" t="s">
        <v>1028</v>
      </c>
      <c r="J80" s="232" t="s">
        <v>1029</v>
      </c>
      <c r="K80" s="232" t="s">
        <v>1030</v>
      </c>
      <c r="L80" s="237" t="s">
        <v>312</v>
      </c>
      <c r="M80" s="236" t="str">
        <f>IFERROR(__xludf.DUMMYFUNCTION("regexreplace(N80,"" "","", "")"),"J0, J5, J6, K5, K7, KC, L1, L8, LA, LC, MF, N2, N7, NA, ")</f>
        <v>J0, J5, J6, K5, K7, KC, L1, L8, LA, LC, MF, N2, N7, NA, </v>
      </c>
      <c r="N80" s="236" t="str">
        <f t="shared" si="2"/>
        <v>J0 J5 J6 K5 K7 KC L1 L8 LA LC MF N2 N7 NA </v>
      </c>
      <c r="O80" s="236" t="str">
        <f>IFERROR(__xludf.DUMMYFUNCTION("if(countif(ecn.list,CO80),OFFSET(INDIRECT(CONCAT(""A"",to_text(match(CO80,ecn.list,0)))),0,1),"""")"),"J0 ")</f>
        <v>J0 </v>
      </c>
      <c r="P80" s="236" t="str">
        <f>IFERROR(__xludf.DUMMYFUNCTION("if(countif(ecn.list,CP80),OFFSET(INDIRECT(CONCAT(""A"",to_text(match(CP80,ecn.list,0)))),0,1),"""")"),"")</f>
        <v/>
      </c>
      <c r="Q80" s="236" t="str">
        <f>IFERROR(__xludf.DUMMYFUNCTION("if(countif(ecn.list,CQ80),OFFSET(INDIRECT(CONCAT(""A"",to_text(match(CQ80,ecn.list,0)))),0,1),"""")"),"")</f>
        <v/>
      </c>
      <c r="R80" s="236" t="str">
        <f>IFERROR(__xludf.DUMMYFUNCTION("if(countif(ecn.list,CR80),OFFSET(INDIRECT(CONCAT(""A"",to_text(match(CR80,ecn.list,0)))),0,1),"""")"),"")</f>
        <v/>
      </c>
      <c r="S80" s="236" t="str">
        <f>IFERROR(__xludf.DUMMYFUNCTION("if(countif(ecn.list,CS80),OFFSET(INDIRECT(CONCAT(""A"",to_text(match(CS80,ecn.list,0)))),0,1),"""")"),"")</f>
        <v/>
      </c>
      <c r="T80" s="236" t="str">
        <f>IFERROR(__xludf.DUMMYFUNCTION("if(countif(ecn.list,CT80),OFFSET(INDIRECT(CONCAT(""A"",to_text(match(CT80,ecn.list,0)))),0,1),"""")"),"J5 ")</f>
        <v>J5 </v>
      </c>
      <c r="U80" s="236" t="str">
        <f>IFERROR(__xludf.DUMMYFUNCTION("if(countif(ecn.list,CU80),OFFSET(INDIRECT(CONCAT(""A"",to_text(match(CU80,ecn.list,0)))),0,1),"""")"),"J6 ")</f>
        <v>J6 </v>
      </c>
      <c r="V80" s="236" t="str">
        <f>IFERROR(__xludf.DUMMYFUNCTION("if(countif(ecn.list,CV80),OFFSET(INDIRECT(CONCAT(""A"",to_text(match(CV80,ecn.list,0)))),0,1),"""")"),"")</f>
        <v/>
      </c>
      <c r="W80" s="236" t="str">
        <f>IFERROR(__xludf.DUMMYFUNCTION("if(countif(ecn.list,CW80),OFFSET(INDIRECT(CONCAT(""A"",to_text(match(CW80,ecn.list,0)))),0,1),"""")"),"")</f>
        <v/>
      </c>
      <c r="X80" s="236" t="str">
        <f>IFERROR(__xludf.DUMMYFUNCTION("if(countif(ecn.list,CX80),OFFSET(INDIRECT(CONCAT(""A"",to_text(match(CX80,ecn.list,0)))),0,1),"""")"),"")</f>
        <v/>
      </c>
      <c r="Y80" s="236" t="str">
        <f>IFERROR(__xludf.DUMMYFUNCTION("if(countif(ecn.list,CY80),OFFSET(INDIRECT(CONCAT(""A"",to_text(match(CY80,ecn.list,0)))),0,1),"""")"),"")</f>
        <v/>
      </c>
      <c r="Z80" s="236" t="str">
        <f>IFERROR(__xludf.DUMMYFUNCTION("if(countif(ecn.list,CZ80),OFFSET(INDIRECT(CONCAT(""A"",to_text(match(CZ80,ecn.list,0)))),0,1),"""")"),"")</f>
        <v/>
      </c>
      <c r="AA80" s="236" t="str">
        <f>IFERROR(__xludf.DUMMYFUNCTION("if(countif(ecn.list,DA80),OFFSET(INDIRECT(CONCAT(""A"",to_text(match(DA80,ecn.list,0)))),0,1),"""")"),"")</f>
        <v/>
      </c>
      <c r="AB80" s="236" t="str">
        <f>IFERROR(__xludf.DUMMYFUNCTION("if(countif(ecn.list,DB80),OFFSET(INDIRECT(CONCAT(""A"",to_text(match(DB80,ecn.list,0)))),0,1),"""")"),"")</f>
        <v/>
      </c>
      <c r="AC80" s="236" t="str">
        <f>IFERROR(__xludf.DUMMYFUNCTION("if(countif(ecn.list,DC80),OFFSET(INDIRECT(CONCAT(""A"",to_text(match(DC80,ecn.list,0)))),0,1),"""")"),"")</f>
        <v/>
      </c>
      <c r="AD80" s="236" t="str">
        <f>IFERROR(__xludf.DUMMYFUNCTION("if(countif(ecn.list,DD80),OFFSET(INDIRECT(CONCAT(""A"",to_text(match(DD80,ecn.list,0)))),0,1),"""")"),"")</f>
        <v/>
      </c>
      <c r="AE80" s="236" t="str">
        <f>IFERROR(__xludf.DUMMYFUNCTION("if(countif(ecn.list,DE80),OFFSET(INDIRECT(CONCAT(""A"",to_text(match(DE80,ecn.list,0)))),0,1),"""")"),"")</f>
        <v/>
      </c>
      <c r="AF80" s="236" t="str">
        <f>IFERROR(__xludf.DUMMYFUNCTION("if(countif(ecn.list,DF80),OFFSET(INDIRECT(CONCAT(""A"",to_text(match(DF80,ecn.list,0)))),0,1),"""")"),"")</f>
        <v/>
      </c>
      <c r="AG80" s="236" t="str">
        <f>IFERROR(__xludf.DUMMYFUNCTION("if(countif(ecn.list,DG80),OFFSET(INDIRECT(CONCAT(""A"",to_text(match(DG80,ecn.list,0)))),0,1),"""")"),"")</f>
        <v/>
      </c>
      <c r="AH80" s="236" t="str">
        <f>IFERROR(__xludf.DUMMYFUNCTION("if(countif(ecn.list,DH80),OFFSET(INDIRECT(CONCAT(""A"",to_text(match(DH80,ecn.list,0)))),0,1),"""")"),"")</f>
        <v/>
      </c>
      <c r="AI80" s="236" t="str">
        <f>IFERROR(__xludf.DUMMYFUNCTION("if(countif(ecn.list,DI80),OFFSET(INDIRECT(CONCAT(""A"",to_text(match(DI80,ecn.list,0)))),0,1),"""")"),"")</f>
        <v/>
      </c>
      <c r="AJ80" s="236" t="str">
        <f>IFERROR(__xludf.DUMMYFUNCTION("if(countif(ecn.list,DJ80),OFFSET(INDIRECT(CONCAT(""A"",to_text(match(DJ80,ecn.list,0)))),0,1),"""")"),"K5 ")</f>
        <v>K5 </v>
      </c>
      <c r="AK80" s="236" t="str">
        <f>IFERROR(__xludf.DUMMYFUNCTION("if(countif(ecn.list,DK80),OFFSET(INDIRECT(CONCAT(""A"",to_text(match(DK80,ecn.list,0)))),0,1),"""")"),"")</f>
        <v/>
      </c>
      <c r="AL80" s="236" t="str">
        <f>IFERROR(__xludf.DUMMYFUNCTION("if(countif(ecn.list,DL80),OFFSET(INDIRECT(CONCAT(""A"",to_text(match(DL80,ecn.list,0)))),0,1),"""")"),"K7 ")</f>
        <v>K7 </v>
      </c>
      <c r="AM80" s="236" t="str">
        <f>IFERROR(__xludf.DUMMYFUNCTION("if(countif(ecn.list,DM80),OFFSET(INDIRECT(CONCAT(""A"",to_text(match(DM80,ecn.list,0)))),0,1),"""")"),"")</f>
        <v/>
      </c>
      <c r="AN80" s="236" t="str">
        <f>IFERROR(__xludf.DUMMYFUNCTION("if(countif(ecn.list,DN80),OFFSET(INDIRECT(CONCAT(""A"",to_text(match(DN80,ecn.list,0)))),0,1),"""")"),"")</f>
        <v/>
      </c>
      <c r="AO80" s="236" t="str">
        <f>IFERROR(__xludf.DUMMYFUNCTION("if(countif(ecn.list,DO80),OFFSET(INDIRECT(CONCAT(""A"",to_text(match(DO80,ecn.list,0)))),0,1),"""")"),"")</f>
        <v/>
      </c>
      <c r="AP80" s="236" t="str">
        <f>IFERROR(__xludf.DUMMYFUNCTION("if(countif(ecn.list,DP80),OFFSET(INDIRECT(CONCAT(""A"",to_text(match(DP80,ecn.list,0)))),0,1),"""")"),"")</f>
        <v/>
      </c>
      <c r="AQ80" s="236" t="str">
        <f>IFERROR(__xludf.DUMMYFUNCTION("if(countif(ecn.list,DQ80),OFFSET(INDIRECT(CONCAT(""A"",to_text(match(DQ80,ecn.list,0)))),0,1),"""")"),"KC ")</f>
        <v>KC </v>
      </c>
      <c r="AR80" s="236" t="str">
        <f>IFERROR(__xludf.DUMMYFUNCTION("if(countif(ecn.list,DR80),OFFSET(INDIRECT(CONCAT(""A"",to_text(match(DR80,ecn.list,0)))),0,1),"""")"),"")</f>
        <v/>
      </c>
      <c r="AS80" s="236" t="str">
        <f>IFERROR(__xludf.DUMMYFUNCTION("if(countif(ecn.list,DS80),OFFSET(INDIRECT(CONCAT(""A"",to_text(match(DS80,ecn.list,0)))),0,1),"""")"),"")</f>
        <v/>
      </c>
      <c r="AT80" s="236" t="str">
        <f>IFERROR(__xludf.DUMMYFUNCTION("if(countif(ecn.list,DT80),OFFSET(INDIRECT(CONCAT(""A"",to_text(match(DT80,ecn.list,0)))),0,1),"""")"),"")</f>
        <v/>
      </c>
      <c r="AU80" s="236" t="str">
        <f>IFERROR(__xludf.DUMMYFUNCTION("if(countif(ecn.list,DU80),OFFSET(INDIRECT(CONCAT(""A"",to_text(match(DU80,ecn.list,0)))),0,1),"""")"),"")</f>
        <v/>
      </c>
      <c r="AV80" s="236" t="str">
        <f>IFERROR(__xludf.DUMMYFUNCTION("if(countif(ecn.list,DV80),OFFSET(INDIRECT(CONCAT(""A"",to_text(match(DV80,ecn.list,0)))),0,1),"""")"),"L1 ")</f>
        <v>L1 </v>
      </c>
      <c r="AW80" s="236" t="str">
        <f>IFERROR(__xludf.DUMMYFUNCTION("if(countif(ecn.list,DW80),OFFSET(INDIRECT(CONCAT(""A"",to_text(match(DW80,ecn.list,0)))),0,1),"""")"),"")</f>
        <v/>
      </c>
      <c r="AX80" s="236" t="str">
        <f>IFERROR(__xludf.DUMMYFUNCTION("if(countif(ecn.list,DX80),OFFSET(INDIRECT(CONCAT(""A"",to_text(match(DX80,ecn.list,0)))),0,1),"""")"),"")</f>
        <v/>
      </c>
      <c r="AY80" s="236" t="str">
        <f>IFERROR(__xludf.DUMMYFUNCTION("if(countif(ecn.list,DY80),OFFSET(INDIRECT(CONCAT(""A"",to_text(match(DY80,ecn.list,0)))),0,1),"""")"),"")</f>
        <v/>
      </c>
      <c r="AZ80" s="236" t="str">
        <f>IFERROR(__xludf.DUMMYFUNCTION("if(countif(ecn.list,DZ80),OFFSET(INDIRECT(CONCAT(""A"",to_text(match(DZ80,ecn.list,0)))),0,1),"""")"),"")</f>
        <v/>
      </c>
      <c r="BA80" s="236" t="str">
        <f>IFERROR(__xludf.DUMMYFUNCTION("if(countif(ecn.list,EA80),OFFSET(INDIRECT(CONCAT(""A"",to_text(match(EA80,ecn.list,0)))),0,1),"""")"),"")</f>
        <v/>
      </c>
      <c r="BB80" s="236" t="str">
        <f>IFERROR(__xludf.DUMMYFUNCTION("if(countif(ecn.list,EB80),OFFSET(INDIRECT(CONCAT(""A"",to_text(match(EB80,ecn.list,0)))),0,1),"""")"),"")</f>
        <v/>
      </c>
      <c r="BC80" s="236" t="str">
        <f>IFERROR(__xludf.DUMMYFUNCTION("if(countif(ecn.list,EC80),OFFSET(INDIRECT(CONCAT(""A"",to_text(match(EC80,ecn.list,0)))),0,1),"""")"),"L8 ")</f>
        <v>L8 </v>
      </c>
      <c r="BD80" s="236" t="str">
        <f>IFERROR(__xludf.DUMMYFUNCTION("if(countif(ecn.list,ED80),OFFSET(INDIRECT(CONCAT(""A"",to_text(match(ED80,ecn.list,0)))),0,1),"""")"),"")</f>
        <v/>
      </c>
      <c r="BE80" s="236" t="str">
        <f>IFERROR(__xludf.DUMMYFUNCTION("if(countif(ecn.list,EE80),OFFSET(INDIRECT(CONCAT(""A"",to_text(match(EE80,ecn.list,0)))),0,1),"""")"),"LA ")</f>
        <v>LA </v>
      </c>
      <c r="BF80" s="236" t="str">
        <f>IFERROR(__xludf.DUMMYFUNCTION("if(countif(ecn.list,EF80),OFFSET(INDIRECT(CONCAT(""A"",to_text(match(EF80,ecn.list,0)))),0,1),"""")"),"")</f>
        <v/>
      </c>
      <c r="BG80" s="236" t="str">
        <f>IFERROR(__xludf.DUMMYFUNCTION("if(countif(ecn.list,EG80),OFFSET(INDIRECT(CONCAT(""A"",to_text(match(EG80,ecn.list,0)))),0,1),"""")"),"LC ")</f>
        <v>LC </v>
      </c>
      <c r="BH80" s="236" t="str">
        <f>IFERROR(__xludf.DUMMYFUNCTION("if(countif(ecn.list,EH80),OFFSET(INDIRECT(CONCAT(""A"",to_text(match(EH80,ecn.list,0)))),0,1),"""")"),"")</f>
        <v/>
      </c>
      <c r="BI80" s="236" t="str">
        <f>IFERROR(__xludf.DUMMYFUNCTION("if(countif(ecn.list,EI80),OFFSET(INDIRECT(CONCAT(""A"",to_text(match(EI80,ecn.list,0)))),0,1),"""")"),"")</f>
        <v/>
      </c>
      <c r="BJ80" s="236" t="str">
        <f>IFERROR(__xludf.DUMMYFUNCTION("if(countif(ecn.list,EJ80),OFFSET(INDIRECT(CONCAT(""A"",to_text(match(EJ80,ecn.list,0)))),0,1),"""")"),"")</f>
        <v/>
      </c>
      <c r="BK80" s="236" t="str">
        <f>IFERROR(__xludf.DUMMYFUNCTION("if(countif(ecn.list,EK80),OFFSET(INDIRECT(CONCAT(""A"",to_text(match(EK80,ecn.list,0)))),0,1),"""")"),"")</f>
        <v/>
      </c>
      <c r="BL80" s="236" t="str">
        <f>IFERROR(__xludf.DUMMYFUNCTION("if(countif(ecn.list,EL80),OFFSET(INDIRECT(CONCAT(""A"",to_text(match(EL80,ecn.list,0)))),0,1),"""")"),"")</f>
        <v/>
      </c>
      <c r="BM80" s="236" t="str">
        <f>IFERROR(__xludf.DUMMYFUNCTION("if(countif(ecn.list,EM80),OFFSET(INDIRECT(CONCAT(""A"",to_text(match(EM80,ecn.list,0)))),0,1),"""")"),"")</f>
        <v/>
      </c>
      <c r="BN80" s="236" t="str">
        <f>IFERROR(__xludf.DUMMYFUNCTION("if(countif(ecn.list,EN80),OFFSET(INDIRECT(CONCAT(""A"",to_text(match(EN80,ecn.list,0)))),0,1),"""")"),"")</f>
        <v/>
      </c>
      <c r="BO80" s="236" t="str">
        <f>IFERROR(__xludf.DUMMYFUNCTION("if(countif(ecn.list,EO80),OFFSET(INDIRECT(CONCAT(""A"",to_text(match(EO80,ecn.list,0)))),0,1),"""")"),"")</f>
        <v/>
      </c>
      <c r="BP80" s="236" t="str">
        <f>IFERROR(__xludf.DUMMYFUNCTION("if(countif(ecn.list,EP80),OFFSET(INDIRECT(CONCAT(""A"",to_text(match(EP80,ecn.list,0)))),0,1),"""")"),"")</f>
        <v/>
      </c>
      <c r="BQ80" s="236" t="str">
        <f>IFERROR(__xludf.DUMMYFUNCTION("if(countif(ecn.list,EQ80),OFFSET(INDIRECT(CONCAT(""A"",to_text(match(EQ80,ecn.list,0)))),0,1),"""")"),"")</f>
        <v/>
      </c>
      <c r="BR80" s="236" t="str">
        <f>IFERROR(__xludf.DUMMYFUNCTION("if(countif(ecn.list,ER80),OFFSET(INDIRECT(CONCAT(""A"",to_text(match(ER80,ecn.list,0)))),0,1),"""")"),"")</f>
        <v/>
      </c>
      <c r="BS80" s="236" t="str">
        <f>IFERROR(__xludf.DUMMYFUNCTION("if(countif(ecn.list,ES80),OFFSET(INDIRECT(CONCAT(""A"",to_text(match(ES80,ecn.list,0)))),0,1),"""")"),"")</f>
        <v/>
      </c>
      <c r="BT80" s="236" t="str">
        <f>IFERROR(__xludf.DUMMYFUNCTION("if(countif(ecn.list,ET80),OFFSET(INDIRECT(CONCAT(""A"",to_text(match(ET80,ecn.list,0)))),0,1),"""")"),"")</f>
        <v/>
      </c>
      <c r="BU80" s="236" t="str">
        <f>IFERROR(__xludf.DUMMYFUNCTION("if(countif(ecn.list,EU80),OFFSET(INDIRECT(CONCAT(""A"",to_text(match(EU80,ecn.list,0)))),0,1),"""")"),"")</f>
        <v/>
      </c>
      <c r="BV80" s="236" t="str">
        <f>IFERROR(__xludf.DUMMYFUNCTION("if(countif(ecn.list,EV80),OFFSET(INDIRECT(CONCAT(""A"",to_text(match(EV80,ecn.list,0)))),0,1),"""")"),"")</f>
        <v/>
      </c>
      <c r="BW80" s="236" t="str">
        <f>IFERROR(__xludf.DUMMYFUNCTION("if(countif(ecn.list,EW80),OFFSET(INDIRECT(CONCAT(""A"",to_text(match(EW80,ecn.list,0)))),0,1),"""")"),"")</f>
        <v/>
      </c>
      <c r="BX80" s="236" t="str">
        <f>IFERROR(__xludf.DUMMYFUNCTION("if(countif(ecn.list,EX80),OFFSET(INDIRECT(CONCAT(""A"",to_text(match(EX80,ecn.list,0)))),0,1),"""")"),"")</f>
        <v/>
      </c>
      <c r="BY80" s="236" t="str">
        <f>IFERROR(__xludf.DUMMYFUNCTION("if(countif(ecn.list,EY80),OFFSET(INDIRECT(CONCAT(""A"",to_text(match(EY80,ecn.list,0)))),0,1),"""")"),"")</f>
        <v/>
      </c>
      <c r="BZ80" s="236" t="str">
        <f>IFERROR(__xludf.DUMMYFUNCTION("if(countif(ecn.list,EZ80),OFFSET(INDIRECT(CONCAT(""A"",to_text(match(EZ80,ecn.list,0)))),0,1),"""")"),"MF ")</f>
        <v>MF </v>
      </c>
      <c r="CA80" s="236" t="str">
        <f>IFERROR(__xludf.DUMMYFUNCTION("if(countif(ecn.list,FA80),OFFSET(INDIRECT(CONCAT(""A"",to_text(match(FA80,ecn.list,0)))),0,1),"""")"),"")</f>
        <v/>
      </c>
      <c r="CB80" s="236" t="str">
        <f>IFERROR(__xludf.DUMMYFUNCTION("if(countif(ecn.list,FB80),OFFSET(INDIRECT(CONCAT(""A"",to_text(match(FB80,ecn.list,0)))),0,1),"""")"),"")</f>
        <v/>
      </c>
      <c r="CC80" s="236" t="str">
        <f>IFERROR(__xludf.DUMMYFUNCTION("if(countif(ecn.list,FC80),OFFSET(INDIRECT(CONCAT(""A"",to_text(match(FC80,ecn.list,0)))),0,1),"""")"),"N2 ")</f>
        <v>N2 </v>
      </c>
      <c r="CD80" s="236" t="str">
        <f>IFERROR(__xludf.DUMMYFUNCTION("if(countif(ecn.list,FD80),OFFSET(INDIRECT(CONCAT(""A"",to_text(match(FD80,ecn.list,0)))),0,1),"""")"),"")</f>
        <v/>
      </c>
      <c r="CE80" s="236" t="str">
        <f>IFERROR(__xludf.DUMMYFUNCTION("if(countif(ecn.list,FE80),OFFSET(INDIRECT(CONCAT(""A"",to_text(match(FE80,ecn.list,0)))),0,1),"""")"),"")</f>
        <v/>
      </c>
      <c r="CF80" s="236" t="str">
        <f>IFERROR(__xludf.DUMMYFUNCTION("if(countif(ecn.list,FF80),OFFSET(INDIRECT(CONCAT(""A"",to_text(match(FF80,ecn.list,0)))),0,1),"""")"),"")</f>
        <v/>
      </c>
      <c r="CG80" s="236" t="str">
        <f>IFERROR(__xludf.DUMMYFUNCTION("if(countif(ecn.list,FG80),OFFSET(INDIRECT(CONCAT(""A"",to_text(match(FG80,ecn.list,0)))),0,1),"""")"),"")</f>
        <v/>
      </c>
      <c r="CH80" s="236" t="str">
        <f>IFERROR(__xludf.DUMMYFUNCTION("if(countif(ecn.list,FH80),OFFSET(INDIRECT(CONCAT(""A"",to_text(match(FH80,ecn.list,0)))),0,1),"""")"),"N7 ")</f>
        <v>N7 </v>
      </c>
      <c r="CI80" s="236" t="str">
        <f>IFERROR(__xludf.DUMMYFUNCTION("if(countif(ecn.list,FI80),OFFSET(INDIRECT(CONCAT(""A"",to_text(match(FI80,ecn.list,0)))),0,1),"""")"),"")</f>
        <v/>
      </c>
      <c r="CJ80" s="236" t="str">
        <f>IFERROR(__xludf.DUMMYFUNCTION("if(countif(ecn.list,FJ80),OFFSET(INDIRECT(CONCAT(""A"",to_text(match(FJ80,ecn.list,0)))),0,1),"""")"),"")</f>
        <v/>
      </c>
      <c r="CK80" s="236" t="str">
        <f>IFERROR(__xludf.DUMMYFUNCTION("if(countif(ecn.list,FK80),OFFSET(INDIRECT(CONCAT(""A"",to_text(match(FK80,ecn.list,0)))),0,1),"""")"),"NA ")</f>
        <v>NA </v>
      </c>
      <c r="CL80" s="236" t="str">
        <f>IFERROR(__xludf.DUMMYFUNCTION("if(countif(ecn.list,FL80),OFFSET(INDIRECT(CONCAT(""A"",to_text(match(FL80,ecn.list,0)))),0,1),"""")"),"")</f>
        <v/>
      </c>
      <c r="CM80" s="236" t="str">
        <f>IFERROR(__xludf.DUMMYFUNCTION("if(countif(ecn.list,FM80),OFFSET(INDIRECT(CONCAT(""A"",to_text(match(FM80,ecn.list,0)))),0,1),"""")"),"")</f>
        <v/>
      </c>
      <c r="CN80" s="238" t="s">
        <v>312</v>
      </c>
      <c r="CO80" s="198" t="s">
        <v>1447</v>
      </c>
      <c r="CP80" s="198" t="s">
        <v>1453</v>
      </c>
      <c r="CQ80" s="198" t="s">
        <v>1453</v>
      </c>
      <c r="CR80" s="198" t="s">
        <v>1453</v>
      </c>
      <c r="CS80" s="198" t="s">
        <v>1453</v>
      </c>
      <c r="CT80" s="198" t="s">
        <v>1454</v>
      </c>
      <c r="CU80" s="198" t="s">
        <v>1455</v>
      </c>
      <c r="CV80" s="198" t="s">
        <v>1453</v>
      </c>
      <c r="CW80" s="198" t="s">
        <v>1453</v>
      </c>
      <c r="CX80" s="198" t="s">
        <v>1453</v>
      </c>
      <c r="CY80" s="198" t="s">
        <v>1453</v>
      </c>
      <c r="CZ80" s="198" t="s">
        <v>1453</v>
      </c>
      <c r="DA80" s="198" t="s">
        <v>1453</v>
      </c>
      <c r="DB80" s="198" t="s">
        <v>1453</v>
      </c>
      <c r="DC80" s="198" t="s">
        <v>1453</v>
      </c>
      <c r="DD80" s="198" t="s">
        <v>1453</v>
      </c>
      <c r="DE80" s="198" t="s">
        <v>1453</v>
      </c>
      <c r="DF80" s="198" t="s">
        <v>1453</v>
      </c>
      <c r="DG80" s="198" t="s">
        <v>1453</v>
      </c>
      <c r="DH80" s="198" t="s">
        <v>1453</v>
      </c>
      <c r="DI80" s="198" t="s">
        <v>1453</v>
      </c>
      <c r="DJ80" s="198" t="s">
        <v>1460</v>
      </c>
      <c r="DK80" s="198" t="s">
        <v>1453</v>
      </c>
      <c r="DL80" s="198" t="s">
        <v>1461</v>
      </c>
      <c r="DM80" s="198" t="s">
        <v>1453</v>
      </c>
      <c r="DN80" s="198" t="s">
        <v>1453</v>
      </c>
      <c r="DO80" s="198" t="s">
        <v>1453</v>
      </c>
      <c r="DP80" s="198" t="s">
        <v>1453</v>
      </c>
      <c r="DQ80" s="198" t="s">
        <v>1466</v>
      </c>
      <c r="DR80" s="198" t="s">
        <v>1453</v>
      </c>
      <c r="DS80" s="198" t="s">
        <v>1453</v>
      </c>
      <c r="DT80" s="198" t="s">
        <v>1453</v>
      </c>
      <c r="DU80" s="198" t="s">
        <v>1453</v>
      </c>
      <c r="DV80" s="198" t="s">
        <v>1469</v>
      </c>
      <c r="DW80" s="198" t="s">
        <v>1453</v>
      </c>
      <c r="DX80" s="198" t="s">
        <v>1453</v>
      </c>
      <c r="DY80" s="198" t="s">
        <v>1453</v>
      </c>
      <c r="DZ80" s="198" t="s">
        <v>1453</v>
      </c>
      <c r="EA80" s="198" t="s">
        <v>1453</v>
      </c>
      <c r="EB80" s="198" t="s">
        <v>1453</v>
      </c>
      <c r="EC80" s="198" t="s">
        <v>1483</v>
      </c>
      <c r="ED80" s="198" t="s">
        <v>1453</v>
      </c>
      <c r="EE80" s="198" t="s">
        <v>1470</v>
      </c>
      <c r="EF80" s="198" t="s">
        <v>1453</v>
      </c>
      <c r="EG80" s="198" t="s">
        <v>1471</v>
      </c>
      <c r="EH80" s="198" t="s">
        <v>1453</v>
      </c>
      <c r="EI80" s="198" t="s">
        <v>1453</v>
      </c>
      <c r="EJ80" s="198" t="s">
        <v>1453</v>
      </c>
      <c r="EK80" s="198" t="s">
        <v>1453</v>
      </c>
      <c r="EL80" s="198" t="s">
        <v>1453</v>
      </c>
      <c r="EM80" s="198" t="s">
        <v>1453</v>
      </c>
      <c r="EN80" s="198" t="s">
        <v>1453</v>
      </c>
      <c r="EO80" s="198" t="s">
        <v>1453</v>
      </c>
      <c r="EP80" s="198" t="s">
        <v>1453</v>
      </c>
      <c r="EQ80" s="198" t="s">
        <v>1453</v>
      </c>
      <c r="ER80" s="198" t="s">
        <v>1453</v>
      </c>
      <c r="ES80" s="198" t="s">
        <v>1453</v>
      </c>
      <c r="ET80" s="198" t="s">
        <v>1453</v>
      </c>
      <c r="EU80" s="198" t="s">
        <v>1453</v>
      </c>
      <c r="EV80" s="198" t="s">
        <v>1453</v>
      </c>
      <c r="EW80" s="198" t="s">
        <v>1453</v>
      </c>
      <c r="EX80" s="198" t="s">
        <v>1453</v>
      </c>
      <c r="EY80" s="198" t="s">
        <v>1453</v>
      </c>
      <c r="EZ80" s="198" t="s">
        <v>1477</v>
      </c>
      <c r="FA80" s="198" t="s">
        <v>1453</v>
      </c>
      <c r="FB80" s="198" t="s">
        <v>1453</v>
      </c>
      <c r="FC80" s="198" t="s">
        <v>1478</v>
      </c>
      <c r="FD80" s="198" t="s">
        <v>1453</v>
      </c>
      <c r="FE80" s="198" t="s">
        <v>1453</v>
      </c>
      <c r="FF80" s="198" t="s">
        <v>1453</v>
      </c>
      <c r="FG80" s="198" t="s">
        <v>1453</v>
      </c>
      <c r="FH80" s="198" t="s">
        <v>1479</v>
      </c>
      <c r="FI80" s="198" t="s">
        <v>1453</v>
      </c>
      <c r="FJ80" s="198" t="s">
        <v>1453</v>
      </c>
      <c r="FK80" s="198" t="s">
        <v>1481</v>
      </c>
      <c r="FL80" s="198" t="s">
        <v>1482</v>
      </c>
      <c r="FM80" s="198" t="s">
        <v>1453</v>
      </c>
    </row>
    <row r="81" ht="15.75" customHeight="1">
      <c r="A81" s="198"/>
      <c r="B81" s="198"/>
      <c r="C81" s="234"/>
      <c r="D81" s="232" t="s">
        <v>770</v>
      </c>
      <c r="E81" s="232" t="s">
        <v>1448</v>
      </c>
      <c r="F81" s="232" t="s">
        <v>1449</v>
      </c>
      <c r="G81" s="232" t="s">
        <v>1450</v>
      </c>
      <c r="H81" s="232" t="s">
        <v>876</v>
      </c>
      <c r="I81" s="232" t="s">
        <v>970</v>
      </c>
      <c r="J81" s="232" t="s">
        <v>1540</v>
      </c>
      <c r="K81" s="232" t="s">
        <v>1130</v>
      </c>
      <c r="L81" s="188" t="s">
        <v>315</v>
      </c>
      <c r="M81" s="236" t="str">
        <f>IFERROR(__xludf.DUMMYFUNCTION("regexreplace(N81,"" "","", "")"),"J0, J1, J2, J5, J6, J7, JA, JC, JF, K0, K5, K7, K8, K9, KA, KB, KC, KD, KF, L1, L8, LA, LC, LF, M0, M1, M3, M8, MB, MD, MF, N2, N7, NA, ")</f>
        <v>J0, J1, J2, J5, J6, J7, JA, JC, JF, K0, K5, K7, K8, K9, KA, KB, KC, KD, KF, L1, L8, LA, LC, LF, M0, M1, M3, M8, MB, MD, MF, N2, N7, NA, </v>
      </c>
      <c r="N81" s="236" t="str">
        <f t="shared" si="2"/>
        <v>J0 J1 J2 J5 J6 J7 JA JC JF K0 K5 K7 K8 K9 KA KB KC KD KF L1 L8 LA LC LF M0 M1 M3 M8 MB MD MF N2 N7 NA </v>
      </c>
      <c r="O81" s="236" t="str">
        <f>IFERROR(__xludf.DUMMYFUNCTION("if(countif(ecn.list,CO81),OFFSET(INDIRECT(CONCAT(""A"",to_text(match(CO81,ecn.list,0)))),0,1),"""")"),"J0 ")</f>
        <v>J0 </v>
      </c>
      <c r="P81" s="236" t="str">
        <f>IFERROR(__xludf.DUMMYFUNCTION("if(countif(ecn.list,CP81),OFFSET(INDIRECT(CONCAT(""A"",to_text(match(CP81,ecn.list,0)))),0,1),"""")"),"J1 ")</f>
        <v>J1 </v>
      </c>
      <c r="Q81" s="236" t="str">
        <f>IFERROR(__xludf.DUMMYFUNCTION("if(countif(ecn.list,CQ81),OFFSET(INDIRECT(CONCAT(""A"",to_text(match(CQ81,ecn.list,0)))),0,1),"""")"),"J2 ")</f>
        <v>J2 </v>
      </c>
      <c r="R81" s="236" t="str">
        <f>IFERROR(__xludf.DUMMYFUNCTION("if(countif(ecn.list,CR81),OFFSET(INDIRECT(CONCAT(""A"",to_text(match(CR81,ecn.list,0)))),0,1),"""")"),"")</f>
        <v/>
      </c>
      <c r="S81" s="236" t="str">
        <f>IFERROR(__xludf.DUMMYFUNCTION("if(countif(ecn.list,CS81),OFFSET(INDIRECT(CONCAT(""A"",to_text(match(CS81,ecn.list,0)))),0,1),"""")"),"")</f>
        <v/>
      </c>
      <c r="T81" s="236" t="str">
        <f>IFERROR(__xludf.DUMMYFUNCTION("if(countif(ecn.list,CT81),OFFSET(INDIRECT(CONCAT(""A"",to_text(match(CT81,ecn.list,0)))),0,1),"""")"),"J5 ")</f>
        <v>J5 </v>
      </c>
      <c r="U81" s="236" t="str">
        <f>IFERROR(__xludf.DUMMYFUNCTION("if(countif(ecn.list,CU81),OFFSET(INDIRECT(CONCAT(""A"",to_text(match(CU81,ecn.list,0)))),0,1),"""")"),"J6 ")</f>
        <v>J6 </v>
      </c>
      <c r="V81" s="236" t="str">
        <f>IFERROR(__xludf.DUMMYFUNCTION("if(countif(ecn.list,CV81),OFFSET(INDIRECT(CONCAT(""A"",to_text(match(CV81,ecn.list,0)))),0,1),"""")"),"J7 ")</f>
        <v>J7 </v>
      </c>
      <c r="W81" s="236" t="str">
        <f>IFERROR(__xludf.DUMMYFUNCTION("if(countif(ecn.list,CW81),OFFSET(INDIRECT(CONCAT(""A"",to_text(match(CW81,ecn.list,0)))),0,1),"""")"),"")</f>
        <v/>
      </c>
      <c r="X81" s="236" t="str">
        <f>IFERROR(__xludf.DUMMYFUNCTION("if(countif(ecn.list,CX81),OFFSET(INDIRECT(CONCAT(""A"",to_text(match(CX81,ecn.list,0)))),0,1),"""")"),"")</f>
        <v/>
      </c>
      <c r="Y81" s="236" t="str">
        <f>IFERROR(__xludf.DUMMYFUNCTION("if(countif(ecn.list,CY81),OFFSET(INDIRECT(CONCAT(""A"",to_text(match(CY81,ecn.list,0)))),0,1),"""")"),"JA ")</f>
        <v>JA </v>
      </c>
      <c r="Z81" s="236" t="str">
        <f>IFERROR(__xludf.DUMMYFUNCTION("if(countif(ecn.list,CZ81),OFFSET(INDIRECT(CONCAT(""A"",to_text(match(CZ81,ecn.list,0)))),0,1),"""")"),"")</f>
        <v/>
      </c>
      <c r="AA81" s="236" t="str">
        <f>IFERROR(__xludf.DUMMYFUNCTION("if(countif(ecn.list,DA81),OFFSET(INDIRECT(CONCAT(""A"",to_text(match(DA81,ecn.list,0)))),0,1),"""")"),"JC ")</f>
        <v>JC </v>
      </c>
      <c r="AB81" s="236" t="str">
        <f>IFERROR(__xludf.DUMMYFUNCTION("if(countif(ecn.list,DB81),OFFSET(INDIRECT(CONCAT(""A"",to_text(match(DB81,ecn.list,0)))),0,1),"""")"),"")</f>
        <v/>
      </c>
      <c r="AC81" s="236" t="str">
        <f>IFERROR(__xludf.DUMMYFUNCTION("if(countif(ecn.list,DC81),OFFSET(INDIRECT(CONCAT(""A"",to_text(match(DC81,ecn.list,0)))),0,1),"""")"),"")</f>
        <v/>
      </c>
      <c r="AD81" s="236" t="str">
        <f>IFERROR(__xludf.DUMMYFUNCTION("if(countif(ecn.list,DD81),OFFSET(INDIRECT(CONCAT(""A"",to_text(match(DD81,ecn.list,0)))),0,1),"""")"),"JF ")</f>
        <v>JF </v>
      </c>
      <c r="AE81" s="236" t="str">
        <f>IFERROR(__xludf.DUMMYFUNCTION("if(countif(ecn.list,DE81),OFFSET(INDIRECT(CONCAT(""A"",to_text(match(DE81,ecn.list,0)))),0,1),"""")"),"K0 ")</f>
        <v>K0 </v>
      </c>
      <c r="AF81" s="236" t="str">
        <f>IFERROR(__xludf.DUMMYFUNCTION("if(countif(ecn.list,DF81),OFFSET(INDIRECT(CONCAT(""A"",to_text(match(DF81,ecn.list,0)))),0,1),"""")"),"")</f>
        <v/>
      </c>
      <c r="AG81" s="236" t="str">
        <f>IFERROR(__xludf.DUMMYFUNCTION("if(countif(ecn.list,DG81),OFFSET(INDIRECT(CONCAT(""A"",to_text(match(DG81,ecn.list,0)))),0,1),"""")"),"")</f>
        <v/>
      </c>
      <c r="AH81" s="236" t="str">
        <f>IFERROR(__xludf.DUMMYFUNCTION("if(countif(ecn.list,DH81),OFFSET(INDIRECT(CONCAT(""A"",to_text(match(DH81,ecn.list,0)))),0,1),"""")"),"")</f>
        <v/>
      </c>
      <c r="AI81" s="236" t="str">
        <f>IFERROR(__xludf.DUMMYFUNCTION("if(countif(ecn.list,DI81),OFFSET(INDIRECT(CONCAT(""A"",to_text(match(DI81,ecn.list,0)))),0,1),"""")"),"")</f>
        <v/>
      </c>
      <c r="AJ81" s="236" t="str">
        <f>IFERROR(__xludf.DUMMYFUNCTION("if(countif(ecn.list,DJ81),OFFSET(INDIRECT(CONCAT(""A"",to_text(match(DJ81,ecn.list,0)))),0,1),"""")"),"K5 ")</f>
        <v>K5 </v>
      </c>
      <c r="AK81" s="236" t="str">
        <f>IFERROR(__xludf.DUMMYFUNCTION("if(countif(ecn.list,DK81),OFFSET(INDIRECT(CONCAT(""A"",to_text(match(DK81,ecn.list,0)))),0,1),"""")"),"")</f>
        <v/>
      </c>
      <c r="AL81" s="236" t="str">
        <f>IFERROR(__xludf.DUMMYFUNCTION("if(countif(ecn.list,DL81),OFFSET(INDIRECT(CONCAT(""A"",to_text(match(DL81,ecn.list,0)))),0,1),"""")"),"K7 ")</f>
        <v>K7 </v>
      </c>
      <c r="AM81" s="236" t="str">
        <f>IFERROR(__xludf.DUMMYFUNCTION("if(countif(ecn.list,DM81),OFFSET(INDIRECT(CONCAT(""A"",to_text(match(DM81,ecn.list,0)))),0,1),"""")"),"K8 ")</f>
        <v>K8 </v>
      </c>
      <c r="AN81" s="236" t="str">
        <f>IFERROR(__xludf.DUMMYFUNCTION("if(countif(ecn.list,DN81),OFFSET(INDIRECT(CONCAT(""A"",to_text(match(DN81,ecn.list,0)))),0,1),"""")"),"K9 ")</f>
        <v>K9 </v>
      </c>
      <c r="AO81" s="236" t="str">
        <f>IFERROR(__xludf.DUMMYFUNCTION("if(countif(ecn.list,DO81),OFFSET(INDIRECT(CONCAT(""A"",to_text(match(DO81,ecn.list,0)))),0,1),"""")"),"KA ")</f>
        <v>KA </v>
      </c>
      <c r="AP81" s="236" t="str">
        <f>IFERROR(__xludf.DUMMYFUNCTION("if(countif(ecn.list,DP81),OFFSET(INDIRECT(CONCAT(""A"",to_text(match(DP81,ecn.list,0)))),0,1),"""")"),"KB ")</f>
        <v>KB </v>
      </c>
      <c r="AQ81" s="236" t="str">
        <f>IFERROR(__xludf.DUMMYFUNCTION("if(countif(ecn.list,DQ81),OFFSET(INDIRECT(CONCAT(""A"",to_text(match(DQ81,ecn.list,0)))),0,1),"""")"),"KC ")</f>
        <v>KC </v>
      </c>
      <c r="AR81" s="236" t="str">
        <f>IFERROR(__xludf.DUMMYFUNCTION("if(countif(ecn.list,DR81),OFFSET(INDIRECT(CONCAT(""A"",to_text(match(DR81,ecn.list,0)))),0,1),"""")"),"KD ")</f>
        <v>KD </v>
      </c>
      <c r="AS81" s="236" t="str">
        <f>IFERROR(__xludf.DUMMYFUNCTION("if(countif(ecn.list,DS81),OFFSET(INDIRECT(CONCAT(""A"",to_text(match(DS81,ecn.list,0)))),0,1),"""")"),"")</f>
        <v/>
      </c>
      <c r="AT81" s="236" t="str">
        <f>IFERROR(__xludf.DUMMYFUNCTION("if(countif(ecn.list,DT81),OFFSET(INDIRECT(CONCAT(""A"",to_text(match(DT81,ecn.list,0)))),0,1),"""")"),"KF ")</f>
        <v>KF </v>
      </c>
      <c r="AU81" s="236" t="str">
        <f>IFERROR(__xludf.DUMMYFUNCTION("if(countif(ecn.list,DU81),OFFSET(INDIRECT(CONCAT(""A"",to_text(match(DU81,ecn.list,0)))),0,1),"""")"),"")</f>
        <v/>
      </c>
      <c r="AV81" s="236" t="str">
        <f>IFERROR(__xludf.DUMMYFUNCTION("if(countif(ecn.list,DV81),OFFSET(INDIRECT(CONCAT(""A"",to_text(match(DV81,ecn.list,0)))),0,1),"""")"),"L1 ")</f>
        <v>L1 </v>
      </c>
      <c r="AW81" s="236" t="str">
        <f>IFERROR(__xludf.DUMMYFUNCTION("if(countif(ecn.list,DW81),OFFSET(INDIRECT(CONCAT(""A"",to_text(match(DW81,ecn.list,0)))),0,1),"""")"),"")</f>
        <v/>
      </c>
      <c r="AX81" s="236" t="str">
        <f>IFERROR(__xludf.DUMMYFUNCTION("if(countif(ecn.list,DX81),OFFSET(INDIRECT(CONCAT(""A"",to_text(match(DX81,ecn.list,0)))),0,1),"""")"),"")</f>
        <v/>
      </c>
      <c r="AY81" s="236" t="str">
        <f>IFERROR(__xludf.DUMMYFUNCTION("if(countif(ecn.list,DY81),OFFSET(INDIRECT(CONCAT(""A"",to_text(match(DY81,ecn.list,0)))),0,1),"""")"),"")</f>
        <v/>
      </c>
      <c r="AZ81" s="236" t="str">
        <f>IFERROR(__xludf.DUMMYFUNCTION("if(countif(ecn.list,DZ81),OFFSET(INDIRECT(CONCAT(""A"",to_text(match(DZ81,ecn.list,0)))),0,1),"""")"),"")</f>
        <v/>
      </c>
      <c r="BA81" s="236" t="str">
        <f>IFERROR(__xludf.DUMMYFUNCTION("if(countif(ecn.list,EA81),OFFSET(INDIRECT(CONCAT(""A"",to_text(match(EA81,ecn.list,0)))),0,1),"""")"),"")</f>
        <v/>
      </c>
      <c r="BB81" s="236" t="str">
        <f>IFERROR(__xludf.DUMMYFUNCTION("if(countif(ecn.list,EB81),OFFSET(INDIRECT(CONCAT(""A"",to_text(match(EB81,ecn.list,0)))),0,1),"""")"),"")</f>
        <v/>
      </c>
      <c r="BC81" s="236" t="str">
        <f>IFERROR(__xludf.DUMMYFUNCTION("if(countif(ecn.list,EC81),OFFSET(INDIRECT(CONCAT(""A"",to_text(match(EC81,ecn.list,0)))),0,1),"""")"),"L8 ")</f>
        <v>L8 </v>
      </c>
      <c r="BD81" s="236" t="str">
        <f>IFERROR(__xludf.DUMMYFUNCTION("if(countif(ecn.list,ED81),OFFSET(INDIRECT(CONCAT(""A"",to_text(match(ED81,ecn.list,0)))),0,1),"""")"),"")</f>
        <v/>
      </c>
      <c r="BE81" s="236" t="str">
        <f>IFERROR(__xludf.DUMMYFUNCTION("if(countif(ecn.list,EE81),OFFSET(INDIRECT(CONCAT(""A"",to_text(match(EE81,ecn.list,0)))),0,1),"""")"),"LA ")</f>
        <v>LA </v>
      </c>
      <c r="BF81" s="236" t="str">
        <f>IFERROR(__xludf.DUMMYFUNCTION("if(countif(ecn.list,EF81),OFFSET(INDIRECT(CONCAT(""A"",to_text(match(EF81,ecn.list,0)))),0,1),"""")"),"")</f>
        <v/>
      </c>
      <c r="BG81" s="236" t="str">
        <f>IFERROR(__xludf.DUMMYFUNCTION("if(countif(ecn.list,EG81),OFFSET(INDIRECT(CONCAT(""A"",to_text(match(EG81,ecn.list,0)))),0,1),"""")"),"LC ")</f>
        <v>LC </v>
      </c>
      <c r="BH81" s="236" t="str">
        <f>IFERROR(__xludf.DUMMYFUNCTION("if(countif(ecn.list,EH81),OFFSET(INDIRECT(CONCAT(""A"",to_text(match(EH81,ecn.list,0)))),0,1),"""")"),"")</f>
        <v/>
      </c>
      <c r="BI81" s="236" t="str">
        <f>IFERROR(__xludf.DUMMYFUNCTION("if(countif(ecn.list,EI81),OFFSET(INDIRECT(CONCAT(""A"",to_text(match(EI81,ecn.list,0)))),0,1),"""")"),"")</f>
        <v/>
      </c>
      <c r="BJ81" s="236" t="str">
        <f>IFERROR(__xludf.DUMMYFUNCTION("if(countif(ecn.list,EJ81),OFFSET(INDIRECT(CONCAT(""A"",to_text(match(EJ81,ecn.list,0)))),0,1),"""")"),"LF ")</f>
        <v>LF </v>
      </c>
      <c r="BK81" s="236" t="str">
        <f>IFERROR(__xludf.DUMMYFUNCTION("if(countif(ecn.list,EK81),OFFSET(INDIRECT(CONCAT(""A"",to_text(match(EK81,ecn.list,0)))),0,1),"""")"),"M0 ")</f>
        <v>M0 </v>
      </c>
      <c r="BL81" s="236" t="str">
        <f>IFERROR(__xludf.DUMMYFUNCTION("if(countif(ecn.list,EL81),OFFSET(INDIRECT(CONCAT(""A"",to_text(match(EL81,ecn.list,0)))),0,1),"""")"),"M1 ")</f>
        <v>M1 </v>
      </c>
      <c r="BM81" s="236" t="str">
        <f>IFERROR(__xludf.DUMMYFUNCTION("if(countif(ecn.list,EM81),OFFSET(INDIRECT(CONCAT(""A"",to_text(match(EM81,ecn.list,0)))),0,1),"""")"),"")</f>
        <v/>
      </c>
      <c r="BN81" s="236" t="str">
        <f>IFERROR(__xludf.DUMMYFUNCTION("if(countif(ecn.list,EN81),OFFSET(INDIRECT(CONCAT(""A"",to_text(match(EN81,ecn.list,0)))),0,1),"""")"),"M3 ")</f>
        <v>M3 </v>
      </c>
      <c r="BO81" s="236" t="str">
        <f>IFERROR(__xludf.DUMMYFUNCTION("if(countif(ecn.list,EO81),OFFSET(INDIRECT(CONCAT(""A"",to_text(match(EO81,ecn.list,0)))),0,1),"""")"),"")</f>
        <v/>
      </c>
      <c r="BP81" s="236" t="str">
        <f>IFERROR(__xludf.DUMMYFUNCTION("if(countif(ecn.list,EP81),OFFSET(INDIRECT(CONCAT(""A"",to_text(match(EP81,ecn.list,0)))),0,1),"""")"),"")</f>
        <v/>
      </c>
      <c r="BQ81" s="236" t="str">
        <f>IFERROR(__xludf.DUMMYFUNCTION("if(countif(ecn.list,EQ81),OFFSET(INDIRECT(CONCAT(""A"",to_text(match(EQ81,ecn.list,0)))),0,1),"""")"),"")</f>
        <v/>
      </c>
      <c r="BR81" s="236" t="str">
        <f>IFERROR(__xludf.DUMMYFUNCTION("if(countif(ecn.list,ER81),OFFSET(INDIRECT(CONCAT(""A"",to_text(match(ER81,ecn.list,0)))),0,1),"""")"),"")</f>
        <v/>
      </c>
      <c r="BS81" s="236" t="str">
        <f>IFERROR(__xludf.DUMMYFUNCTION("if(countif(ecn.list,ES81),OFFSET(INDIRECT(CONCAT(""A"",to_text(match(ES81,ecn.list,0)))),0,1),"""")"),"M8 ")</f>
        <v>M8 </v>
      </c>
      <c r="BT81" s="236" t="str">
        <f>IFERROR(__xludf.DUMMYFUNCTION("if(countif(ecn.list,ET81),OFFSET(INDIRECT(CONCAT(""A"",to_text(match(ET81,ecn.list,0)))),0,1),"""")"),"")</f>
        <v/>
      </c>
      <c r="BU81" s="236" t="str">
        <f>IFERROR(__xludf.DUMMYFUNCTION("if(countif(ecn.list,EU81),OFFSET(INDIRECT(CONCAT(""A"",to_text(match(EU81,ecn.list,0)))),0,1),"""")"),"")</f>
        <v/>
      </c>
      <c r="BV81" s="236" t="str">
        <f>IFERROR(__xludf.DUMMYFUNCTION("if(countif(ecn.list,EV81),OFFSET(INDIRECT(CONCAT(""A"",to_text(match(EV81,ecn.list,0)))),0,1),"""")"),"MB ")</f>
        <v>MB </v>
      </c>
      <c r="BW81" s="236" t="str">
        <f>IFERROR(__xludf.DUMMYFUNCTION("if(countif(ecn.list,EW81),OFFSET(INDIRECT(CONCAT(""A"",to_text(match(EW81,ecn.list,0)))),0,1),"""")"),"")</f>
        <v/>
      </c>
      <c r="BX81" s="236" t="str">
        <f>IFERROR(__xludf.DUMMYFUNCTION("if(countif(ecn.list,EX81),OFFSET(INDIRECT(CONCAT(""A"",to_text(match(EX81,ecn.list,0)))),0,1),"""")"),"MD ")</f>
        <v>MD </v>
      </c>
      <c r="BY81" s="236" t="str">
        <f>IFERROR(__xludf.DUMMYFUNCTION("if(countif(ecn.list,EY81),OFFSET(INDIRECT(CONCAT(""A"",to_text(match(EY81,ecn.list,0)))),0,1),"""")"),"")</f>
        <v/>
      </c>
      <c r="BZ81" s="236" t="str">
        <f>IFERROR(__xludf.DUMMYFUNCTION("if(countif(ecn.list,EZ81),OFFSET(INDIRECT(CONCAT(""A"",to_text(match(EZ81,ecn.list,0)))),0,1),"""")"),"MF ")</f>
        <v>MF </v>
      </c>
      <c r="CA81" s="236" t="str">
        <f>IFERROR(__xludf.DUMMYFUNCTION("if(countif(ecn.list,FA81),OFFSET(INDIRECT(CONCAT(""A"",to_text(match(FA81,ecn.list,0)))),0,1),"""")"),"")</f>
        <v/>
      </c>
      <c r="CB81" s="236" t="str">
        <f>IFERROR(__xludf.DUMMYFUNCTION("if(countif(ecn.list,FB81),OFFSET(INDIRECT(CONCAT(""A"",to_text(match(FB81,ecn.list,0)))),0,1),"""")"),"")</f>
        <v/>
      </c>
      <c r="CC81" s="236" t="str">
        <f>IFERROR(__xludf.DUMMYFUNCTION("if(countif(ecn.list,FC81),OFFSET(INDIRECT(CONCAT(""A"",to_text(match(FC81,ecn.list,0)))),0,1),"""")"),"N2 ")</f>
        <v>N2 </v>
      </c>
      <c r="CD81" s="236" t="str">
        <f>IFERROR(__xludf.DUMMYFUNCTION("if(countif(ecn.list,FD81),OFFSET(INDIRECT(CONCAT(""A"",to_text(match(FD81,ecn.list,0)))),0,1),"""")"),"")</f>
        <v/>
      </c>
      <c r="CE81" s="236" t="str">
        <f>IFERROR(__xludf.DUMMYFUNCTION("if(countif(ecn.list,FE81),OFFSET(INDIRECT(CONCAT(""A"",to_text(match(FE81,ecn.list,0)))),0,1),"""")"),"")</f>
        <v/>
      </c>
      <c r="CF81" s="236" t="str">
        <f>IFERROR(__xludf.DUMMYFUNCTION("if(countif(ecn.list,FF81),OFFSET(INDIRECT(CONCAT(""A"",to_text(match(FF81,ecn.list,0)))),0,1),"""")"),"")</f>
        <v/>
      </c>
      <c r="CG81" s="236" t="str">
        <f>IFERROR(__xludf.DUMMYFUNCTION("if(countif(ecn.list,FG81),OFFSET(INDIRECT(CONCAT(""A"",to_text(match(FG81,ecn.list,0)))),0,1),"""")"),"")</f>
        <v/>
      </c>
      <c r="CH81" s="236" t="str">
        <f>IFERROR(__xludf.DUMMYFUNCTION("if(countif(ecn.list,FH81),OFFSET(INDIRECT(CONCAT(""A"",to_text(match(FH81,ecn.list,0)))),0,1),"""")"),"N7 ")</f>
        <v>N7 </v>
      </c>
      <c r="CI81" s="236" t="str">
        <f>IFERROR(__xludf.DUMMYFUNCTION("if(countif(ecn.list,FI81),OFFSET(INDIRECT(CONCAT(""A"",to_text(match(FI81,ecn.list,0)))),0,1),"""")"),"")</f>
        <v/>
      </c>
      <c r="CJ81" s="236" t="str">
        <f>IFERROR(__xludf.DUMMYFUNCTION("if(countif(ecn.list,FJ81),OFFSET(INDIRECT(CONCAT(""A"",to_text(match(FJ81,ecn.list,0)))),0,1),"""")"),"")</f>
        <v/>
      </c>
      <c r="CK81" s="236" t="str">
        <f>IFERROR(__xludf.DUMMYFUNCTION("if(countif(ecn.list,FK81),OFFSET(INDIRECT(CONCAT(""A"",to_text(match(FK81,ecn.list,0)))),0,1),"""")"),"NA ")</f>
        <v>NA </v>
      </c>
      <c r="CL81" s="236" t="str">
        <f>IFERROR(__xludf.DUMMYFUNCTION("if(countif(ecn.list,FL81),OFFSET(INDIRECT(CONCAT(""A"",to_text(match(FL81,ecn.list,0)))),0,1),"""")"),"")</f>
        <v/>
      </c>
      <c r="CM81" s="236" t="str">
        <f>IFERROR(__xludf.DUMMYFUNCTION("if(countif(ecn.list,FM81),OFFSET(INDIRECT(CONCAT(""A"",to_text(match(FM81,ecn.list,0)))),0,1),"""")"),"")</f>
        <v/>
      </c>
      <c r="CN81" s="198" t="s">
        <v>315</v>
      </c>
      <c r="CO81" s="198" t="s">
        <v>1447</v>
      </c>
      <c r="CP81" s="198" t="s">
        <v>1451</v>
      </c>
      <c r="CQ81" s="198" t="s">
        <v>1452</v>
      </c>
      <c r="CR81" s="198" t="s">
        <v>1453</v>
      </c>
      <c r="CS81" s="198" t="s">
        <v>1453</v>
      </c>
      <c r="CT81" s="198" t="s">
        <v>1454</v>
      </c>
      <c r="CU81" s="198" t="s">
        <v>1455</v>
      </c>
      <c r="CV81" s="198" t="s">
        <v>1456</v>
      </c>
      <c r="CW81" s="198" t="s">
        <v>1453</v>
      </c>
      <c r="CX81" s="198" t="s">
        <v>1453</v>
      </c>
      <c r="CY81" s="198" t="s">
        <v>1484</v>
      </c>
      <c r="CZ81" s="198" t="s">
        <v>1453</v>
      </c>
      <c r="DA81" s="198" t="s">
        <v>1457</v>
      </c>
      <c r="DB81" s="198" t="s">
        <v>1453</v>
      </c>
      <c r="DC81" s="198" t="s">
        <v>1453</v>
      </c>
      <c r="DD81" s="198" t="s">
        <v>1458</v>
      </c>
      <c r="DE81" s="198" t="s">
        <v>1459</v>
      </c>
      <c r="DF81" s="198" t="s">
        <v>1453</v>
      </c>
      <c r="DG81" s="198" t="s">
        <v>1453</v>
      </c>
      <c r="DH81" s="198" t="s">
        <v>1453</v>
      </c>
      <c r="DI81" s="198" t="s">
        <v>1453</v>
      </c>
      <c r="DJ81" s="198" t="s">
        <v>1460</v>
      </c>
      <c r="DK81" s="198" t="s">
        <v>1453</v>
      </c>
      <c r="DL81" s="198" t="s">
        <v>1461</v>
      </c>
      <c r="DM81" s="198" t="s">
        <v>1462</v>
      </c>
      <c r="DN81" s="198" t="s">
        <v>1463</v>
      </c>
      <c r="DO81" s="198" t="s">
        <v>1464</v>
      </c>
      <c r="DP81" s="198" t="s">
        <v>1465</v>
      </c>
      <c r="DQ81" s="198" t="s">
        <v>1466</v>
      </c>
      <c r="DR81" s="198" t="s">
        <v>1467</v>
      </c>
      <c r="DS81" s="198" t="s">
        <v>1453</v>
      </c>
      <c r="DT81" s="198" t="s">
        <v>1468</v>
      </c>
      <c r="DU81" s="198" t="s">
        <v>1453</v>
      </c>
      <c r="DV81" s="198" t="s">
        <v>1469</v>
      </c>
      <c r="DW81" s="198" t="s">
        <v>1453</v>
      </c>
      <c r="DX81" s="198" t="s">
        <v>1453</v>
      </c>
      <c r="DY81" s="198" t="s">
        <v>1453</v>
      </c>
      <c r="DZ81" s="198" t="s">
        <v>1453</v>
      </c>
      <c r="EA81" s="198" t="s">
        <v>1453</v>
      </c>
      <c r="EB81" s="198" t="s">
        <v>1453</v>
      </c>
      <c r="EC81" s="198" t="s">
        <v>1483</v>
      </c>
      <c r="ED81" s="198" t="s">
        <v>1453</v>
      </c>
      <c r="EE81" s="198" t="s">
        <v>1470</v>
      </c>
      <c r="EF81" s="198" t="s">
        <v>1453</v>
      </c>
      <c r="EG81" s="198" t="s">
        <v>1471</v>
      </c>
      <c r="EH81" s="198" t="s">
        <v>1453</v>
      </c>
      <c r="EI81" s="198" t="s">
        <v>1453</v>
      </c>
      <c r="EJ81" s="198" t="s">
        <v>1472</v>
      </c>
      <c r="EK81" s="198" t="s">
        <v>1487</v>
      </c>
      <c r="EL81" s="198" t="s">
        <v>1473</v>
      </c>
      <c r="EM81" s="198" t="s">
        <v>1453</v>
      </c>
      <c r="EN81" s="198" t="s">
        <v>1474</v>
      </c>
      <c r="EO81" s="198" t="s">
        <v>1453</v>
      </c>
      <c r="EP81" s="198" t="s">
        <v>1453</v>
      </c>
      <c r="EQ81" s="198" t="s">
        <v>1453</v>
      </c>
      <c r="ER81" s="198" t="s">
        <v>1453</v>
      </c>
      <c r="ES81" s="198" t="s">
        <v>1505</v>
      </c>
      <c r="ET81" s="198" t="s">
        <v>1453</v>
      </c>
      <c r="EU81" s="198" t="s">
        <v>1453</v>
      </c>
      <c r="EV81" s="198" t="s">
        <v>1476</v>
      </c>
      <c r="EW81" s="198" t="s">
        <v>1453</v>
      </c>
      <c r="EX81" s="198" t="s">
        <v>1488</v>
      </c>
      <c r="EY81" s="198" t="s">
        <v>1453</v>
      </c>
      <c r="EZ81" s="198" t="s">
        <v>1477</v>
      </c>
      <c r="FA81" s="198" t="s">
        <v>1453</v>
      </c>
      <c r="FB81" s="198" t="s">
        <v>1453</v>
      </c>
      <c r="FC81" s="198" t="s">
        <v>1478</v>
      </c>
      <c r="FD81" s="198" t="s">
        <v>1453</v>
      </c>
      <c r="FE81" s="198" t="s">
        <v>1453</v>
      </c>
      <c r="FF81" s="198" t="s">
        <v>1453</v>
      </c>
      <c r="FG81" s="198" t="s">
        <v>1453</v>
      </c>
      <c r="FH81" s="198" t="s">
        <v>1479</v>
      </c>
      <c r="FI81" s="198" t="s">
        <v>1453</v>
      </c>
      <c r="FJ81" s="198" t="s">
        <v>1453</v>
      </c>
      <c r="FK81" s="198" t="s">
        <v>1481</v>
      </c>
      <c r="FL81" s="198" t="s">
        <v>1482</v>
      </c>
      <c r="FM81" s="198" t="s">
        <v>1453</v>
      </c>
    </row>
    <row r="82" ht="15.75" customHeight="1">
      <c r="A82" s="198"/>
      <c r="B82" s="198"/>
      <c r="C82" s="234"/>
      <c r="D82" s="232" t="s">
        <v>770</v>
      </c>
      <c r="E82" s="232" t="s">
        <v>1448</v>
      </c>
      <c r="F82" s="232" t="s">
        <v>1449</v>
      </c>
      <c r="G82" s="232" t="s">
        <v>1450</v>
      </c>
      <c r="H82" s="232" t="s">
        <v>876</v>
      </c>
      <c r="I82" s="232" t="s">
        <v>970</v>
      </c>
      <c r="J82" s="232" t="s">
        <v>1540</v>
      </c>
      <c r="K82" s="232" t="s">
        <v>1130</v>
      </c>
      <c r="L82" s="188" t="s">
        <v>318</v>
      </c>
      <c r="M82" s="236" t="str">
        <f>IFERROR(__xludf.DUMMYFUNCTION("regexreplace(N82,"" "","", "")"),"J0, J1, J2, J5, J6, J7, JA, JC, JF, K0, K3, K4, K5, K7, K8, K9, KA, KB, KC, KD, KF, L1, L8, LA, LC, LF, M0, M1, M3, M4, M8, MB, MD, MF, N2, N7, NA, ")</f>
        <v>J0, J1, J2, J5, J6, J7, JA, JC, JF, K0, K3, K4, K5, K7, K8, K9, KA, KB, KC, KD, KF, L1, L8, LA, LC, LF, M0, M1, M3, M4, M8, MB, MD, MF, N2, N7, NA, </v>
      </c>
      <c r="N82" s="236" t="str">
        <f t="shared" si="2"/>
        <v>J0 J1 J2 J5 J6 J7 JA JC JF K0 K3 K4 K5 K7 K8 K9 KA KB KC KD KF L1 L8 LA LC LF M0 M1 M3 M4 M8 MB MD MF N2 N7 NA </v>
      </c>
      <c r="O82" s="236" t="str">
        <f>IFERROR(__xludf.DUMMYFUNCTION("if(countif(ecn.list,CO82),OFFSET(INDIRECT(CONCAT(""A"",to_text(match(CO82,ecn.list,0)))),0,1),"""")"),"J0 ")</f>
        <v>J0 </v>
      </c>
      <c r="P82" s="236" t="str">
        <f>IFERROR(__xludf.DUMMYFUNCTION("if(countif(ecn.list,CP82),OFFSET(INDIRECT(CONCAT(""A"",to_text(match(CP82,ecn.list,0)))),0,1),"""")"),"J1 ")</f>
        <v>J1 </v>
      </c>
      <c r="Q82" s="236" t="str">
        <f>IFERROR(__xludf.DUMMYFUNCTION("if(countif(ecn.list,CQ82),OFFSET(INDIRECT(CONCAT(""A"",to_text(match(CQ82,ecn.list,0)))),0,1),"""")"),"J2 ")</f>
        <v>J2 </v>
      </c>
      <c r="R82" s="236" t="str">
        <f>IFERROR(__xludf.DUMMYFUNCTION("if(countif(ecn.list,CR82),OFFSET(INDIRECT(CONCAT(""A"",to_text(match(CR82,ecn.list,0)))),0,1),"""")"),"")</f>
        <v/>
      </c>
      <c r="S82" s="236" t="str">
        <f>IFERROR(__xludf.DUMMYFUNCTION("if(countif(ecn.list,CS82),OFFSET(INDIRECT(CONCAT(""A"",to_text(match(CS82,ecn.list,0)))),0,1),"""")"),"")</f>
        <v/>
      </c>
      <c r="T82" s="236" t="str">
        <f>IFERROR(__xludf.DUMMYFUNCTION("if(countif(ecn.list,CT82),OFFSET(INDIRECT(CONCAT(""A"",to_text(match(CT82,ecn.list,0)))),0,1),"""")"),"J5 ")</f>
        <v>J5 </v>
      </c>
      <c r="U82" s="236" t="str">
        <f>IFERROR(__xludf.DUMMYFUNCTION("if(countif(ecn.list,CU82),OFFSET(INDIRECT(CONCAT(""A"",to_text(match(CU82,ecn.list,0)))),0,1),"""")"),"J6 ")</f>
        <v>J6 </v>
      </c>
      <c r="V82" s="236" t="str">
        <f>IFERROR(__xludf.DUMMYFUNCTION("if(countif(ecn.list,CV82),OFFSET(INDIRECT(CONCAT(""A"",to_text(match(CV82,ecn.list,0)))),0,1),"""")"),"J7 ")</f>
        <v>J7 </v>
      </c>
      <c r="W82" s="236" t="str">
        <f>IFERROR(__xludf.DUMMYFUNCTION("if(countif(ecn.list,CW82),OFFSET(INDIRECT(CONCAT(""A"",to_text(match(CW82,ecn.list,0)))),0,1),"""")"),"")</f>
        <v/>
      </c>
      <c r="X82" s="236" t="str">
        <f>IFERROR(__xludf.DUMMYFUNCTION("if(countif(ecn.list,CX82),OFFSET(INDIRECT(CONCAT(""A"",to_text(match(CX82,ecn.list,0)))),0,1),"""")"),"")</f>
        <v/>
      </c>
      <c r="Y82" s="236" t="str">
        <f>IFERROR(__xludf.DUMMYFUNCTION("if(countif(ecn.list,CY82),OFFSET(INDIRECT(CONCAT(""A"",to_text(match(CY82,ecn.list,0)))),0,1),"""")"),"JA ")</f>
        <v>JA </v>
      </c>
      <c r="Z82" s="236" t="str">
        <f>IFERROR(__xludf.DUMMYFUNCTION("if(countif(ecn.list,CZ82),OFFSET(INDIRECT(CONCAT(""A"",to_text(match(CZ82,ecn.list,0)))),0,1),"""")"),"")</f>
        <v/>
      </c>
      <c r="AA82" s="236" t="str">
        <f>IFERROR(__xludf.DUMMYFUNCTION("if(countif(ecn.list,DA82),OFFSET(INDIRECT(CONCAT(""A"",to_text(match(DA82,ecn.list,0)))),0,1),"""")"),"JC ")</f>
        <v>JC </v>
      </c>
      <c r="AB82" s="236" t="str">
        <f>IFERROR(__xludf.DUMMYFUNCTION("if(countif(ecn.list,DB82),OFFSET(INDIRECT(CONCAT(""A"",to_text(match(DB82,ecn.list,0)))),0,1),"""")"),"")</f>
        <v/>
      </c>
      <c r="AC82" s="236" t="str">
        <f>IFERROR(__xludf.DUMMYFUNCTION("if(countif(ecn.list,DC82),OFFSET(INDIRECT(CONCAT(""A"",to_text(match(DC82,ecn.list,0)))),0,1),"""")"),"")</f>
        <v/>
      </c>
      <c r="AD82" s="236" t="str">
        <f>IFERROR(__xludf.DUMMYFUNCTION("if(countif(ecn.list,DD82),OFFSET(INDIRECT(CONCAT(""A"",to_text(match(DD82,ecn.list,0)))),0,1),"""")"),"JF ")</f>
        <v>JF </v>
      </c>
      <c r="AE82" s="236" t="str">
        <f>IFERROR(__xludf.DUMMYFUNCTION("if(countif(ecn.list,DE82),OFFSET(INDIRECT(CONCAT(""A"",to_text(match(DE82,ecn.list,0)))),0,1),"""")"),"K0 ")</f>
        <v>K0 </v>
      </c>
      <c r="AF82" s="236" t="str">
        <f>IFERROR(__xludf.DUMMYFUNCTION("if(countif(ecn.list,DF82),OFFSET(INDIRECT(CONCAT(""A"",to_text(match(DF82,ecn.list,0)))),0,1),"""")"),"")</f>
        <v/>
      </c>
      <c r="AG82" s="236" t="str">
        <f>IFERROR(__xludf.DUMMYFUNCTION("if(countif(ecn.list,DG82),OFFSET(INDIRECT(CONCAT(""A"",to_text(match(DG82,ecn.list,0)))),0,1),"""")"),"")</f>
        <v/>
      </c>
      <c r="AH82" s="236" t="str">
        <f>IFERROR(__xludf.DUMMYFUNCTION("if(countif(ecn.list,DH82),OFFSET(INDIRECT(CONCAT(""A"",to_text(match(DH82,ecn.list,0)))),0,1),"""")"),"K3 ")</f>
        <v>K3 </v>
      </c>
      <c r="AI82" s="236" t="str">
        <f>IFERROR(__xludf.DUMMYFUNCTION("if(countif(ecn.list,DI82),OFFSET(INDIRECT(CONCAT(""A"",to_text(match(DI82,ecn.list,0)))),0,1),"""")"),"K4 ")</f>
        <v>K4 </v>
      </c>
      <c r="AJ82" s="236" t="str">
        <f>IFERROR(__xludf.DUMMYFUNCTION("if(countif(ecn.list,DJ82),OFFSET(INDIRECT(CONCAT(""A"",to_text(match(DJ82,ecn.list,0)))),0,1),"""")"),"K5 ")</f>
        <v>K5 </v>
      </c>
      <c r="AK82" s="236" t="str">
        <f>IFERROR(__xludf.DUMMYFUNCTION("if(countif(ecn.list,DK82),OFFSET(INDIRECT(CONCAT(""A"",to_text(match(DK82,ecn.list,0)))),0,1),"""")"),"")</f>
        <v/>
      </c>
      <c r="AL82" s="236" t="str">
        <f>IFERROR(__xludf.DUMMYFUNCTION("if(countif(ecn.list,DL82),OFFSET(INDIRECT(CONCAT(""A"",to_text(match(DL82,ecn.list,0)))),0,1),"""")"),"K7 ")</f>
        <v>K7 </v>
      </c>
      <c r="AM82" s="236" t="str">
        <f>IFERROR(__xludf.DUMMYFUNCTION("if(countif(ecn.list,DM82),OFFSET(INDIRECT(CONCAT(""A"",to_text(match(DM82,ecn.list,0)))),0,1),"""")"),"K8 ")</f>
        <v>K8 </v>
      </c>
      <c r="AN82" s="236" t="str">
        <f>IFERROR(__xludf.DUMMYFUNCTION("if(countif(ecn.list,DN82),OFFSET(INDIRECT(CONCAT(""A"",to_text(match(DN82,ecn.list,0)))),0,1),"""")"),"K9 ")</f>
        <v>K9 </v>
      </c>
      <c r="AO82" s="236" t="str">
        <f>IFERROR(__xludf.DUMMYFUNCTION("if(countif(ecn.list,DO82),OFFSET(INDIRECT(CONCAT(""A"",to_text(match(DO82,ecn.list,0)))),0,1),"""")"),"KA ")</f>
        <v>KA </v>
      </c>
      <c r="AP82" s="236" t="str">
        <f>IFERROR(__xludf.DUMMYFUNCTION("if(countif(ecn.list,DP82),OFFSET(INDIRECT(CONCAT(""A"",to_text(match(DP82,ecn.list,0)))),0,1),"""")"),"KB ")</f>
        <v>KB </v>
      </c>
      <c r="AQ82" s="236" t="str">
        <f>IFERROR(__xludf.DUMMYFUNCTION("if(countif(ecn.list,DQ82),OFFSET(INDIRECT(CONCAT(""A"",to_text(match(DQ82,ecn.list,0)))),0,1),"""")"),"KC ")</f>
        <v>KC </v>
      </c>
      <c r="AR82" s="236" t="str">
        <f>IFERROR(__xludf.DUMMYFUNCTION("if(countif(ecn.list,DR82),OFFSET(INDIRECT(CONCAT(""A"",to_text(match(DR82,ecn.list,0)))),0,1),"""")"),"KD ")</f>
        <v>KD </v>
      </c>
      <c r="AS82" s="236" t="str">
        <f>IFERROR(__xludf.DUMMYFUNCTION("if(countif(ecn.list,DS82),OFFSET(INDIRECT(CONCAT(""A"",to_text(match(DS82,ecn.list,0)))),0,1),"""")"),"")</f>
        <v/>
      </c>
      <c r="AT82" s="236" t="str">
        <f>IFERROR(__xludf.DUMMYFUNCTION("if(countif(ecn.list,DT82),OFFSET(INDIRECT(CONCAT(""A"",to_text(match(DT82,ecn.list,0)))),0,1),"""")"),"KF ")</f>
        <v>KF </v>
      </c>
      <c r="AU82" s="236" t="str">
        <f>IFERROR(__xludf.DUMMYFUNCTION("if(countif(ecn.list,DU82),OFFSET(INDIRECT(CONCAT(""A"",to_text(match(DU82,ecn.list,0)))),0,1),"""")"),"")</f>
        <v/>
      </c>
      <c r="AV82" s="236" t="str">
        <f>IFERROR(__xludf.DUMMYFUNCTION("if(countif(ecn.list,DV82),OFFSET(INDIRECT(CONCAT(""A"",to_text(match(DV82,ecn.list,0)))),0,1),"""")"),"L1 ")</f>
        <v>L1 </v>
      </c>
      <c r="AW82" s="236" t="str">
        <f>IFERROR(__xludf.DUMMYFUNCTION("if(countif(ecn.list,DW82),OFFSET(INDIRECT(CONCAT(""A"",to_text(match(DW82,ecn.list,0)))),0,1),"""")"),"")</f>
        <v/>
      </c>
      <c r="AX82" s="236" t="str">
        <f>IFERROR(__xludf.DUMMYFUNCTION("if(countif(ecn.list,DX82),OFFSET(INDIRECT(CONCAT(""A"",to_text(match(DX82,ecn.list,0)))),0,1),"""")"),"")</f>
        <v/>
      </c>
      <c r="AY82" s="236" t="str">
        <f>IFERROR(__xludf.DUMMYFUNCTION("if(countif(ecn.list,DY82),OFFSET(INDIRECT(CONCAT(""A"",to_text(match(DY82,ecn.list,0)))),0,1),"""")"),"")</f>
        <v/>
      </c>
      <c r="AZ82" s="236" t="str">
        <f>IFERROR(__xludf.DUMMYFUNCTION("if(countif(ecn.list,DZ82),OFFSET(INDIRECT(CONCAT(""A"",to_text(match(DZ82,ecn.list,0)))),0,1),"""")"),"")</f>
        <v/>
      </c>
      <c r="BA82" s="236" t="str">
        <f>IFERROR(__xludf.DUMMYFUNCTION("if(countif(ecn.list,EA82),OFFSET(INDIRECT(CONCAT(""A"",to_text(match(EA82,ecn.list,0)))),0,1),"""")"),"")</f>
        <v/>
      </c>
      <c r="BB82" s="236" t="str">
        <f>IFERROR(__xludf.DUMMYFUNCTION("if(countif(ecn.list,EB82),OFFSET(INDIRECT(CONCAT(""A"",to_text(match(EB82,ecn.list,0)))),0,1),"""")"),"")</f>
        <v/>
      </c>
      <c r="BC82" s="236" t="str">
        <f>IFERROR(__xludf.DUMMYFUNCTION("if(countif(ecn.list,EC82),OFFSET(INDIRECT(CONCAT(""A"",to_text(match(EC82,ecn.list,0)))),0,1),"""")"),"L8 ")</f>
        <v>L8 </v>
      </c>
      <c r="BD82" s="236" t="str">
        <f>IFERROR(__xludf.DUMMYFUNCTION("if(countif(ecn.list,ED82),OFFSET(INDIRECT(CONCAT(""A"",to_text(match(ED82,ecn.list,0)))),0,1),"""")"),"")</f>
        <v/>
      </c>
      <c r="BE82" s="236" t="str">
        <f>IFERROR(__xludf.DUMMYFUNCTION("if(countif(ecn.list,EE82),OFFSET(INDIRECT(CONCAT(""A"",to_text(match(EE82,ecn.list,0)))),0,1),"""")"),"LA ")</f>
        <v>LA </v>
      </c>
      <c r="BF82" s="236" t="str">
        <f>IFERROR(__xludf.DUMMYFUNCTION("if(countif(ecn.list,EF82),OFFSET(INDIRECT(CONCAT(""A"",to_text(match(EF82,ecn.list,0)))),0,1),"""")"),"")</f>
        <v/>
      </c>
      <c r="BG82" s="236" t="str">
        <f>IFERROR(__xludf.DUMMYFUNCTION("if(countif(ecn.list,EG82),OFFSET(INDIRECT(CONCAT(""A"",to_text(match(EG82,ecn.list,0)))),0,1),"""")"),"LC ")</f>
        <v>LC </v>
      </c>
      <c r="BH82" s="236" t="str">
        <f>IFERROR(__xludf.DUMMYFUNCTION("if(countif(ecn.list,EH82),OFFSET(INDIRECT(CONCAT(""A"",to_text(match(EH82,ecn.list,0)))),0,1),"""")"),"")</f>
        <v/>
      </c>
      <c r="BI82" s="236" t="str">
        <f>IFERROR(__xludf.DUMMYFUNCTION("if(countif(ecn.list,EI82),OFFSET(INDIRECT(CONCAT(""A"",to_text(match(EI82,ecn.list,0)))),0,1),"""")"),"")</f>
        <v/>
      </c>
      <c r="BJ82" s="236" t="str">
        <f>IFERROR(__xludf.DUMMYFUNCTION("if(countif(ecn.list,EJ82),OFFSET(INDIRECT(CONCAT(""A"",to_text(match(EJ82,ecn.list,0)))),0,1),"""")"),"LF ")</f>
        <v>LF </v>
      </c>
      <c r="BK82" s="236" t="str">
        <f>IFERROR(__xludf.DUMMYFUNCTION("if(countif(ecn.list,EK82),OFFSET(INDIRECT(CONCAT(""A"",to_text(match(EK82,ecn.list,0)))),0,1),"""")"),"M0 ")</f>
        <v>M0 </v>
      </c>
      <c r="BL82" s="236" t="str">
        <f>IFERROR(__xludf.DUMMYFUNCTION("if(countif(ecn.list,EL82),OFFSET(INDIRECT(CONCAT(""A"",to_text(match(EL82,ecn.list,0)))),0,1),"""")"),"M1 ")</f>
        <v>M1 </v>
      </c>
      <c r="BM82" s="236" t="str">
        <f>IFERROR(__xludf.DUMMYFUNCTION("if(countif(ecn.list,EM82),OFFSET(INDIRECT(CONCAT(""A"",to_text(match(EM82,ecn.list,0)))),0,1),"""")"),"")</f>
        <v/>
      </c>
      <c r="BN82" s="236" t="str">
        <f>IFERROR(__xludf.DUMMYFUNCTION("if(countif(ecn.list,EN82),OFFSET(INDIRECT(CONCAT(""A"",to_text(match(EN82,ecn.list,0)))),0,1),"""")"),"M3 ")</f>
        <v>M3 </v>
      </c>
      <c r="BO82" s="236" t="str">
        <f>IFERROR(__xludf.DUMMYFUNCTION("if(countif(ecn.list,EO82),OFFSET(INDIRECT(CONCAT(""A"",to_text(match(EO82,ecn.list,0)))),0,1),"""")"),"M4 ")</f>
        <v>M4 </v>
      </c>
      <c r="BP82" s="236" t="str">
        <f>IFERROR(__xludf.DUMMYFUNCTION("if(countif(ecn.list,EP82),OFFSET(INDIRECT(CONCAT(""A"",to_text(match(EP82,ecn.list,0)))),0,1),"""")"),"")</f>
        <v/>
      </c>
      <c r="BQ82" s="236" t="str">
        <f>IFERROR(__xludf.DUMMYFUNCTION("if(countif(ecn.list,EQ82),OFFSET(INDIRECT(CONCAT(""A"",to_text(match(EQ82,ecn.list,0)))),0,1),"""")"),"")</f>
        <v/>
      </c>
      <c r="BR82" s="236" t="str">
        <f>IFERROR(__xludf.DUMMYFUNCTION("if(countif(ecn.list,ER82),OFFSET(INDIRECT(CONCAT(""A"",to_text(match(ER82,ecn.list,0)))),0,1),"""")"),"")</f>
        <v/>
      </c>
      <c r="BS82" s="236" t="str">
        <f>IFERROR(__xludf.DUMMYFUNCTION("if(countif(ecn.list,ES82),OFFSET(INDIRECT(CONCAT(""A"",to_text(match(ES82,ecn.list,0)))),0,1),"""")"),"M8 ")</f>
        <v>M8 </v>
      </c>
      <c r="BT82" s="236" t="str">
        <f>IFERROR(__xludf.DUMMYFUNCTION("if(countif(ecn.list,ET82),OFFSET(INDIRECT(CONCAT(""A"",to_text(match(ET82,ecn.list,0)))),0,1),"""")"),"")</f>
        <v/>
      </c>
      <c r="BU82" s="236" t="str">
        <f>IFERROR(__xludf.DUMMYFUNCTION("if(countif(ecn.list,EU82),OFFSET(INDIRECT(CONCAT(""A"",to_text(match(EU82,ecn.list,0)))),0,1),"""")"),"")</f>
        <v/>
      </c>
      <c r="BV82" s="236" t="str">
        <f>IFERROR(__xludf.DUMMYFUNCTION("if(countif(ecn.list,EV82),OFFSET(INDIRECT(CONCAT(""A"",to_text(match(EV82,ecn.list,0)))),0,1),"""")"),"MB ")</f>
        <v>MB </v>
      </c>
      <c r="BW82" s="236" t="str">
        <f>IFERROR(__xludf.DUMMYFUNCTION("if(countif(ecn.list,EW82),OFFSET(INDIRECT(CONCAT(""A"",to_text(match(EW82,ecn.list,0)))),0,1),"""")"),"")</f>
        <v/>
      </c>
      <c r="BX82" s="236" t="str">
        <f>IFERROR(__xludf.DUMMYFUNCTION("if(countif(ecn.list,EX82),OFFSET(INDIRECT(CONCAT(""A"",to_text(match(EX82,ecn.list,0)))),0,1),"""")"),"MD ")</f>
        <v>MD </v>
      </c>
      <c r="BY82" s="236" t="str">
        <f>IFERROR(__xludf.DUMMYFUNCTION("if(countif(ecn.list,EY82),OFFSET(INDIRECT(CONCAT(""A"",to_text(match(EY82,ecn.list,0)))),0,1),"""")"),"")</f>
        <v/>
      </c>
      <c r="BZ82" s="236" t="str">
        <f>IFERROR(__xludf.DUMMYFUNCTION("if(countif(ecn.list,EZ82),OFFSET(INDIRECT(CONCAT(""A"",to_text(match(EZ82,ecn.list,0)))),0,1),"""")"),"MF ")</f>
        <v>MF </v>
      </c>
      <c r="CA82" s="236" t="str">
        <f>IFERROR(__xludf.DUMMYFUNCTION("if(countif(ecn.list,FA82),OFFSET(INDIRECT(CONCAT(""A"",to_text(match(FA82,ecn.list,0)))),0,1),"""")"),"")</f>
        <v/>
      </c>
      <c r="CB82" s="236" t="str">
        <f>IFERROR(__xludf.DUMMYFUNCTION("if(countif(ecn.list,FB82),OFFSET(INDIRECT(CONCAT(""A"",to_text(match(FB82,ecn.list,0)))),0,1),"""")"),"")</f>
        <v/>
      </c>
      <c r="CC82" s="236" t="str">
        <f>IFERROR(__xludf.DUMMYFUNCTION("if(countif(ecn.list,FC82),OFFSET(INDIRECT(CONCAT(""A"",to_text(match(FC82,ecn.list,0)))),0,1),"""")"),"N2 ")</f>
        <v>N2 </v>
      </c>
      <c r="CD82" s="236" t="str">
        <f>IFERROR(__xludf.DUMMYFUNCTION("if(countif(ecn.list,FD82),OFFSET(INDIRECT(CONCAT(""A"",to_text(match(FD82,ecn.list,0)))),0,1),"""")"),"")</f>
        <v/>
      </c>
      <c r="CE82" s="236" t="str">
        <f>IFERROR(__xludf.DUMMYFUNCTION("if(countif(ecn.list,FE82),OFFSET(INDIRECT(CONCAT(""A"",to_text(match(FE82,ecn.list,0)))),0,1),"""")"),"")</f>
        <v/>
      </c>
      <c r="CF82" s="236" t="str">
        <f>IFERROR(__xludf.DUMMYFUNCTION("if(countif(ecn.list,FF82),OFFSET(INDIRECT(CONCAT(""A"",to_text(match(FF82,ecn.list,0)))),0,1),"""")"),"")</f>
        <v/>
      </c>
      <c r="CG82" s="236" t="str">
        <f>IFERROR(__xludf.DUMMYFUNCTION("if(countif(ecn.list,FG82),OFFSET(INDIRECT(CONCAT(""A"",to_text(match(FG82,ecn.list,0)))),0,1),"""")"),"")</f>
        <v/>
      </c>
      <c r="CH82" s="236" t="str">
        <f>IFERROR(__xludf.DUMMYFUNCTION("if(countif(ecn.list,FH82),OFFSET(INDIRECT(CONCAT(""A"",to_text(match(FH82,ecn.list,0)))),0,1),"""")"),"N7 ")</f>
        <v>N7 </v>
      </c>
      <c r="CI82" s="236" t="str">
        <f>IFERROR(__xludf.DUMMYFUNCTION("if(countif(ecn.list,FI82),OFFSET(INDIRECT(CONCAT(""A"",to_text(match(FI82,ecn.list,0)))),0,1),"""")"),"")</f>
        <v/>
      </c>
      <c r="CJ82" s="236" t="str">
        <f>IFERROR(__xludf.DUMMYFUNCTION("if(countif(ecn.list,FJ82),OFFSET(INDIRECT(CONCAT(""A"",to_text(match(FJ82,ecn.list,0)))),0,1),"""")"),"")</f>
        <v/>
      </c>
      <c r="CK82" s="236" t="str">
        <f>IFERROR(__xludf.DUMMYFUNCTION("if(countif(ecn.list,FK82),OFFSET(INDIRECT(CONCAT(""A"",to_text(match(FK82,ecn.list,0)))),0,1),"""")"),"NA ")</f>
        <v>NA </v>
      </c>
      <c r="CL82" s="236" t="str">
        <f>IFERROR(__xludf.DUMMYFUNCTION("if(countif(ecn.list,FL82),OFFSET(INDIRECT(CONCAT(""A"",to_text(match(FL82,ecn.list,0)))),0,1),"""")"),"")</f>
        <v/>
      </c>
      <c r="CM82" s="236" t="str">
        <f>IFERROR(__xludf.DUMMYFUNCTION("if(countif(ecn.list,FM82),OFFSET(INDIRECT(CONCAT(""A"",to_text(match(FM82,ecn.list,0)))),0,1),"""")"),"")</f>
        <v/>
      </c>
      <c r="CN82" s="198" t="s">
        <v>318</v>
      </c>
      <c r="CO82" s="198" t="s">
        <v>1447</v>
      </c>
      <c r="CP82" s="198" t="s">
        <v>1451</v>
      </c>
      <c r="CQ82" s="198" t="s">
        <v>1452</v>
      </c>
      <c r="CR82" s="198" t="s">
        <v>1453</v>
      </c>
      <c r="CS82" s="198" t="s">
        <v>1453</v>
      </c>
      <c r="CT82" s="198" t="s">
        <v>1454</v>
      </c>
      <c r="CU82" s="198" t="s">
        <v>1455</v>
      </c>
      <c r="CV82" s="198" t="s">
        <v>1456</v>
      </c>
      <c r="CW82" s="198" t="s">
        <v>1453</v>
      </c>
      <c r="CX82" s="198" t="s">
        <v>1453</v>
      </c>
      <c r="CY82" s="198" t="s">
        <v>1484</v>
      </c>
      <c r="CZ82" s="198" t="s">
        <v>1453</v>
      </c>
      <c r="DA82" s="198" t="s">
        <v>1457</v>
      </c>
      <c r="DB82" s="198" t="s">
        <v>1453</v>
      </c>
      <c r="DC82" s="198" t="s">
        <v>1453</v>
      </c>
      <c r="DD82" s="198" t="s">
        <v>1458</v>
      </c>
      <c r="DE82" s="198" t="s">
        <v>1459</v>
      </c>
      <c r="DF82" s="198" t="s">
        <v>1453</v>
      </c>
      <c r="DG82" s="198" t="s">
        <v>1453</v>
      </c>
      <c r="DH82" s="198" t="s">
        <v>1500</v>
      </c>
      <c r="DI82" s="198" t="s">
        <v>1501</v>
      </c>
      <c r="DJ82" s="198" t="s">
        <v>1460</v>
      </c>
      <c r="DK82" s="198" t="s">
        <v>1453</v>
      </c>
      <c r="DL82" s="198" t="s">
        <v>1461</v>
      </c>
      <c r="DM82" s="198" t="s">
        <v>1462</v>
      </c>
      <c r="DN82" s="198" t="s">
        <v>1463</v>
      </c>
      <c r="DO82" s="198" t="s">
        <v>1464</v>
      </c>
      <c r="DP82" s="198" t="s">
        <v>1465</v>
      </c>
      <c r="DQ82" s="198" t="s">
        <v>1466</v>
      </c>
      <c r="DR82" s="198" t="s">
        <v>1467</v>
      </c>
      <c r="DS82" s="198" t="s">
        <v>1453</v>
      </c>
      <c r="DT82" s="198" t="s">
        <v>1468</v>
      </c>
      <c r="DU82" s="198" t="s">
        <v>1453</v>
      </c>
      <c r="DV82" s="198" t="s">
        <v>1469</v>
      </c>
      <c r="DW82" s="198" t="s">
        <v>1453</v>
      </c>
      <c r="DX82" s="198" t="s">
        <v>1453</v>
      </c>
      <c r="DY82" s="198" t="s">
        <v>1453</v>
      </c>
      <c r="DZ82" s="198" t="s">
        <v>1453</v>
      </c>
      <c r="EA82" s="198" t="s">
        <v>1453</v>
      </c>
      <c r="EB82" s="198" t="s">
        <v>1453</v>
      </c>
      <c r="EC82" s="198" t="s">
        <v>1483</v>
      </c>
      <c r="ED82" s="198" t="s">
        <v>1453</v>
      </c>
      <c r="EE82" s="198" t="s">
        <v>1470</v>
      </c>
      <c r="EF82" s="198" t="s">
        <v>1453</v>
      </c>
      <c r="EG82" s="198" t="s">
        <v>1471</v>
      </c>
      <c r="EH82" s="198" t="s">
        <v>1453</v>
      </c>
      <c r="EI82" s="198" t="s">
        <v>1453</v>
      </c>
      <c r="EJ82" s="198" t="s">
        <v>1472</v>
      </c>
      <c r="EK82" s="198" t="s">
        <v>1487</v>
      </c>
      <c r="EL82" s="198" t="s">
        <v>1473</v>
      </c>
      <c r="EM82" s="198" t="s">
        <v>1453</v>
      </c>
      <c r="EN82" s="198" t="s">
        <v>1474</v>
      </c>
      <c r="EO82" s="198" t="s">
        <v>1475</v>
      </c>
      <c r="EP82" s="198" t="s">
        <v>1453</v>
      </c>
      <c r="EQ82" s="198" t="s">
        <v>1453</v>
      </c>
      <c r="ER82" s="198" t="s">
        <v>1453</v>
      </c>
      <c r="ES82" s="198" t="s">
        <v>1505</v>
      </c>
      <c r="ET82" s="198" t="s">
        <v>1453</v>
      </c>
      <c r="EU82" s="198" t="s">
        <v>1453</v>
      </c>
      <c r="EV82" s="198" t="s">
        <v>1476</v>
      </c>
      <c r="EW82" s="198" t="s">
        <v>1453</v>
      </c>
      <c r="EX82" s="198" t="s">
        <v>1488</v>
      </c>
      <c r="EY82" s="198" t="s">
        <v>1453</v>
      </c>
      <c r="EZ82" s="198" t="s">
        <v>1477</v>
      </c>
      <c r="FA82" s="198" t="s">
        <v>1453</v>
      </c>
      <c r="FB82" s="198" t="s">
        <v>1453</v>
      </c>
      <c r="FC82" s="198" t="s">
        <v>1478</v>
      </c>
      <c r="FD82" s="198" t="s">
        <v>1453</v>
      </c>
      <c r="FE82" s="198" t="s">
        <v>1453</v>
      </c>
      <c r="FF82" s="198" t="s">
        <v>1453</v>
      </c>
      <c r="FG82" s="198" t="s">
        <v>1453</v>
      </c>
      <c r="FH82" s="198" t="s">
        <v>1479</v>
      </c>
      <c r="FI82" s="198" t="s">
        <v>1453</v>
      </c>
      <c r="FJ82" s="198" t="s">
        <v>1453</v>
      </c>
      <c r="FK82" s="198" t="s">
        <v>1481</v>
      </c>
      <c r="FL82" s="198" t="s">
        <v>1482</v>
      </c>
      <c r="FM82" s="198" t="s">
        <v>1453</v>
      </c>
    </row>
    <row r="83" ht="15.75" customHeight="1">
      <c r="A83" s="198"/>
      <c r="B83" s="198"/>
      <c r="C83" s="234"/>
      <c r="D83" s="232" t="s">
        <v>770</v>
      </c>
      <c r="E83" s="232" t="s">
        <v>1448</v>
      </c>
      <c r="F83" s="232" t="s">
        <v>1449</v>
      </c>
      <c r="G83" s="232" t="s">
        <v>1450</v>
      </c>
      <c r="H83" s="232" t="s">
        <v>876</v>
      </c>
      <c r="I83" s="232" t="s">
        <v>812</v>
      </c>
      <c r="J83" s="232" t="s">
        <v>859</v>
      </c>
      <c r="K83" s="232" t="s">
        <v>1118</v>
      </c>
      <c r="L83" s="188" t="s">
        <v>321</v>
      </c>
      <c r="M83" s="236" t="str">
        <f>IFERROR(__xludf.DUMMYFUNCTION("regexreplace(N83,"" "","", "")"),"J0, J1, J2, J5, J6, J7, JC, K0, K3, K4, K5, K7, K9, KA, KB, KC, KD, KF, L1, L8, LA, LC, LF, M0, M1, M3, M8, MB, MF, N2, N7, NA, ")</f>
        <v>J0, J1, J2, J5, J6, J7, JC, K0, K3, K4, K5, K7, K9, KA, KB, KC, KD, KF, L1, L8, LA, LC, LF, M0, M1, M3, M8, MB, MF, N2, N7, NA, </v>
      </c>
      <c r="N83" s="236" t="str">
        <f t="shared" si="2"/>
        <v>J0 J1 J2 J5 J6 J7 JC K0 K3 K4 K5 K7 K9 KA KB KC KD KF L1 L8 LA LC LF M0 M1 M3 M8 MB MF N2 N7 NA </v>
      </c>
      <c r="O83" s="236" t="str">
        <f>IFERROR(__xludf.DUMMYFUNCTION("if(countif(ecn.list,CO83),OFFSET(INDIRECT(CONCAT(""A"",to_text(match(CO83,ecn.list,0)))),0,1),"""")"),"J0 ")</f>
        <v>J0 </v>
      </c>
      <c r="P83" s="236" t="str">
        <f>IFERROR(__xludf.DUMMYFUNCTION("if(countif(ecn.list,CP83),OFFSET(INDIRECT(CONCAT(""A"",to_text(match(CP83,ecn.list,0)))),0,1),"""")"),"J1 ")</f>
        <v>J1 </v>
      </c>
      <c r="Q83" s="236" t="str">
        <f>IFERROR(__xludf.DUMMYFUNCTION("if(countif(ecn.list,CQ83),OFFSET(INDIRECT(CONCAT(""A"",to_text(match(CQ83,ecn.list,0)))),0,1),"""")"),"J2 ")</f>
        <v>J2 </v>
      </c>
      <c r="R83" s="236" t="str">
        <f>IFERROR(__xludf.DUMMYFUNCTION("if(countif(ecn.list,CR83),OFFSET(INDIRECT(CONCAT(""A"",to_text(match(CR83,ecn.list,0)))),0,1),"""")"),"")</f>
        <v/>
      </c>
      <c r="S83" s="236" t="str">
        <f>IFERROR(__xludf.DUMMYFUNCTION("if(countif(ecn.list,CS83),OFFSET(INDIRECT(CONCAT(""A"",to_text(match(CS83,ecn.list,0)))),0,1),"""")"),"")</f>
        <v/>
      </c>
      <c r="T83" s="236" t="str">
        <f>IFERROR(__xludf.DUMMYFUNCTION("if(countif(ecn.list,CT83),OFFSET(INDIRECT(CONCAT(""A"",to_text(match(CT83,ecn.list,0)))),0,1),"""")"),"J5 ")</f>
        <v>J5 </v>
      </c>
      <c r="U83" s="236" t="str">
        <f>IFERROR(__xludf.DUMMYFUNCTION("if(countif(ecn.list,CU83),OFFSET(INDIRECT(CONCAT(""A"",to_text(match(CU83,ecn.list,0)))),0,1),"""")"),"J6 ")</f>
        <v>J6 </v>
      </c>
      <c r="V83" s="236" t="str">
        <f>IFERROR(__xludf.DUMMYFUNCTION("if(countif(ecn.list,CV83),OFFSET(INDIRECT(CONCAT(""A"",to_text(match(CV83,ecn.list,0)))),0,1),"""")"),"J7 ")</f>
        <v>J7 </v>
      </c>
      <c r="W83" s="236" t="str">
        <f>IFERROR(__xludf.DUMMYFUNCTION("if(countif(ecn.list,CW83),OFFSET(INDIRECT(CONCAT(""A"",to_text(match(CW83,ecn.list,0)))),0,1),"""")"),"")</f>
        <v/>
      </c>
      <c r="X83" s="236" t="str">
        <f>IFERROR(__xludf.DUMMYFUNCTION("if(countif(ecn.list,CX83),OFFSET(INDIRECT(CONCAT(""A"",to_text(match(CX83,ecn.list,0)))),0,1),"""")"),"")</f>
        <v/>
      </c>
      <c r="Y83" s="236" t="str">
        <f>IFERROR(__xludf.DUMMYFUNCTION("if(countif(ecn.list,CY83),OFFSET(INDIRECT(CONCAT(""A"",to_text(match(CY83,ecn.list,0)))),0,1),"""")"),"")</f>
        <v/>
      </c>
      <c r="Z83" s="236" t="str">
        <f>IFERROR(__xludf.DUMMYFUNCTION("if(countif(ecn.list,CZ83),OFFSET(INDIRECT(CONCAT(""A"",to_text(match(CZ83,ecn.list,0)))),0,1),"""")"),"")</f>
        <v/>
      </c>
      <c r="AA83" s="236" t="str">
        <f>IFERROR(__xludf.DUMMYFUNCTION("if(countif(ecn.list,DA83),OFFSET(INDIRECT(CONCAT(""A"",to_text(match(DA83,ecn.list,0)))),0,1),"""")"),"JC ")</f>
        <v>JC </v>
      </c>
      <c r="AB83" s="236" t="str">
        <f>IFERROR(__xludf.DUMMYFUNCTION("if(countif(ecn.list,DB83),OFFSET(INDIRECT(CONCAT(""A"",to_text(match(DB83,ecn.list,0)))),0,1),"""")"),"")</f>
        <v/>
      </c>
      <c r="AC83" s="236" t="str">
        <f>IFERROR(__xludf.DUMMYFUNCTION("if(countif(ecn.list,DC83),OFFSET(INDIRECT(CONCAT(""A"",to_text(match(DC83,ecn.list,0)))),0,1),"""")"),"")</f>
        <v/>
      </c>
      <c r="AD83" s="236" t="str">
        <f>IFERROR(__xludf.DUMMYFUNCTION("if(countif(ecn.list,DD83),OFFSET(INDIRECT(CONCAT(""A"",to_text(match(DD83,ecn.list,0)))),0,1),"""")"),"")</f>
        <v/>
      </c>
      <c r="AE83" s="236" t="str">
        <f>IFERROR(__xludf.DUMMYFUNCTION("if(countif(ecn.list,DE83),OFFSET(INDIRECT(CONCAT(""A"",to_text(match(DE83,ecn.list,0)))),0,1),"""")"),"K0 ")</f>
        <v>K0 </v>
      </c>
      <c r="AF83" s="236" t="str">
        <f>IFERROR(__xludf.DUMMYFUNCTION("if(countif(ecn.list,DF83),OFFSET(INDIRECT(CONCAT(""A"",to_text(match(DF83,ecn.list,0)))),0,1),"""")"),"")</f>
        <v/>
      </c>
      <c r="AG83" s="236" t="str">
        <f>IFERROR(__xludf.DUMMYFUNCTION("if(countif(ecn.list,DG83),OFFSET(INDIRECT(CONCAT(""A"",to_text(match(DG83,ecn.list,0)))),0,1),"""")"),"")</f>
        <v/>
      </c>
      <c r="AH83" s="236" t="str">
        <f>IFERROR(__xludf.DUMMYFUNCTION("if(countif(ecn.list,DH83),OFFSET(INDIRECT(CONCAT(""A"",to_text(match(DH83,ecn.list,0)))),0,1),"""")"),"K3 ")</f>
        <v>K3 </v>
      </c>
      <c r="AI83" s="236" t="str">
        <f>IFERROR(__xludf.DUMMYFUNCTION("if(countif(ecn.list,DI83),OFFSET(INDIRECT(CONCAT(""A"",to_text(match(DI83,ecn.list,0)))),0,1),"""")"),"K4 ")</f>
        <v>K4 </v>
      </c>
      <c r="AJ83" s="236" t="str">
        <f>IFERROR(__xludf.DUMMYFUNCTION("if(countif(ecn.list,DJ83),OFFSET(INDIRECT(CONCAT(""A"",to_text(match(DJ83,ecn.list,0)))),0,1),"""")"),"K5 ")</f>
        <v>K5 </v>
      </c>
      <c r="AK83" s="236" t="str">
        <f>IFERROR(__xludf.DUMMYFUNCTION("if(countif(ecn.list,DK83),OFFSET(INDIRECT(CONCAT(""A"",to_text(match(DK83,ecn.list,0)))),0,1),"""")"),"")</f>
        <v/>
      </c>
      <c r="AL83" s="236" t="str">
        <f>IFERROR(__xludf.DUMMYFUNCTION("if(countif(ecn.list,DL83),OFFSET(INDIRECT(CONCAT(""A"",to_text(match(DL83,ecn.list,0)))),0,1),"""")"),"K7 ")</f>
        <v>K7 </v>
      </c>
      <c r="AM83" s="236" t="str">
        <f>IFERROR(__xludf.DUMMYFUNCTION("if(countif(ecn.list,DM83),OFFSET(INDIRECT(CONCAT(""A"",to_text(match(DM83,ecn.list,0)))),0,1),"""")"),"")</f>
        <v/>
      </c>
      <c r="AN83" s="236" t="str">
        <f>IFERROR(__xludf.DUMMYFUNCTION("if(countif(ecn.list,DN83),OFFSET(INDIRECT(CONCAT(""A"",to_text(match(DN83,ecn.list,0)))),0,1),"""")"),"K9 ")</f>
        <v>K9 </v>
      </c>
      <c r="AO83" s="236" t="str">
        <f>IFERROR(__xludf.DUMMYFUNCTION("if(countif(ecn.list,DO83),OFFSET(INDIRECT(CONCAT(""A"",to_text(match(DO83,ecn.list,0)))),0,1),"""")"),"KA ")</f>
        <v>KA </v>
      </c>
      <c r="AP83" s="236" t="str">
        <f>IFERROR(__xludf.DUMMYFUNCTION("if(countif(ecn.list,DP83),OFFSET(INDIRECT(CONCAT(""A"",to_text(match(DP83,ecn.list,0)))),0,1),"""")"),"KB ")</f>
        <v>KB </v>
      </c>
      <c r="AQ83" s="236" t="str">
        <f>IFERROR(__xludf.DUMMYFUNCTION("if(countif(ecn.list,DQ83),OFFSET(INDIRECT(CONCAT(""A"",to_text(match(DQ83,ecn.list,0)))),0,1),"""")"),"KC ")</f>
        <v>KC </v>
      </c>
      <c r="AR83" s="236" t="str">
        <f>IFERROR(__xludf.DUMMYFUNCTION("if(countif(ecn.list,DR83),OFFSET(INDIRECT(CONCAT(""A"",to_text(match(DR83,ecn.list,0)))),0,1),"""")"),"KD ")</f>
        <v>KD </v>
      </c>
      <c r="AS83" s="236" t="str">
        <f>IFERROR(__xludf.DUMMYFUNCTION("if(countif(ecn.list,DS83),OFFSET(INDIRECT(CONCAT(""A"",to_text(match(DS83,ecn.list,0)))),0,1),"""")"),"")</f>
        <v/>
      </c>
      <c r="AT83" s="236" t="str">
        <f>IFERROR(__xludf.DUMMYFUNCTION("if(countif(ecn.list,DT83),OFFSET(INDIRECT(CONCAT(""A"",to_text(match(DT83,ecn.list,0)))),0,1),"""")"),"KF ")</f>
        <v>KF </v>
      </c>
      <c r="AU83" s="236" t="str">
        <f>IFERROR(__xludf.DUMMYFUNCTION("if(countif(ecn.list,DU83),OFFSET(INDIRECT(CONCAT(""A"",to_text(match(DU83,ecn.list,0)))),0,1),"""")"),"")</f>
        <v/>
      </c>
      <c r="AV83" s="236" t="str">
        <f>IFERROR(__xludf.DUMMYFUNCTION("if(countif(ecn.list,DV83),OFFSET(INDIRECT(CONCAT(""A"",to_text(match(DV83,ecn.list,0)))),0,1),"""")"),"L1 ")</f>
        <v>L1 </v>
      </c>
      <c r="AW83" s="236" t="str">
        <f>IFERROR(__xludf.DUMMYFUNCTION("if(countif(ecn.list,DW83),OFFSET(INDIRECT(CONCAT(""A"",to_text(match(DW83,ecn.list,0)))),0,1),"""")"),"")</f>
        <v/>
      </c>
      <c r="AX83" s="236" t="str">
        <f>IFERROR(__xludf.DUMMYFUNCTION("if(countif(ecn.list,DX83),OFFSET(INDIRECT(CONCAT(""A"",to_text(match(DX83,ecn.list,0)))),0,1),"""")"),"")</f>
        <v/>
      </c>
      <c r="AY83" s="236" t="str">
        <f>IFERROR(__xludf.DUMMYFUNCTION("if(countif(ecn.list,DY83),OFFSET(INDIRECT(CONCAT(""A"",to_text(match(DY83,ecn.list,0)))),0,1),"""")"),"")</f>
        <v/>
      </c>
      <c r="AZ83" s="236" t="str">
        <f>IFERROR(__xludf.DUMMYFUNCTION("if(countif(ecn.list,DZ83),OFFSET(INDIRECT(CONCAT(""A"",to_text(match(DZ83,ecn.list,0)))),0,1),"""")"),"")</f>
        <v/>
      </c>
      <c r="BA83" s="236" t="str">
        <f>IFERROR(__xludf.DUMMYFUNCTION("if(countif(ecn.list,EA83),OFFSET(INDIRECT(CONCAT(""A"",to_text(match(EA83,ecn.list,0)))),0,1),"""")"),"")</f>
        <v/>
      </c>
      <c r="BB83" s="236" t="str">
        <f>IFERROR(__xludf.DUMMYFUNCTION("if(countif(ecn.list,EB83),OFFSET(INDIRECT(CONCAT(""A"",to_text(match(EB83,ecn.list,0)))),0,1),"""")"),"")</f>
        <v/>
      </c>
      <c r="BC83" s="236" t="str">
        <f>IFERROR(__xludf.DUMMYFUNCTION("if(countif(ecn.list,EC83),OFFSET(INDIRECT(CONCAT(""A"",to_text(match(EC83,ecn.list,0)))),0,1),"""")"),"L8 ")</f>
        <v>L8 </v>
      </c>
      <c r="BD83" s="236" t="str">
        <f>IFERROR(__xludf.DUMMYFUNCTION("if(countif(ecn.list,ED83),OFFSET(INDIRECT(CONCAT(""A"",to_text(match(ED83,ecn.list,0)))),0,1),"""")"),"")</f>
        <v/>
      </c>
      <c r="BE83" s="236" t="str">
        <f>IFERROR(__xludf.DUMMYFUNCTION("if(countif(ecn.list,EE83),OFFSET(INDIRECT(CONCAT(""A"",to_text(match(EE83,ecn.list,0)))),0,1),"""")"),"LA ")</f>
        <v>LA </v>
      </c>
      <c r="BF83" s="236" t="str">
        <f>IFERROR(__xludf.DUMMYFUNCTION("if(countif(ecn.list,EF83),OFFSET(INDIRECT(CONCAT(""A"",to_text(match(EF83,ecn.list,0)))),0,1),"""")"),"")</f>
        <v/>
      </c>
      <c r="BG83" s="236" t="str">
        <f>IFERROR(__xludf.DUMMYFUNCTION("if(countif(ecn.list,EG83),OFFSET(INDIRECT(CONCAT(""A"",to_text(match(EG83,ecn.list,0)))),0,1),"""")"),"LC ")</f>
        <v>LC </v>
      </c>
      <c r="BH83" s="236" t="str">
        <f>IFERROR(__xludf.DUMMYFUNCTION("if(countif(ecn.list,EH83),OFFSET(INDIRECT(CONCAT(""A"",to_text(match(EH83,ecn.list,0)))),0,1),"""")"),"")</f>
        <v/>
      </c>
      <c r="BI83" s="236" t="str">
        <f>IFERROR(__xludf.DUMMYFUNCTION("if(countif(ecn.list,EI83),OFFSET(INDIRECT(CONCAT(""A"",to_text(match(EI83,ecn.list,0)))),0,1),"""")"),"")</f>
        <v/>
      </c>
      <c r="BJ83" s="236" t="str">
        <f>IFERROR(__xludf.DUMMYFUNCTION("if(countif(ecn.list,EJ83),OFFSET(INDIRECT(CONCAT(""A"",to_text(match(EJ83,ecn.list,0)))),0,1),"""")"),"LF ")</f>
        <v>LF </v>
      </c>
      <c r="BK83" s="236" t="str">
        <f>IFERROR(__xludf.DUMMYFUNCTION("if(countif(ecn.list,EK83),OFFSET(INDIRECT(CONCAT(""A"",to_text(match(EK83,ecn.list,0)))),0,1),"""")"),"M0 ")</f>
        <v>M0 </v>
      </c>
      <c r="BL83" s="236" t="str">
        <f>IFERROR(__xludf.DUMMYFUNCTION("if(countif(ecn.list,EL83),OFFSET(INDIRECT(CONCAT(""A"",to_text(match(EL83,ecn.list,0)))),0,1),"""")"),"M1 ")</f>
        <v>M1 </v>
      </c>
      <c r="BM83" s="236" t="str">
        <f>IFERROR(__xludf.DUMMYFUNCTION("if(countif(ecn.list,EM83),OFFSET(INDIRECT(CONCAT(""A"",to_text(match(EM83,ecn.list,0)))),0,1),"""")"),"")</f>
        <v/>
      </c>
      <c r="BN83" s="236" t="str">
        <f>IFERROR(__xludf.DUMMYFUNCTION("if(countif(ecn.list,EN83),OFFSET(INDIRECT(CONCAT(""A"",to_text(match(EN83,ecn.list,0)))),0,1),"""")"),"M3 ")</f>
        <v>M3 </v>
      </c>
      <c r="BO83" s="236" t="str">
        <f>IFERROR(__xludf.DUMMYFUNCTION("if(countif(ecn.list,EO83),OFFSET(INDIRECT(CONCAT(""A"",to_text(match(EO83,ecn.list,0)))),0,1),"""")"),"")</f>
        <v/>
      </c>
      <c r="BP83" s="236" t="str">
        <f>IFERROR(__xludf.DUMMYFUNCTION("if(countif(ecn.list,EP83),OFFSET(INDIRECT(CONCAT(""A"",to_text(match(EP83,ecn.list,0)))),0,1),"""")"),"")</f>
        <v/>
      </c>
      <c r="BQ83" s="236" t="str">
        <f>IFERROR(__xludf.DUMMYFUNCTION("if(countif(ecn.list,EQ83),OFFSET(INDIRECT(CONCAT(""A"",to_text(match(EQ83,ecn.list,0)))),0,1),"""")"),"")</f>
        <v/>
      </c>
      <c r="BR83" s="236" t="str">
        <f>IFERROR(__xludf.DUMMYFUNCTION("if(countif(ecn.list,ER83),OFFSET(INDIRECT(CONCAT(""A"",to_text(match(ER83,ecn.list,0)))),0,1),"""")"),"")</f>
        <v/>
      </c>
      <c r="BS83" s="236" t="str">
        <f>IFERROR(__xludf.DUMMYFUNCTION("if(countif(ecn.list,ES83),OFFSET(INDIRECT(CONCAT(""A"",to_text(match(ES83,ecn.list,0)))),0,1),"""")"),"M8 ")</f>
        <v>M8 </v>
      </c>
      <c r="BT83" s="236" t="str">
        <f>IFERROR(__xludf.DUMMYFUNCTION("if(countif(ecn.list,ET83),OFFSET(INDIRECT(CONCAT(""A"",to_text(match(ET83,ecn.list,0)))),0,1),"""")"),"")</f>
        <v/>
      </c>
      <c r="BU83" s="236" t="str">
        <f>IFERROR(__xludf.DUMMYFUNCTION("if(countif(ecn.list,EU83),OFFSET(INDIRECT(CONCAT(""A"",to_text(match(EU83,ecn.list,0)))),0,1),"""")"),"")</f>
        <v/>
      </c>
      <c r="BV83" s="236" t="str">
        <f>IFERROR(__xludf.DUMMYFUNCTION("if(countif(ecn.list,EV83),OFFSET(INDIRECT(CONCAT(""A"",to_text(match(EV83,ecn.list,0)))),0,1),"""")"),"MB ")</f>
        <v>MB </v>
      </c>
      <c r="BW83" s="236" t="str">
        <f>IFERROR(__xludf.DUMMYFUNCTION("if(countif(ecn.list,EW83),OFFSET(INDIRECT(CONCAT(""A"",to_text(match(EW83,ecn.list,0)))),0,1),"""")"),"")</f>
        <v/>
      </c>
      <c r="BX83" s="236" t="str">
        <f>IFERROR(__xludf.DUMMYFUNCTION("if(countif(ecn.list,EX83),OFFSET(INDIRECT(CONCAT(""A"",to_text(match(EX83,ecn.list,0)))),0,1),"""")"),"")</f>
        <v/>
      </c>
      <c r="BY83" s="236" t="str">
        <f>IFERROR(__xludf.DUMMYFUNCTION("if(countif(ecn.list,EY83),OFFSET(INDIRECT(CONCAT(""A"",to_text(match(EY83,ecn.list,0)))),0,1),"""")"),"")</f>
        <v/>
      </c>
      <c r="BZ83" s="236" t="str">
        <f>IFERROR(__xludf.DUMMYFUNCTION("if(countif(ecn.list,EZ83),OFFSET(INDIRECT(CONCAT(""A"",to_text(match(EZ83,ecn.list,0)))),0,1),"""")"),"MF ")</f>
        <v>MF </v>
      </c>
      <c r="CA83" s="236" t="str">
        <f>IFERROR(__xludf.DUMMYFUNCTION("if(countif(ecn.list,FA83),OFFSET(INDIRECT(CONCAT(""A"",to_text(match(FA83,ecn.list,0)))),0,1),"""")"),"")</f>
        <v/>
      </c>
      <c r="CB83" s="236" t="str">
        <f>IFERROR(__xludf.DUMMYFUNCTION("if(countif(ecn.list,FB83),OFFSET(INDIRECT(CONCAT(""A"",to_text(match(FB83,ecn.list,0)))),0,1),"""")"),"")</f>
        <v/>
      </c>
      <c r="CC83" s="236" t="str">
        <f>IFERROR(__xludf.DUMMYFUNCTION("if(countif(ecn.list,FC83),OFFSET(INDIRECT(CONCAT(""A"",to_text(match(FC83,ecn.list,0)))),0,1),"""")"),"N2 ")</f>
        <v>N2 </v>
      </c>
      <c r="CD83" s="236" t="str">
        <f>IFERROR(__xludf.DUMMYFUNCTION("if(countif(ecn.list,FD83),OFFSET(INDIRECT(CONCAT(""A"",to_text(match(FD83,ecn.list,0)))),0,1),"""")"),"")</f>
        <v/>
      </c>
      <c r="CE83" s="236" t="str">
        <f>IFERROR(__xludf.DUMMYFUNCTION("if(countif(ecn.list,FE83),OFFSET(INDIRECT(CONCAT(""A"",to_text(match(FE83,ecn.list,0)))),0,1),"""")"),"")</f>
        <v/>
      </c>
      <c r="CF83" s="236" t="str">
        <f>IFERROR(__xludf.DUMMYFUNCTION("if(countif(ecn.list,FF83),OFFSET(INDIRECT(CONCAT(""A"",to_text(match(FF83,ecn.list,0)))),0,1),"""")"),"")</f>
        <v/>
      </c>
      <c r="CG83" s="236" t="str">
        <f>IFERROR(__xludf.DUMMYFUNCTION("if(countif(ecn.list,FG83),OFFSET(INDIRECT(CONCAT(""A"",to_text(match(FG83,ecn.list,0)))),0,1),"""")"),"")</f>
        <v/>
      </c>
      <c r="CH83" s="236" t="str">
        <f>IFERROR(__xludf.DUMMYFUNCTION("if(countif(ecn.list,FH83),OFFSET(INDIRECT(CONCAT(""A"",to_text(match(FH83,ecn.list,0)))),0,1),"""")"),"N7 ")</f>
        <v>N7 </v>
      </c>
      <c r="CI83" s="236" t="str">
        <f>IFERROR(__xludf.DUMMYFUNCTION("if(countif(ecn.list,FI83),OFFSET(INDIRECT(CONCAT(""A"",to_text(match(FI83,ecn.list,0)))),0,1),"""")"),"")</f>
        <v/>
      </c>
      <c r="CJ83" s="236" t="str">
        <f>IFERROR(__xludf.DUMMYFUNCTION("if(countif(ecn.list,FJ83),OFFSET(INDIRECT(CONCAT(""A"",to_text(match(FJ83,ecn.list,0)))),0,1),"""")"),"")</f>
        <v/>
      </c>
      <c r="CK83" s="236" t="str">
        <f>IFERROR(__xludf.DUMMYFUNCTION("if(countif(ecn.list,FK83),OFFSET(INDIRECT(CONCAT(""A"",to_text(match(FK83,ecn.list,0)))),0,1),"""")"),"NA ")</f>
        <v>NA </v>
      </c>
      <c r="CL83" s="236" t="str">
        <f>IFERROR(__xludf.DUMMYFUNCTION("if(countif(ecn.list,FL83),OFFSET(INDIRECT(CONCAT(""A"",to_text(match(FL83,ecn.list,0)))),0,1),"""")"),"")</f>
        <v/>
      </c>
      <c r="CM83" s="236" t="str">
        <f>IFERROR(__xludf.DUMMYFUNCTION("if(countif(ecn.list,FM83),OFFSET(INDIRECT(CONCAT(""A"",to_text(match(FM83,ecn.list,0)))),0,1),"""")"),"")</f>
        <v/>
      </c>
      <c r="CN83" s="198" t="s">
        <v>321</v>
      </c>
      <c r="CO83" s="198" t="s">
        <v>1447</v>
      </c>
      <c r="CP83" s="198" t="s">
        <v>1451</v>
      </c>
      <c r="CQ83" s="198" t="s">
        <v>1452</v>
      </c>
      <c r="CR83" s="198" t="s">
        <v>1453</v>
      </c>
      <c r="CS83" s="198" t="s">
        <v>1453</v>
      </c>
      <c r="CT83" s="198" t="s">
        <v>1454</v>
      </c>
      <c r="CU83" s="198" t="s">
        <v>1455</v>
      </c>
      <c r="CV83" s="198" t="s">
        <v>1456</v>
      </c>
      <c r="CW83" s="198" t="s">
        <v>1453</v>
      </c>
      <c r="CX83" s="198" t="s">
        <v>1453</v>
      </c>
      <c r="CY83" s="198" t="s">
        <v>1453</v>
      </c>
      <c r="CZ83" s="198" t="s">
        <v>1453</v>
      </c>
      <c r="DA83" s="198" t="s">
        <v>1457</v>
      </c>
      <c r="DB83" s="198" t="s">
        <v>1453</v>
      </c>
      <c r="DC83" s="198" t="s">
        <v>1453</v>
      </c>
      <c r="DD83" s="198" t="s">
        <v>1453</v>
      </c>
      <c r="DE83" s="198" t="s">
        <v>1459</v>
      </c>
      <c r="DF83" s="198" t="s">
        <v>1453</v>
      </c>
      <c r="DG83" s="198" t="s">
        <v>1453</v>
      </c>
      <c r="DH83" s="198" t="s">
        <v>1500</v>
      </c>
      <c r="DI83" s="198" t="s">
        <v>1501</v>
      </c>
      <c r="DJ83" s="198" t="s">
        <v>1460</v>
      </c>
      <c r="DK83" s="198" t="s">
        <v>1453</v>
      </c>
      <c r="DL83" s="198" t="s">
        <v>1461</v>
      </c>
      <c r="DM83" s="198" t="s">
        <v>1453</v>
      </c>
      <c r="DN83" s="198" t="s">
        <v>1463</v>
      </c>
      <c r="DO83" s="198" t="s">
        <v>1464</v>
      </c>
      <c r="DP83" s="198" t="s">
        <v>1465</v>
      </c>
      <c r="DQ83" s="198" t="s">
        <v>1466</v>
      </c>
      <c r="DR83" s="198" t="s">
        <v>1467</v>
      </c>
      <c r="DS83" s="198" t="s">
        <v>1453</v>
      </c>
      <c r="DT83" s="198" t="s">
        <v>1468</v>
      </c>
      <c r="DU83" s="198" t="s">
        <v>1453</v>
      </c>
      <c r="DV83" s="198" t="s">
        <v>1469</v>
      </c>
      <c r="DW83" s="198" t="s">
        <v>1453</v>
      </c>
      <c r="DX83" s="198" t="s">
        <v>1453</v>
      </c>
      <c r="DY83" s="198" t="s">
        <v>1453</v>
      </c>
      <c r="DZ83" s="198" t="s">
        <v>1453</v>
      </c>
      <c r="EA83" s="198" t="s">
        <v>1453</v>
      </c>
      <c r="EB83" s="198" t="s">
        <v>1453</v>
      </c>
      <c r="EC83" s="198" t="s">
        <v>1483</v>
      </c>
      <c r="ED83" s="198" t="s">
        <v>1453</v>
      </c>
      <c r="EE83" s="198" t="s">
        <v>1470</v>
      </c>
      <c r="EF83" s="198" t="s">
        <v>1453</v>
      </c>
      <c r="EG83" s="198" t="s">
        <v>1471</v>
      </c>
      <c r="EH83" s="198" t="s">
        <v>1453</v>
      </c>
      <c r="EI83" s="198" t="s">
        <v>1453</v>
      </c>
      <c r="EJ83" s="198" t="s">
        <v>1472</v>
      </c>
      <c r="EK83" s="198" t="s">
        <v>1487</v>
      </c>
      <c r="EL83" s="198" t="s">
        <v>1473</v>
      </c>
      <c r="EM83" s="198" t="s">
        <v>1453</v>
      </c>
      <c r="EN83" s="198" t="s">
        <v>1474</v>
      </c>
      <c r="EO83" s="198" t="s">
        <v>1453</v>
      </c>
      <c r="EP83" s="198" t="s">
        <v>1453</v>
      </c>
      <c r="EQ83" s="198" t="s">
        <v>1453</v>
      </c>
      <c r="ER83" s="198" t="s">
        <v>1453</v>
      </c>
      <c r="ES83" s="198" t="s">
        <v>1505</v>
      </c>
      <c r="ET83" s="198" t="s">
        <v>1453</v>
      </c>
      <c r="EU83" s="198" t="s">
        <v>1453</v>
      </c>
      <c r="EV83" s="198" t="s">
        <v>1476</v>
      </c>
      <c r="EW83" s="198" t="s">
        <v>1453</v>
      </c>
      <c r="EX83" s="198" t="s">
        <v>1453</v>
      </c>
      <c r="EY83" s="198" t="s">
        <v>1453</v>
      </c>
      <c r="EZ83" s="198" t="s">
        <v>1477</v>
      </c>
      <c r="FA83" s="198" t="s">
        <v>1453</v>
      </c>
      <c r="FB83" s="198" t="s">
        <v>1453</v>
      </c>
      <c r="FC83" s="198" t="s">
        <v>1478</v>
      </c>
      <c r="FD83" s="198" t="s">
        <v>1453</v>
      </c>
      <c r="FE83" s="198" t="s">
        <v>1453</v>
      </c>
      <c r="FF83" s="198" t="s">
        <v>1453</v>
      </c>
      <c r="FG83" s="198" t="s">
        <v>1453</v>
      </c>
      <c r="FH83" s="198" t="s">
        <v>1479</v>
      </c>
      <c r="FI83" s="198" t="s">
        <v>1453</v>
      </c>
      <c r="FJ83" s="198" t="s">
        <v>1453</v>
      </c>
      <c r="FK83" s="198" t="s">
        <v>1481</v>
      </c>
      <c r="FL83" s="198" t="s">
        <v>1482</v>
      </c>
      <c r="FM83" s="198" t="s">
        <v>1453</v>
      </c>
    </row>
    <row r="84" ht="15.75" customHeight="1">
      <c r="A84" s="198"/>
      <c r="B84" s="198"/>
      <c r="C84" s="234"/>
      <c r="D84" s="232" t="s">
        <v>770</v>
      </c>
      <c r="E84" s="232" t="s">
        <v>1448</v>
      </c>
      <c r="F84" s="232" t="s">
        <v>1449</v>
      </c>
      <c r="G84" s="232" t="s">
        <v>1450</v>
      </c>
      <c r="H84" s="232" t="s">
        <v>876</v>
      </c>
      <c r="I84" s="232" t="s">
        <v>812</v>
      </c>
      <c r="J84" s="232" t="s">
        <v>859</v>
      </c>
      <c r="K84" s="232" t="s">
        <v>1118</v>
      </c>
      <c r="L84" s="188" t="s">
        <v>324</v>
      </c>
      <c r="M84" s="236" t="str">
        <f>IFERROR(__xludf.DUMMYFUNCTION("regexreplace(N84,"" "","", "")"),"J0, J1, J2, J5, J6, J7, JA, JC, K0, K3, K4, K5, K7, K9, KA, KB, KC, KD, KF, L1, L8, LA, LC, LF, M0, M1, M3, M8, MB, MF, N2, N7, NA, ")</f>
        <v>J0, J1, J2, J5, J6, J7, JA, JC, K0, K3, K4, K5, K7, K9, KA, KB, KC, KD, KF, L1, L8, LA, LC, LF, M0, M1, M3, M8, MB, MF, N2, N7, NA, </v>
      </c>
      <c r="N84" s="236" t="str">
        <f t="shared" si="2"/>
        <v>J0 J1 J2 J5 J6 J7 JA JC K0 K3 K4 K5 K7 K9 KA KB KC KD KF L1 L8 LA LC LF M0 M1 M3 M8 MB MF N2 N7 NA </v>
      </c>
      <c r="O84" s="236" t="str">
        <f>IFERROR(__xludf.DUMMYFUNCTION("if(countif(ecn.list,CO84),OFFSET(INDIRECT(CONCAT(""A"",to_text(match(CO84,ecn.list,0)))),0,1),"""")"),"J0 ")</f>
        <v>J0 </v>
      </c>
      <c r="P84" s="236" t="str">
        <f>IFERROR(__xludf.DUMMYFUNCTION("if(countif(ecn.list,CP84),OFFSET(INDIRECT(CONCAT(""A"",to_text(match(CP84,ecn.list,0)))),0,1),"""")"),"J1 ")</f>
        <v>J1 </v>
      </c>
      <c r="Q84" s="236" t="str">
        <f>IFERROR(__xludf.DUMMYFUNCTION("if(countif(ecn.list,CQ84),OFFSET(INDIRECT(CONCAT(""A"",to_text(match(CQ84,ecn.list,0)))),0,1),"""")"),"J2 ")</f>
        <v>J2 </v>
      </c>
      <c r="R84" s="236" t="str">
        <f>IFERROR(__xludf.DUMMYFUNCTION("if(countif(ecn.list,CR84),OFFSET(INDIRECT(CONCAT(""A"",to_text(match(CR84,ecn.list,0)))),0,1),"""")"),"")</f>
        <v/>
      </c>
      <c r="S84" s="236" t="str">
        <f>IFERROR(__xludf.DUMMYFUNCTION("if(countif(ecn.list,CS84),OFFSET(INDIRECT(CONCAT(""A"",to_text(match(CS84,ecn.list,0)))),0,1),"""")"),"")</f>
        <v/>
      </c>
      <c r="T84" s="236" t="str">
        <f>IFERROR(__xludf.DUMMYFUNCTION("if(countif(ecn.list,CT84),OFFSET(INDIRECT(CONCAT(""A"",to_text(match(CT84,ecn.list,0)))),0,1),"""")"),"J5 ")</f>
        <v>J5 </v>
      </c>
      <c r="U84" s="236" t="str">
        <f>IFERROR(__xludf.DUMMYFUNCTION("if(countif(ecn.list,CU84),OFFSET(INDIRECT(CONCAT(""A"",to_text(match(CU84,ecn.list,0)))),0,1),"""")"),"J6 ")</f>
        <v>J6 </v>
      </c>
      <c r="V84" s="236" t="str">
        <f>IFERROR(__xludf.DUMMYFUNCTION("if(countif(ecn.list,CV84),OFFSET(INDIRECT(CONCAT(""A"",to_text(match(CV84,ecn.list,0)))),0,1),"""")"),"J7 ")</f>
        <v>J7 </v>
      </c>
      <c r="W84" s="236" t="str">
        <f>IFERROR(__xludf.DUMMYFUNCTION("if(countif(ecn.list,CW84),OFFSET(INDIRECT(CONCAT(""A"",to_text(match(CW84,ecn.list,0)))),0,1),"""")"),"")</f>
        <v/>
      </c>
      <c r="X84" s="236" t="str">
        <f>IFERROR(__xludf.DUMMYFUNCTION("if(countif(ecn.list,CX84),OFFSET(INDIRECT(CONCAT(""A"",to_text(match(CX84,ecn.list,0)))),0,1),"""")"),"")</f>
        <v/>
      </c>
      <c r="Y84" s="236" t="str">
        <f>IFERROR(__xludf.DUMMYFUNCTION("if(countif(ecn.list,CY84),OFFSET(INDIRECT(CONCAT(""A"",to_text(match(CY84,ecn.list,0)))),0,1),"""")"),"JA ")</f>
        <v>JA </v>
      </c>
      <c r="Z84" s="236" t="str">
        <f>IFERROR(__xludf.DUMMYFUNCTION("if(countif(ecn.list,CZ84),OFFSET(INDIRECT(CONCAT(""A"",to_text(match(CZ84,ecn.list,0)))),0,1),"""")"),"")</f>
        <v/>
      </c>
      <c r="AA84" s="236" t="str">
        <f>IFERROR(__xludf.DUMMYFUNCTION("if(countif(ecn.list,DA84),OFFSET(INDIRECT(CONCAT(""A"",to_text(match(DA84,ecn.list,0)))),0,1),"""")"),"JC ")</f>
        <v>JC </v>
      </c>
      <c r="AB84" s="236" t="str">
        <f>IFERROR(__xludf.DUMMYFUNCTION("if(countif(ecn.list,DB84),OFFSET(INDIRECT(CONCAT(""A"",to_text(match(DB84,ecn.list,0)))),0,1),"""")"),"")</f>
        <v/>
      </c>
      <c r="AC84" s="236" t="str">
        <f>IFERROR(__xludf.DUMMYFUNCTION("if(countif(ecn.list,DC84),OFFSET(INDIRECT(CONCAT(""A"",to_text(match(DC84,ecn.list,0)))),0,1),"""")"),"")</f>
        <v/>
      </c>
      <c r="AD84" s="236" t="str">
        <f>IFERROR(__xludf.DUMMYFUNCTION("if(countif(ecn.list,DD84),OFFSET(INDIRECT(CONCAT(""A"",to_text(match(DD84,ecn.list,0)))),0,1),"""")"),"")</f>
        <v/>
      </c>
      <c r="AE84" s="236" t="str">
        <f>IFERROR(__xludf.DUMMYFUNCTION("if(countif(ecn.list,DE84),OFFSET(INDIRECT(CONCAT(""A"",to_text(match(DE84,ecn.list,0)))),0,1),"""")"),"K0 ")</f>
        <v>K0 </v>
      </c>
      <c r="AF84" s="236" t="str">
        <f>IFERROR(__xludf.DUMMYFUNCTION("if(countif(ecn.list,DF84),OFFSET(INDIRECT(CONCAT(""A"",to_text(match(DF84,ecn.list,0)))),0,1),"""")"),"")</f>
        <v/>
      </c>
      <c r="AG84" s="236" t="str">
        <f>IFERROR(__xludf.DUMMYFUNCTION("if(countif(ecn.list,DG84),OFFSET(INDIRECT(CONCAT(""A"",to_text(match(DG84,ecn.list,0)))),0,1),"""")"),"")</f>
        <v/>
      </c>
      <c r="AH84" s="236" t="str">
        <f>IFERROR(__xludf.DUMMYFUNCTION("if(countif(ecn.list,DH84),OFFSET(INDIRECT(CONCAT(""A"",to_text(match(DH84,ecn.list,0)))),0,1),"""")"),"K3 ")</f>
        <v>K3 </v>
      </c>
      <c r="AI84" s="236" t="str">
        <f>IFERROR(__xludf.DUMMYFUNCTION("if(countif(ecn.list,DI84),OFFSET(INDIRECT(CONCAT(""A"",to_text(match(DI84,ecn.list,0)))),0,1),"""")"),"K4 ")</f>
        <v>K4 </v>
      </c>
      <c r="AJ84" s="236" t="str">
        <f>IFERROR(__xludf.DUMMYFUNCTION("if(countif(ecn.list,DJ84),OFFSET(INDIRECT(CONCAT(""A"",to_text(match(DJ84,ecn.list,0)))),0,1),"""")"),"K5 ")</f>
        <v>K5 </v>
      </c>
      <c r="AK84" s="236" t="str">
        <f>IFERROR(__xludf.DUMMYFUNCTION("if(countif(ecn.list,DK84),OFFSET(INDIRECT(CONCAT(""A"",to_text(match(DK84,ecn.list,0)))),0,1),"""")"),"")</f>
        <v/>
      </c>
      <c r="AL84" s="236" t="str">
        <f>IFERROR(__xludf.DUMMYFUNCTION("if(countif(ecn.list,DL84),OFFSET(INDIRECT(CONCAT(""A"",to_text(match(DL84,ecn.list,0)))),0,1),"""")"),"K7 ")</f>
        <v>K7 </v>
      </c>
      <c r="AM84" s="236" t="str">
        <f>IFERROR(__xludf.DUMMYFUNCTION("if(countif(ecn.list,DM84),OFFSET(INDIRECT(CONCAT(""A"",to_text(match(DM84,ecn.list,0)))),0,1),"""")"),"")</f>
        <v/>
      </c>
      <c r="AN84" s="236" t="str">
        <f>IFERROR(__xludf.DUMMYFUNCTION("if(countif(ecn.list,DN84),OFFSET(INDIRECT(CONCAT(""A"",to_text(match(DN84,ecn.list,0)))),0,1),"""")"),"K9 ")</f>
        <v>K9 </v>
      </c>
      <c r="AO84" s="236" t="str">
        <f>IFERROR(__xludf.DUMMYFUNCTION("if(countif(ecn.list,DO84),OFFSET(INDIRECT(CONCAT(""A"",to_text(match(DO84,ecn.list,0)))),0,1),"""")"),"KA ")</f>
        <v>KA </v>
      </c>
      <c r="AP84" s="236" t="str">
        <f>IFERROR(__xludf.DUMMYFUNCTION("if(countif(ecn.list,DP84),OFFSET(INDIRECT(CONCAT(""A"",to_text(match(DP84,ecn.list,0)))),0,1),"""")"),"KB ")</f>
        <v>KB </v>
      </c>
      <c r="AQ84" s="236" t="str">
        <f>IFERROR(__xludf.DUMMYFUNCTION("if(countif(ecn.list,DQ84),OFFSET(INDIRECT(CONCAT(""A"",to_text(match(DQ84,ecn.list,0)))),0,1),"""")"),"KC ")</f>
        <v>KC </v>
      </c>
      <c r="AR84" s="236" t="str">
        <f>IFERROR(__xludf.DUMMYFUNCTION("if(countif(ecn.list,DR84),OFFSET(INDIRECT(CONCAT(""A"",to_text(match(DR84,ecn.list,0)))),0,1),"""")"),"KD ")</f>
        <v>KD </v>
      </c>
      <c r="AS84" s="236" t="str">
        <f>IFERROR(__xludf.DUMMYFUNCTION("if(countif(ecn.list,DS84),OFFSET(INDIRECT(CONCAT(""A"",to_text(match(DS84,ecn.list,0)))),0,1),"""")"),"")</f>
        <v/>
      </c>
      <c r="AT84" s="236" t="str">
        <f>IFERROR(__xludf.DUMMYFUNCTION("if(countif(ecn.list,DT84),OFFSET(INDIRECT(CONCAT(""A"",to_text(match(DT84,ecn.list,0)))),0,1),"""")"),"KF ")</f>
        <v>KF </v>
      </c>
      <c r="AU84" s="236" t="str">
        <f>IFERROR(__xludf.DUMMYFUNCTION("if(countif(ecn.list,DU84),OFFSET(INDIRECT(CONCAT(""A"",to_text(match(DU84,ecn.list,0)))),0,1),"""")"),"")</f>
        <v/>
      </c>
      <c r="AV84" s="236" t="str">
        <f>IFERROR(__xludf.DUMMYFUNCTION("if(countif(ecn.list,DV84),OFFSET(INDIRECT(CONCAT(""A"",to_text(match(DV84,ecn.list,0)))),0,1),"""")"),"L1 ")</f>
        <v>L1 </v>
      </c>
      <c r="AW84" s="236" t="str">
        <f>IFERROR(__xludf.DUMMYFUNCTION("if(countif(ecn.list,DW84),OFFSET(INDIRECT(CONCAT(""A"",to_text(match(DW84,ecn.list,0)))),0,1),"""")"),"")</f>
        <v/>
      </c>
      <c r="AX84" s="236" t="str">
        <f>IFERROR(__xludf.DUMMYFUNCTION("if(countif(ecn.list,DX84),OFFSET(INDIRECT(CONCAT(""A"",to_text(match(DX84,ecn.list,0)))),0,1),"""")"),"")</f>
        <v/>
      </c>
      <c r="AY84" s="236" t="str">
        <f>IFERROR(__xludf.DUMMYFUNCTION("if(countif(ecn.list,DY84),OFFSET(INDIRECT(CONCAT(""A"",to_text(match(DY84,ecn.list,0)))),0,1),"""")"),"")</f>
        <v/>
      </c>
      <c r="AZ84" s="236" t="str">
        <f>IFERROR(__xludf.DUMMYFUNCTION("if(countif(ecn.list,DZ84),OFFSET(INDIRECT(CONCAT(""A"",to_text(match(DZ84,ecn.list,0)))),0,1),"""")"),"")</f>
        <v/>
      </c>
      <c r="BA84" s="236" t="str">
        <f>IFERROR(__xludf.DUMMYFUNCTION("if(countif(ecn.list,EA84),OFFSET(INDIRECT(CONCAT(""A"",to_text(match(EA84,ecn.list,0)))),0,1),"""")"),"")</f>
        <v/>
      </c>
      <c r="BB84" s="236" t="str">
        <f>IFERROR(__xludf.DUMMYFUNCTION("if(countif(ecn.list,EB84),OFFSET(INDIRECT(CONCAT(""A"",to_text(match(EB84,ecn.list,0)))),0,1),"""")"),"")</f>
        <v/>
      </c>
      <c r="BC84" s="236" t="str">
        <f>IFERROR(__xludf.DUMMYFUNCTION("if(countif(ecn.list,EC84),OFFSET(INDIRECT(CONCAT(""A"",to_text(match(EC84,ecn.list,0)))),0,1),"""")"),"L8 ")</f>
        <v>L8 </v>
      </c>
      <c r="BD84" s="236" t="str">
        <f>IFERROR(__xludf.DUMMYFUNCTION("if(countif(ecn.list,ED84),OFFSET(INDIRECT(CONCAT(""A"",to_text(match(ED84,ecn.list,0)))),0,1),"""")"),"")</f>
        <v/>
      </c>
      <c r="BE84" s="236" t="str">
        <f>IFERROR(__xludf.DUMMYFUNCTION("if(countif(ecn.list,EE84),OFFSET(INDIRECT(CONCAT(""A"",to_text(match(EE84,ecn.list,0)))),0,1),"""")"),"LA ")</f>
        <v>LA </v>
      </c>
      <c r="BF84" s="236" t="str">
        <f>IFERROR(__xludf.DUMMYFUNCTION("if(countif(ecn.list,EF84),OFFSET(INDIRECT(CONCAT(""A"",to_text(match(EF84,ecn.list,0)))),0,1),"""")"),"")</f>
        <v/>
      </c>
      <c r="BG84" s="236" t="str">
        <f>IFERROR(__xludf.DUMMYFUNCTION("if(countif(ecn.list,EG84),OFFSET(INDIRECT(CONCAT(""A"",to_text(match(EG84,ecn.list,0)))),0,1),"""")"),"LC ")</f>
        <v>LC </v>
      </c>
      <c r="BH84" s="236" t="str">
        <f>IFERROR(__xludf.DUMMYFUNCTION("if(countif(ecn.list,EH84),OFFSET(INDIRECT(CONCAT(""A"",to_text(match(EH84,ecn.list,0)))),0,1),"""")"),"")</f>
        <v/>
      </c>
      <c r="BI84" s="236" t="str">
        <f>IFERROR(__xludf.DUMMYFUNCTION("if(countif(ecn.list,EI84),OFFSET(INDIRECT(CONCAT(""A"",to_text(match(EI84,ecn.list,0)))),0,1),"""")"),"")</f>
        <v/>
      </c>
      <c r="BJ84" s="236" t="str">
        <f>IFERROR(__xludf.DUMMYFUNCTION("if(countif(ecn.list,EJ84),OFFSET(INDIRECT(CONCAT(""A"",to_text(match(EJ84,ecn.list,0)))),0,1),"""")"),"LF ")</f>
        <v>LF </v>
      </c>
      <c r="BK84" s="236" t="str">
        <f>IFERROR(__xludf.DUMMYFUNCTION("if(countif(ecn.list,EK84),OFFSET(INDIRECT(CONCAT(""A"",to_text(match(EK84,ecn.list,0)))),0,1),"""")"),"M0 ")</f>
        <v>M0 </v>
      </c>
      <c r="BL84" s="236" t="str">
        <f>IFERROR(__xludf.DUMMYFUNCTION("if(countif(ecn.list,EL84),OFFSET(INDIRECT(CONCAT(""A"",to_text(match(EL84,ecn.list,0)))),0,1),"""")"),"M1 ")</f>
        <v>M1 </v>
      </c>
      <c r="BM84" s="236" t="str">
        <f>IFERROR(__xludf.DUMMYFUNCTION("if(countif(ecn.list,EM84),OFFSET(INDIRECT(CONCAT(""A"",to_text(match(EM84,ecn.list,0)))),0,1),"""")"),"")</f>
        <v/>
      </c>
      <c r="BN84" s="236" t="str">
        <f>IFERROR(__xludf.DUMMYFUNCTION("if(countif(ecn.list,EN84),OFFSET(INDIRECT(CONCAT(""A"",to_text(match(EN84,ecn.list,0)))),0,1),"""")"),"M3 ")</f>
        <v>M3 </v>
      </c>
      <c r="BO84" s="236" t="str">
        <f>IFERROR(__xludf.DUMMYFUNCTION("if(countif(ecn.list,EO84),OFFSET(INDIRECT(CONCAT(""A"",to_text(match(EO84,ecn.list,0)))),0,1),"""")"),"")</f>
        <v/>
      </c>
      <c r="BP84" s="236" t="str">
        <f>IFERROR(__xludf.DUMMYFUNCTION("if(countif(ecn.list,EP84),OFFSET(INDIRECT(CONCAT(""A"",to_text(match(EP84,ecn.list,0)))),0,1),"""")"),"")</f>
        <v/>
      </c>
      <c r="BQ84" s="236" t="str">
        <f>IFERROR(__xludf.DUMMYFUNCTION("if(countif(ecn.list,EQ84),OFFSET(INDIRECT(CONCAT(""A"",to_text(match(EQ84,ecn.list,0)))),0,1),"""")"),"")</f>
        <v/>
      </c>
      <c r="BR84" s="236" t="str">
        <f>IFERROR(__xludf.DUMMYFUNCTION("if(countif(ecn.list,ER84),OFFSET(INDIRECT(CONCAT(""A"",to_text(match(ER84,ecn.list,0)))),0,1),"""")"),"")</f>
        <v/>
      </c>
      <c r="BS84" s="236" t="str">
        <f>IFERROR(__xludf.DUMMYFUNCTION("if(countif(ecn.list,ES84),OFFSET(INDIRECT(CONCAT(""A"",to_text(match(ES84,ecn.list,0)))),0,1),"""")"),"M8 ")</f>
        <v>M8 </v>
      </c>
      <c r="BT84" s="236" t="str">
        <f>IFERROR(__xludf.DUMMYFUNCTION("if(countif(ecn.list,ET84),OFFSET(INDIRECT(CONCAT(""A"",to_text(match(ET84,ecn.list,0)))),0,1),"""")"),"")</f>
        <v/>
      </c>
      <c r="BU84" s="236" t="str">
        <f>IFERROR(__xludf.DUMMYFUNCTION("if(countif(ecn.list,EU84),OFFSET(INDIRECT(CONCAT(""A"",to_text(match(EU84,ecn.list,0)))),0,1),"""")"),"")</f>
        <v/>
      </c>
      <c r="BV84" s="236" t="str">
        <f>IFERROR(__xludf.DUMMYFUNCTION("if(countif(ecn.list,EV84),OFFSET(INDIRECT(CONCAT(""A"",to_text(match(EV84,ecn.list,0)))),0,1),"""")"),"MB ")</f>
        <v>MB </v>
      </c>
      <c r="BW84" s="236" t="str">
        <f>IFERROR(__xludf.DUMMYFUNCTION("if(countif(ecn.list,EW84),OFFSET(INDIRECT(CONCAT(""A"",to_text(match(EW84,ecn.list,0)))),0,1),"""")"),"")</f>
        <v/>
      </c>
      <c r="BX84" s="236" t="str">
        <f>IFERROR(__xludf.DUMMYFUNCTION("if(countif(ecn.list,EX84),OFFSET(INDIRECT(CONCAT(""A"",to_text(match(EX84,ecn.list,0)))),0,1),"""")"),"")</f>
        <v/>
      </c>
      <c r="BY84" s="236" t="str">
        <f>IFERROR(__xludf.DUMMYFUNCTION("if(countif(ecn.list,EY84),OFFSET(INDIRECT(CONCAT(""A"",to_text(match(EY84,ecn.list,0)))),0,1),"""")"),"")</f>
        <v/>
      </c>
      <c r="BZ84" s="236" t="str">
        <f>IFERROR(__xludf.DUMMYFUNCTION("if(countif(ecn.list,EZ84),OFFSET(INDIRECT(CONCAT(""A"",to_text(match(EZ84,ecn.list,0)))),0,1),"""")"),"MF ")</f>
        <v>MF </v>
      </c>
      <c r="CA84" s="236" t="str">
        <f>IFERROR(__xludf.DUMMYFUNCTION("if(countif(ecn.list,FA84),OFFSET(INDIRECT(CONCAT(""A"",to_text(match(FA84,ecn.list,0)))),0,1),"""")"),"")</f>
        <v/>
      </c>
      <c r="CB84" s="236" t="str">
        <f>IFERROR(__xludf.DUMMYFUNCTION("if(countif(ecn.list,FB84),OFFSET(INDIRECT(CONCAT(""A"",to_text(match(FB84,ecn.list,0)))),0,1),"""")"),"")</f>
        <v/>
      </c>
      <c r="CC84" s="236" t="str">
        <f>IFERROR(__xludf.DUMMYFUNCTION("if(countif(ecn.list,FC84),OFFSET(INDIRECT(CONCAT(""A"",to_text(match(FC84,ecn.list,0)))),0,1),"""")"),"N2 ")</f>
        <v>N2 </v>
      </c>
      <c r="CD84" s="236" t="str">
        <f>IFERROR(__xludf.DUMMYFUNCTION("if(countif(ecn.list,FD84),OFFSET(INDIRECT(CONCAT(""A"",to_text(match(FD84,ecn.list,0)))),0,1),"""")"),"")</f>
        <v/>
      </c>
      <c r="CE84" s="236" t="str">
        <f>IFERROR(__xludf.DUMMYFUNCTION("if(countif(ecn.list,FE84),OFFSET(INDIRECT(CONCAT(""A"",to_text(match(FE84,ecn.list,0)))),0,1),"""")"),"")</f>
        <v/>
      </c>
      <c r="CF84" s="236" t="str">
        <f>IFERROR(__xludf.DUMMYFUNCTION("if(countif(ecn.list,FF84),OFFSET(INDIRECT(CONCAT(""A"",to_text(match(FF84,ecn.list,0)))),0,1),"""")"),"")</f>
        <v/>
      </c>
      <c r="CG84" s="236" t="str">
        <f>IFERROR(__xludf.DUMMYFUNCTION("if(countif(ecn.list,FG84),OFFSET(INDIRECT(CONCAT(""A"",to_text(match(FG84,ecn.list,0)))),0,1),"""")"),"")</f>
        <v/>
      </c>
      <c r="CH84" s="236" t="str">
        <f>IFERROR(__xludf.DUMMYFUNCTION("if(countif(ecn.list,FH84),OFFSET(INDIRECT(CONCAT(""A"",to_text(match(FH84,ecn.list,0)))),0,1),"""")"),"N7 ")</f>
        <v>N7 </v>
      </c>
      <c r="CI84" s="236" t="str">
        <f>IFERROR(__xludf.DUMMYFUNCTION("if(countif(ecn.list,FI84),OFFSET(INDIRECT(CONCAT(""A"",to_text(match(FI84,ecn.list,0)))),0,1),"""")"),"")</f>
        <v/>
      </c>
      <c r="CJ84" s="236" t="str">
        <f>IFERROR(__xludf.DUMMYFUNCTION("if(countif(ecn.list,FJ84),OFFSET(INDIRECT(CONCAT(""A"",to_text(match(FJ84,ecn.list,0)))),0,1),"""")"),"")</f>
        <v/>
      </c>
      <c r="CK84" s="236" t="str">
        <f>IFERROR(__xludf.DUMMYFUNCTION("if(countif(ecn.list,FK84),OFFSET(INDIRECT(CONCAT(""A"",to_text(match(FK84,ecn.list,0)))),0,1),"""")"),"NA ")</f>
        <v>NA </v>
      </c>
      <c r="CL84" s="236" t="str">
        <f>IFERROR(__xludf.DUMMYFUNCTION("if(countif(ecn.list,FL84),OFFSET(INDIRECT(CONCAT(""A"",to_text(match(FL84,ecn.list,0)))),0,1),"""")"),"")</f>
        <v/>
      </c>
      <c r="CM84" s="236" t="str">
        <f>IFERROR(__xludf.DUMMYFUNCTION("if(countif(ecn.list,FM84),OFFSET(INDIRECT(CONCAT(""A"",to_text(match(FM84,ecn.list,0)))),0,1),"""")"),"")</f>
        <v/>
      </c>
      <c r="CN84" s="198" t="s">
        <v>324</v>
      </c>
      <c r="CO84" s="198" t="s">
        <v>1447</v>
      </c>
      <c r="CP84" s="198" t="s">
        <v>1451</v>
      </c>
      <c r="CQ84" s="198" t="s">
        <v>1452</v>
      </c>
      <c r="CR84" s="198" t="s">
        <v>1453</v>
      </c>
      <c r="CS84" s="198" t="s">
        <v>1453</v>
      </c>
      <c r="CT84" s="198" t="s">
        <v>1454</v>
      </c>
      <c r="CU84" s="198" t="s">
        <v>1455</v>
      </c>
      <c r="CV84" s="198" t="s">
        <v>1456</v>
      </c>
      <c r="CW84" s="198" t="s">
        <v>1453</v>
      </c>
      <c r="CX84" s="198" t="s">
        <v>1453</v>
      </c>
      <c r="CY84" s="198" t="s">
        <v>1484</v>
      </c>
      <c r="CZ84" s="198" t="s">
        <v>1453</v>
      </c>
      <c r="DA84" s="198" t="s">
        <v>1457</v>
      </c>
      <c r="DB84" s="198" t="s">
        <v>1453</v>
      </c>
      <c r="DC84" s="198" t="s">
        <v>1453</v>
      </c>
      <c r="DD84" s="198" t="s">
        <v>1453</v>
      </c>
      <c r="DE84" s="198" t="s">
        <v>1459</v>
      </c>
      <c r="DF84" s="198" t="s">
        <v>1453</v>
      </c>
      <c r="DG84" s="198" t="s">
        <v>1453</v>
      </c>
      <c r="DH84" s="198" t="s">
        <v>1500</v>
      </c>
      <c r="DI84" s="198" t="s">
        <v>1501</v>
      </c>
      <c r="DJ84" s="198" t="s">
        <v>1460</v>
      </c>
      <c r="DK84" s="198" t="s">
        <v>1453</v>
      </c>
      <c r="DL84" s="198" t="s">
        <v>1461</v>
      </c>
      <c r="DM84" s="198" t="s">
        <v>1453</v>
      </c>
      <c r="DN84" s="198" t="s">
        <v>1463</v>
      </c>
      <c r="DO84" s="198" t="s">
        <v>1464</v>
      </c>
      <c r="DP84" s="198" t="s">
        <v>1465</v>
      </c>
      <c r="DQ84" s="198" t="s">
        <v>1466</v>
      </c>
      <c r="DR84" s="198" t="s">
        <v>1467</v>
      </c>
      <c r="DS84" s="198" t="s">
        <v>1453</v>
      </c>
      <c r="DT84" s="198" t="s">
        <v>1468</v>
      </c>
      <c r="DU84" s="198" t="s">
        <v>1453</v>
      </c>
      <c r="DV84" s="198" t="s">
        <v>1469</v>
      </c>
      <c r="DW84" s="198" t="s">
        <v>1453</v>
      </c>
      <c r="DX84" s="198" t="s">
        <v>1453</v>
      </c>
      <c r="DY84" s="198" t="s">
        <v>1453</v>
      </c>
      <c r="DZ84" s="198" t="s">
        <v>1453</v>
      </c>
      <c r="EA84" s="198" t="s">
        <v>1453</v>
      </c>
      <c r="EB84" s="198" t="s">
        <v>1453</v>
      </c>
      <c r="EC84" s="198" t="s">
        <v>1483</v>
      </c>
      <c r="ED84" s="198" t="s">
        <v>1453</v>
      </c>
      <c r="EE84" s="198" t="s">
        <v>1470</v>
      </c>
      <c r="EF84" s="198" t="s">
        <v>1453</v>
      </c>
      <c r="EG84" s="198" t="s">
        <v>1471</v>
      </c>
      <c r="EH84" s="198" t="s">
        <v>1453</v>
      </c>
      <c r="EI84" s="198" t="s">
        <v>1453</v>
      </c>
      <c r="EJ84" s="198" t="s">
        <v>1472</v>
      </c>
      <c r="EK84" s="198" t="s">
        <v>1487</v>
      </c>
      <c r="EL84" s="198" t="s">
        <v>1473</v>
      </c>
      <c r="EM84" s="198" t="s">
        <v>1453</v>
      </c>
      <c r="EN84" s="198" t="s">
        <v>1474</v>
      </c>
      <c r="EO84" s="198" t="s">
        <v>1453</v>
      </c>
      <c r="EP84" s="198" t="s">
        <v>1453</v>
      </c>
      <c r="EQ84" s="198" t="s">
        <v>1453</v>
      </c>
      <c r="ER84" s="198" t="s">
        <v>1453</v>
      </c>
      <c r="ES84" s="198" t="s">
        <v>1505</v>
      </c>
      <c r="ET84" s="198" t="s">
        <v>1453</v>
      </c>
      <c r="EU84" s="198" t="s">
        <v>1453</v>
      </c>
      <c r="EV84" s="198" t="s">
        <v>1476</v>
      </c>
      <c r="EW84" s="198" t="s">
        <v>1453</v>
      </c>
      <c r="EX84" s="198" t="s">
        <v>1453</v>
      </c>
      <c r="EY84" s="198" t="s">
        <v>1453</v>
      </c>
      <c r="EZ84" s="198" t="s">
        <v>1477</v>
      </c>
      <c r="FA84" s="198" t="s">
        <v>1453</v>
      </c>
      <c r="FB84" s="198" t="s">
        <v>1453</v>
      </c>
      <c r="FC84" s="198" t="s">
        <v>1478</v>
      </c>
      <c r="FD84" s="198" t="s">
        <v>1453</v>
      </c>
      <c r="FE84" s="198" t="s">
        <v>1453</v>
      </c>
      <c r="FF84" s="198" t="s">
        <v>1453</v>
      </c>
      <c r="FG84" s="198" t="s">
        <v>1453</v>
      </c>
      <c r="FH84" s="198" t="s">
        <v>1479</v>
      </c>
      <c r="FI84" s="198" t="s">
        <v>1453</v>
      </c>
      <c r="FJ84" s="198" t="s">
        <v>1453</v>
      </c>
      <c r="FK84" s="198" t="s">
        <v>1481</v>
      </c>
      <c r="FL84" s="198" t="s">
        <v>1482</v>
      </c>
      <c r="FM84" s="198" t="s">
        <v>1453</v>
      </c>
    </row>
    <row r="85" ht="15.75" customHeight="1">
      <c r="A85" s="198"/>
      <c r="B85" s="198"/>
      <c r="C85" s="234"/>
      <c r="D85" s="232" t="s">
        <v>770</v>
      </c>
      <c r="E85" s="232" t="s">
        <v>1448</v>
      </c>
      <c r="F85" s="232" t="s">
        <v>1449</v>
      </c>
      <c r="G85" s="232" t="s">
        <v>1450</v>
      </c>
      <c r="H85" s="232" t="s">
        <v>876</v>
      </c>
      <c r="I85" s="232" t="s">
        <v>812</v>
      </c>
      <c r="J85" s="232" t="s">
        <v>859</v>
      </c>
      <c r="K85" s="232" t="s">
        <v>1118</v>
      </c>
      <c r="L85" s="188" t="s">
        <v>327</v>
      </c>
      <c r="M85" s="236" t="str">
        <f>IFERROR(__xludf.DUMMYFUNCTION("regexreplace(N85,"" "","", "")"),"J0, J1, J2, J5, J6, J7, JA, JC, K0, K3, K4, K5, K7, K9, KA, KB, KC, KD, KF, L1, L8, LA, LC, LF, M0, M1, M3, M8, MB, MF, N2, N7, NA, ")</f>
        <v>J0, J1, J2, J5, J6, J7, JA, JC, K0, K3, K4, K5, K7, K9, KA, KB, KC, KD, KF, L1, L8, LA, LC, LF, M0, M1, M3, M8, MB, MF, N2, N7, NA, </v>
      </c>
      <c r="N85" s="236" t="str">
        <f t="shared" si="2"/>
        <v>J0 J1 J2 J5 J6 J7 JA JC K0 K3 K4 K5 K7 K9 KA KB KC KD KF L1 L8 LA LC LF M0 M1 M3 M8 MB MF N2 N7 NA </v>
      </c>
      <c r="O85" s="236" t="str">
        <f>IFERROR(__xludf.DUMMYFUNCTION("if(countif(ecn.list,CO85),OFFSET(INDIRECT(CONCAT(""A"",to_text(match(CO85,ecn.list,0)))),0,1),"""")"),"J0 ")</f>
        <v>J0 </v>
      </c>
      <c r="P85" s="236" t="str">
        <f>IFERROR(__xludf.DUMMYFUNCTION("if(countif(ecn.list,CP85),OFFSET(INDIRECT(CONCAT(""A"",to_text(match(CP85,ecn.list,0)))),0,1),"""")"),"J1 ")</f>
        <v>J1 </v>
      </c>
      <c r="Q85" s="236" t="str">
        <f>IFERROR(__xludf.DUMMYFUNCTION("if(countif(ecn.list,CQ85),OFFSET(INDIRECT(CONCAT(""A"",to_text(match(CQ85,ecn.list,0)))),0,1),"""")"),"J2 ")</f>
        <v>J2 </v>
      </c>
      <c r="R85" s="236" t="str">
        <f>IFERROR(__xludf.DUMMYFUNCTION("if(countif(ecn.list,CR85),OFFSET(INDIRECT(CONCAT(""A"",to_text(match(CR85,ecn.list,0)))),0,1),"""")"),"")</f>
        <v/>
      </c>
      <c r="S85" s="236" t="str">
        <f>IFERROR(__xludf.DUMMYFUNCTION("if(countif(ecn.list,CS85),OFFSET(INDIRECT(CONCAT(""A"",to_text(match(CS85,ecn.list,0)))),0,1),"""")"),"")</f>
        <v/>
      </c>
      <c r="T85" s="236" t="str">
        <f>IFERROR(__xludf.DUMMYFUNCTION("if(countif(ecn.list,CT85),OFFSET(INDIRECT(CONCAT(""A"",to_text(match(CT85,ecn.list,0)))),0,1),"""")"),"J5 ")</f>
        <v>J5 </v>
      </c>
      <c r="U85" s="236" t="str">
        <f>IFERROR(__xludf.DUMMYFUNCTION("if(countif(ecn.list,CU85),OFFSET(INDIRECT(CONCAT(""A"",to_text(match(CU85,ecn.list,0)))),0,1),"""")"),"J6 ")</f>
        <v>J6 </v>
      </c>
      <c r="V85" s="236" t="str">
        <f>IFERROR(__xludf.DUMMYFUNCTION("if(countif(ecn.list,CV85),OFFSET(INDIRECT(CONCAT(""A"",to_text(match(CV85,ecn.list,0)))),0,1),"""")"),"J7 ")</f>
        <v>J7 </v>
      </c>
      <c r="W85" s="236" t="str">
        <f>IFERROR(__xludf.DUMMYFUNCTION("if(countif(ecn.list,CW85),OFFSET(INDIRECT(CONCAT(""A"",to_text(match(CW85,ecn.list,0)))),0,1),"""")"),"")</f>
        <v/>
      </c>
      <c r="X85" s="236" t="str">
        <f>IFERROR(__xludf.DUMMYFUNCTION("if(countif(ecn.list,CX85),OFFSET(INDIRECT(CONCAT(""A"",to_text(match(CX85,ecn.list,0)))),0,1),"""")"),"")</f>
        <v/>
      </c>
      <c r="Y85" s="236" t="str">
        <f>IFERROR(__xludf.DUMMYFUNCTION("if(countif(ecn.list,CY85),OFFSET(INDIRECT(CONCAT(""A"",to_text(match(CY85,ecn.list,0)))),0,1),"""")"),"JA ")</f>
        <v>JA </v>
      </c>
      <c r="Z85" s="236" t="str">
        <f>IFERROR(__xludf.DUMMYFUNCTION("if(countif(ecn.list,CZ85),OFFSET(INDIRECT(CONCAT(""A"",to_text(match(CZ85,ecn.list,0)))),0,1),"""")"),"")</f>
        <v/>
      </c>
      <c r="AA85" s="236" t="str">
        <f>IFERROR(__xludf.DUMMYFUNCTION("if(countif(ecn.list,DA85),OFFSET(INDIRECT(CONCAT(""A"",to_text(match(DA85,ecn.list,0)))),0,1),"""")"),"JC ")</f>
        <v>JC </v>
      </c>
      <c r="AB85" s="236" t="str">
        <f>IFERROR(__xludf.DUMMYFUNCTION("if(countif(ecn.list,DB85),OFFSET(INDIRECT(CONCAT(""A"",to_text(match(DB85,ecn.list,0)))),0,1),"""")"),"")</f>
        <v/>
      </c>
      <c r="AC85" s="236" t="str">
        <f>IFERROR(__xludf.DUMMYFUNCTION("if(countif(ecn.list,DC85),OFFSET(INDIRECT(CONCAT(""A"",to_text(match(DC85,ecn.list,0)))),0,1),"""")"),"")</f>
        <v/>
      </c>
      <c r="AD85" s="236" t="str">
        <f>IFERROR(__xludf.DUMMYFUNCTION("if(countif(ecn.list,DD85),OFFSET(INDIRECT(CONCAT(""A"",to_text(match(DD85,ecn.list,0)))),0,1),"""")"),"")</f>
        <v/>
      </c>
      <c r="AE85" s="236" t="str">
        <f>IFERROR(__xludf.DUMMYFUNCTION("if(countif(ecn.list,DE85),OFFSET(INDIRECT(CONCAT(""A"",to_text(match(DE85,ecn.list,0)))),0,1),"""")"),"K0 ")</f>
        <v>K0 </v>
      </c>
      <c r="AF85" s="236" t="str">
        <f>IFERROR(__xludf.DUMMYFUNCTION("if(countif(ecn.list,DF85),OFFSET(INDIRECT(CONCAT(""A"",to_text(match(DF85,ecn.list,0)))),0,1),"""")"),"")</f>
        <v/>
      </c>
      <c r="AG85" s="236" t="str">
        <f>IFERROR(__xludf.DUMMYFUNCTION("if(countif(ecn.list,DG85),OFFSET(INDIRECT(CONCAT(""A"",to_text(match(DG85,ecn.list,0)))),0,1),"""")"),"")</f>
        <v/>
      </c>
      <c r="AH85" s="236" t="str">
        <f>IFERROR(__xludf.DUMMYFUNCTION("if(countif(ecn.list,DH85),OFFSET(INDIRECT(CONCAT(""A"",to_text(match(DH85,ecn.list,0)))),0,1),"""")"),"K3 ")</f>
        <v>K3 </v>
      </c>
      <c r="AI85" s="236" t="str">
        <f>IFERROR(__xludf.DUMMYFUNCTION("if(countif(ecn.list,DI85),OFFSET(INDIRECT(CONCAT(""A"",to_text(match(DI85,ecn.list,0)))),0,1),"""")"),"K4 ")</f>
        <v>K4 </v>
      </c>
      <c r="AJ85" s="236" t="str">
        <f>IFERROR(__xludf.DUMMYFUNCTION("if(countif(ecn.list,DJ85),OFFSET(INDIRECT(CONCAT(""A"",to_text(match(DJ85,ecn.list,0)))),0,1),"""")"),"K5 ")</f>
        <v>K5 </v>
      </c>
      <c r="AK85" s="236" t="str">
        <f>IFERROR(__xludf.DUMMYFUNCTION("if(countif(ecn.list,DK85),OFFSET(INDIRECT(CONCAT(""A"",to_text(match(DK85,ecn.list,0)))),0,1),"""")"),"")</f>
        <v/>
      </c>
      <c r="AL85" s="236" t="str">
        <f>IFERROR(__xludf.DUMMYFUNCTION("if(countif(ecn.list,DL85),OFFSET(INDIRECT(CONCAT(""A"",to_text(match(DL85,ecn.list,0)))),0,1),"""")"),"K7 ")</f>
        <v>K7 </v>
      </c>
      <c r="AM85" s="236" t="str">
        <f>IFERROR(__xludf.DUMMYFUNCTION("if(countif(ecn.list,DM85),OFFSET(INDIRECT(CONCAT(""A"",to_text(match(DM85,ecn.list,0)))),0,1),"""")"),"")</f>
        <v/>
      </c>
      <c r="AN85" s="236" t="str">
        <f>IFERROR(__xludf.DUMMYFUNCTION("if(countif(ecn.list,DN85),OFFSET(INDIRECT(CONCAT(""A"",to_text(match(DN85,ecn.list,0)))),0,1),"""")"),"K9 ")</f>
        <v>K9 </v>
      </c>
      <c r="AO85" s="236" t="str">
        <f>IFERROR(__xludf.DUMMYFUNCTION("if(countif(ecn.list,DO85),OFFSET(INDIRECT(CONCAT(""A"",to_text(match(DO85,ecn.list,0)))),0,1),"""")"),"KA ")</f>
        <v>KA </v>
      </c>
      <c r="AP85" s="236" t="str">
        <f>IFERROR(__xludf.DUMMYFUNCTION("if(countif(ecn.list,DP85),OFFSET(INDIRECT(CONCAT(""A"",to_text(match(DP85,ecn.list,0)))),0,1),"""")"),"KB ")</f>
        <v>KB </v>
      </c>
      <c r="AQ85" s="236" t="str">
        <f>IFERROR(__xludf.DUMMYFUNCTION("if(countif(ecn.list,DQ85),OFFSET(INDIRECT(CONCAT(""A"",to_text(match(DQ85,ecn.list,0)))),0,1),"""")"),"KC ")</f>
        <v>KC </v>
      </c>
      <c r="AR85" s="236" t="str">
        <f>IFERROR(__xludf.DUMMYFUNCTION("if(countif(ecn.list,DR85),OFFSET(INDIRECT(CONCAT(""A"",to_text(match(DR85,ecn.list,0)))),0,1),"""")"),"KD ")</f>
        <v>KD </v>
      </c>
      <c r="AS85" s="236" t="str">
        <f>IFERROR(__xludf.DUMMYFUNCTION("if(countif(ecn.list,DS85),OFFSET(INDIRECT(CONCAT(""A"",to_text(match(DS85,ecn.list,0)))),0,1),"""")"),"")</f>
        <v/>
      </c>
      <c r="AT85" s="236" t="str">
        <f>IFERROR(__xludf.DUMMYFUNCTION("if(countif(ecn.list,DT85),OFFSET(INDIRECT(CONCAT(""A"",to_text(match(DT85,ecn.list,0)))),0,1),"""")"),"KF ")</f>
        <v>KF </v>
      </c>
      <c r="AU85" s="236" t="str">
        <f>IFERROR(__xludf.DUMMYFUNCTION("if(countif(ecn.list,DU85),OFFSET(INDIRECT(CONCAT(""A"",to_text(match(DU85,ecn.list,0)))),0,1),"""")"),"")</f>
        <v/>
      </c>
      <c r="AV85" s="236" t="str">
        <f>IFERROR(__xludf.DUMMYFUNCTION("if(countif(ecn.list,DV85),OFFSET(INDIRECT(CONCAT(""A"",to_text(match(DV85,ecn.list,0)))),0,1),"""")"),"L1 ")</f>
        <v>L1 </v>
      </c>
      <c r="AW85" s="236" t="str">
        <f>IFERROR(__xludf.DUMMYFUNCTION("if(countif(ecn.list,DW85),OFFSET(INDIRECT(CONCAT(""A"",to_text(match(DW85,ecn.list,0)))),0,1),"""")"),"")</f>
        <v/>
      </c>
      <c r="AX85" s="236" t="str">
        <f>IFERROR(__xludf.DUMMYFUNCTION("if(countif(ecn.list,DX85),OFFSET(INDIRECT(CONCAT(""A"",to_text(match(DX85,ecn.list,0)))),0,1),"""")"),"")</f>
        <v/>
      </c>
      <c r="AY85" s="236" t="str">
        <f>IFERROR(__xludf.DUMMYFUNCTION("if(countif(ecn.list,DY85),OFFSET(INDIRECT(CONCAT(""A"",to_text(match(DY85,ecn.list,0)))),0,1),"""")"),"")</f>
        <v/>
      </c>
      <c r="AZ85" s="236" t="str">
        <f>IFERROR(__xludf.DUMMYFUNCTION("if(countif(ecn.list,DZ85),OFFSET(INDIRECT(CONCAT(""A"",to_text(match(DZ85,ecn.list,0)))),0,1),"""")"),"")</f>
        <v/>
      </c>
      <c r="BA85" s="236" t="str">
        <f>IFERROR(__xludf.DUMMYFUNCTION("if(countif(ecn.list,EA85),OFFSET(INDIRECT(CONCAT(""A"",to_text(match(EA85,ecn.list,0)))),0,1),"""")"),"")</f>
        <v/>
      </c>
      <c r="BB85" s="236" t="str">
        <f>IFERROR(__xludf.DUMMYFUNCTION("if(countif(ecn.list,EB85),OFFSET(INDIRECT(CONCAT(""A"",to_text(match(EB85,ecn.list,0)))),0,1),"""")"),"")</f>
        <v/>
      </c>
      <c r="BC85" s="236" t="str">
        <f>IFERROR(__xludf.DUMMYFUNCTION("if(countif(ecn.list,EC85),OFFSET(INDIRECT(CONCAT(""A"",to_text(match(EC85,ecn.list,0)))),0,1),"""")"),"L8 ")</f>
        <v>L8 </v>
      </c>
      <c r="BD85" s="236" t="str">
        <f>IFERROR(__xludf.DUMMYFUNCTION("if(countif(ecn.list,ED85),OFFSET(INDIRECT(CONCAT(""A"",to_text(match(ED85,ecn.list,0)))),0,1),"""")"),"")</f>
        <v/>
      </c>
      <c r="BE85" s="236" t="str">
        <f>IFERROR(__xludf.DUMMYFUNCTION("if(countif(ecn.list,EE85),OFFSET(INDIRECT(CONCAT(""A"",to_text(match(EE85,ecn.list,0)))),0,1),"""")"),"LA ")</f>
        <v>LA </v>
      </c>
      <c r="BF85" s="236" t="str">
        <f>IFERROR(__xludf.DUMMYFUNCTION("if(countif(ecn.list,EF85),OFFSET(INDIRECT(CONCAT(""A"",to_text(match(EF85,ecn.list,0)))),0,1),"""")"),"")</f>
        <v/>
      </c>
      <c r="BG85" s="236" t="str">
        <f>IFERROR(__xludf.DUMMYFUNCTION("if(countif(ecn.list,EG85),OFFSET(INDIRECT(CONCAT(""A"",to_text(match(EG85,ecn.list,0)))),0,1),"""")"),"LC ")</f>
        <v>LC </v>
      </c>
      <c r="BH85" s="236" t="str">
        <f>IFERROR(__xludf.DUMMYFUNCTION("if(countif(ecn.list,EH85),OFFSET(INDIRECT(CONCAT(""A"",to_text(match(EH85,ecn.list,0)))),0,1),"""")"),"")</f>
        <v/>
      </c>
      <c r="BI85" s="236" t="str">
        <f>IFERROR(__xludf.DUMMYFUNCTION("if(countif(ecn.list,EI85),OFFSET(INDIRECT(CONCAT(""A"",to_text(match(EI85,ecn.list,0)))),0,1),"""")"),"")</f>
        <v/>
      </c>
      <c r="BJ85" s="236" t="str">
        <f>IFERROR(__xludf.DUMMYFUNCTION("if(countif(ecn.list,EJ85),OFFSET(INDIRECT(CONCAT(""A"",to_text(match(EJ85,ecn.list,0)))),0,1),"""")"),"LF ")</f>
        <v>LF </v>
      </c>
      <c r="BK85" s="236" t="str">
        <f>IFERROR(__xludf.DUMMYFUNCTION("if(countif(ecn.list,EK85),OFFSET(INDIRECT(CONCAT(""A"",to_text(match(EK85,ecn.list,0)))),0,1),"""")"),"M0 ")</f>
        <v>M0 </v>
      </c>
      <c r="BL85" s="236" t="str">
        <f>IFERROR(__xludf.DUMMYFUNCTION("if(countif(ecn.list,EL85),OFFSET(INDIRECT(CONCAT(""A"",to_text(match(EL85,ecn.list,0)))),0,1),"""")"),"M1 ")</f>
        <v>M1 </v>
      </c>
      <c r="BM85" s="236" t="str">
        <f>IFERROR(__xludf.DUMMYFUNCTION("if(countif(ecn.list,EM85),OFFSET(INDIRECT(CONCAT(""A"",to_text(match(EM85,ecn.list,0)))),0,1),"""")"),"")</f>
        <v/>
      </c>
      <c r="BN85" s="236" t="str">
        <f>IFERROR(__xludf.DUMMYFUNCTION("if(countif(ecn.list,EN85),OFFSET(INDIRECT(CONCAT(""A"",to_text(match(EN85,ecn.list,0)))),0,1),"""")"),"M3 ")</f>
        <v>M3 </v>
      </c>
      <c r="BO85" s="236" t="str">
        <f>IFERROR(__xludf.DUMMYFUNCTION("if(countif(ecn.list,EO85),OFFSET(INDIRECT(CONCAT(""A"",to_text(match(EO85,ecn.list,0)))),0,1),"""")"),"")</f>
        <v/>
      </c>
      <c r="BP85" s="236" t="str">
        <f>IFERROR(__xludf.DUMMYFUNCTION("if(countif(ecn.list,EP85),OFFSET(INDIRECT(CONCAT(""A"",to_text(match(EP85,ecn.list,0)))),0,1),"""")"),"")</f>
        <v/>
      </c>
      <c r="BQ85" s="236" t="str">
        <f>IFERROR(__xludf.DUMMYFUNCTION("if(countif(ecn.list,EQ85),OFFSET(INDIRECT(CONCAT(""A"",to_text(match(EQ85,ecn.list,0)))),0,1),"""")"),"")</f>
        <v/>
      </c>
      <c r="BR85" s="236" t="str">
        <f>IFERROR(__xludf.DUMMYFUNCTION("if(countif(ecn.list,ER85),OFFSET(INDIRECT(CONCAT(""A"",to_text(match(ER85,ecn.list,0)))),0,1),"""")"),"")</f>
        <v/>
      </c>
      <c r="BS85" s="236" t="str">
        <f>IFERROR(__xludf.DUMMYFUNCTION("if(countif(ecn.list,ES85),OFFSET(INDIRECT(CONCAT(""A"",to_text(match(ES85,ecn.list,0)))),0,1),"""")"),"M8 ")</f>
        <v>M8 </v>
      </c>
      <c r="BT85" s="236" t="str">
        <f>IFERROR(__xludf.DUMMYFUNCTION("if(countif(ecn.list,ET85),OFFSET(INDIRECT(CONCAT(""A"",to_text(match(ET85,ecn.list,0)))),0,1),"""")"),"")</f>
        <v/>
      </c>
      <c r="BU85" s="236" t="str">
        <f>IFERROR(__xludf.DUMMYFUNCTION("if(countif(ecn.list,EU85),OFFSET(INDIRECT(CONCAT(""A"",to_text(match(EU85,ecn.list,0)))),0,1),"""")"),"")</f>
        <v/>
      </c>
      <c r="BV85" s="236" t="str">
        <f>IFERROR(__xludf.DUMMYFUNCTION("if(countif(ecn.list,EV85),OFFSET(INDIRECT(CONCAT(""A"",to_text(match(EV85,ecn.list,0)))),0,1),"""")"),"MB ")</f>
        <v>MB </v>
      </c>
      <c r="BW85" s="236" t="str">
        <f>IFERROR(__xludf.DUMMYFUNCTION("if(countif(ecn.list,EW85),OFFSET(INDIRECT(CONCAT(""A"",to_text(match(EW85,ecn.list,0)))),0,1),"""")"),"")</f>
        <v/>
      </c>
      <c r="BX85" s="236" t="str">
        <f>IFERROR(__xludf.DUMMYFUNCTION("if(countif(ecn.list,EX85),OFFSET(INDIRECT(CONCAT(""A"",to_text(match(EX85,ecn.list,0)))),0,1),"""")"),"")</f>
        <v/>
      </c>
      <c r="BY85" s="236" t="str">
        <f>IFERROR(__xludf.DUMMYFUNCTION("if(countif(ecn.list,EY85),OFFSET(INDIRECT(CONCAT(""A"",to_text(match(EY85,ecn.list,0)))),0,1),"""")"),"")</f>
        <v/>
      </c>
      <c r="BZ85" s="236" t="str">
        <f>IFERROR(__xludf.DUMMYFUNCTION("if(countif(ecn.list,EZ85),OFFSET(INDIRECT(CONCAT(""A"",to_text(match(EZ85,ecn.list,0)))),0,1),"""")"),"MF ")</f>
        <v>MF </v>
      </c>
      <c r="CA85" s="236" t="str">
        <f>IFERROR(__xludf.DUMMYFUNCTION("if(countif(ecn.list,FA85),OFFSET(INDIRECT(CONCAT(""A"",to_text(match(FA85,ecn.list,0)))),0,1),"""")"),"")</f>
        <v/>
      </c>
      <c r="CB85" s="236" t="str">
        <f>IFERROR(__xludf.DUMMYFUNCTION("if(countif(ecn.list,FB85),OFFSET(INDIRECT(CONCAT(""A"",to_text(match(FB85,ecn.list,0)))),0,1),"""")"),"")</f>
        <v/>
      </c>
      <c r="CC85" s="236" t="str">
        <f>IFERROR(__xludf.DUMMYFUNCTION("if(countif(ecn.list,FC85),OFFSET(INDIRECT(CONCAT(""A"",to_text(match(FC85,ecn.list,0)))),0,1),"""")"),"N2 ")</f>
        <v>N2 </v>
      </c>
      <c r="CD85" s="236" t="str">
        <f>IFERROR(__xludf.DUMMYFUNCTION("if(countif(ecn.list,FD85),OFFSET(INDIRECT(CONCAT(""A"",to_text(match(FD85,ecn.list,0)))),0,1),"""")"),"")</f>
        <v/>
      </c>
      <c r="CE85" s="236" t="str">
        <f>IFERROR(__xludf.DUMMYFUNCTION("if(countif(ecn.list,FE85),OFFSET(INDIRECT(CONCAT(""A"",to_text(match(FE85,ecn.list,0)))),0,1),"""")"),"")</f>
        <v/>
      </c>
      <c r="CF85" s="236" t="str">
        <f>IFERROR(__xludf.DUMMYFUNCTION("if(countif(ecn.list,FF85),OFFSET(INDIRECT(CONCAT(""A"",to_text(match(FF85,ecn.list,0)))),0,1),"""")"),"")</f>
        <v/>
      </c>
      <c r="CG85" s="236" t="str">
        <f>IFERROR(__xludf.DUMMYFUNCTION("if(countif(ecn.list,FG85),OFFSET(INDIRECT(CONCAT(""A"",to_text(match(FG85,ecn.list,0)))),0,1),"""")"),"")</f>
        <v/>
      </c>
      <c r="CH85" s="236" t="str">
        <f>IFERROR(__xludf.DUMMYFUNCTION("if(countif(ecn.list,FH85),OFFSET(INDIRECT(CONCAT(""A"",to_text(match(FH85,ecn.list,0)))),0,1),"""")"),"N7 ")</f>
        <v>N7 </v>
      </c>
      <c r="CI85" s="236" t="str">
        <f>IFERROR(__xludf.DUMMYFUNCTION("if(countif(ecn.list,FI85),OFFSET(INDIRECT(CONCAT(""A"",to_text(match(FI85,ecn.list,0)))),0,1),"""")"),"")</f>
        <v/>
      </c>
      <c r="CJ85" s="236" t="str">
        <f>IFERROR(__xludf.DUMMYFUNCTION("if(countif(ecn.list,FJ85),OFFSET(INDIRECT(CONCAT(""A"",to_text(match(FJ85,ecn.list,0)))),0,1),"""")"),"")</f>
        <v/>
      </c>
      <c r="CK85" s="236" t="str">
        <f>IFERROR(__xludf.DUMMYFUNCTION("if(countif(ecn.list,FK85),OFFSET(INDIRECT(CONCAT(""A"",to_text(match(FK85,ecn.list,0)))),0,1),"""")"),"NA ")</f>
        <v>NA </v>
      </c>
      <c r="CL85" s="236" t="str">
        <f>IFERROR(__xludf.DUMMYFUNCTION("if(countif(ecn.list,FL85),OFFSET(INDIRECT(CONCAT(""A"",to_text(match(FL85,ecn.list,0)))),0,1),"""")"),"")</f>
        <v/>
      </c>
      <c r="CM85" s="236" t="str">
        <f>IFERROR(__xludf.DUMMYFUNCTION("if(countif(ecn.list,FM85),OFFSET(INDIRECT(CONCAT(""A"",to_text(match(FM85,ecn.list,0)))),0,1),"""")"),"")</f>
        <v/>
      </c>
      <c r="CN85" s="198" t="s">
        <v>327</v>
      </c>
      <c r="CO85" s="198" t="s">
        <v>1447</v>
      </c>
      <c r="CP85" s="198" t="s">
        <v>1451</v>
      </c>
      <c r="CQ85" s="198" t="s">
        <v>1452</v>
      </c>
      <c r="CR85" s="198" t="s">
        <v>1453</v>
      </c>
      <c r="CS85" s="198" t="s">
        <v>1453</v>
      </c>
      <c r="CT85" s="198" t="s">
        <v>1454</v>
      </c>
      <c r="CU85" s="198" t="s">
        <v>1455</v>
      </c>
      <c r="CV85" s="198" t="s">
        <v>1456</v>
      </c>
      <c r="CW85" s="198" t="s">
        <v>1453</v>
      </c>
      <c r="CX85" s="198" t="s">
        <v>1453</v>
      </c>
      <c r="CY85" s="198" t="s">
        <v>1484</v>
      </c>
      <c r="CZ85" s="198" t="s">
        <v>1453</v>
      </c>
      <c r="DA85" s="198" t="s">
        <v>1457</v>
      </c>
      <c r="DB85" s="198" t="s">
        <v>1453</v>
      </c>
      <c r="DC85" s="198" t="s">
        <v>1453</v>
      </c>
      <c r="DD85" s="198" t="s">
        <v>1453</v>
      </c>
      <c r="DE85" s="198" t="s">
        <v>1459</v>
      </c>
      <c r="DF85" s="198" t="s">
        <v>1453</v>
      </c>
      <c r="DG85" s="198" t="s">
        <v>1453</v>
      </c>
      <c r="DH85" s="198" t="s">
        <v>1500</v>
      </c>
      <c r="DI85" s="198" t="s">
        <v>1501</v>
      </c>
      <c r="DJ85" s="198" t="s">
        <v>1460</v>
      </c>
      <c r="DK85" s="198" t="s">
        <v>1453</v>
      </c>
      <c r="DL85" s="198" t="s">
        <v>1461</v>
      </c>
      <c r="DM85" s="198" t="s">
        <v>1453</v>
      </c>
      <c r="DN85" s="198" t="s">
        <v>1463</v>
      </c>
      <c r="DO85" s="198" t="s">
        <v>1464</v>
      </c>
      <c r="DP85" s="198" t="s">
        <v>1465</v>
      </c>
      <c r="DQ85" s="198" t="s">
        <v>1466</v>
      </c>
      <c r="DR85" s="198" t="s">
        <v>1467</v>
      </c>
      <c r="DS85" s="198" t="s">
        <v>1453</v>
      </c>
      <c r="DT85" s="198" t="s">
        <v>1468</v>
      </c>
      <c r="DU85" s="198" t="s">
        <v>1453</v>
      </c>
      <c r="DV85" s="198" t="s">
        <v>1469</v>
      </c>
      <c r="DW85" s="198" t="s">
        <v>1453</v>
      </c>
      <c r="DX85" s="198" t="s">
        <v>1453</v>
      </c>
      <c r="DY85" s="198" t="s">
        <v>1453</v>
      </c>
      <c r="DZ85" s="198" t="s">
        <v>1453</v>
      </c>
      <c r="EA85" s="198" t="s">
        <v>1453</v>
      </c>
      <c r="EB85" s="198" t="s">
        <v>1453</v>
      </c>
      <c r="EC85" s="198" t="s">
        <v>1483</v>
      </c>
      <c r="ED85" s="198" t="s">
        <v>1453</v>
      </c>
      <c r="EE85" s="198" t="s">
        <v>1470</v>
      </c>
      <c r="EF85" s="198" t="s">
        <v>1453</v>
      </c>
      <c r="EG85" s="198" t="s">
        <v>1471</v>
      </c>
      <c r="EH85" s="198" t="s">
        <v>1453</v>
      </c>
      <c r="EI85" s="198" t="s">
        <v>1453</v>
      </c>
      <c r="EJ85" s="198" t="s">
        <v>1472</v>
      </c>
      <c r="EK85" s="198" t="s">
        <v>1487</v>
      </c>
      <c r="EL85" s="198" t="s">
        <v>1473</v>
      </c>
      <c r="EM85" s="198" t="s">
        <v>1453</v>
      </c>
      <c r="EN85" s="198" t="s">
        <v>1474</v>
      </c>
      <c r="EO85" s="198" t="s">
        <v>1453</v>
      </c>
      <c r="EP85" s="198" t="s">
        <v>1453</v>
      </c>
      <c r="EQ85" s="198" t="s">
        <v>1453</v>
      </c>
      <c r="ER85" s="198" t="s">
        <v>1453</v>
      </c>
      <c r="ES85" s="198" t="s">
        <v>1505</v>
      </c>
      <c r="ET85" s="198" t="s">
        <v>1453</v>
      </c>
      <c r="EU85" s="198" t="s">
        <v>1453</v>
      </c>
      <c r="EV85" s="198" t="s">
        <v>1476</v>
      </c>
      <c r="EW85" s="198" t="s">
        <v>1453</v>
      </c>
      <c r="EX85" s="198" t="s">
        <v>1453</v>
      </c>
      <c r="EY85" s="198" t="s">
        <v>1453</v>
      </c>
      <c r="EZ85" s="198" t="s">
        <v>1477</v>
      </c>
      <c r="FA85" s="198" t="s">
        <v>1453</v>
      </c>
      <c r="FB85" s="198" t="s">
        <v>1453</v>
      </c>
      <c r="FC85" s="198" t="s">
        <v>1478</v>
      </c>
      <c r="FD85" s="198" t="s">
        <v>1453</v>
      </c>
      <c r="FE85" s="198" t="s">
        <v>1453</v>
      </c>
      <c r="FF85" s="198" t="s">
        <v>1453</v>
      </c>
      <c r="FG85" s="198" t="s">
        <v>1453</v>
      </c>
      <c r="FH85" s="198" t="s">
        <v>1479</v>
      </c>
      <c r="FI85" s="198" t="s">
        <v>1453</v>
      </c>
      <c r="FJ85" s="198" t="s">
        <v>1453</v>
      </c>
      <c r="FK85" s="198" t="s">
        <v>1481</v>
      </c>
      <c r="FL85" s="198" t="s">
        <v>1482</v>
      </c>
      <c r="FM85" s="198" t="s">
        <v>1453</v>
      </c>
    </row>
    <row r="86" ht="15.75" customHeight="1">
      <c r="A86" s="198"/>
      <c r="B86" s="198"/>
      <c r="C86" s="234"/>
      <c r="D86" s="232" t="s">
        <v>770</v>
      </c>
      <c r="E86" s="232" t="s">
        <v>1448</v>
      </c>
      <c r="F86" s="232" t="s">
        <v>1449</v>
      </c>
      <c r="G86" s="232" t="s">
        <v>1450</v>
      </c>
      <c r="H86" s="232" t="s">
        <v>876</v>
      </c>
      <c r="I86" s="232" t="s">
        <v>812</v>
      </c>
      <c r="J86" s="232" t="s">
        <v>859</v>
      </c>
      <c r="K86" s="232" t="s">
        <v>1122</v>
      </c>
      <c r="L86" s="188" t="s">
        <v>330</v>
      </c>
      <c r="M86" s="236" t="str">
        <f>IFERROR(__xludf.DUMMYFUNCTION("regexreplace(N86,"" "","", "")"),"J0, J1, J2, J5, J6, J7, JA, JC, K0, K3, K4, K5, K7, K9, KA, KB, KC, KD, KF, L1, L8, LA, LC, LF, M0, M1, M3, M8, MB, MD, MF, N2, N7, NA, ")</f>
        <v>J0, J1, J2, J5, J6, J7, JA, JC, K0, K3, K4, K5, K7, K9, KA, KB, KC, KD, KF, L1, L8, LA, LC, LF, M0, M1, M3, M8, MB, MD, MF, N2, N7, NA, </v>
      </c>
      <c r="N86" s="236" t="str">
        <f t="shared" si="2"/>
        <v>J0 J1 J2 J5 J6 J7 JA JC K0 K3 K4 K5 K7 K9 KA KB KC KD KF L1 L8 LA LC LF M0 M1 M3 M8 MB MD MF N2 N7 NA </v>
      </c>
      <c r="O86" s="236" t="str">
        <f>IFERROR(__xludf.DUMMYFUNCTION("if(countif(ecn.list,CO86),OFFSET(INDIRECT(CONCAT(""A"",to_text(match(CO86,ecn.list,0)))),0,1),"""")"),"J0 ")</f>
        <v>J0 </v>
      </c>
      <c r="P86" s="236" t="str">
        <f>IFERROR(__xludf.DUMMYFUNCTION("if(countif(ecn.list,CP86),OFFSET(INDIRECT(CONCAT(""A"",to_text(match(CP86,ecn.list,0)))),0,1),"""")"),"J1 ")</f>
        <v>J1 </v>
      </c>
      <c r="Q86" s="236" t="str">
        <f>IFERROR(__xludf.DUMMYFUNCTION("if(countif(ecn.list,CQ86),OFFSET(INDIRECT(CONCAT(""A"",to_text(match(CQ86,ecn.list,0)))),0,1),"""")"),"J2 ")</f>
        <v>J2 </v>
      </c>
      <c r="R86" s="236" t="str">
        <f>IFERROR(__xludf.DUMMYFUNCTION("if(countif(ecn.list,CR86),OFFSET(INDIRECT(CONCAT(""A"",to_text(match(CR86,ecn.list,0)))),0,1),"""")"),"")</f>
        <v/>
      </c>
      <c r="S86" s="236" t="str">
        <f>IFERROR(__xludf.DUMMYFUNCTION("if(countif(ecn.list,CS86),OFFSET(INDIRECT(CONCAT(""A"",to_text(match(CS86,ecn.list,0)))),0,1),"""")"),"")</f>
        <v/>
      </c>
      <c r="T86" s="236" t="str">
        <f>IFERROR(__xludf.DUMMYFUNCTION("if(countif(ecn.list,CT86),OFFSET(INDIRECT(CONCAT(""A"",to_text(match(CT86,ecn.list,0)))),0,1),"""")"),"J5 ")</f>
        <v>J5 </v>
      </c>
      <c r="U86" s="236" t="str">
        <f>IFERROR(__xludf.DUMMYFUNCTION("if(countif(ecn.list,CU86),OFFSET(INDIRECT(CONCAT(""A"",to_text(match(CU86,ecn.list,0)))),0,1),"""")"),"J6 ")</f>
        <v>J6 </v>
      </c>
      <c r="V86" s="236" t="str">
        <f>IFERROR(__xludf.DUMMYFUNCTION("if(countif(ecn.list,CV86),OFFSET(INDIRECT(CONCAT(""A"",to_text(match(CV86,ecn.list,0)))),0,1),"""")"),"J7 ")</f>
        <v>J7 </v>
      </c>
      <c r="W86" s="236" t="str">
        <f>IFERROR(__xludf.DUMMYFUNCTION("if(countif(ecn.list,CW86),OFFSET(INDIRECT(CONCAT(""A"",to_text(match(CW86,ecn.list,0)))),0,1),"""")"),"")</f>
        <v/>
      </c>
      <c r="X86" s="236" t="str">
        <f>IFERROR(__xludf.DUMMYFUNCTION("if(countif(ecn.list,CX86),OFFSET(INDIRECT(CONCAT(""A"",to_text(match(CX86,ecn.list,0)))),0,1),"""")"),"")</f>
        <v/>
      </c>
      <c r="Y86" s="236" t="str">
        <f>IFERROR(__xludf.DUMMYFUNCTION("if(countif(ecn.list,CY86),OFFSET(INDIRECT(CONCAT(""A"",to_text(match(CY86,ecn.list,0)))),0,1),"""")"),"JA ")</f>
        <v>JA </v>
      </c>
      <c r="Z86" s="236" t="str">
        <f>IFERROR(__xludf.DUMMYFUNCTION("if(countif(ecn.list,CZ86),OFFSET(INDIRECT(CONCAT(""A"",to_text(match(CZ86,ecn.list,0)))),0,1),"""")"),"")</f>
        <v/>
      </c>
      <c r="AA86" s="236" t="str">
        <f>IFERROR(__xludf.DUMMYFUNCTION("if(countif(ecn.list,DA86),OFFSET(INDIRECT(CONCAT(""A"",to_text(match(DA86,ecn.list,0)))),0,1),"""")"),"JC ")</f>
        <v>JC </v>
      </c>
      <c r="AB86" s="236" t="str">
        <f>IFERROR(__xludf.DUMMYFUNCTION("if(countif(ecn.list,DB86),OFFSET(INDIRECT(CONCAT(""A"",to_text(match(DB86,ecn.list,0)))),0,1),"""")"),"")</f>
        <v/>
      </c>
      <c r="AC86" s="236" t="str">
        <f>IFERROR(__xludf.DUMMYFUNCTION("if(countif(ecn.list,DC86),OFFSET(INDIRECT(CONCAT(""A"",to_text(match(DC86,ecn.list,0)))),0,1),"""")"),"")</f>
        <v/>
      </c>
      <c r="AD86" s="236" t="str">
        <f>IFERROR(__xludf.DUMMYFUNCTION("if(countif(ecn.list,DD86),OFFSET(INDIRECT(CONCAT(""A"",to_text(match(DD86,ecn.list,0)))),0,1),"""")"),"")</f>
        <v/>
      </c>
      <c r="AE86" s="236" t="str">
        <f>IFERROR(__xludf.DUMMYFUNCTION("if(countif(ecn.list,DE86),OFFSET(INDIRECT(CONCAT(""A"",to_text(match(DE86,ecn.list,0)))),0,1),"""")"),"K0 ")</f>
        <v>K0 </v>
      </c>
      <c r="AF86" s="236" t="str">
        <f>IFERROR(__xludf.DUMMYFUNCTION("if(countif(ecn.list,DF86),OFFSET(INDIRECT(CONCAT(""A"",to_text(match(DF86,ecn.list,0)))),0,1),"""")"),"")</f>
        <v/>
      </c>
      <c r="AG86" s="236" t="str">
        <f>IFERROR(__xludf.DUMMYFUNCTION("if(countif(ecn.list,DG86),OFFSET(INDIRECT(CONCAT(""A"",to_text(match(DG86,ecn.list,0)))),0,1),"""")"),"")</f>
        <v/>
      </c>
      <c r="AH86" s="236" t="str">
        <f>IFERROR(__xludf.DUMMYFUNCTION("if(countif(ecn.list,DH86),OFFSET(INDIRECT(CONCAT(""A"",to_text(match(DH86,ecn.list,0)))),0,1),"""")"),"K3 ")</f>
        <v>K3 </v>
      </c>
      <c r="AI86" s="236" t="str">
        <f>IFERROR(__xludf.DUMMYFUNCTION("if(countif(ecn.list,DI86),OFFSET(INDIRECT(CONCAT(""A"",to_text(match(DI86,ecn.list,0)))),0,1),"""")"),"K4 ")</f>
        <v>K4 </v>
      </c>
      <c r="AJ86" s="236" t="str">
        <f>IFERROR(__xludf.DUMMYFUNCTION("if(countif(ecn.list,DJ86),OFFSET(INDIRECT(CONCAT(""A"",to_text(match(DJ86,ecn.list,0)))),0,1),"""")"),"K5 ")</f>
        <v>K5 </v>
      </c>
      <c r="AK86" s="236" t="str">
        <f>IFERROR(__xludf.DUMMYFUNCTION("if(countif(ecn.list,DK86),OFFSET(INDIRECT(CONCAT(""A"",to_text(match(DK86,ecn.list,0)))),0,1),"""")"),"")</f>
        <v/>
      </c>
      <c r="AL86" s="236" t="str">
        <f>IFERROR(__xludf.DUMMYFUNCTION("if(countif(ecn.list,DL86),OFFSET(INDIRECT(CONCAT(""A"",to_text(match(DL86,ecn.list,0)))),0,1),"""")"),"K7 ")</f>
        <v>K7 </v>
      </c>
      <c r="AM86" s="236" t="str">
        <f>IFERROR(__xludf.DUMMYFUNCTION("if(countif(ecn.list,DM86),OFFSET(INDIRECT(CONCAT(""A"",to_text(match(DM86,ecn.list,0)))),0,1),"""")"),"")</f>
        <v/>
      </c>
      <c r="AN86" s="236" t="str">
        <f>IFERROR(__xludf.DUMMYFUNCTION("if(countif(ecn.list,DN86),OFFSET(INDIRECT(CONCAT(""A"",to_text(match(DN86,ecn.list,0)))),0,1),"""")"),"K9 ")</f>
        <v>K9 </v>
      </c>
      <c r="AO86" s="236" t="str">
        <f>IFERROR(__xludf.DUMMYFUNCTION("if(countif(ecn.list,DO86),OFFSET(INDIRECT(CONCAT(""A"",to_text(match(DO86,ecn.list,0)))),0,1),"""")"),"KA ")</f>
        <v>KA </v>
      </c>
      <c r="AP86" s="236" t="str">
        <f>IFERROR(__xludf.DUMMYFUNCTION("if(countif(ecn.list,DP86),OFFSET(INDIRECT(CONCAT(""A"",to_text(match(DP86,ecn.list,0)))),0,1),"""")"),"KB ")</f>
        <v>KB </v>
      </c>
      <c r="AQ86" s="236" t="str">
        <f>IFERROR(__xludf.DUMMYFUNCTION("if(countif(ecn.list,DQ86),OFFSET(INDIRECT(CONCAT(""A"",to_text(match(DQ86,ecn.list,0)))),0,1),"""")"),"KC ")</f>
        <v>KC </v>
      </c>
      <c r="AR86" s="236" t="str">
        <f>IFERROR(__xludf.DUMMYFUNCTION("if(countif(ecn.list,DR86),OFFSET(INDIRECT(CONCAT(""A"",to_text(match(DR86,ecn.list,0)))),0,1),"""")"),"KD ")</f>
        <v>KD </v>
      </c>
      <c r="AS86" s="236" t="str">
        <f>IFERROR(__xludf.DUMMYFUNCTION("if(countif(ecn.list,DS86),OFFSET(INDIRECT(CONCAT(""A"",to_text(match(DS86,ecn.list,0)))),0,1),"""")"),"")</f>
        <v/>
      </c>
      <c r="AT86" s="236" t="str">
        <f>IFERROR(__xludf.DUMMYFUNCTION("if(countif(ecn.list,DT86),OFFSET(INDIRECT(CONCAT(""A"",to_text(match(DT86,ecn.list,0)))),0,1),"""")"),"KF ")</f>
        <v>KF </v>
      </c>
      <c r="AU86" s="236" t="str">
        <f>IFERROR(__xludf.DUMMYFUNCTION("if(countif(ecn.list,DU86),OFFSET(INDIRECT(CONCAT(""A"",to_text(match(DU86,ecn.list,0)))),0,1),"""")"),"")</f>
        <v/>
      </c>
      <c r="AV86" s="236" t="str">
        <f>IFERROR(__xludf.DUMMYFUNCTION("if(countif(ecn.list,DV86),OFFSET(INDIRECT(CONCAT(""A"",to_text(match(DV86,ecn.list,0)))),0,1),"""")"),"L1 ")</f>
        <v>L1 </v>
      </c>
      <c r="AW86" s="236" t="str">
        <f>IFERROR(__xludf.DUMMYFUNCTION("if(countif(ecn.list,DW86),OFFSET(INDIRECT(CONCAT(""A"",to_text(match(DW86,ecn.list,0)))),0,1),"""")"),"")</f>
        <v/>
      </c>
      <c r="AX86" s="236" t="str">
        <f>IFERROR(__xludf.DUMMYFUNCTION("if(countif(ecn.list,DX86),OFFSET(INDIRECT(CONCAT(""A"",to_text(match(DX86,ecn.list,0)))),0,1),"""")"),"")</f>
        <v/>
      </c>
      <c r="AY86" s="236" t="str">
        <f>IFERROR(__xludf.DUMMYFUNCTION("if(countif(ecn.list,DY86),OFFSET(INDIRECT(CONCAT(""A"",to_text(match(DY86,ecn.list,0)))),0,1),"""")"),"")</f>
        <v/>
      </c>
      <c r="AZ86" s="236" t="str">
        <f>IFERROR(__xludf.DUMMYFUNCTION("if(countif(ecn.list,DZ86),OFFSET(INDIRECT(CONCAT(""A"",to_text(match(DZ86,ecn.list,0)))),0,1),"""")"),"")</f>
        <v/>
      </c>
      <c r="BA86" s="236" t="str">
        <f>IFERROR(__xludf.DUMMYFUNCTION("if(countif(ecn.list,EA86),OFFSET(INDIRECT(CONCAT(""A"",to_text(match(EA86,ecn.list,0)))),0,1),"""")"),"")</f>
        <v/>
      </c>
      <c r="BB86" s="236" t="str">
        <f>IFERROR(__xludf.DUMMYFUNCTION("if(countif(ecn.list,EB86),OFFSET(INDIRECT(CONCAT(""A"",to_text(match(EB86,ecn.list,0)))),0,1),"""")"),"")</f>
        <v/>
      </c>
      <c r="BC86" s="236" t="str">
        <f>IFERROR(__xludf.DUMMYFUNCTION("if(countif(ecn.list,EC86),OFFSET(INDIRECT(CONCAT(""A"",to_text(match(EC86,ecn.list,0)))),0,1),"""")"),"L8 ")</f>
        <v>L8 </v>
      </c>
      <c r="BD86" s="236" t="str">
        <f>IFERROR(__xludf.DUMMYFUNCTION("if(countif(ecn.list,ED86),OFFSET(INDIRECT(CONCAT(""A"",to_text(match(ED86,ecn.list,0)))),0,1),"""")"),"")</f>
        <v/>
      </c>
      <c r="BE86" s="236" t="str">
        <f>IFERROR(__xludf.DUMMYFUNCTION("if(countif(ecn.list,EE86),OFFSET(INDIRECT(CONCAT(""A"",to_text(match(EE86,ecn.list,0)))),0,1),"""")"),"LA ")</f>
        <v>LA </v>
      </c>
      <c r="BF86" s="236" t="str">
        <f>IFERROR(__xludf.DUMMYFUNCTION("if(countif(ecn.list,EF86),OFFSET(INDIRECT(CONCAT(""A"",to_text(match(EF86,ecn.list,0)))),0,1),"""")"),"")</f>
        <v/>
      </c>
      <c r="BG86" s="236" t="str">
        <f>IFERROR(__xludf.DUMMYFUNCTION("if(countif(ecn.list,EG86),OFFSET(INDIRECT(CONCAT(""A"",to_text(match(EG86,ecn.list,0)))),0,1),"""")"),"LC ")</f>
        <v>LC </v>
      </c>
      <c r="BH86" s="236" t="str">
        <f>IFERROR(__xludf.DUMMYFUNCTION("if(countif(ecn.list,EH86),OFFSET(INDIRECT(CONCAT(""A"",to_text(match(EH86,ecn.list,0)))),0,1),"""")"),"")</f>
        <v/>
      </c>
      <c r="BI86" s="236" t="str">
        <f>IFERROR(__xludf.DUMMYFUNCTION("if(countif(ecn.list,EI86),OFFSET(INDIRECT(CONCAT(""A"",to_text(match(EI86,ecn.list,0)))),0,1),"""")"),"")</f>
        <v/>
      </c>
      <c r="BJ86" s="236" t="str">
        <f>IFERROR(__xludf.DUMMYFUNCTION("if(countif(ecn.list,EJ86),OFFSET(INDIRECT(CONCAT(""A"",to_text(match(EJ86,ecn.list,0)))),0,1),"""")"),"LF ")</f>
        <v>LF </v>
      </c>
      <c r="BK86" s="236" t="str">
        <f>IFERROR(__xludf.DUMMYFUNCTION("if(countif(ecn.list,EK86),OFFSET(INDIRECT(CONCAT(""A"",to_text(match(EK86,ecn.list,0)))),0,1),"""")"),"M0 ")</f>
        <v>M0 </v>
      </c>
      <c r="BL86" s="236" t="str">
        <f>IFERROR(__xludf.DUMMYFUNCTION("if(countif(ecn.list,EL86),OFFSET(INDIRECT(CONCAT(""A"",to_text(match(EL86,ecn.list,0)))),0,1),"""")"),"M1 ")</f>
        <v>M1 </v>
      </c>
      <c r="BM86" s="236" t="str">
        <f>IFERROR(__xludf.DUMMYFUNCTION("if(countif(ecn.list,EM86),OFFSET(INDIRECT(CONCAT(""A"",to_text(match(EM86,ecn.list,0)))),0,1),"""")"),"")</f>
        <v/>
      </c>
      <c r="BN86" s="236" t="str">
        <f>IFERROR(__xludf.DUMMYFUNCTION("if(countif(ecn.list,EN86),OFFSET(INDIRECT(CONCAT(""A"",to_text(match(EN86,ecn.list,0)))),0,1),"""")"),"M3 ")</f>
        <v>M3 </v>
      </c>
      <c r="BO86" s="236" t="str">
        <f>IFERROR(__xludf.DUMMYFUNCTION("if(countif(ecn.list,EO86),OFFSET(INDIRECT(CONCAT(""A"",to_text(match(EO86,ecn.list,0)))),0,1),"""")"),"")</f>
        <v/>
      </c>
      <c r="BP86" s="236" t="str">
        <f>IFERROR(__xludf.DUMMYFUNCTION("if(countif(ecn.list,EP86),OFFSET(INDIRECT(CONCAT(""A"",to_text(match(EP86,ecn.list,0)))),0,1),"""")"),"")</f>
        <v/>
      </c>
      <c r="BQ86" s="236" t="str">
        <f>IFERROR(__xludf.DUMMYFUNCTION("if(countif(ecn.list,EQ86),OFFSET(INDIRECT(CONCAT(""A"",to_text(match(EQ86,ecn.list,0)))),0,1),"""")"),"")</f>
        <v/>
      </c>
      <c r="BR86" s="236" t="str">
        <f>IFERROR(__xludf.DUMMYFUNCTION("if(countif(ecn.list,ER86),OFFSET(INDIRECT(CONCAT(""A"",to_text(match(ER86,ecn.list,0)))),0,1),"""")"),"")</f>
        <v/>
      </c>
      <c r="BS86" s="236" t="str">
        <f>IFERROR(__xludf.DUMMYFUNCTION("if(countif(ecn.list,ES86),OFFSET(INDIRECT(CONCAT(""A"",to_text(match(ES86,ecn.list,0)))),0,1),"""")"),"M8 ")</f>
        <v>M8 </v>
      </c>
      <c r="BT86" s="236" t="str">
        <f>IFERROR(__xludf.DUMMYFUNCTION("if(countif(ecn.list,ET86),OFFSET(INDIRECT(CONCAT(""A"",to_text(match(ET86,ecn.list,0)))),0,1),"""")"),"")</f>
        <v/>
      </c>
      <c r="BU86" s="236" t="str">
        <f>IFERROR(__xludf.DUMMYFUNCTION("if(countif(ecn.list,EU86),OFFSET(INDIRECT(CONCAT(""A"",to_text(match(EU86,ecn.list,0)))),0,1),"""")"),"")</f>
        <v/>
      </c>
      <c r="BV86" s="236" t="str">
        <f>IFERROR(__xludf.DUMMYFUNCTION("if(countif(ecn.list,EV86),OFFSET(INDIRECT(CONCAT(""A"",to_text(match(EV86,ecn.list,0)))),0,1),"""")"),"MB ")</f>
        <v>MB </v>
      </c>
      <c r="BW86" s="236" t="str">
        <f>IFERROR(__xludf.DUMMYFUNCTION("if(countif(ecn.list,EW86),OFFSET(INDIRECT(CONCAT(""A"",to_text(match(EW86,ecn.list,0)))),0,1),"""")"),"")</f>
        <v/>
      </c>
      <c r="BX86" s="236" t="str">
        <f>IFERROR(__xludf.DUMMYFUNCTION("if(countif(ecn.list,EX86),OFFSET(INDIRECT(CONCAT(""A"",to_text(match(EX86,ecn.list,0)))),0,1),"""")"),"MD ")</f>
        <v>MD </v>
      </c>
      <c r="BY86" s="236" t="str">
        <f>IFERROR(__xludf.DUMMYFUNCTION("if(countif(ecn.list,EY86),OFFSET(INDIRECT(CONCAT(""A"",to_text(match(EY86,ecn.list,0)))),0,1),"""")"),"")</f>
        <v/>
      </c>
      <c r="BZ86" s="236" t="str">
        <f>IFERROR(__xludf.DUMMYFUNCTION("if(countif(ecn.list,EZ86),OFFSET(INDIRECT(CONCAT(""A"",to_text(match(EZ86,ecn.list,0)))),0,1),"""")"),"MF ")</f>
        <v>MF </v>
      </c>
      <c r="CA86" s="236" t="str">
        <f>IFERROR(__xludf.DUMMYFUNCTION("if(countif(ecn.list,FA86),OFFSET(INDIRECT(CONCAT(""A"",to_text(match(FA86,ecn.list,0)))),0,1),"""")"),"")</f>
        <v/>
      </c>
      <c r="CB86" s="236" t="str">
        <f>IFERROR(__xludf.DUMMYFUNCTION("if(countif(ecn.list,FB86),OFFSET(INDIRECT(CONCAT(""A"",to_text(match(FB86,ecn.list,0)))),0,1),"""")"),"")</f>
        <v/>
      </c>
      <c r="CC86" s="236" t="str">
        <f>IFERROR(__xludf.DUMMYFUNCTION("if(countif(ecn.list,FC86),OFFSET(INDIRECT(CONCAT(""A"",to_text(match(FC86,ecn.list,0)))),0,1),"""")"),"N2 ")</f>
        <v>N2 </v>
      </c>
      <c r="CD86" s="236" t="str">
        <f>IFERROR(__xludf.DUMMYFUNCTION("if(countif(ecn.list,FD86),OFFSET(INDIRECT(CONCAT(""A"",to_text(match(FD86,ecn.list,0)))),0,1),"""")"),"")</f>
        <v/>
      </c>
      <c r="CE86" s="236" t="str">
        <f>IFERROR(__xludf.DUMMYFUNCTION("if(countif(ecn.list,FE86),OFFSET(INDIRECT(CONCAT(""A"",to_text(match(FE86,ecn.list,0)))),0,1),"""")"),"")</f>
        <v/>
      </c>
      <c r="CF86" s="236" t="str">
        <f>IFERROR(__xludf.DUMMYFUNCTION("if(countif(ecn.list,FF86),OFFSET(INDIRECT(CONCAT(""A"",to_text(match(FF86,ecn.list,0)))),0,1),"""")"),"")</f>
        <v/>
      </c>
      <c r="CG86" s="236" t="str">
        <f>IFERROR(__xludf.DUMMYFUNCTION("if(countif(ecn.list,FG86),OFFSET(INDIRECT(CONCAT(""A"",to_text(match(FG86,ecn.list,0)))),0,1),"""")"),"")</f>
        <v/>
      </c>
      <c r="CH86" s="236" t="str">
        <f>IFERROR(__xludf.DUMMYFUNCTION("if(countif(ecn.list,FH86),OFFSET(INDIRECT(CONCAT(""A"",to_text(match(FH86,ecn.list,0)))),0,1),"""")"),"N7 ")</f>
        <v>N7 </v>
      </c>
      <c r="CI86" s="236" t="str">
        <f>IFERROR(__xludf.DUMMYFUNCTION("if(countif(ecn.list,FI86),OFFSET(INDIRECT(CONCAT(""A"",to_text(match(FI86,ecn.list,0)))),0,1),"""")"),"")</f>
        <v/>
      </c>
      <c r="CJ86" s="236" t="str">
        <f>IFERROR(__xludf.DUMMYFUNCTION("if(countif(ecn.list,FJ86),OFFSET(INDIRECT(CONCAT(""A"",to_text(match(FJ86,ecn.list,0)))),0,1),"""")"),"")</f>
        <v/>
      </c>
      <c r="CK86" s="236" t="str">
        <f>IFERROR(__xludf.DUMMYFUNCTION("if(countif(ecn.list,FK86),OFFSET(INDIRECT(CONCAT(""A"",to_text(match(FK86,ecn.list,0)))),0,1),"""")"),"NA ")</f>
        <v>NA </v>
      </c>
      <c r="CL86" s="236" t="str">
        <f>IFERROR(__xludf.DUMMYFUNCTION("if(countif(ecn.list,FL86),OFFSET(INDIRECT(CONCAT(""A"",to_text(match(FL86,ecn.list,0)))),0,1),"""")"),"")</f>
        <v/>
      </c>
      <c r="CM86" s="236" t="str">
        <f>IFERROR(__xludf.DUMMYFUNCTION("if(countif(ecn.list,FM86),OFFSET(INDIRECT(CONCAT(""A"",to_text(match(FM86,ecn.list,0)))),0,1),"""")"),"")</f>
        <v/>
      </c>
      <c r="CN86" s="198" t="s">
        <v>330</v>
      </c>
      <c r="CO86" s="198" t="s">
        <v>1447</v>
      </c>
      <c r="CP86" s="198" t="s">
        <v>1451</v>
      </c>
      <c r="CQ86" s="198" t="s">
        <v>1452</v>
      </c>
      <c r="CR86" s="198" t="s">
        <v>1453</v>
      </c>
      <c r="CS86" s="198" t="s">
        <v>1453</v>
      </c>
      <c r="CT86" s="198" t="s">
        <v>1454</v>
      </c>
      <c r="CU86" s="198" t="s">
        <v>1455</v>
      </c>
      <c r="CV86" s="198" t="s">
        <v>1456</v>
      </c>
      <c r="CW86" s="198" t="s">
        <v>1453</v>
      </c>
      <c r="CX86" s="198" t="s">
        <v>1453</v>
      </c>
      <c r="CY86" s="198" t="s">
        <v>1484</v>
      </c>
      <c r="CZ86" s="198" t="s">
        <v>1453</v>
      </c>
      <c r="DA86" s="198" t="s">
        <v>1457</v>
      </c>
      <c r="DB86" s="198" t="s">
        <v>1453</v>
      </c>
      <c r="DC86" s="198" t="s">
        <v>1453</v>
      </c>
      <c r="DD86" s="198" t="s">
        <v>1453</v>
      </c>
      <c r="DE86" s="198" t="s">
        <v>1459</v>
      </c>
      <c r="DF86" s="198" t="s">
        <v>1453</v>
      </c>
      <c r="DG86" s="198" t="s">
        <v>1453</v>
      </c>
      <c r="DH86" s="198" t="s">
        <v>1500</v>
      </c>
      <c r="DI86" s="198" t="s">
        <v>1501</v>
      </c>
      <c r="DJ86" s="198" t="s">
        <v>1460</v>
      </c>
      <c r="DK86" s="198" t="s">
        <v>1453</v>
      </c>
      <c r="DL86" s="198" t="s">
        <v>1461</v>
      </c>
      <c r="DM86" s="198" t="s">
        <v>1453</v>
      </c>
      <c r="DN86" s="198" t="s">
        <v>1463</v>
      </c>
      <c r="DO86" s="198" t="s">
        <v>1464</v>
      </c>
      <c r="DP86" s="198" t="s">
        <v>1465</v>
      </c>
      <c r="DQ86" s="198" t="s">
        <v>1466</v>
      </c>
      <c r="DR86" s="198" t="s">
        <v>1467</v>
      </c>
      <c r="DS86" s="198" t="s">
        <v>1453</v>
      </c>
      <c r="DT86" s="198" t="s">
        <v>1468</v>
      </c>
      <c r="DU86" s="198" t="s">
        <v>1453</v>
      </c>
      <c r="DV86" s="198" t="s">
        <v>1469</v>
      </c>
      <c r="DW86" s="198" t="s">
        <v>1453</v>
      </c>
      <c r="DX86" s="198" t="s">
        <v>1453</v>
      </c>
      <c r="DY86" s="198" t="s">
        <v>1453</v>
      </c>
      <c r="DZ86" s="198" t="s">
        <v>1453</v>
      </c>
      <c r="EA86" s="198" t="s">
        <v>1453</v>
      </c>
      <c r="EB86" s="198" t="s">
        <v>1453</v>
      </c>
      <c r="EC86" s="198" t="s">
        <v>1483</v>
      </c>
      <c r="ED86" s="198" t="s">
        <v>1453</v>
      </c>
      <c r="EE86" s="198" t="s">
        <v>1470</v>
      </c>
      <c r="EF86" s="198" t="s">
        <v>1453</v>
      </c>
      <c r="EG86" s="198" t="s">
        <v>1471</v>
      </c>
      <c r="EH86" s="198" t="s">
        <v>1453</v>
      </c>
      <c r="EI86" s="198" t="s">
        <v>1453</v>
      </c>
      <c r="EJ86" s="198" t="s">
        <v>1472</v>
      </c>
      <c r="EK86" s="198" t="s">
        <v>1487</v>
      </c>
      <c r="EL86" s="198" t="s">
        <v>1473</v>
      </c>
      <c r="EM86" s="198" t="s">
        <v>1453</v>
      </c>
      <c r="EN86" s="198" t="s">
        <v>1474</v>
      </c>
      <c r="EO86" s="198" t="s">
        <v>1453</v>
      </c>
      <c r="EP86" s="198" t="s">
        <v>1453</v>
      </c>
      <c r="EQ86" s="198" t="s">
        <v>1453</v>
      </c>
      <c r="ER86" s="198" t="s">
        <v>1453</v>
      </c>
      <c r="ES86" s="198" t="s">
        <v>1505</v>
      </c>
      <c r="ET86" s="198" t="s">
        <v>1453</v>
      </c>
      <c r="EU86" s="198" t="s">
        <v>1453</v>
      </c>
      <c r="EV86" s="198" t="s">
        <v>1476</v>
      </c>
      <c r="EW86" s="198" t="s">
        <v>1453</v>
      </c>
      <c r="EX86" s="198" t="s">
        <v>1488</v>
      </c>
      <c r="EY86" s="198" t="s">
        <v>1453</v>
      </c>
      <c r="EZ86" s="198" t="s">
        <v>1477</v>
      </c>
      <c r="FA86" s="198" t="s">
        <v>1453</v>
      </c>
      <c r="FB86" s="198" t="s">
        <v>1453</v>
      </c>
      <c r="FC86" s="198" t="s">
        <v>1478</v>
      </c>
      <c r="FD86" s="198" t="s">
        <v>1453</v>
      </c>
      <c r="FE86" s="198" t="s">
        <v>1453</v>
      </c>
      <c r="FF86" s="198" t="s">
        <v>1453</v>
      </c>
      <c r="FG86" s="198" t="s">
        <v>1453</v>
      </c>
      <c r="FH86" s="198" t="s">
        <v>1479</v>
      </c>
      <c r="FI86" s="198" t="s">
        <v>1453</v>
      </c>
      <c r="FJ86" s="198" t="s">
        <v>1453</v>
      </c>
      <c r="FK86" s="198" t="s">
        <v>1481</v>
      </c>
      <c r="FL86" s="198" t="s">
        <v>1482</v>
      </c>
      <c r="FM86" s="198" t="s">
        <v>1453</v>
      </c>
    </row>
    <row r="87" ht="15.75" customHeight="1">
      <c r="A87" s="198"/>
      <c r="B87" s="198"/>
      <c r="C87" s="234"/>
      <c r="D87" s="232" t="s">
        <v>770</v>
      </c>
      <c r="E87" s="232" t="s">
        <v>1448</v>
      </c>
      <c r="F87" s="232" t="s">
        <v>1449</v>
      </c>
      <c r="G87" s="232" t="s">
        <v>1450</v>
      </c>
      <c r="H87" s="232" t="s">
        <v>876</v>
      </c>
      <c r="I87" s="232" t="s">
        <v>1019</v>
      </c>
      <c r="J87" s="232" t="s">
        <v>1020</v>
      </c>
      <c r="K87" s="232" t="s">
        <v>1021</v>
      </c>
      <c r="L87" s="188" t="s">
        <v>333</v>
      </c>
      <c r="M87" s="236" t="str">
        <f>IFERROR(__xludf.DUMMYFUNCTION("regexreplace(N87,"" "","", "")"),"J0, J1, J2, J4, J5, J6, J7, JA, JC, JF, K0, K3, K4, K5, K7, K9, KA, KB, KC, KD, KF, L1, L8, LA, LC, LF, M0, M1, M3, M8, MB, MD, ME, MF, N2, N5, N7, NA, ")</f>
        <v>J0, J1, J2, J4, J5, J6, J7, JA, JC, JF, K0, K3, K4, K5, K7, K9, KA, KB, KC, KD, KF, L1, L8, LA, LC, LF, M0, M1, M3, M8, MB, MD, ME, MF, N2, N5, N7, NA, </v>
      </c>
      <c r="N87" s="236" t="str">
        <f t="shared" si="2"/>
        <v>J0 J1 J2 J4 J5 J6 J7 JA JC JF K0 K3 K4 K5 K7 K9 KA KB KC KD KF L1 L8 LA LC LF M0 M1 M3 M8 MB MD ME MF N2 N5 N7 NA </v>
      </c>
      <c r="O87" s="236" t="str">
        <f>IFERROR(__xludf.DUMMYFUNCTION("if(countif(ecn.list,CO87),OFFSET(INDIRECT(CONCAT(""A"",to_text(match(CO87,ecn.list,0)))),0,1),"""")"),"J0 ")</f>
        <v>J0 </v>
      </c>
      <c r="P87" s="236" t="str">
        <f>IFERROR(__xludf.DUMMYFUNCTION("if(countif(ecn.list,CP87),OFFSET(INDIRECT(CONCAT(""A"",to_text(match(CP87,ecn.list,0)))),0,1),"""")"),"J1 ")</f>
        <v>J1 </v>
      </c>
      <c r="Q87" s="236" t="str">
        <f>IFERROR(__xludf.DUMMYFUNCTION("if(countif(ecn.list,CQ87),OFFSET(INDIRECT(CONCAT(""A"",to_text(match(CQ87,ecn.list,0)))),0,1),"""")"),"J2 ")</f>
        <v>J2 </v>
      </c>
      <c r="R87" s="236" t="str">
        <f>IFERROR(__xludf.DUMMYFUNCTION("if(countif(ecn.list,CR87),OFFSET(INDIRECT(CONCAT(""A"",to_text(match(CR87,ecn.list,0)))),0,1),"""")"),"")</f>
        <v/>
      </c>
      <c r="S87" s="236" t="str">
        <f>IFERROR(__xludf.DUMMYFUNCTION("if(countif(ecn.list,CS87),OFFSET(INDIRECT(CONCAT(""A"",to_text(match(CS87,ecn.list,0)))),0,1),"""")"),"J4 ")</f>
        <v>J4 </v>
      </c>
      <c r="T87" s="236" t="str">
        <f>IFERROR(__xludf.DUMMYFUNCTION("if(countif(ecn.list,CT87),OFFSET(INDIRECT(CONCAT(""A"",to_text(match(CT87,ecn.list,0)))),0,1),"""")"),"J5 ")</f>
        <v>J5 </v>
      </c>
      <c r="U87" s="236" t="str">
        <f>IFERROR(__xludf.DUMMYFUNCTION("if(countif(ecn.list,CU87),OFFSET(INDIRECT(CONCAT(""A"",to_text(match(CU87,ecn.list,0)))),0,1),"""")"),"J6 ")</f>
        <v>J6 </v>
      </c>
      <c r="V87" s="236" t="str">
        <f>IFERROR(__xludf.DUMMYFUNCTION("if(countif(ecn.list,CV87),OFFSET(INDIRECT(CONCAT(""A"",to_text(match(CV87,ecn.list,0)))),0,1),"""")"),"J7 ")</f>
        <v>J7 </v>
      </c>
      <c r="W87" s="236" t="str">
        <f>IFERROR(__xludf.DUMMYFUNCTION("if(countif(ecn.list,CW87),OFFSET(INDIRECT(CONCAT(""A"",to_text(match(CW87,ecn.list,0)))),0,1),"""")"),"")</f>
        <v/>
      </c>
      <c r="X87" s="236" t="str">
        <f>IFERROR(__xludf.DUMMYFUNCTION("if(countif(ecn.list,CX87),OFFSET(INDIRECT(CONCAT(""A"",to_text(match(CX87,ecn.list,0)))),0,1),"""")"),"")</f>
        <v/>
      </c>
      <c r="Y87" s="236" t="str">
        <f>IFERROR(__xludf.DUMMYFUNCTION("if(countif(ecn.list,CY87),OFFSET(INDIRECT(CONCAT(""A"",to_text(match(CY87,ecn.list,0)))),0,1),"""")"),"JA ")</f>
        <v>JA </v>
      </c>
      <c r="Z87" s="236" t="str">
        <f>IFERROR(__xludf.DUMMYFUNCTION("if(countif(ecn.list,CZ87),OFFSET(INDIRECT(CONCAT(""A"",to_text(match(CZ87,ecn.list,0)))),0,1),"""")"),"")</f>
        <v/>
      </c>
      <c r="AA87" s="236" t="str">
        <f>IFERROR(__xludf.DUMMYFUNCTION("if(countif(ecn.list,DA87),OFFSET(INDIRECT(CONCAT(""A"",to_text(match(DA87,ecn.list,0)))),0,1),"""")"),"JC ")</f>
        <v>JC </v>
      </c>
      <c r="AB87" s="236" t="str">
        <f>IFERROR(__xludf.DUMMYFUNCTION("if(countif(ecn.list,DB87),OFFSET(INDIRECT(CONCAT(""A"",to_text(match(DB87,ecn.list,0)))),0,1),"""")"),"")</f>
        <v/>
      </c>
      <c r="AC87" s="236" t="str">
        <f>IFERROR(__xludf.DUMMYFUNCTION("if(countif(ecn.list,DC87),OFFSET(INDIRECT(CONCAT(""A"",to_text(match(DC87,ecn.list,0)))),0,1),"""")"),"")</f>
        <v/>
      </c>
      <c r="AD87" s="236" t="str">
        <f>IFERROR(__xludf.DUMMYFUNCTION("if(countif(ecn.list,DD87),OFFSET(INDIRECT(CONCAT(""A"",to_text(match(DD87,ecn.list,0)))),0,1),"""")"),"JF ")</f>
        <v>JF </v>
      </c>
      <c r="AE87" s="236" t="str">
        <f>IFERROR(__xludf.DUMMYFUNCTION("if(countif(ecn.list,DE87),OFFSET(INDIRECT(CONCAT(""A"",to_text(match(DE87,ecn.list,0)))),0,1),"""")"),"K0 ")</f>
        <v>K0 </v>
      </c>
      <c r="AF87" s="236" t="str">
        <f>IFERROR(__xludf.DUMMYFUNCTION("if(countif(ecn.list,DF87),OFFSET(INDIRECT(CONCAT(""A"",to_text(match(DF87,ecn.list,0)))),0,1),"""")"),"")</f>
        <v/>
      </c>
      <c r="AG87" s="236" t="str">
        <f>IFERROR(__xludf.DUMMYFUNCTION("if(countif(ecn.list,DG87),OFFSET(INDIRECT(CONCAT(""A"",to_text(match(DG87,ecn.list,0)))),0,1),"""")"),"")</f>
        <v/>
      </c>
      <c r="AH87" s="236" t="str">
        <f>IFERROR(__xludf.DUMMYFUNCTION("if(countif(ecn.list,DH87),OFFSET(INDIRECT(CONCAT(""A"",to_text(match(DH87,ecn.list,0)))),0,1),"""")"),"K3 ")</f>
        <v>K3 </v>
      </c>
      <c r="AI87" s="236" t="str">
        <f>IFERROR(__xludf.DUMMYFUNCTION("if(countif(ecn.list,DI87),OFFSET(INDIRECT(CONCAT(""A"",to_text(match(DI87,ecn.list,0)))),0,1),"""")"),"K4 ")</f>
        <v>K4 </v>
      </c>
      <c r="AJ87" s="236" t="str">
        <f>IFERROR(__xludf.DUMMYFUNCTION("if(countif(ecn.list,DJ87),OFFSET(INDIRECT(CONCAT(""A"",to_text(match(DJ87,ecn.list,0)))),0,1),"""")"),"K5 ")</f>
        <v>K5 </v>
      </c>
      <c r="AK87" s="236" t="str">
        <f>IFERROR(__xludf.DUMMYFUNCTION("if(countif(ecn.list,DK87),OFFSET(INDIRECT(CONCAT(""A"",to_text(match(DK87,ecn.list,0)))),0,1),"""")"),"")</f>
        <v/>
      </c>
      <c r="AL87" s="236" t="str">
        <f>IFERROR(__xludf.DUMMYFUNCTION("if(countif(ecn.list,DL87),OFFSET(INDIRECT(CONCAT(""A"",to_text(match(DL87,ecn.list,0)))),0,1),"""")"),"K7 ")</f>
        <v>K7 </v>
      </c>
      <c r="AM87" s="236" t="str">
        <f>IFERROR(__xludf.DUMMYFUNCTION("if(countif(ecn.list,DM87),OFFSET(INDIRECT(CONCAT(""A"",to_text(match(DM87,ecn.list,0)))),0,1),"""")"),"")</f>
        <v/>
      </c>
      <c r="AN87" s="236" t="str">
        <f>IFERROR(__xludf.DUMMYFUNCTION("if(countif(ecn.list,DN87),OFFSET(INDIRECT(CONCAT(""A"",to_text(match(DN87,ecn.list,0)))),0,1),"""")"),"K9 ")</f>
        <v>K9 </v>
      </c>
      <c r="AO87" s="236" t="str">
        <f>IFERROR(__xludf.DUMMYFUNCTION("if(countif(ecn.list,DO87),OFFSET(INDIRECT(CONCAT(""A"",to_text(match(DO87,ecn.list,0)))),0,1),"""")"),"KA ")</f>
        <v>KA </v>
      </c>
      <c r="AP87" s="236" t="str">
        <f>IFERROR(__xludf.DUMMYFUNCTION("if(countif(ecn.list,DP87),OFFSET(INDIRECT(CONCAT(""A"",to_text(match(DP87,ecn.list,0)))),0,1),"""")"),"KB ")</f>
        <v>KB </v>
      </c>
      <c r="AQ87" s="236" t="str">
        <f>IFERROR(__xludf.DUMMYFUNCTION("if(countif(ecn.list,DQ87),OFFSET(INDIRECT(CONCAT(""A"",to_text(match(DQ87,ecn.list,0)))),0,1),"""")"),"KC ")</f>
        <v>KC </v>
      </c>
      <c r="AR87" s="236" t="str">
        <f>IFERROR(__xludf.DUMMYFUNCTION("if(countif(ecn.list,DR87),OFFSET(INDIRECT(CONCAT(""A"",to_text(match(DR87,ecn.list,0)))),0,1),"""")"),"KD ")</f>
        <v>KD </v>
      </c>
      <c r="AS87" s="236" t="str">
        <f>IFERROR(__xludf.DUMMYFUNCTION("if(countif(ecn.list,DS87),OFFSET(INDIRECT(CONCAT(""A"",to_text(match(DS87,ecn.list,0)))),0,1),"""")"),"")</f>
        <v/>
      </c>
      <c r="AT87" s="236" t="str">
        <f>IFERROR(__xludf.DUMMYFUNCTION("if(countif(ecn.list,DT87),OFFSET(INDIRECT(CONCAT(""A"",to_text(match(DT87,ecn.list,0)))),0,1),"""")"),"KF ")</f>
        <v>KF </v>
      </c>
      <c r="AU87" s="236" t="str">
        <f>IFERROR(__xludf.DUMMYFUNCTION("if(countif(ecn.list,DU87),OFFSET(INDIRECT(CONCAT(""A"",to_text(match(DU87,ecn.list,0)))),0,1),"""")"),"")</f>
        <v/>
      </c>
      <c r="AV87" s="236" t="str">
        <f>IFERROR(__xludf.DUMMYFUNCTION("if(countif(ecn.list,DV87),OFFSET(INDIRECT(CONCAT(""A"",to_text(match(DV87,ecn.list,0)))),0,1),"""")"),"L1 ")</f>
        <v>L1 </v>
      </c>
      <c r="AW87" s="236" t="str">
        <f>IFERROR(__xludf.DUMMYFUNCTION("if(countif(ecn.list,DW87),OFFSET(INDIRECT(CONCAT(""A"",to_text(match(DW87,ecn.list,0)))),0,1),"""")"),"")</f>
        <v/>
      </c>
      <c r="AX87" s="236" t="str">
        <f>IFERROR(__xludf.DUMMYFUNCTION("if(countif(ecn.list,DX87),OFFSET(INDIRECT(CONCAT(""A"",to_text(match(DX87,ecn.list,0)))),0,1),"""")"),"")</f>
        <v/>
      </c>
      <c r="AY87" s="236" t="str">
        <f>IFERROR(__xludf.DUMMYFUNCTION("if(countif(ecn.list,DY87),OFFSET(INDIRECT(CONCAT(""A"",to_text(match(DY87,ecn.list,0)))),0,1),"""")"),"")</f>
        <v/>
      </c>
      <c r="AZ87" s="236" t="str">
        <f>IFERROR(__xludf.DUMMYFUNCTION("if(countif(ecn.list,DZ87),OFFSET(INDIRECT(CONCAT(""A"",to_text(match(DZ87,ecn.list,0)))),0,1),"""")"),"")</f>
        <v/>
      </c>
      <c r="BA87" s="236" t="str">
        <f>IFERROR(__xludf.DUMMYFUNCTION("if(countif(ecn.list,EA87),OFFSET(INDIRECT(CONCAT(""A"",to_text(match(EA87,ecn.list,0)))),0,1),"""")"),"")</f>
        <v/>
      </c>
      <c r="BB87" s="236" t="str">
        <f>IFERROR(__xludf.DUMMYFUNCTION("if(countif(ecn.list,EB87),OFFSET(INDIRECT(CONCAT(""A"",to_text(match(EB87,ecn.list,0)))),0,1),"""")"),"")</f>
        <v/>
      </c>
      <c r="BC87" s="236" t="str">
        <f>IFERROR(__xludf.DUMMYFUNCTION("if(countif(ecn.list,EC87),OFFSET(INDIRECT(CONCAT(""A"",to_text(match(EC87,ecn.list,0)))),0,1),"""")"),"L8 ")</f>
        <v>L8 </v>
      </c>
      <c r="BD87" s="236" t="str">
        <f>IFERROR(__xludf.DUMMYFUNCTION("if(countif(ecn.list,ED87),OFFSET(INDIRECT(CONCAT(""A"",to_text(match(ED87,ecn.list,0)))),0,1),"""")"),"")</f>
        <v/>
      </c>
      <c r="BE87" s="236" t="str">
        <f>IFERROR(__xludf.DUMMYFUNCTION("if(countif(ecn.list,EE87),OFFSET(INDIRECT(CONCAT(""A"",to_text(match(EE87,ecn.list,0)))),0,1),"""")"),"LA ")</f>
        <v>LA </v>
      </c>
      <c r="BF87" s="236" t="str">
        <f>IFERROR(__xludf.DUMMYFUNCTION("if(countif(ecn.list,EF87),OFFSET(INDIRECT(CONCAT(""A"",to_text(match(EF87,ecn.list,0)))),0,1),"""")"),"")</f>
        <v/>
      </c>
      <c r="BG87" s="236" t="str">
        <f>IFERROR(__xludf.DUMMYFUNCTION("if(countif(ecn.list,EG87),OFFSET(INDIRECT(CONCAT(""A"",to_text(match(EG87,ecn.list,0)))),0,1),"""")"),"LC ")</f>
        <v>LC </v>
      </c>
      <c r="BH87" s="236" t="str">
        <f>IFERROR(__xludf.DUMMYFUNCTION("if(countif(ecn.list,EH87),OFFSET(INDIRECT(CONCAT(""A"",to_text(match(EH87,ecn.list,0)))),0,1),"""")"),"")</f>
        <v/>
      </c>
      <c r="BI87" s="236" t="str">
        <f>IFERROR(__xludf.DUMMYFUNCTION("if(countif(ecn.list,EI87),OFFSET(INDIRECT(CONCAT(""A"",to_text(match(EI87,ecn.list,0)))),0,1),"""")"),"")</f>
        <v/>
      </c>
      <c r="BJ87" s="236" t="str">
        <f>IFERROR(__xludf.DUMMYFUNCTION("if(countif(ecn.list,EJ87),OFFSET(INDIRECT(CONCAT(""A"",to_text(match(EJ87,ecn.list,0)))),0,1),"""")"),"LF ")</f>
        <v>LF </v>
      </c>
      <c r="BK87" s="236" t="str">
        <f>IFERROR(__xludf.DUMMYFUNCTION("if(countif(ecn.list,EK87),OFFSET(INDIRECT(CONCAT(""A"",to_text(match(EK87,ecn.list,0)))),0,1),"""")"),"M0 ")</f>
        <v>M0 </v>
      </c>
      <c r="BL87" s="236" t="str">
        <f>IFERROR(__xludf.DUMMYFUNCTION("if(countif(ecn.list,EL87),OFFSET(INDIRECT(CONCAT(""A"",to_text(match(EL87,ecn.list,0)))),0,1),"""")"),"M1 ")</f>
        <v>M1 </v>
      </c>
      <c r="BM87" s="236" t="str">
        <f>IFERROR(__xludf.DUMMYFUNCTION("if(countif(ecn.list,EM87),OFFSET(INDIRECT(CONCAT(""A"",to_text(match(EM87,ecn.list,0)))),0,1),"""")"),"")</f>
        <v/>
      </c>
      <c r="BN87" s="236" t="str">
        <f>IFERROR(__xludf.DUMMYFUNCTION("if(countif(ecn.list,EN87),OFFSET(INDIRECT(CONCAT(""A"",to_text(match(EN87,ecn.list,0)))),0,1),"""")"),"M3 ")</f>
        <v>M3 </v>
      </c>
      <c r="BO87" s="236" t="str">
        <f>IFERROR(__xludf.DUMMYFUNCTION("if(countif(ecn.list,EO87),OFFSET(INDIRECT(CONCAT(""A"",to_text(match(EO87,ecn.list,0)))),0,1),"""")"),"")</f>
        <v/>
      </c>
      <c r="BP87" s="236" t="str">
        <f>IFERROR(__xludf.DUMMYFUNCTION("if(countif(ecn.list,EP87),OFFSET(INDIRECT(CONCAT(""A"",to_text(match(EP87,ecn.list,0)))),0,1),"""")"),"")</f>
        <v/>
      </c>
      <c r="BQ87" s="236" t="str">
        <f>IFERROR(__xludf.DUMMYFUNCTION("if(countif(ecn.list,EQ87),OFFSET(INDIRECT(CONCAT(""A"",to_text(match(EQ87,ecn.list,0)))),0,1),"""")"),"")</f>
        <v/>
      </c>
      <c r="BR87" s="236" t="str">
        <f>IFERROR(__xludf.DUMMYFUNCTION("if(countif(ecn.list,ER87),OFFSET(INDIRECT(CONCAT(""A"",to_text(match(ER87,ecn.list,0)))),0,1),"""")"),"")</f>
        <v/>
      </c>
      <c r="BS87" s="236" t="str">
        <f>IFERROR(__xludf.DUMMYFUNCTION("if(countif(ecn.list,ES87),OFFSET(INDIRECT(CONCAT(""A"",to_text(match(ES87,ecn.list,0)))),0,1),"""")"),"M8 ")</f>
        <v>M8 </v>
      </c>
      <c r="BT87" s="236" t="str">
        <f>IFERROR(__xludf.DUMMYFUNCTION("if(countif(ecn.list,ET87),OFFSET(INDIRECT(CONCAT(""A"",to_text(match(ET87,ecn.list,0)))),0,1),"""")"),"")</f>
        <v/>
      </c>
      <c r="BU87" s="236" t="str">
        <f>IFERROR(__xludf.DUMMYFUNCTION("if(countif(ecn.list,EU87),OFFSET(INDIRECT(CONCAT(""A"",to_text(match(EU87,ecn.list,0)))),0,1),"""")"),"")</f>
        <v/>
      </c>
      <c r="BV87" s="236" t="str">
        <f>IFERROR(__xludf.DUMMYFUNCTION("if(countif(ecn.list,EV87),OFFSET(INDIRECT(CONCAT(""A"",to_text(match(EV87,ecn.list,0)))),0,1),"""")"),"MB ")</f>
        <v>MB </v>
      </c>
      <c r="BW87" s="236" t="str">
        <f>IFERROR(__xludf.DUMMYFUNCTION("if(countif(ecn.list,EW87),OFFSET(INDIRECT(CONCAT(""A"",to_text(match(EW87,ecn.list,0)))),0,1),"""")"),"")</f>
        <v/>
      </c>
      <c r="BX87" s="236" t="str">
        <f>IFERROR(__xludf.DUMMYFUNCTION("if(countif(ecn.list,EX87),OFFSET(INDIRECT(CONCAT(""A"",to_text(match(EX87,ecn.list,0)))),0,1),"""")"),"MD ")</f>
        <v>MD </v>
      </c>
      <c r="BY87" s="236" t="str">
        <f>IFERROR(__xludf.DUMMYFUNCTION("if(countif(ecn.list,EY87),OFFSET(INDIRECT(CONCAT(""A"",to_text(match(EY87,ecn.list,0)))),0,1),"""")"),"ME ")</f>
        <v>ME </v>
      </c>
      <c r="BZ87" s="236" t="str">
        <f>IFERROR(__xludf.DUMMYFUNCTION("if(countif(ecn.list,EZ87),OFFSET(INDIRECT(CONCAT(""A"",to_text(match(EZ87,ecn.list,0)))),0,1),"""")"),"MF ")</f>
        <v>MF </v>
      </c>
      <c r="CA87" s="236" t="str">
        <f>IFERROR(__xludf.DUMMYFUNCTION("if(countif(ecn.list,FA87),OFFSET(INDIRECT(CONCAT(""A"",to_text(match(FA87,ecn.list,0)))),0,1),"""")"),"")</f>
        <v/>
      </c>
      <c r="CB87" s="236" t="str">
        <f>IFERROR(__xludf.DUMMYFUNCTION("if(countif(ecn.list,FB87),OFFSET(INDIRECT(CONCAT(""A"",to_text(match(FB87,ecn.list,0)))),0,1),"""")"),"")</f>
        <v/>
      </c>
      <c r="CC87" s="236" t="str">
        <f>IFERROR(__xludf.DUMMYFUNCTION("if(countif(ecn.list,FC87),OFFSET(INDIRECT(CONCAT(""A"",to_text(match(FC87,ecn.list,0)))),0,1),"""")"),"N2 ")</f>
        <v>N2 </v>
      </c>
      <c r="CD87" s="236" t="str">
        <f>IFERROR(__xludf.DUMMYFUNCTION("if(countif(ecn.list,FD87),OFFSET(INDIRECT(CONCAT(""A"",to_text(match(FD87,ecn.list,0)))),0,1),"""")"),"")</f>
        <v/>
      </c>
      <c r="CE87" s="236" t="str">
        <f>IFERROR(__xludf.DUMMYFUNCTION("if(countif(ecn.list,FE87),OFFSET(INDIRECT(CONCAT(""A"",to_text(match(FE87,ecn.list,0)))),0,1),"""")"),"")</f>
        <v/>
      </c>
      <c r="CF87" s="236" t="str">
        <f>IFERROR(__xludf.DUMMYFUNCTION("if(countif(ecn.list,FF87),OFFSET(INDIRECT(CONCAT(""A"",to_text(match(FF87,ecn.list,0)))),0,1),"""")"),"N5 ")</f>
        <v>N5 </v>
      </c>
      <c r="CG87" s="236" t="str">
        <f>IFERROR(__xludf.DUMMYFUNCTION("if(countif(ecn.list,FG87),OFFSET(INDIRECT(CONCAT(""A"",to_text(match(FG87,ecn.list,0)))),0,1),"""")"),"")</f>
        <v/>
      </c>
      <c r="CH87" s="236" t="str">
        <f>IFERROR(__xludf.DUMMYFUNCTION("if(countif(ecn.list,FH87),OFFSET(INDIRECT(CONCAT(""A"",to_text(match(FH87,ecn.list,0)))),0,1),"""")"),"N7 ")</f>
        <v>N7 </v>
      </c>
      <c r="CI87" s="236" t="str">
        <f>IFERROR(__xludf.DUMMYFUNCTION("if(countif(ecn.list,FI87),OFFSET(INDIRECT(CONCAT(""A"",to_text(match(FI87,ecn.list,0)))),0,1),"""")"),"")</f>
        <v/>
      </c>
      <c r="CJ87" s="236" t="str">
        <f>IFERROR(__xludf.DUMMYFUNCTION("if(countif(ecn.list,FJ87),OFFSET(INDIRECT(CONCAT(""A"",to_text(match(FJ87,ecn.list,0)))),0,1),"""")"),"")</f>
        <v/>
      </c>
      <c r="CK87" s="236" t="str">
        <f>IFERROR(__xludf.DUMMYFUNCTION("if(countif(ecn.list,FK87),OFFSET(INDIRECT(CONCAT(""A"",to_text(match(FK87,ecn.list,0)))),0,1),"""")"),"NA ")</f>
        <v>NA </v>
      </c>
      <c r="CL87" s="236" t="str">
        <f>IFERROR(__xludf.DUMMYFUNCTION("if(countif(ecn.list,FL87),OFFSET(INDIRECT(CONCAT(""A"",to_text(match(FL87,ecn.list,0)))),0,1),"""")"),"")</f>
        <v/>
      </c>
      <c r="CM87" s="236" t="str">
        <f>IFERROR(__xludf.DUMMYFUNCTION("if(countif(ecn.list,FM87),OFFSET(INDIRECT(CONCAT(""A"",to_text(match(FM87,ecn.list,0)))),0,1),"""")"),"")</f>
        <v/>
      </c>
      <c r="CN87" s="198" t="s">
        <v>333</v>
      </c>
      <c r="CO87" s="198" t="s">
        <v>1447</v>
      </c>
      <c r="CP87" s="198" t="s">
        <v>1451</v>
      </c>
      <c r="CQ87" s="198" t="s">
        <v>1452</v>
      </c>
      <c r="CR87" s="198" t="s">
        <v>1453</v>
      </c>
      <c r="CS87" s="198" t="s">
        <v>1496</v>
      </c>
      <c r="CT87" s="198" t="s">
        <v>1454</v>
      </c>
      <c r="CU87" s="198" t="s">
        <v>1455</v>
      </c>
      <c r="CV87" s="198" t="s">
        <v>1456</v>
      </c>
      <c r="CW87" s="198" t="s">
        <v>1453</v>
      </c>
      <c r="CX87" s="198" t="s">
        <v>1453</v>
      </c>
      <c r="CY87" s="198" t="s">
        <v>1484</v>
      </c>
      <c r="CZ87" s="198" t="s">
        <v>1453</v>
      </c>
      <c r="DA87" s="198" t="s">
        <v>1457</v>
      </c>
      <c r="DB87" s="198" t="s">
        <v>1453</v>
      </c>
      <c r="DC87" s="198" t="s">
        <v>1453</v>
      </c>
      <c r="DD87" s="198" t="s">
        <v>1458</v>
      </c>
      <c r="DE87" s="198" t="s">
        <v>1459</v>
      </c>
      <c r="DF87" s="198" t="s">
        <v>1453</v>
      </c>
      <c r="DG87" s="198" t="s">
        <v>1453</v>
      </c>
      <c r="DH87" s="198" t="s">
        <v>1500</v>
      </c>
      <c r="DI87" s="198" t="s">
        <v>1501</v>
      </c>
      <c r="DJ87" s="198" t="s">
        <v>1460</v>
      </c>
      <c r="DK87" s="198" t="s">
        <v>1453</v>
      </c>
      <c r="DL87" s="198" t="s">
        <v>1461</v>
      </c>
      <c r="DM87" s="198" t="s">
        <v>1453</v>
      </c>
      <c r="DN87" s="198" t="s">
        <v>1463</v>
      </c>
      <c r="DO87" s="198" t="s">
        <v>1464</v>
      </c>
      <c r="DP87" s="198" t="s">
        <v>1465</v>
      </c>
      <c r="DQ87" s="198" t="s">
        <v>1466</v>
      </c>
      <c r="DR87" s="198" t="s">
        <v>1467</v>
      </c>
      <c r="DS87" s="198" t="s">
        <v>1453</v>
      </c>
      <c r="DT87" s="198" t="s">
        <v>1468</v>
      </c>
      <c r="DU87" s="198" t="s">
        <v>1453</v>
      </c>
      <c r="DV87" s="198" t="s">
        <v>1469</v>
      </c>
      <c r="DW87" s="198" t="s">
        <v>1453</v>
      </c>
      <c r="DX87" s="198" t="s">
        <v>1453</v>
      </c>
      <c r="DY87" s="198" t="s">
        <v>1453</v>
      </c>
      <c r="DZ87" s="198" t="s">
        <v>1453</v>
      </c>
      <c r="EA87" s="198" t="s">
        <v>1453</v>
      </c>
      <c r="EB87" s="198" t="s">
        <v>1453</v>
      </c>
      <c r="EC87" s="198" t="s">
        <v>1483</v>
      </c>
      <c r="ED87" s="198" t="s">
        <v>1453</v>
      </c>
      <c r="EE87" s="198" t="s">
        <v>1470</v>
      </c>
      <c r="EF87" s="198" t="s">
        <v>1453</v>
      </c>
      <c r="EG87" s="198" t="s">
        <v>1471</v>
      </c>
      <c r="EH87" s="198" t="s">
        <v>1453</v>
      </c>
      <c r="EI87" s="198" t="s">
        <v>1453</v>
      </c>
      <c r="EJ87" s="198" t="s">
        <v>1472</v>
      </c>
      <c r="EK87" s="198" t="s">
        <v>1487</v>
      </c>
      <c r="EL87" s="198" t="s">
        <v>1473</v>
      </c>
      <c r="EM87" s="198" t="s">
        <v>1453</v>
      </c>
      <c r="EN87" s="198" t="s">
        <v>1474</v>
      </c>
      <c r="EO87" s="198" t="s">
        <v>1453</v>
      </c>
      <c r="EP87" s="198" t="s">
        <v>1453</v>
      </c>
      <c r="EQ87" s="198" t="s">
        <v>1453</v>
      </c>
      <c r="ER87" s="198" t="s">
        <v>1453</v>
      </c>
      <c r="ES87" s="198" t="s">
        <v>1505</v>
      </c>
      <c r="ET87" s="198" t="s">
        <v>1453</v>
      </c>
      <c r="EU87" s="198" t="s">
        <v>1453</v>
      </c>
      <c r="EV87" s="198" t="s">
        <v>1476</v>
      </c>
      <c r="EW87" s="198" t="s">
        <v>1453</v>
      </c>
      <c r="EX87" s="198" t="s">
        <v>1488</v>
      </c>
      <c r="EY87" s="198" t="s">
        <v>1531</v>
      </c>
      <c r="EZ87" s="198" t="s">
        <v>1477</v>
      </c>
      <c r="FA87" s="198" t="s">
        <v>1453</v>
      </c>
      <c r="FB87" s="198" t="s">
        <v>1453</v>
      </c>
      <c r="FC87" s="198" t="s">
        <v>1478</v>
      </c>
      <c r="FD87" s="198" t="s">
        <v>1453</v>
      </c>
      <c r="FE87" s="198" t="s">
        <v>1453</v>
      </c>
      <c r="FF87" s="198" t="s">
        <v>1537</v>
      </c>
      <c r="FG87" s="198" t="s">
        <v>1453</v>
      </c>
      <c r="FH87" s="198" t="s">
        <v>1479</v>
      </c>
      <c r="FI87" s="198" t="s">
        <v>1453</v>
      </c>
      <c r="FJ87" s="198" t="s">
        <v>1453</v>
      </c>
      <c r="FK87" s="198" t="s">
        <v>1481</v>
      </c>
      <c r="FL87" s="198" t="s">
        <v>1482</v>
      </c>
      <c r="FM87" s="198" t="s">
        <v>1453</v>
      </c>
    </row>
    <row r="88" ht="15.75" customHeight="1">
      <c r="A88" s="198"/>
      <c r="B88" s="198"/>
      <c r="C88" s="234"/>
      <c r="D88" s="232" t="s">
        <v>770</v>
      </c>
      <c r="E88" s="232" t="s">
        <v>1448</v>
      </c>
      <c r="F88" s="232" t="s">
        <v>1449</v>
      </c>
      <c r="G88" s="232" t="s">
        <v>1450</v>
      </c>
      <c r="H88" s="232" t="s">
        <v>876</v>
      </c>
      <c r="I88" s="232" t="s">
        <v>882</v>
      </c>
      <c r="J88" s="232" t="s">
        <v>883</v>
      </c>
      <c r="K88" s="232" t="s">
        <v>912</v>
      </c>
      <c r="L88" s="188" t="s">
        <v>336</v>
      </c>
      <c r="M88" s="236"/>
      <c r="N88" s="236" t="str">
        <f t="shared" si="2"/>
        <v>J0 J1 J2 J5 J6 J7 JA JC JD K0 K5 K7 K9 KA KC KD KF L1 L8 LA LC M0 M2 M3 MA MC MD MF N2 N7 NA </v>
      </c>
      <c r="O88" s="236" t="str">
        <f>IFERROR(__xludf.DUMMYFUNCTION("if(countif(ecn.list,CO88),OFFSET(INDIRECT(CONCAT(""A"",to_text(match(CO88,ecn.list,0)))),0,1),"""")"),"J0 ")</f>
        <v>J0 </v>
      </c>
      <c r="P88" s="236" t="str">
        <f>IFERROR(__xludf.DUMMYFUNCTION("if(countif(ecn.list,CP88),OFFSET(INDIRECT(CONCAT(""A"",to_text(match(CP88,ecn.list,0)))),0,1),"""")"),"J1 ")</f>
        <v>J1 </v>
      </c>
      <c r="Q88" s="236" t="str">
        <f>IFERROR(__xludf.DUMMYFUNCTION("if(countif(ecn.list,CQ88),OFFSET(INDIRECT(CONCAT(""A"",to_text(match(CQ88,ecn.list,0)))),0,1),"""")"),"J2 ")</f>
        <v>J2 </v>
      </c>
      <c r="R88" s="236" t="str">
        <f>IFERROR(__xludf.DUMMYFUNCTION("if(countif(ecn.list,CR88),OFFSET(INDIRECT(CONCAT(""A"",to_text(match(CR88,ecn.list,0)))),0,1),"""")"),"")</f>
        <v/>
      </c>
      <c r="S88" s="236" t="str">
        <f>IFERROR(__xludf.DUMMYFUNCTION("if(countif(ecn.list,CS88),OFFSET(INDIRECT(CONCAT(""A"",to_text(match(CS88,ecn.list,0)))),0,1),"""")"),"")</f>
        <v/>
      </c>
      <c r="T88" s="236" t="str">
        <f>IFERROR(__xludf.DUMMYFUNCTION("if(countif(ecn.list,CT88),OFFSET(INDIRECT(CONCAT(""A"",to_text(match(CT88,ecn.list,0)))),0,1),"""")"),"J5 ")</f>
        <v>J5 </v>
      </c>
      <c r="U88" s="236" t="str">
        <f>IFERROR(__xludf.DUMMYFUNCTION("if(countif(ecn.list,CU88),OFFSET(INDIRECT(CONCAT(""A"",to_text(match(CU88,ecn.list,0)))),0,1),"""")"),"J6 ")</f>
        <v>J6 </v>
      </c>
      <c r="V88" s="236" t="str">
        <f>IFERROR(__xludf.DUMMYFUNCTION("if(countif(ecn.list,CV88),OFFSET(INDIRECT(CONCAT(""A"",to_text(match(CV88,ecn.list,0)))),0,1),"""")"),"J7 ")</f>
        <v>J7 </v>
      </c>
      <c r="W88" s="236" t="str">
        <f>IFERROR(__xludf.DUMMYFUNCTION("if(countif(ecn.list,CW88),OFFSET(INDIRECT(CONCAT(""A"",to_text(match(CW88,ecn.list,0)))),0,1),"""")"),"")</f>
        <v/>
      </c>
      <c r="X88" s="236" t="str">
        <f>IFERROR(__xludf.DUMMYFUNCTION("if(countif(ecn.list,CX88),OFFSET(INDIRECT(CONCAT(""A"",to_text(match(CX88,ecn.list,0)))),0,1),"""")"),"")</f>
        <v/>
      </c>
      <c r="Y88" s="236" t="str">
        <f>IFERROR(__xludf.DUMMYFUNCTION("if(countif(ecn.list,CY88),OFFSET(INDIRECT(CONCAT(""A"",to_text(match(CY88,ecn.list,0)))),0,1),"""")"),"JA ")</f>
        <v>JA </v>
      </c>
      <c r="Z88" s="236" t="str">
        <f>IFERROR(__xludf.DUMMYFUNCTION("if(countif(ecn.list,CZ88),OFFSET(INDIRECT(CONCAT(""A"",to_text(match(CZ88,ecn.list,0)))),0,1),"""")"),"")</f>
        <v/>
      </c>
      <c r="AA88" s="236" t="str">
        <f>IFERROR(__xludf.DUMMYFUNCTION("if(countif(ecn.list,DA88),OFFSET(INDIRECT(CONCAT(""A"",to_text(match(DA88,ecn.list,0)))),0,1),"""")"),"JC ")</f>
        <v>JC </v>
      </c>
      <c r="AB88" s="236" t="str">
        <f>IFERROR(__xludf.DUMMYFUNCTION("if(countif(ecn.list,DB88),OFFSET(INDIRECT(CONCAT(""A"",to_text(match(DB88,ecn.list,0)))),0,1),"""")"),"JD ")</f>
        <v>JD </v>
      </c>
      <c r="AC88" s="236" t="str">
        <f>IFERROR(__xludf.DUMMYFUNCTION("if(countif(ecn.list,DC88),OFFSET(INDIRECT(CONCAT(""A"",to_text(match(DC88,ecn.list,0)))),0,1),"""")"),"")</f>
        <v/>
      </c>
      <c r="AD88" s="236" t="str">
        <f>IFERROR(__xludf.DUMMYFUNCTION("if(countif(ecn.list,DD88),OFFSET(INDIRECT(CONCAT(""A"",to_text(match(DD88,ecn.list,0)))),0,1),"""")"),"")</f>
        <v/>
      </c>
      <c r="AE88" s="236" t="str">
        <f>IFERROR(__xludf.DUMMYFUNCTION("if(countif(ecn.list,DE88),OFFSET(INDIRECT(CONCAT(""A"",to_text(match(DE88,ecn.list,0)))),0,1),"""")"),"K0 ")</f>
        <v>K0 </v>
      </c>
      <c r="AF88" s="236" t="str">
        <f>IFERROR(__xludf.DUMMYFUNCTION("if(countif(ecn.list,DF88),OFFSET(INDIRECT(CONCAT(""A"",to_text(match(DF88,ecn.list,0)))),0,1),"""")"),"")</f>
        <v/>
      </c>
      <c r="AG88" s="236" t="str">
        <f>IFERROR(__xludf.DUMMYFUNCTION("if(countif(ecn.list,DG88),OFFSET(INDIRECT(CONCAT(""A"",to_text(match(DG88,ecn.list,0)))),0,1),"""")"),"")</f>
        <v/>
      </c>
      <c r="AH88" s="236" t="str">
        <f>IFERROR(__xludf.DUMMYFUNCTION("if(countif(ecn.list,DH88),OFFSET(INDIRECT(CONCAT(""A"",to_text(match(DH88,ecn.list,0)))),0,1),"""")"),"")</f>
        <v/>
      </c>
      <c r="AI88" s="236" t="str">
        <f>IFERROR(__xludf.DUMMYFUNCTION("if(countif(ecn.list,DI88),OFFSET(INDIRECT(CONCAT(""A"",to_text(match(DI88,ecn.list,0)))),0,1),"""")"),"")</f>
        <v/>
      </c>
      <c r="AJ88" s="236" t="str">
        <f>IFERROR(__xludf.DUMMYFUNCTION("if(countif(ecn.list,DJ88),OFFSET(INDIRECT(CONCAT(""A"",to_text(match(DJ88,ecn.list,0)))),0,1),"""")"),"K5 ")</f>
        <v>K5 </v>
      </c>
      <c r="AK88" s="236" t="str">
        <f>IFERROR(__xludf.DUMMYFUNCTION("if(countif(ecn.list,DK88),OFFSET(INDIRECT(CONCAT(""A"",to_text(match(DK88,ecn.list,0)))),0,1),"""")"),"")</f>
        <v/>
      </c>
      <c r="AL88" s="236" t="str">
        <f>IFERROR(__xludf.DUMMYFUNCTION("if(countif(ecn.list,DL88),OFFSET(INDIRECT(CONCAT(""A"",to_text(match(DL88,ecn.list,0)))),0,1),"""")"),"K7 ")</f>
        <v>K7 </v>
      </c>
      <c r="AM88" s="236" t="str">
        <f>IFERROR(__xludf.DUMMYFUNCTION("if(countif(ecn.list,DM88),OFFSET(INDIRECT(CONCAT(""A"",to_text(match(DM88,ecn.list,0)))),0,1),"""")"),"")</f>
        <v/>
      </c>
      <c r="AN88" s="236" t="str">
        <f>IFERROR(__xludf.DUMMYFUNCTION("if(countif(ecn.list,DN88),OFFSET(INDIRECT(CONCAT(""A"",to_text(match(DN88,ecn.list,0)))),0,1),"""")"),"K9 ")</f>
        <v>K9 </v>
      </c>
      <c r="AO88" s="236" t="str">
        <f>IFERROR(__xludf.DUMMYFUNCTION("if(countif(ecn.list,DO88),OFFSET(INDIRECT(CONCAT(""A"",to_text(match(DO88,ecn.list,0)))),0,1),"""")"),"KA ")</f>
        <v>KA </v>
      </c>
      <c r="AP88" s="236" t="str">
        <f>IFERROR(__xludf.DUMMYFUNCTION("if(countif(ecn.list,DP88),OFFSET(INDIRECT(CONCAT(""A"",to_text(match(DP88,ecn.list,0)))),0,1),"""")"),"")</f>
        <v/>
      </c>
      <c r="AQ88" s="236" t="str">
        <f>IFERROR(__xludf.DUMMYFUNCTION("if(countif(ecn.list,DQ88),OFFSET(INDIRECT(CONCAT(""A"",to_text(match(DQ88,ecn.list,0)))),0,1),"""")"),"KC ")</f>
        <v>KC </v>
      </c>
      <c r="AR88" s="236" t="str">
        <f>IFERROR(__xludf.DUMMYFUNCTION("if(countif(ecn.list,DR88),OFFSET(INDIRECT(CONCAT(""A"",to_text(match(DR88,ecn.list,0)))),0,1),"""")"),"KD ")</f>
        <v>KD </v>
      </c>
      <c r="AS88" s="236" t="str">
        <f>IFERROR(__xludf.DUMMYFUNCTION("if(countif(ecn.list,DS88),OFFSET(INDIRECT(CONCAT(""A"",to_text(match(DS88,ecn.list,0)))),0,1),"""")"),"")</f>
        <v/>
      </c>
      <c r="AT88" s="236" t="str">
        <f>IFERROR(__xludf.DUMMYFUNCTION("if(countif(ecn.list,DT88),OFFSET(INDIRECT(CONCAT(""A"",to_text(match(DT88,ecn.list,0)))),0,1),"""")"),"KF ")</f>
        <v>KF </v>
      </c>
      <c r="AU88" s="236" t="str">
        <f>IFERROR(__xludf.DUMMYFUNCTION("if(countif(ecn.list,DU88),OFFSET(INDIRECT(CONCAT(""A"",to_text(match(DU88,ecn.list,0)))),0,1),"""")"),"")</f>
        <v/>
      </c>
      <c r="AV88" s="236" t="str">
        <f>IFERROR(__xludf.DUMMYFUNCTION("if(countif(ecn.list,DV88),OFFSET(INDIRECT(CONCAT(""A"",to_text(match(DV88,ecn.list,0)))),0,1),"""")"),"L1 ")</f>
        <v>L1 </v>
      </c>
      <c r="AW88" s="236" t="str">
        <f>IFERROR(__xludf.DUMMYFUNCTION("if(countif(ecn.list,DW88),OFFSET(INDIRECT(CONCAT(""A"",to_text(match(DW88,ecn.list,0)))),0,1),"""")"),"")</f>
        <v/>
      </c>
      <c r="AX88" s="236" t="str">
        <f>IFERROR(__xludf.DUMMYFUNCTION("if(countif(ecn.list,DX88),OFFSET(INDIRECT(CONCAT(""A"",to_text(match(DX88,ecn.list,0)))),0,1),"""")"),"")</f>
        <v/>
      </c>
      <c r="AY88" s="236" t="str">
        <f>IFERROR(__xludf.DUMMYFUNCTION("if(countif(ecn.list,DY88),OFFSET(INDIRECT(CONCAT(""A"",to_text(match(DY88,ecn.list,0)))),0,1),"""")"),"")</f>
        <v/>
      </c>
      <c r="AZ88" s="236" t="str">
        <f>IFERROR(__xludf.DUMMYFUNCTION("if(countif(ecn.list,DZ88),OFFSET(INDIRECT(CONCAT(""A"",to_text(match(DZ88,ecn.list,0)))),0,1),"""")"),"")</f>
        <v/>
      </c>
      <c r="BA88" s="236" t="str">
        <f>IFERROR(__xludf.DUMMYFUNCTION("if(countif(ecn.list,EA88),OFFSET(INDIRECT(CONCAT(""A"",to_text(match(EA88,ecn.list,0)))),0,1),"""")"),"")</f>
        <v/>
      </c>
      <c r="BB88" s="236" t="str">
        <f>IFERROR(__xludf.DUMMYFUNCTION("if(countif(ecn.list,EB88),OFFSET(INDIRECT(CONCAT(""A"",to_text(match(EB88,ecn.list,0)))),0,1),"""")"),"")</f>
        <v/>
      </c>
      <c r="BC88" s="236" t="str">
        <f>IFERROR(__xludf.DUMMYFUNCTION("if(countif(ecn.list,EC88),OFFSET(INDIRECT(CONCAT(""A"",to_text(match(EC88,ecn.list,0)))),0,1),"""")"),"L8 ")</f>
        <v>L8 </v>
      </c>
      <c r="BD88" s="236" t="str">
        <f>IFERROR(__xludf.DUMMYFUNCTION("if(countif(ecn.list,ED88),OFFSET(INDIRECT(CONCAT(""A"",to_text(match(ED88,ecn.list,0)))),0,1),"""")"),"")</f>
        <v/>
      </c>
      <c r="BE88" s="236" t="str">
        <f>IFERROR(__xludf.DUMMYFUNCTION("if(countif(ecn.list,EE88),OFFSET(INDIRECT(CONCAT(""A"",to_text(match(EE88,ecn.list,0)))),0,1),"""")"),"LA ")</f>
        <v>LA </v>
      </c>
      <c r="BF88" s="236" t="str">
        <f>IFERROR(__xludf.DUMMYFUNCTION("if(countif(ecn.list,EF88),OFFSET(INDIRECT(CONCAT(""A"",to_text(match(EF88,ecn.list,0)))),0,1),"""")"),"")</f>
        <v/>
      </c>
      <c r="BG88" s="236" t="str">
        <f>IFERROR(__xludf.DUMMYFUNCTION("if(countif(ecn.list,EG88),OFFSET(INDIRECT(CONCAT(""A"",to_text(match(EG88,ecn.list,0)))),0,1),"""")"),"LC ")</f>
        <v>LC </v>
      </c>
      <c r="BH88" s="236" t="str">
        <f>IFERROR(__xludf.DUMMYFUNCTION("if(countif(ecn.list,EH88),OFFSET(INDIRECT(CONCAT(""A"",to_text(match(EH88,ecn.list,0)))),0,1),"""")"),"")</f>
        <v/>
      </c>
      <c r="BI88" s="236" t="str">
        <f>IFERROR(__xludf.DUMMYFUNCTION("if(countif(ecn.list,EI88),OFFSET(INDIRECT(CONCAT(""A"",to_text(match(EI88,ecn.list,0)))),0,1),"""")"),"")</f>
        <v/>
      </c>
      <c r="BJ88" s="236" t="str">
        <f>IFERROR(__xludf.DUMMYFUNCTION("if(countif(ecn.list,EJ88),OFFSET(INDIRECT(CONCAT(""A"",to_text(match(EJ88,ecn.list,0)))),0,1),"""")"),"")</f>
        <v/>
      </c>
      <c r="BK88" s="236" t="str">
        <f>IFERROR(__xludf.DUMMYFUNCTION("if(countif(ecn.list,EK88),OFFSET(INDIRECT(CONCAT(""A"",to_text(match(EK88,ecn.list,0)))),0,1),"""")"),"M0 ")</f>
        <v>M0 </v>
      </c>
      <c r="BL88" s="236" t="str">
        <f>IFERROR(__xludf.DUMMYFUNCTION("if(countif(ecn.list,EL88),OFFSET(INDIRECT(CONCAT(""A"",to_text(match(EL88,ecn.list,0)))),0,1),"""")"),"")</f>
        <v/>
      </c>
      <c r="BM88" s="236" t="str">
        <f>IFERROR(__xludf.DUMMYFUNCTION("if(countif(ecn.list,EM88),OFFSET(INDIRECT(CONCAT(""A"",to_text(match(EM88,ecn.list,0)))),0,1),"""")"),"M2 ")</f>
        <v>M2 </v>
      </c>
      <c r="BN88" s="236" t="str">
        <f>IFERROR(__xludf.DUMMYFUNCTION("if(countif(ecn.list,EN88),OFFSET(INDIRECT(CONCAT(""A"",to_text(match(EN88,ecn.list,0)))),0,1),"""")"),"M3 ")</f>
        <v>M3 </v>
      </c>
      <c r="BO88" s="236" t="str">
        <f>IFERROR(__xludf.DUMMYFUNCTION("if(countif(ecn.list,EO88),OFFSET(INDIRECT(CONCAT(""A"",to_text(match(EO88,ecn.list,0)))),0,1),"""")"),"")</f>
        <v/>
      </c>
      <c r="BP88" s="236" t="str">
        <f>IFERROR(__xludf.DUMMYFUNCTION("if(countif(ecn.list,EP88),OFFSET(INDIRECT(CONCAT(""A"",to_text(match(EP88,ecn.list,0)))),0,1),"""")"),"")</f>
        <v/>
      </c>
      <c r="BQ88" s="236" t="str">
        <f>IFERROR(__xludf.DUMMYFUNCTION("if(countif(ecn.list,EQ88),OFFSET(INDIRECT(CONCAT(""A"",to_text(match(EQ88,ecn.list,0)))),0,1),"""")"),"")</f>
        <v/>
      </c>
      <c r="BR88" s="236" t="str">
        <f>IFERROR(__xludf.DUMMYFUNCTION("if(countif(ecn.list,ER88),OFFSET(INDIRECT(CONCAT(""A"",to_text(match(ER88,ecn.list,0)))),0,1),"""")"),"")</f>
        <v/>
      </c>
      <c r="BS88" s="236" t="str">
        <f>IFERROR(__xludf.DUMMYFUNCTION("if(countif(ecn.list,ES88),OFFSET(INDIRECT(CONCAT(""A"",to_text(match(ES88,ecn.list,0)))),0,1),"""")"),"")</f>
        <v/>
      </c>
      <c r="BT88" s="236" t="str">
        <f>IFERROR(__xludf.DUMMYFUNCTION("if(countif(ecn.list,ET88),OFFSET(INDIRECT(CONCAT(""A"",to_text(match(ET88,ecn.list,0)))),0,1),"""")"),"")</f>
        <v/>
      </c>
      <c r="BU88" s="236" t="str">
        <f>IFERROR(__xludf.DUMMYFUNCTION("if(countif(ecn.list,EU88),OFFSET(INDIRECT(CONCAT(""A"",to_text(match(EU88,ecn.list,0)))),0,1),"""")"),"MA ")</f>
        <v>MA </v>
      </c>
      <c r="BV88" s="236" t="str">
        <f>IFERROR(__xludf.DUMMYFUNCTION("if(countif(ecn.list,EV88),OFFSET(INDIRECT(CONCAT(""A"",to_text(match(EV88,ecn.list,0)))),0,1),"""")"),"")</f>
        <v/>
      </c>
      <c r="BW88" s="236" t="str">
        <f>IFERROR(__xludf.DUMMYFUNCTION("if(countif(ecn.list,EW88),OFFSET(INDIRECT(CONCAT(""A"",to_text(match(EW88,ecn.list,0)))),0,1),"""")"),"MC ")</f>
        <v>MC </v>
      </c>
      <c r="BX88" s="236" t="str">
        <f>IFERROR(__xludf.DUMMYFUNCTION("if(countif(ecn.list,EX88),OFFSET(INDIRECT(CONCAT(""A"",to_text(match(EX88,ecn.list,0)))),0,1),"""")"),"MD ")</f>
        <v>MD </v>
      </c>
      <c r="BY88" s="236" t="str">
        <f>IFERROR(__xludf.DUMMYFUNCTION("if(countif(ecn.list,EY88),OFFSET(INDIRECT(CONCAT(""A"",to_text(match(EY88,ecn.list,0)))),0,1),"""")"),"")</f>
        <v/>
      </c>
      <c r="BZ88" s="236" t="str">
        <f>IFERROR(__xludf.DUMMYFUNCTION("if(countif(ecn.list,EZ88),OFFSET(INDIRECT(CONCAT(""A"",to_text(match(EZ88,ecn.list,0)))),0,1),"""")"),"MF ")</f>
        <v>MF </v>
      </c>
      <c r="CA88" s="236" t="str">
        <f>IFERROR(__xludf.DUMMYFUNCTION("if(countif(ecn.list,FA88),OFFSET(INDIRECT(CONCAT(""A"",to_text(match(FA88,ecn.list,0)))),0,1),"""")"),"")</f>
        <v/>
      </c>
      <c r="CB88" s="236" t="str">
        <f>IFERROR(__xludf.DUMMYFUNCTION("if(countif(ecn.list,FB88),OFFSET(INDIRECT(CONCAT(""A"",to_text(match(FB88,ecn.list,0)))),0,1),"""")"),"")</f>
        <v/>
      </c>
      <c r="CC88" s="236" t="str">
        <f>IFERROR(__xludf.DUMMYFUNCTION("if(countif(ecn.list,FC88),OFFSET(INDIRECT(CONCAT(""A"",to_text(match(FC88,ecn.list,0)))),0,1),"""")"),"N2 ")</f>
        <v>N2 </v>
      </c>
      <c r="CD88" s="236" t="str">
        <f>IFERROR(__xludf.DUMMYFUNCTION("if(countif(ecn.list,FD88),OFFSET(INDIRECT(CONCAT(""A"",to_text(match(FD88,ecn.list,0)))),0,1),"""")"),"")</f>
        <v/>
      </c>
      <c r="CE88" s="236" t="str">
        <f>IFERROR(__xludf.DUMMYFUNCTION("if(countif(ecn.list,FE88),OFFSET(INDIRECT(CONCAT(""A"",to_text(match(FE88,ecn.list,0)))),0,1),"""")"),"")</f>
        <v/>
      </c>
      <c r="CF88" s="236" t="str">
        <f>IFERROR(__xludf.DUMMYFUNCTION("if(countif(ecn.list,FF88),OFFSET(INDIRECT(CONCAT(""A"",to_text(match(FF88,ecn.list,0)))),0,1),"""")"),"")</f>
        <v/>
      </c>
      <c r="CG88" s="236" t="str">
        <f>IFERROR(__xludf.DUMMYFUNCTION("if(countif(ecn.list,FG88),OFFSET(INDIRECT(CONCAT(""A"",to_text(match(FG88,ecn.list,0)))),0,1),"""")"),"")</f>
        <v/>
      </c>
      <c r="CH88" s="236" t="str">
        <f>IFERROR(__xludf.DUMMYFUNCTION("if(countif(ecn.list,FH88),OFFSET(INDIRECT(CONCAT(""A"",to_text(match(FH88,ecn.list,0)))),0,1),"""")"),"N7 ")</f>
        <v>N7 </v>
      </c>
      <c r="CI88" s="236" t="str">
        <f>IFERROR(__xludf.DUMMYFUNCTION("if(countif(ecn.list,FI88),OFFSET(INDIRECT(CONCAT(""A"",to_text(match(FI88,ecn.list,0)))),0,1),"""")"),"")</f>
        <v/>
      </c>
      <c r="CJ88" s="236" t="str">
        <f>IFERROR(__xludf.DUMMYFUNCTION("if(countif(ecn.list,FJ88),OFFSET(INDIRECT(CONCAT(""A"",to_text(match(FJ88,ecn.list,0)))),0,1),"""")"),"")</f>
        <v/>
      </c>
      <c r="CK88" s="236" t="str">
        <f>IFERROR(__xludf.DUMMYFUNCTION("if(countif(ecn.list,FK88),OFFSET(INDIRECT(CONCAT(""A"",to_text(match(FK88,ecn.list,0)))),0,1),"""")"),"NA ")</f>
        <v>NA </v>
      </c>
      <c r="CL88" s="236" t="str">
        <f>IFERROR(__xludf.DUMMYFUNCTION("if(countif(ecn.list,FL88),OFFSET(INDIRECT(CONCAT(""A"",to_text(match(FL88,ecn.list,0)))),0,1),"""")"),"")</f>
        <v/>
      </c>
      <c r="CM88" s="236" t="str">
        <f>IFERROR(__xludf.DUMMYFUNCTION("if(countif(ecn.list,FM88),OFFSET(INDIRECT(CONCAT(""A"",to_text(match(FM88,ecn.list,0)))),0,1),"""")"),"")</f>
        <v/>
      </c>
      <c r="CN88" s="198" t="s">
        <v>336</v>
      </c>
      <c r="CO88" s="198" t="s">
        <v>1447</v>
      </c>
      <c r="CP88" s="198" t="s">
        <v>1451</v>
      </c>
      <c r="CQ88" s="198" t="s">
        <v>1452</v>
      </c>
      <c r="CR88" s="198" t="s">
        <v>1453</v>
      </c>
      <c r="CS88" s="198" t="s">
        <v>1453</v>
      </c>
      <c r="CT88" s="198" t="s">
        <v>1454</v>
      </c>
      <c r="CU88" s="198" t="s">
        <v>1455</v>
      </c>
      <c r="CV88" s="198" t="s">
        <v>1456</v>
      </c>
      <c r="CW88" s="198" t="s">
        <v>1453</v>
      </c>
      <c r="CX88" s="198" t="s">
        <v>1453</v>
      </c>
      <c r="CY88" s="198" t="s">
        <v>1484</v>
      </c>
      <c r="CZ88" s="198" t="s">
        <v>1453</v>
      </c>
      <c r="DA88" s="198" t="s">
        <v>1457</v>
      </c>
      <c r="DB88" s="198" t="s">
        <v>1485</v>
      </c>
      <c r="DC88" s="198" t="s">
        <v>1453</v>
      </c>
      <c r="DD88" s="198" t="s">
        <v>1453</v>
      </c>
      <c r="DE88" s="198" t="s">
        <v>1459</v>
      </c>
      <c r="DF88" s="198" t="s">
        <v>1453</v>
      </c>
      <c r="DG88" s="198" t="s">
        <v>1453</v>
      </c>
      <c r="DH88" s="198" t="s">
        <v>1453</v>
      </c>
      <c r="DI88" s="198" t="s">
        <v>1453</v>
      </c>
      <c r="DJ88" s="198" t="s">
        <v>1460</v>
      </c>
      <c r="DK88" s="198" t="s">
        <v>1453</v>
      </c>
      <c r="DL88" s="198" t="s">
        <v>1461</v>
      </c>
      <c r="DM88" s="198" t="s">
        <v>1453</v>
      </c>
      <c r="DN88" s="198" t="s">
        <v>1463</v>
      </c>
      <c r="DO88" s="198" t="s">
        <v>1464</v>
      </c>
      <c r="DP88" s="198" t="s">
        <v>1453</v>
      </c>
      <c r="DQ88" s="198" t="s">
        <v>1466</v>
      </c>
      <c r="DR88" s="198" t="s">
        <v>1467</v>
      </c>
      <c r="DS88" s="198" t="s">
        <v>1453</v>
      </c>
      <c r="DT88" s="198" t="s">
        <v>1468</v>
      </c>
      <c r="DU88" s="198" t="s">
        <v>1453</v>
      </c>
      <c r="DV88" s="198" t="s">
        <v>1469</v>
      </c>
      <c r="DW88" s="198" t="s">
        <v>1453</v>
      </c>
      <c r="DX88" s="198" t="s">
        <v>1453</v>
      </c>
      <c r="DY88" s="198" t="s">
        <v>1453</v>
      </c>
      <c r="DZ88" s="198" t="s">
        <v>1453</v>
      </c>
      <c r="EA88" s="198" t="s">
        <v>1453</v>
      </c>
      <c r="EB88" s="198" t="s">
        <v>1453</v>
      </c>
      <c r="EC88" s="198" t="s">
        <v>1483</v>
      </c>
      <c r="ED88" s="198" t="s">
        <v>1453</v>
      </c>
      <c r="EE88" s="198" t="s">
        <v>1470</v>
      </c>
      <c r="EF88" s="198" t="s">
        <v>1453</v>
      </c>
      <c r="EG88" s="198" t="s">
        <v>1471</v>
      </c>
      <c r="EH88" s="198" t="s">
        <v>1453</v>
      </c>
      <c r="EI88" s="198" t="s">
        <v>1453</v>
      </c>
      <c r="EJ88" s="198" t="s">
        <v>1453</v>
      </c>
      <c r="EK88" s="198" t="s">
        <v>1487</v>
      </c>
      <c r="EL88" s="198" t="s">
        <v>1453</v>
      </c>
      <c r="EM88" s="198" t="s">
        <v>1493</v>
      </c>
      <c r="EN88" s="198" t="s">
        <v>1474</v>
      </c>
      <c r="EO88" s="198" t="s">
        <v>1453</v>
      </c>
      <c r="EP88" s="198" t="s">
        <v>1453</v>
      </c>
      <c r="EQ88" s="198" t="s">
        <v>1453</v>
      </c>
      <c r="ER88" s="198" t="s">
        <v>1453</v>
      </c>
      <c r="ES88" s="198" t="s">
        <v>1453</v>
      </c>
      <c r="ET88" s="198" t="s">
        <v>1453</v>
      </c>
      <c r="EU88" s="198" t="s">
        <v>1494</v>
      </c>
      <c r="EV88" s="198" t="s">
        <v>1453</v>
      </c>
      <c r="EW88" s="198" t="s">
        <v>1495</v>
      </c>
      <c r="EX88" s="198" t="s">
        <v>1488</v>
      </c>
      <c r="EY88" s="198" t="s">
        <v>1453</v>
      </c>
      <c r="EZ88" s="198" t="s">
        <v>1477</v>
      </c>
      <c r="FA88" s="198" t="s">
        <v>1453</v>
      </c>
      <c r="FB88" s="198" t="s">
        <v>1453</v>
      </c>
      <c r="FC88" s="198" t="s">
        <v>1478</v>
      </c>
      <c r="FD88" s="198" t="s">
        <v>1453</v>
      </c>
      <c r="FE88" s="198" t="s">
        <v>1453</v>
      </c>
      <c r="FF88" s="198" t="s">
        <v>1453</v>
      </c>
      <c r="FG88" s="198" t="s">
        <v>1453</v>
      </c>
      <c r="FH88" s="198" t="s">
        <v>1479</v>
      </c>
      <c r="FI88" s="198" t="s">
        <v>1453</v>
      </c>
      <c r="FJ88" s="198" t="s">
        <v>1453</v>
      </c>
      <c r="FK88" s="198" t="s">
        <v>1481</v>
      </c>
      <c r="FL88" s="198" t="s">
        <v>1482</v>
      </c>
      <c r="FM88" s="198" t="s">
        <v>1539</v>
      </c>
    </row>
    <row r="89" ht="15.75" customHeight="1">
      <c r="A89" s="198"/>
      <c r="B89" s="198"/>
      <c r="C89" s="234"/>
      <c r="D89" s="232" t="s">
        <v>770</v>
      </c>
      <c r="E89" s="232" t="s">
        <v>1448</v>
      </c>
      <c r="F89" s="232" t="s">
        <v>1449</v>
      </c>
      <c r="G89" s="232" t="s">
        <v>1450</v>
      </c>
      <c r="H89" s="232" t="s">
        <v>876</v>
      </c>
      <c r="I89" s="232" t="s">
        <v>970</v>
      </c>
      <c r="J89" s="232" t="s">
        <v>838</v>
      </c>
      <c r="K89" s="232" t="s">
        <v>983</v>
      </c>
      <c r="L89" s="188" t="s">
        <v>339</v>
      </c>
      <c r="M89" s="236" t="str">
        <f>IFERROR(__xludf.DUMMYFUNCTION("regexreplace(N89,"" "","", "")"),"J0, J1, J2, J5, J6, J7, JA, JC, K0, K3, K4, K5, K7, K8, K9, KA, KB, KC, KD, KF, L1, L8, LA, LC, LF, M0, M1, M3, M4, M8, MB, ME, MF, N2, N7, NA, ")</f>
        <v>J0, J1, J2, J5, J6, J7, JA, JC, K0, K3, K4, K5, K7, K8, K9, KA, KB, KC, KD, KF, L1, L8, LA, LC, LF, M0, M1, M3, M4, M8, MB, ME, MF, N2, N7, NA, </v>
      </c>
      <c r="N89" s="236" t="str">
        <f t="shared" si="2"/>
        <v>J0 J1 J2 J5 J6 J7 JA JC K0 K3 K4 K5 K7 K8 K9 KA KB KC KD KF L1 L8 LA LC LF M0 M1 M3 M4 M8 MB ME MF N2 N7 NA </v>
      </c>
      <c r="O89" s="236" t="str">
        <f>IFERROR(__xludf.DUMMYFUNCTION("if(countif(ecn.list,CO89),OFFSET(INDIRECT(CONCAT(""A"",to_text(match(CO89,ecn.list,0)))),0,1),"""")"),"J0 ")</f>
        <v>J0 </v>
      </c>
      <c r="P89" s="236" t="str">
        <f>IFERROR(__xludf.DUMMYFUNCTION("if(countif(ecn.list,CP89),OFFSET(INDIRECT(CONCAT(""A"",to_text(match(CP89,ecn.list,0)))),0,1),"""")"),"J1 ")</f>
        <v>J1 </v>
      </c>
      <c r="Q89" s="236" t="str">
        <f>IFERROR(__xludf.DUMMYFUNCTION("if(countif(ecn.list,CQ89),OFFSET(INDIRECT(CONCAT(""A"",to_text(match(CQ89,ecn.list,0)))),0,1),"""")"),"J2 ")</f>
        <v>J2 </v>
      </c>
      <c r="R89" s="236" t="str">
        <f>IFERROR(__xludf.DUMMYFUNCTION("if(countif(ecn.list,CR89),OFFSET(INDIRECT(CONCAT(""A"",to_text(match(CR89,ecn.list,0)))),0,1),"""")"),"")</f>
        <v/>
      </c>
      <c r="S89" s="236" t="str">
        <f>IFERROR(__xludf.DUMMYFUNCTION("if(countif(ecn.list,CS89),OFFSET(INDIRECT(CONCAT(""A"",to_text(match(CS89,ecn.list,0)))),0,1),"""")"),"")</f>
        <v/>
      </c>
      <c r="T89" s="236" t="str">
        <f>IFERROR(__xludf.DUMMYFUNCTION("if(countif(ecn.list,CT89),OFFSET(INDIRECT(CONCAT(""A"",to_text(match(CT89,ecn.list,0)))),0,1),"""")"),"J5 ")</f>
        <v>J5 </v>
      </c>
      <c r="U89" s="236" t="str">
        <f>IFERROR(__xludf.DUMMYFUNCTION("if(countif(ecn.list,CU89),OFFSET(INDIRECT(CONCAT(""A"",to_text(match(CU89,ecn.list,0)))),0,1),"""")"),"J6 ")</f>
        <v>J6 </v>
      </c>
      <c r="V89" s="236" t="str">
        <f>IFERROR(__xludf.DUMMYFUNCTION("if(countif(ecn.list,CV89),OFFSET(INDIRECT(CONCAT(""A"",to_text(match(CV89,ecn.list,0)))),0,1),"""")"),"J7 ")</f>
        <v>J7 </v>
      </c>
      <c r="W89" s="236" t="str">
        <f>IFERROR(__xludf.DUMMYFUNCTION("if(countif(ecn.list,CW89),OFFSET(INDIRECT(CONCAT(""A"",to_text(match(CW89,ecn.list,0)))),0,1),"""")"),"")</f>
        <v/>
      </c>
      <c r="X89" s="236" t="str">
        <f>IFERROR(__xludf.DUMMYFUNCTION("if(countif(ecn.list,CX89),OFFSET(INDIRECT(CONCAT(""A"",to_text(match(CX89,ecn.list,0)))),0,1),"""")"),"")</f>
        <v/>
      </c>
      <c r="Y89" s="236" t="str">
        <f>IFERROR(__xludf.DUMMYFUNCTION("if(countif(ecn.list,CY89),OFFSET(INDIRECT(CONCAT(""A"",to_text(match(CY89,ecn.list,0)))),0,1),"""")"),"JA ")</f>
        <v>JA </v>
      </c>
      <c r="Z89" s="236" t="str">
        <f>IFERROR(__xludf.DUMMYFUNCTION("if(countif(ecn.list,CZ89),OFFSET(INDIRECT(CONCAT(""A"",to_text(match(CZ89,ecn.list,0)))),0,1),"""")"),"")</f>
        <v/>
      </c>
      <c r="AA89" s="236" t="str">
        <f>IFERROR(__xludf.DUMMYFUNCTION("if(countif(ecn.list,DA89),OFFSET(INDIRECT(CONCAT(""A"",to_text(match(DA89,ecn.list,0)))),0,1),"""")"),"JC ")</f>
        <v>JC </v>
      </c>
      <c r="AB89" s="236" t="str">
        <f>IFERROR(__xludf.DUMMYFUNCTION("if(countif(ecn.list,DB89),OFFSET(INDIRECT(CONCAT(""A"",to_text(match(DB89,ecn.list,0)))),0,1),"""")"),"")</f>
        <v/>
      </c>
      <c r="AC89" s="236" t="str">
        <f>IFERROR(__xludf.DUMMYFUNCTION("if(countif(ecn.list,DC89),OFFSET(INDIRECT(CONCAT(""A"",to_text(match(DC89,ecn.list,0)))),0,1),"""")"),"")</f>
        <v/>
      </c>
      <c r="AD89" s="236" t="str">
        <f>IFERROR(__xludf.DUMMYFUNCTION("if(countif(ecn.list,DD89),OFFSET(INDIRECT(CONCAT(""A"",to_text(match(DD89,ecn.list,0)))),0,1),"""")"),"")</f>
        <v/>
      </c>
      <c r="AE89" s="236" t="str">
        <f>IFERROR(__xludf.DUMMYFUNCTION("if(countif(ecn.list,DE89),OFFSET(INDIRECT(CONCAT(""A"",to_text(match(DE89,ecn.list,0)))),0,1),"""")"),"K0 ")</f>
        <v>K0 </v>
      </c>
      <c r="AF89" s="236" t="str">
        <f>IFERROR(__xludf.DUMMYFUNCTION("if(countif(ecn.list,DF89),OFFSET(INDIRECT(CONCAT(""A"",to_text(match(DF89,ecn.list,0)))),0,1),"""")"),"")</f>
        <v/>
      </c>
      <c r="AG89" s="236" t="str">
        <f>IFERROR(__xludf.DUMMYFUNCTION("if(countif(ecn.list,DG89),OFFSET(INDIRECT(CONCAT(""A"",to_text(match(DG89,ecn.list,0)))),0,1),"""")"),"")</f>
        <v/>
      </c>
      <c r="AH89" s="236" t="str">
        <f>IFERROR(__xludf.DUMMYFUNCTION("if(countif(ecn.list,DH89),OFFSET(INDIRECT(CONCAT(""A"",to_text(match(DH89,ecn.list,0)))),0,1),"""")"),"K3 ")</f>
        <v>K3 </v>
      </c>
      <c r="AI89" s="236" t="str">
        <f>IFERROR(__xludf.DUMMYFUNCTION("if(countif(ecn.list,DI89),OFFSET(INDIRECT(CONCAT(""A"",to_text(match(DI89,ecn.list,0)))),0,1),"""")"),"K4 ")</f>
        <v>K4 </v>
      </c>
      <c r="AJ89" s="236" t="str">
        <f>IFERROR(__xludf.DUMMYFUNCTION("if(countif(ecn.list,DJ89),OFFSET(INDIRECT(CONCAT(""A"",to_text(match(DJ89,ecn.list,0)))),0,1),"""")"),"K5 ")</f>
        <v>K5 </v>
      </c>
      <c r="AK89" s="236" t="str">
        <f>IFERROR(__xludf.DUMMYFUNCTION("if(countif(ecn.list,DK89),OFFSET(INDIRECT(CONCAT(""A"",to_text(match(DK89,ecn.list,0)))),0,1),"""")"),"")</f>
        <v/>
      </c>
      <c r="AL89" s="236" t="str">
        <f>IFERROR(__xludf.DUMMYFUNCTION("if(countif(ecn.list,DL89),OFFSET(INDIRECT(CONCAT(""A"",to_text(match(DL89,ecn.list,0)))),0,1),"""")"),"K7 ")</f>
        <v>K7 </v>
      </c>
      <c r="AM89" s="236" t="str">
        <f>IFERROR(__xludf.DUMMYFUNCTION("if(countif(ecn.list,DM89),OFFSET(INDIRECT(CONCAT(""A"",to_text(match(DM89,ecn.list,0)))),0,1),"""")"),"K8 ")</f>
        <v>K8 </v>
      </c>
      <c r="AN89" s="236" t="str">
        <f>IFERROR(__xludf.DUMMYFUNCTION("if(countif(ecn.list,DN89),OFFSET(INDIRECT(CONCAT(""A"",to_text(match(DN89,ecn.list,0)))),0,1),"""")"),"K9 ")</f>
        <v>K9 </v>
      </c>
      <c r="AO89" s="236" t="str">
        <f>IFERROR(__xludf.DUMMYFUNCTION("if(countif(ecn.list,DO89),OFFSET(INDIRECT(CONCAT(""A"",to_text(match(DO89,ecn.list,0)))),0,1),"""")"),"KA ")</f>
        <v>KA </v>
      </c>
      <c r="AP89" s="236" t="str">
        <f>IFERROR(__xludf.DUMMYFUNCTION("if(countif(ecn.list,DP89),OFFSET(INDIRECT(CONCAT(""A"",to_text(match(DP89,ecn.list,0)))),0,1),"""")"),"KB ")</f>
        <v>KB </v>
      </c>
      <c r="AQ89" s="236" t="str">
        <f>IFERROR(__xludf.DUMMYFUNCTION("if(countif(ecn.list,DQ89),OFFSET(INDIRECT(CONCAT(""A"",to_text(match(DQ89,ecn.list,0)))),0,1),"""")"),"KC ")</f>
        <v>KC </v>
      </c>
      <c r="AR89" s="236" t="str">
        <f>IFERROR(__xludf.DUMMYFUNCTION("if(countif(ecn.list,DR89),OFFSET(INDIRECT(CONCAT(""A"",to_text(match(DR89,ecn.list,0)))),0,1),"""")"),"KD ")</f>
        <v>KD </v>
      </c>
      <c r="AS89" s="236" t="str">
        <f>IFERROR(__xludf.DUMMYFUNCTION("if(countif(ecn.list,DS89),OFFSET(INDIRECT(CONCAT(""A"",to_text(match(DS89,ecn.list,0)))),0,1),"""")"),"")</f>
        <v/>
      </c>
      <c r="AT89" s="236" t="str">
        <f>IFERROR(__xludf.DUMMYFUNCTION("if(countif(ecn.list,DT89),OFFSET(INDIRECT(CONCAT(""A"",to_text(match(DT89,ecn.list,0)))),0,1),"""")"),"KF ")</f>
        <v>KF </v>
      </c>
      <c r="AU89" s="236" t="str">
        <f>IFERROR(__xludf.DUMMYFUNCTION("if(countif(ecn.list,DU89),OFFSET(INDIRECT(CONCAT(""A"",to_text(match(DU89,ecn.list,0)))),0,1),"""")"),"")</f>
        <v/>
      </c>
      <c r="AV89" s="236" t="str">
        <f>IFERROR(__xludf.DUMMYFUNCTION("if(countif(ecn.list,DV89),OFFSET(INDIRECT(CONCAT(""A"",to_text(match(DV89,ecn.list,0)))),0,1),"""")"),"L1 ")</f>
        <v>L1 </v>
      </c>
      <c r="AW89" s="236" t="str">
        <f>IFERROR(__xludf.DUMMYFUNCTION("if(countif(ecn.list,DW89),OFFSET(INDIRECT(CONCAT(""A"",to_text(match(DW89,ecn.list,0)))),0,1),"""")"),"")</f>
        <v/>
      </c>
      <c r="AX89" s="236" t="str">
        <f>IFERROR(__xludf.DUMMYFUNCTION("if(countif(ecn.list,DX89),OFFSET(INDIRECT(CONCAT(""A"",to_text(match(DX89,ecn.list,0)))),0,1),"""")"),"")</f>
        <v/>
      </c>
      <c r="AY89" s="236" t="str">
        <f>IFERROR(__xludf.DUMMYFUNCTION("if(countif(ecn.list,DY89),OFFSET(INDIRECT(CONCAT(""A"",to_text(match(DY89,ecn.list,0)))),0,1),"""")"),"")</f>
        <v/>
      </c>
      <c r="AZ89" s="236" t="str">
        <f>IFERROR(__xludf.DUMMYFUNCTION("if(countif(ecn.list,DZ89),OFFSET(INDIRECT(CONCAT(""A"",to_text(match(DZ89,ecn.list,0)))),0,1),"""")"),"")</f>
        <v/>
      </c>
      <c r="BA89" s="236" t="str">
        <f>IFERROR(__xludf.DUMMYFUNCTION("if(countif(ecn.list,EA89),OFFSET(INDIRECT(CONCAT(""A"",to_text(match(EA89,ecn.list,0)))),0,1),"""")"),"")</f>
        <v/>
      </c>
      <c r="BB89" s="236" t="str">
        <f>IFERROR(__xludf.DUMMYFUNCTION("if(countif(ecn.list,EB89),OFFSET(INDIRECT(CONCAT(""A"",to_text(match(EB89,ecn.list,0)))),0,1),"""")"),"")</f>
        <v/>
      </c>
      <c r="BC89" s="236" t="str">
        <f>IFERROR(__xludf.DUMMYFUNCTION("if(countif(ecn.list,EC89),OFFSET(INDIRECT(CONCAT(""A"",to_text(match(EC89,ecn.list,0)))),0,1),"""")"),"L8 ")</f>
        <v>L8 </v>
      </c>
      <c r="BD89" s="236" t="str">
        <f>IFERROR(__xludf.DUMMYFUNCTION("if(countif(ecn.list,ED89),OFFSET(INDIRECT(CONCAT(""A"",to_text(match(ED89,ecn.list,0)))),0,1),"""")"),"")</f>
        <v/>
      </c>
      <c r="BE89" s="236" t="str">
        <f>IFERROR(__xludf.DUMMYFUNCTION("if(countif(ecn.list,EE89),OFFSET(INDIRECT(CONCAT(""A"",to_text(match(EE89,ecn.list,0)))),0,1),"""")"),"LA ")</f>
        <v>LA </v>
      </c>
      <c r="BF89" s="236" t="str">
        <f>IFERROR(__xludf.DUMMYFUNCTION("if(countif(ecn.list,EF89),OFFSET(INDIRECT(CONCAT(""A"",to_text(match(EF89,ecn.list,0)))),0,1),"""")"),"")</f>
        <v/>
      </c>
      <c r="BG89" s="236" t="str">
        <f>IFERROR(__xludf.DUMMYFUNCTION("if(countif(ecn.list,EG89),OFFSET(INDIRECT(CONCAT(""A"",to_text(match(EG89,ecn.list,0)))),0,1),"""")"),"LC ")</f>
        <v>LC </v>
      </c>
      <c r="BH89" s="236" t="str">
        <f>IFERROR(__xludf.DUMMYFUNCTION("if(countif(ecn.list,EH89),OFFSET(INDIRECT(CONCAT(""A"",to_text(match(EH89,ecn.list,0)))),0,1),"""")"),"")</f>
        <v/>
      </c>
      <c r="BI89" s="236" t="str">
        <f>IFERROR(__xludf.DUMMYFUNCTION("if(countif(ecn.list,EI89),OFFSET(INDIRECT(CONCAT(""A"",to_text(match(EI89,ecn.list,0)))),0,1),"""")"),"")</f>
        <v/>
      </c>
      <c r="BJ89" s="236" t="str">
        <f>IFERROR(__xludf.DUMMYFUNCTION("if(countif(ecn.list,EJ89),OFFSET(INDIRECT(CONCAT(""A"",to_text(match(EJ89,ecn.list,0)))),0,1),"""")"),"LF ")</f>
        <v>LF </v>
      </c>
      <c r="BK89" s="236" t="str">
        <f>IFERROR(__xludf.DUMMYFUNCTION("if(countif(ecn.list,EK89),OFFSET(INDIRECT(CONCAT(""A"",to_text(match(EK89,ecn.list,0)))),0,1),"""")"),"M0 ")</f>
        <v>M0 </v>
      </c>
      <c r="BL89" s="236" t="str">
        <f>IFERROR(__xludf.DUMMYFUNCTION("if(countif(ecn.list,EL89),OFFSET(INDIRECT(CONCAT(""A"",to_text(match(EL89,ecn.list,0)))),0,1),"""")"),"M1 ")</f>
        <v>M1 </v>
      </c>
      <c r="BM89" s="236" t="str">
        <f>IFERROR(__xludf.DUMMYFUNCTION("if(countif(ecn.list,EM89),OFFSET(INDIRECT(CONCAT(""A"",to_text(match(EM89,ecn.list,0)))),0,1),"""")"),"")</f>
        <v/>
      </c>
      <c r="BN89" s="236" t="str">
        <f>IFERROR(__xludf.DUMMYFUNCTION("if(countif(ecn.list,EN89),OFFSET(INDIRECT(CONCAT(""A"",to_text(match(EN89,ecn.list,0)))),0,1),"""")"),"M3 ")</f>
        <v>M3 </v>
      </c>
      <c r="BO89" s="236" t="str">
        <f>IFERROR(__xludf.DUMMYFUNCTION("if(countif(ecn.list,EO89),OFFSET(INDIRECT(CONCAT(""A"",to_text(match(EO89,ecn.list,0)))),0,1),"""")"),"M4 ")</f>
        <v>M4 </v>
      </c>
      <c r="BP89" s="236" t="str">
        <f>IFERROR(__xludf.DUMMYFUNCTION("if(countif(ecn.list,EP89),OFFSET(INDIRECT(CONCAT(""A"",to_text(match(EP89,ecn.list,0)))),0,1),"""")"),"")</f>
        <v/>
      </c>
      <c r="BQ89" s="236" t="str">
        <f>IFERROR(__xludf.DUMMYFUNCTION("if(countif(ecn.list,EQ89),OFFSET(INDIRECT(CONCAT(""A"",to_text(match(EQ89,ecn.list,0)))),0,1),"""")"),"")</f>
        <v/>
      </c>
      <c r="BR89" s="236" t="str">
        <f>IFERROR(__xludf.DUMMYFUNCTION("if(countif(ecn.list,ER89),OFFSET(INDIRECT(CONCAT(""A"",to_text(match(ER89,ecn.list,0)))),0,1),"""")"),"")</f>
        <v/>
      </c>
      <c r="BS89" s="236" t="str">
        <f>IFERROR(__xludf.DUMMYFUNCTION("if(countif(ecn.list,ES89),OFFSET(INDIRECT(CONCAT(""A"",to_text(match(ES89,ecn.list,0)))),0,1),"""")"),"M8 ")</f>
        <v>M8 </v>
      </c>
      <c r="BT89" s="236" t="str">
        <f>IFERROR(__xludf.DUMMYFUNCTION("if(countif(ecn.list,ET89),OFFSET(INDIRECT(CONCAT(""A"",to_text(match(ET89,ecn.list,0)))),0,1),"""")"),"")</f>
        <v/>
      </c>
      <c r="BU89" s="236" t="str">
        <f>IFERROR(__xludf.DUMMYFUNCTION("if(countif(ecn.list,EU89),OFFSET(INDIRECT(CONCAT(""A"",to_text(match(EU89,ecn.list,0)))),0,1),"""")"),"")</f>
        <v/>
      </c>
      <c r="BV89" s="236" t="str">
        <f>IFERROR(__xludf.DUMMYFUNCTION("if(countif(ecn.list,EV89),OFFSET(INDIRECT(CONCAT(""A"",to_text(match(EV89,ecn.list,0)))),0,1),"""")"),"MB ")</f>
        <v>MB </v>
      </c>
      <c r="BW89" s="236" t="str">
        <f>IFERROR(__xludf.DUMMYFUNCTION("if(countif(ecn.list,EW89),OFFSET(INDIRECT(CONCAT(""A"",to_text(match(EW89,ecn.list,0)))),0,1),"""")"),"")</f>
        <v/>
      </c>
      <c r="BX89" s="236" t="str">
        <f>IFERROR(__xludf.DUMMYFUNCTION("if(countif(ecn.list,EX89),OFFSET(INDIRECT(CONCAT(""A"",to_text(match(EX89,ecn.list,0)))),0,1),"""")"),"")</f>
        <v/>
      </c>
      <c r="BY89" s="236" t="str">
        <f>IFERROR(__xludf.DUMMYFUNCTION("if(countif(ecn.list,EY89),OFFSET(INDIRECT(CONCAT(""A"",to_text(match(EY89,ecn.list,0)))),0,1),"""")"),"ME ")</f>
        <v>ME </v>
      </c>
      <c r="BZ89" s="236" t="str">
        <f>IFERROR(__xludf.DUMMYFUNCTION("if(countif(ecn.list,EZ89),OFFSET(INDIRECT(CONCAT(""A"",to_text(match(EZ89,ecn.list,0)))),0,1),"""")"),"MF ")</f>
        <v>MF </v>
      </c>
      <c r="CA89" s="236" t="str">
        <f>IFERROR(__xludf.DUMMYFUNCTION("if(countif(ecn.list,FA89),OFFSET(INDIRECT(CONCAT(""A"",to_text(match(FA89,ecn.list,0)))),0,1),"""")"),"")</f>
        <v/>
      </c>
      <c r="CB89" s="236" t="str">
        <f>IFERROR(__xludf.DUMMYFUNCTION("if(countif(ecn.list,FB89),OFFSET(INDIRECT(CONCAT(""A"",to_text(match(FB89,ecn.list,0)))),0,1),"""")"),"")</f>
        <v/>
      </c>
      <c r="CC89" s="236" t="str">
        <f>IFERROR(__xludf.DUMMYFUNCTION("if(countif(ecn.list,FC89),OFFSET(INDIRECT(CONCAT(""A"",to_text(match(FC89,ecn.list,0)))),0,1),"""")"),"N2 ")</f>
        <v>N2 </v>
      </c>
      <c r="CD89" s="236" t="str">
        <f>IFERROR(__xludf.DUMMYFUNCTION("if(countif(ecn.list,FD89),OFFSET(INDIRECT(CONCAT(""A"",to_text(match(FD89,ecn.list,0)))),0,1),"""")"),"")</f>
        <v/>
      </c>
      <c r="CE89" s="236" t="str">
        <f>IFERROR(__xludf.DUMMYFUNCTION("if(countif(ecn.list,FE89),OFFSET(INDIRECT(CONCAT(""A"",to_text(match(FE89,ecn.list,0)))),0,1),"""")"),"")</f>
        <v/>
      </c>
      <c r="CF89" s="236" t="str">
        <f>IFERROR(__xludf.DUMMYFUNCTION("if(countif(ecn.list,FF89),OFFSET(INDIRECT(CONCAT(""A"",to_text(match(FF89,ecn.list,0)))),0,1),"""")"),"")</f>
        <v/>
      </c>
      <c r="CG89" s="236" t="str">
        <f>IFERROR(__xludf.DUMMYFUNCTION("if(countif(ecn.list,FG89),OFFSET(INDIRECT(CONCAT(""A"",to_text(match(FG89,ecn.list,0)))),0,1),"""")"),"")</f>
        <v/>
      </c>
      <c r="CH89" s="236" t="str">
        <f>IFERROR(__xludf.DUMMYFUNCTION("if(countif(ecn.list,FH89),OFFSET(INDIRECT(CONCAT(""A"",to_text(match(FH89,ecn.list,0)))),0,1),"""")"),"N7 ")</f>
        <v>N7 </v>
      </c>
      <c r="CI89" s="236" t="str">
        <f>IFERROR(__xludf.DUMMYFUNCTION("if(countif(ecn.list,FI89),OFFSET(INDIRECT(CONCAT(""A"",to_text(match(FI89,ecn.list,0)))),0,1),"""")"),"")</f>
        <v/>
      </c>
      <c r="CJ89" s="236" t="str">
        <f>IFERROR(__xludf.DUMMYFUNCTION("if(countif(ecn.list,FJ89),OFFSET(INDIRECT(CONCAT(""A"",to_text(match(FJ89,ecn.list,0)))),0,1),"""")"),"")</f>
        <v/>
      </c>
      <c r="CK89" s="236" t="str">
        <f>IFERROR(__xludf.DUMMYFUNCTION("if(countif(ecn.list,FK89),OFFSET(INDIRECT(CONCAT(""A"",to_text(match(FK89,ecn.list,0)))),0,1),"""")"),"NA ")</f>
        <v>NA </v>
      </c>
      <c r="CL89" s="236" t="str">
        <f>IFERROR(__xludf.DUMMYFUNCTION("if(countif(ecn.list,FL89),OFFSET(INDIRECT(CONCAT(""A"",to_text(match(FL89,ecn.list,0)))),0,1),"""")"),"")</f>
        <v/>
      </c>
      <c r="CM89" s="236" t="str">
        <f>IFERROR(__xludf.DUMMYFUNCTION("if(countif(ecn.list,FM89),OFFSET(INDIRECT(CONCAT(""A"",to_text(match(FM89,ecn.list,0)))),0,1),"""")"),"")</f>
        <v/>
      </c>
      <c r="CN89" s="198" t="s">
        <v>339</v>
      </c>
      <c r="CO89" s="198" t="s">
        <v>1447</v>
      </c>
      <c r="CP89" s="198" t="s">
        <v>1451</v>
      </c>
      <c r="CQ89" s="198" t="s">
        <v>1452</v>
      </c>
      <c r="CR89" s="198" t="s">
        <v>1453</v>
      </c>
      <c r="CS89" s="198" t="s">
        <v>1453</v>
      </c>
      <c r="CT89" s="198" t="s">
        <v>1454</v>
      </c>
      <c r="CU89" s="198" t="s">
        <v>1455</v>
      </c>
      <c r="CV89" s="198" t="s">
        <v>1456</v>
      </c>
      <c r="CW89" s="198" t="s">
        <v>1453</v>
      </c>
      <c r="CX89" s="198" t="s">
        <v>1453</v>
      </c>
      <c r="CY89" s="198" t="s">
        <v>1484</v>
      </c>
      <c r="CZ89" s="198" t="s">
        <v>1453</v>
      </c>
      <c r="DA89" s="198" t="s">
        <v>1457</v>
      </c>
      <c r="DB89" s="198" t="s">
        <v>1453</v>
      </c>
      <c r="DC89" s="198" t="s">
        <v>1453</v>
      </c>
      <c r="DD89" s="198" t="s">
        <v>1453</v>
      </c>
      <c r="DE89" s="198" t="s">
        <v>1459</v>
      </c>
      <c r="DF89" s="198" t="s">
        <v>1453</v>
      </c>
      <c r="DG89" s="198" t="s">
        <v>1453</v>
      </c>
      <c r="DH89" s="198" t="s">
        <v>1500</v>
      </c>
      <c r="DI89" s="198" t="s">
        <v>1501</v>
      </c>
      <c r="DJ89" s="198" t="s">
        <v>1460</v>
      </c>
      <c r="DK89" s="198" t="s">
        <v>1453</v>
      </c>
      <c r="DL89" s="198" t="s">
        <v>1461</v>
      </c>
      <c r="DM89" s="198" t="s">
        <v>1462</v>
      </c>
      <c r="DN89" s="198" t="s">
        <v>1463</v>
      </c>
      <c r="DO89" s="198" t="s">
        <v>1464</v>
      </c>
      <c r="DP89" s="198" t="s">
        <v>1465</v>
      </c>
      <c r="DQ89" s="198" t="s">
        <v>1466</v>
      </c>
      <c r="DR89" s="198" t="s">
        <v>1467</v>
      </c>
      <c r="DS89" s="198" t="s">
        <v>1453</v>
      </c>
      <c r="DT89" s="198" t="s">
        <v>1468</v>
      </c>
      <c r="DU89" s="198" t="s">
        <v>1453</v>
      </c>
      <c r="DV89" s="198" t="s">
        <v>1469</v>
      </c>
      <c r="DW89" s="198" t="s">
        <v>1453</v>
      </c>
      <c r="DX89" s="198" t="s">
        <v>1453</v>
      </c>
      <c r="DY89" s="198" t="s">
        <v>1453</v>
      </c>
      <c r="DZ89" s="198" t="s">
        <v>1453</v>
      </c>
      <c r="EA89" s="198" t="s">
        <v>1453</v>
      </c>
      <c r="EB89" s="198" t="s">
        <v>1453</v>
      </c>
      <c r="EC89" s="198" t="s">
        <v>1483</v>
      </c>
      <c r="ED89" s="198" t="s">
        <v>1453</v>
      </c>
      <c r="EE89" s="198" t="s">
        <v>1470</v>
      </c>
      <c r="EF89" s="198" t="s">
        <v>1453</v>
      </c>
      <c r="EG89" s="198" t="s">
        <v>1471</v>
      </c>
      <c r="EH89" s="198" t="s">
        <v>1453</v>
      </c>
      <c r="EI89" s="198" t="s">
        <v>1453</v>
      </c>
      <c r="EJ89" s="198" t="s">
        <v>1472</v>
      </c>
      <c r="EK89" s="198" t="s">
        <v>1487</v>
      </c>
      <c r="EL89" s="198" t="s">
        <v>1473</v>
      </c>
      <c r="EM89" s="198" t="s">
        <v>1453</v>
      </c>
      <c r="EN89" s="198" t="s">
        <v>1474</v>
      </c>
      <c r="EO89" s="198" t="s">
        <v>1475</v>
      </c>
      <c r="EP89" s="198" t="s">
        <v>1453</v>
      </c>
      <c r="EQ89" s="198" t="s">
        <v>1453</v>
      </c>
      <c r="ER89" s="198" t="s">
        <v>1453</v>
      </c>
      <c r="ES89" s="198" t="s">
        <v>1505</v>
      </c>
      <c r="ET89" s="198" t="s">
        <v>1453</v>
      </c>
      <c r="EU89" s="198" t="s">
        <v>1453</v>
      </c>
      <c r="EV89" s="198" t="s">
        <v>1476</v>
      </c>
      <c r="EW89" s="198" t="s">
        <v>1453</v>
      </c>
      <c r="EX89" s="198" t="s">
        <v>1453</v>
      </c>
      <c r="EY89" s="198" t="s">
        <v>1531</v>
      </c>
      <c r="EZ89" s="198" t="s">
        <v>1477</v>
      </c>
      <c r="FA89" s="198" t="s">
        <v>1453</v>
      </c>
      <c r="FB89" s="198" t="s">
        <v>1453</v>
      </c>
      <c r="FC89" s="198" t="s">
        <v>1478</v>
      </c>
      <c r="FD89" s="198" t="s">
        <v>1453</v>
      </c>
      <c r="FE89" s="198" t="s">
        <v>1453</v>
      </c>
      <c r="FF89" s="198" t="s">
        <v>1453</v>
      </c>
      <c r="FG89" s="198" t="s">
        <v>1453</v>
      </c>
      <c r="FH89" s="198" t="s">
        <v>1479</v>
      </c>
      <c r="FI89" s="198" t="s">
        <v>1453</v>
      </c>
      <c r="FJ89" s="198" t="s">
        <v>1453</v>
      </c>
      <c r="FK89" s="198" t="s">
        <v>1481</v>
      </c>
      <c r="FL89" s="198" t="s">
        <v>1482</v>
      </c>
      <c r="FM89" s="198" t="s">
        <v>1453</v>
      </c>
    </row>
    <row r="90" ht="15.75" customHeight="1">
      <c r="A90" s="198"/>
      <c r="B90" s="198"/>
      <c r="C90" s="234"/>
      <c r="D90" s="232" t="s">
        <v>770</v>
      </c>
      <c r="E90" s="232" t="s">
        <v>1448</v>
      </c>
      <c r="F90" s="232" t="s">
        <v>1449</v>
      </c>
      <c r="G90" s="232" t="s">
        <v>1450</v>
      </c>
      <c r="H90" s="232" t="s">
        <v>876</v>
      </c>
      <c r="I90" s="232" t="s">
        <v>812</v>
      </c>
      <c r="J90" s="232" t="s">
        <v>859</v>
      </c>
      <c r="K90" s="232" t="s">
        <v>1124</v>
      </c>
      <c r="L90" s="188" t="s">
        <v>342</v>
      </c>
      <c r="M90" s="236" t="str">
        <f>IFERROR(__xludf.DUMMYFUNCTION("regexreplace(N90,"" "","", "")"),"J0, J1, J2, J5, J6, J7, JA, JC, K0, K3, K4, K5, K7, K9, KA, KB, KC, KD, KF, L1, L8, LA, LC, LF, M0, M1, M3, M8, MB, MD, MF, N2, N7, NA, ")</f>
        <v>J0, J1, J2, J5, J6, J7, JA, JC, K0, K3, K4, K5, K7, K9, KA, KB, KC, KD, KF, L1, L8, LA, LC, LF, M0, M1, M3, M8, MB, MD, MF, N2, N7, NA, </v>
      </c>
      <c r="N90" s="236" t="str">
        <f t="shared" si="2"/>
        <v>J0 J1 J2 J5 J6 J7 JA JC K0 K3 K4 K5 K7 K9 KA KB KC KD KF L1 L8 LA LC LF M0 M1 M3 M8 MB MD MF N2 N7 NA </v>
      </c>
      <c r="O90" s="236" t="str">
        <f>IFERROR(__xludf.DUMMYFUNCTION("if(countif(ecn.list,CO90),OFFSET(INDIRECT(CONCAT(""A"",to_text(match(CO90,ecn.list,0)))),0,1),"""")"),"J0 ")</f>
        <v>J0 </v>
      </c>
      <c r="P90" s="236" t="str">
        <f>IFERROR(__xludf.DUMMYFUNCTION("if(countif(ecn.list,CP90),OFFSET(INDIRECT(CONCAT(""A"",to_text(match(CP90,ecn.list,0)))),0,1),"""")"),"J1 ")</f>
        <v>J1 </v>
      </c>
      <c r="Q90" s="236" t="str">
        <f>IFERROR(__xludf.DUMMYFUNCTION("if(countif(ecn.list,CQ90),OFFSET(INDIRECT(CONCAT(""A"",to_text(match(CQ90,ecn.list,0)))),0,1),"""")"),"J2 ")</f>
        <v>J2 </v>
      </c>
      <c r="R90" s="236" t="str">
        <f>IFERROR(__xludf.DUMMYFUNCTION("if(countif(ecn.list,CR90),OFFSET(INDIRECT(CONCAT(""A"",to_text(match(CR90,ecn.list,0)))),0,1),"""")"),"")</f>
        <v/>
      </c>
      <c r="S90" s="236" t="str">
        <f>IFERROR(__xludf.DUMMYFUNCTION("if(countif(ecn.list,CS90),OFFSET(INDIRECT(CONCAT(""A"",to_text(match(CS90,ecn.list,0)))),0,1),"""")"),"")</f>
        <v/>
      </c>
      <c r="T90" s="236" t="str">
        <f>IFERROR(__xludf.DUMMYFUNCTION("if(countif(ecn.list,CT90),OFFSET(INDIRECT(CONCAT(""A"",to_text(match(CT90,ecn.list,0)))),0,1),"""")"),"J5 ")</f>
        <v>J5 </v>
      </c>
      <c r="U90" s="236" t="str">
        <f>IFERROR(__xludf.DUMMYFUNCTION("if(countif(ecn.list,CU90),OFFSET(INDIRECT(CONCAT(""A"",to_text(match(CU90,ecn.list,0)))),0,1),"""")"),"J6 ")</f>
        <v>J6 </v>
      </c>
      <c r="V90" s="236" t="str">
        <f>IFERROR(__xludf.DUMMYFUNCTION("if(countif(ecn.list,CV90),OFFSET(INDIRECT(CONCAT(""A"",to_text(match(CV90,ecn.list,0)))),0,1),"""")"),"J7 ")</f>
        <v>J7 </v>
      </c>
      <c r="W90" s="236" t="str">
        <f>IFERROR(__xludf.DUMMYFUNCTION("if(countif(ecn.list,CW90),OFFSET(INDIRECT(CONCAT(""A"",to_text(match(CW90,ecn.list,0)))),0,1),"""")"),"")</f>
        <v/>
      </c>
      <c r="X90" s="236" t="str">
        <f>IFERROR(__xludf.DUMMYFUNCTION("if(countif(ecn.list,CX90),OFFSET(INDIRECT(CONCAT(""A"",to_text(match(CX90,ecn.list,0)))),0,1),"""")"),"")</f>
        <v/>
      </c>
      <c r="Y90" s="236" t="str">
        <f>IFERROR(__xludf.DUMMYFUNCTION("if(countif(ecn.list,CY90),OFFSET(INDIRECT(CONCAT(""A"",to_text(match(CY90,ecn.list,0)))),0,1),"""")"),"JA ")</f>
        <v>JA </v>
      </c>
      <c r="Z90" s="236" t="str">
        <f>IFERROR(__xludf.DUMMYFUNCTION("if(countif(ecn.list,CZ90),OFFSET(INDIRECT(CONCAT(""A"",to_text(match(CZ90,ecn.list,0)))),0,1),"""")"),"")</f>
        <v/>
      </c>
      <c r="AA90" s="236" t="str">
        <f>IFERROR(__xludf.DUMMYFUNCTION("if(countif(ecn.list,DA90),OFFSET(INDIRECT(CONCAT(""A"",to_text(match(DA90,ecn.list,0)))),0,1),"""")"),"JC ")</f>
        <v>JC </v>
      </c>
      <c r="AB90" s="236" t="str">
        <f>IFERROR(__xludf.DUMMYFUNCTION("if(countif(ecn.list,DB90),OFFSET(INDIRECT(CONCAT(""A"",to_text(match(DB90,ecn.list,0)))),0,1),"""")"),"")</f>
        <v/>
      </c>
      <c r="AC90" s="236" t="str">
        <f>IFERROR(__xludf.DUMMYFUNCTION("if(countif(ecn.list,DC90),OFFSET(INDIRECT(CONCAT(""A"",to_text(match(DC90,ecn.list,0)))),0,1),"""")"),"")</f>
        <v/>
      </c>
      <c r="AD90" s="236" t="str">
        <f>IFERROR(__xludf.DUMMYFUNCTION("if(countif(ecn.list,DD90),OFFSET(INDIRECT(CONCAT(""A"",to_text(match(DD90,ecn.list,0)))),0,1),"""")"),"")</f>
        <v/>
      </c>
      <c r="AE90" s="236" t="str">
        <f>IFERROR(__xludf.DUMMYFUNCTION("if(countif(ecn.list,DE90),OFFSET(INDIRECT(CONCAT(""A"",to_text(match(DE90,ecn.list,0)))),0,1),"""")"),"K0 ")</f>
        <v>K0 </v>
      </c>
      <c r="AF90" s="236" t="str">
        <f>IFERROR(__xludf.DUMMYFUNCTION("if(countif(ecn.list,DF90),OFFSET(INDIRECT(CONCAT(""A"",to_text(match(DF90,ecn.list,0)))),0,1),"""")"),"")</f>
        <v/>
      </c>
      <c r="AG90" s="236" t="str">
        <f>IFERROR(__xludf.DUMMYFUNCTION("if(countif(ecn.list,DG90),OFFSET(INDIRECT(CONCAT(""A"",to_text(match(DG90,ecn.list,0)))),0,1),"""")"),"")</f>
        <v/>
      </c>
      <c r="AH90" s="236" t="str">
        <f>IFERROR(__xludf.DUMMYFUNCTION("if(countif(ecn.list,DH90),OFFSET(INDIRECT(CONCAT(""A"",to_text(match(DH90,ecn.list,0)))),0,1),"""")"),"K3 ")</f>
        <v>K3 </v>
      </c>
      <c r="AI90" s="236" t="str">
        <f>IFERROR(__xludf.DUMMYFUNCTION("if(countif(ecn.list,DI90),OFFSET(INDIRECT(CONCAT(""A"",to_text(match(DI90,ecn.list,0)))),0,1),"""")"),"K4 ")</f>
        <v>K4 </v>
      </c>
      <c r="AJ90" s="236" t="str">
        <f>IFERROR(__xludf.DUMMYFUNCTION("if(countif(ecn.list,DJ90),OFFSET(INDIRECT(CONCAT(""A"",to_text(match(DJ90,ecn.list,0)))),0,1),"""")"),"K5 ")</f>
        <v>K5 </v>
      </c>
      <c r="AK90" s="236" t="str">
        <f>IFERROR(__xludf.DUMMYFUNCTION("if(countif(ecn.list,DK90),OFFSET(INDIRECT(CONCAT(""A"",to_text(match(DK90,ecn.list,0)))),0,1),"""")"),"")</f>
        <v/>
      </c>
      <c r="AL90" s="236" t="str">
        <f>IFERROR(__xludf.DUMMYFUNCTION("if(countif(ecn.list,DL90),OFFSET(INDIRECT(CONCAT(""A"",to_text(match(DL90,ecn.list,0)))),0,1),"""")"),"K7 ")</f>
        <v>K7 </v>
      </c>
      <c r="AM90" s="236" t="str">
        <f>IFERROR(__xludf.DUMMYFUNCTION("if(countif(ecn.list,DM90),OFFSET(INDIRECT(CONCAT(""A"",to_text(match(DM90,ecn.list,0)))),0,1),"""")"),"")</f>
        <v/>
      </c>
      <c r="AN90" s="236" t="str">
        <f>IFERROR(__xludf.DUMMYFUNCTION("if(countif(ecn.list,DN90),OFFSET(INDIRECT(CONCAT(""A"",to_text(match(DN90,ecn.list,0)))),0,1),"""")"),"K9 ")</f>
        <v>K9 </v>
      </c>
      <c r="AO90" s="236" t="str">
        <f>IFERROR(__xludf.DUMMYFUNCTION("if(countif(ecn.list,DO90),OFFSET(INDIRECT(CONCAT(""A"",to_text(match(DO90,ecn.list,0)))),0,1),"""")"),"KA ")</f>
        <v>KA </v>
      </c>
      <c r="AP90" s="236" t="str">
        <f>IFERROR(__xludf.DUMMYFUNCTION("if(countif(ecn.list,DP90),OFFSET(INDIRECT(CONCAT(""A"",to_text(match(DP90,ecn.list,0)))),0,1),"""")"),"KB ")</f>
        <v>KB </v>
      </c>
      <c r="AQ90" s="236" t="str">
        <f>IFERROR(__xludf.DUMMYFUNCTION("if(countif(ecn.list,DQ90),OFFSET(INDIRECT(CONCAT(""A"",to_text(match(DQ90,ecn.list,0)))),0,1),"""")"),"KC ")</f>
        <v>KC </v>
      </c>
      <c r="AR90" s="236" t="str">
        <f>IFERROR(__xludf.DUMMYFUNCTION("if(countif(ecn.list,DR90),OFFSET(INDIRECT(CONCAT(""A"",to_text(match(DR90,ecn.list,0)))),0,1),"""")"),"KD ")</f>
        <v>KD </v>
      </c>
      <c r="AS90" s="236" t="str">
        <f>IFERROR(__xludf.DUMMYFUNCTION("if(countif(ecn.list,DS90),OFFSET(INDIRECT(CONCAT(""A"",to_text(match(DS90,ecn.list,0)))),0,1),"""")"),"")</f>
        <v/>
      </c>
      <c r="AT90" s="236" t="str">
        <f>IFERROR(__xludf.DUMMYFUNCTION("if(countif(ecn.list,DT90),OFFSET(INDIRECT(CONCAT(""A"",to_text(match(DT90,ecn.list,0)))),0,1),"""")"),"KF ")</f>
        <v>KF </v>
      </c>
      <c r="AU90" s="236" t="str">
        <f>IFERROR(__xludf.DUMMYFUNCTION("if(countif(ecn.list,DU90),OFFSET(INDIRECT(CONCAT(""A"",to_text(match(DU90,ecn.list,0)))),0,1),"""")"),"")</f>
        <v/>
      </c>
      <c r="AV90" s="236" t="str">
        <f>IFERROR(__xludf.DUMMYFUNCTION("if(countif(ecn.list,DV90),OFFSET(INDIRECT(CONCAT(""A"",to_text(match(DV90,ecn.list,0)))),0,1),"""")"),"L1 ")</f>
        <v>L1 </v>
      </c>
      <c r="AW90" s="236" t="str">
        <f>IFERROR(__xludf.DUMMYFUNCTION("if(countif(ecn.list,DW90),OFFSET(INDIRECT(CONCAT(""A"",to_text(match(DW90,ecn.list,0)))),0,1),"""")"),"")</f>
        <v/>
      </c>
      <c r="AX90" s="236" t="str">
        <f>IFERROR(__xludf.DUMMYFUNCTION("if(countif(ecn.list,DX90),OFFSET(INDIRECT(CONCAT(""A"",to_text(match(DX90,ecn.list,0)))),0,1),"""")"),"")</f>
        <v/>
      </c>
      <c r="AY90" s="236" t="str">
        <f>IFERROR(__xludf.DUMMYFUNCTION("if(countif(ecn.list,DY90),OFFSET(INDIRECT(CONCAT(""A"",to_text(match(DY90,ecn.list,0)))),0,1),"""")"),"")</f>
        <v/>
      </c>
      <c r="AZ90" s="236" t="str">
        <f>IFERROR(__xludf.DUMMYFUNCTION("if(countif(ecn.list,DZ90),OFFSET(INDIRECT(CONCAT(""A"",to_text(match(DZ90,ecn.list,0)))),0,1),"""")"),"")</f>
        <v/>
      </c>
      <c r="BA90" s="236" t="str">
        <f>IFERROR(__xludf.DUMMYFUNCTION("if(countif(ecn.list,EA90),OFFSET(INDIRECT(CONCAT(""A"",to_text(match(EA90,ecn.list,0)))),0,1),"""")"),"")</f>
        <v/>
      </c>
      <c r="BB90" s="236" t="str">
        <f>IFERROR(__xludf.DUMMYFUNCTION("if(countif(ecn.list,EB90),OFFSET(INDIRECT(CONCAT(""A"",to_text(match(EB90,ecn.list,0)))),0,1),"""")"),"")</f>
        <v/>
      </c>
      <c r="BC90" s="236" t="str">
        <f>IFERROR(__xludf.DUMMYFUNCTION("if(countif(ecn.list,EC90),OFFSET(INDIRECT(CONCAT(""A"",to_text(match(EC90,ecn.list,0)))),0,1),"""")"),"L8 ")</f>
        <v>L8 </v>
      </c>
      <c r="BD90" s="236" t="str">
        <f>IFERROR(__xludf.DUMMYFUNCTION("if(countif(ecn.list,ED90),OFFSET(INDIRECT(CONCAT(""A"",to_text(match(ED90,ecn.list,0)))),0,1),"""")"),"")</f>
        <v/>
      </c>
      <c r="BE90" s="236" t="str">
        <f>IFERROR(__xludf.DUMMYFUNCTION("if(countif(ecn.list,EE90),OFFSET(INDIRECT(CONCAT(""A"",to_text(match(EE90,ecn.list,0)))),0,1),"""")"),"LA ")</f>
        <v>LA </v>
      </c>
      <c r="BF90" s="236" t="str">
        <f>IFERROR(__xludf.DUMMYFUNCTION("if(countif(ecn.list,EF90),OFFSET(INDIRECT(CONCAT(""A"",to_text(match(EF90,ecn.list,0)))),0,1),"""")"),"")</f>
        <v/>
      </c>
      <c r="BG90" s="236" t="str">
        <f>IFERROR(__xludf.DUMMYFUNCTION("if(countif(ecn.list,EG90),OFFSET(INDIRECT(CONCAT(""A"",to_text(match(EG90,ecn.list,0)))),0,1),"""")"),"LC ")</f>
        <v>LC </v>
      </c>
      <c r="BH90" s="236" t="str">
        <f>IFERROR(__xludf.DUMMYFUNCTION("if(countif(ecn.list,EH90),OFFSET(INDIRECT(CONCAT(""A"",to_text(match(EH90,ecn.list,0)))),0,1),"""")"),"")</f>
        <v/>
      </c>
      <c r="BI90" s="236" t="str">
        <f>IFERROR(__xludf.DUMMYFUNCTION("if(countif(ecn.list,EI90),OFFSET(INDIRECT(CONCAT(""A"",to_text(match(EI90,ecn.list,0)))),0,1),"""")"),"")</f>
        <v/>
      </c>
      <c r="BJ90" s="236" t="str">
        <f>IFERROR(__xludf.DUMMYFUNCTION("if(countif(ecn.list,EJ90),OFFSET(INDIRECT(CONCAT(""A"",to_text(match(EJ90,ecn.list,0)))),0,1),"""")"),"LF ")</f>
        <v>LF </v>
      </c>
      <c r="BK90" s="236" t="str">
        <f>IFERROR(__xludf.DUMMYFUNCTION("if(countif(ecn.list,EK90),OFFSET(INDIRECT(CONCAT(""A"",to_text(match(EK90,ecn.list,0)))),0,1),"""")"),"M0 ")</f>
        <v>M0 </v>
      </c>
      <c r="BL90" s="236" t="str">
        <f>IFERROR(__xludf.DUMMYFUNCTION("if(countif(ecn.list,EL90),OFFSET(INDIRECT(CONCAT(""A"",to_text(match(EL90,ecn.list,0)))),0,1),"""")"),"M1 ")</f>
        <v>M1 </v>
      </c>
      <c r="BM90" s="236" t="str">
        <f>IFERROR(__xludf.DUMMYFUNCTION("if(countif(ecn.list,EM90),OFFSET(INDIRECT(CONCAT(""A"",to_text(match(EM90,ecn.list,0)))),0,1),"""")"),"")</f>
        <v/>
      </c>
      <c r="BN90" s="236" t="str">
        <f>IFERROR(__xludf.DUMMYFUNCTION("if(countif(ecn.list,EN90),OFFSET(INDIRECT(CONCAT(""A"",to_text(match(EN90,ecn.list,0)))),0,1),"""")"),"M3 ")</f>
        <v>M3 </v>
      </c>
      <c r="BO90" s="236" t="str">
        <f>IFERROR(__xludf.DUMMYFUNCTION("if(countif(ecn.list,EO90),OFFSET(INDIRECT(CONCAT(""A"",to_text(match(EO90,ecn.list,0)))),0,1),"""")"),"")</f>
        <v/>
      </c>
      <c r="BP90" s="236" t="str">
        <f>IFERROR(__xludf.DUMMYFUNCTION("if(countif(ecn.list,EP90),OFFSET(INDIRECT(CONCAT(""A"",to_text(match(EP90,ecn.list,0)))),0,1),"""")"),"")</f>
        <v/>
      </c>
      <c r="BQ90" s="236" t="str">
        <f>IFERROR(__xludf.DUMMYFUNCTION("if(countif(ecn.list,EQ90),OFFSET(INDIRECT(CONCAT(""A"",to_text(match(EQ90,ecn.list,0)))),0,1),"""")"),"")</f>
        <v/>
      </c>
      <c r="BR90" s="236" t="str">
        <f>IFERROR(__xludf.DUMMYFUNCTION("if(countif(ecn.list,ER90),OFFSET(INDIRECT(CONCAT(""A"",to_text(match(ER90,ecn.list,0)))),0,1),"""")"),"")</f>
        <v/>
      </c>
      <c r="BS90" s="236" t="str">
        <f>IFERROR(__xludf.DUMMYFUNCTION("if(countif(ecn.list,ES90),OFFSET(INDIRECT(CONCAT(""A"",to_text(match(ES90,ecn.list,0)))),0,1),"""")"),"M8 ")</f>
        <v>M8 </v>
      </c>
      <c r="BT90" s="236" t="str">
        <f>IFERROR(__xludf.DUMMYFUNCTION("if(countif(ecn.list,ET90),OFFSET(INDIRECT(CONCAT(""A"",to_text(match(ET90,ecn.list,0)))),0,1),"""")"),"")</f>
        <v/>
      </c>
      <c r="BU90" s="236" t="str">
        <f>IFERROR(__xludf.DUMMYFUNCTION("if(countif(ecn.list,EU90),OFFSET(INDIRECT(CONCAT(""A"",to_text(match(EU90,ecn.list,0)))),0,1),"""")"),"")</f>
        <v/>
      </c>
      <c r="BV90" s="236" t="str">
        <f>IFERROR(__xludf.DUMMYFUNCTION("if(countif(ecn.list,EV90),OFFSET(INDIRECT(CONCAT(""A"",to_text(match(EV90,ecn.list,0)))),0,1),"""")"),"MB ")</f>
        <v>MB </v>
      </c>
      <c r="BW90" s="236" t="str">
        <f>IFERROR(__xludf.DUMMYFUNCTION("if(countif(ecn.list,EW90),OFFSET(INDIRECT(CONCAT(""A"",to_text(match(EW90,ecn.list,0)))),0,1),"""")"),"")</f>
        <v/>
      </c>
      <c r="BX90" s="236" t="str">
        <f>IFERROR(__xludf.DUMMYFUNCTION("if(countif(ecn.list,EX90),OFFSET(INDIRECT(CONCAT(""A"",to_text(match(EX90,ecn.list,0)))),0,1),"""")"),"MD ")</f>
        <v>MD </v>
      </c>
      <c r="BY90" s="236" t="str">
        <f>IFERROR(__xludf.DUMMYFUNCTION("if(countif(ecn.list,EY90),OFFSET(INDIRECT(CONCAT(""A"",to_text(match(EY90,ecn.list,0)))),0,1),"""")"),"")</f>
        <v/>
      </c>
      <c r="BZ90" s="236" t="str">
        <f>IFERROR(__xludf.DUMMYFUNCTION("if(countif(ecn.list,EZ90),OFFSET(INDIRECT(CONCAT(""A"",to_text(match(EZ90,ecn.list,0)))),0,1),"""")"),"MF ")</f>
        <v>MF </v>
      </c>
      <c r="CA90" s="236" t="str">
        <f>IFERROR(__xludf.DUMMYFUNCTION("if(countif(ecn.list,FA90),OFFSET(INDIRECT(CONCAT(""A"",to_text(match(FA90,ecn.list,0)))),0,1),"""")"),"")</f>
        <v/>
      </c>
      <c r="CB90" s="236" t="str">
        <f>IFERROR(__xludf.DUMMYFUNCTION("if(countif(ecn.list,FB90),OFFSET(INDIRECT(CONCAT(""A"",to_text(match(FB90,ecn.list,0)))),0,1),"""")"),"")</f>
        <v/>
      </c>
      <c r="CC90" s="236" t="str">
        <f>IFERROR(__xludf.DUMMYFUNCTION("if(countif(ecn.list,FC90),OFFSET(INDIRECT(CONCAT(""A"",to_text(match(FC90,ecn.list,0)))),0,1),"""")"),"N2 ")</f>
        <v>N2 </v>
      </c>
      <c r="CD90" s="236" t="str">
        <f>IFERROR(__xludf.DUMMYFUNCTION("if(countif(ecn.list,FD90),OFFSET(INDIRECT(CONCAT(""A"",to_text(match(FD90,ecn.list,0)))),0,1),"""")"),"")</f>
        <v/>
      </c>
      <c r="CE90" s="236" t="str">
        <f>IFERROR(__xludf.DUMMYFUNCTION("if(countif(ecn.list,FE90),OFFSET(INDIRECT(CONCAT(""A"",to_text(match(FE90,ecn.list,0)))),0,1),"""")"),"")</f>
        <v/>
      </c>
      <c r="CF90" s="236" t="str">
        <f>IFERROR(__xludf.DUMMYFUNCTION("if(countif(ecn.list,FF90),OFFSET(INDIRECT(CONCAT(""A"",to_text(match(FF90,ecn.list,0)))),0,1),"""")"),"")</f>
        <v/>
      </c>
      <c r="CG90" s="236" t="str">
        <f>IFERROR(__xludf.DUMMYFUNCTION("if(countif(ecn.list,FG90),OFFSET(INDIRECT(CONCAT(""A"",to_text(match(FG90,ecn.list,0)))),0,1),"""")"),"")</f>
        <v/>
      </c>
      <c r="CH90" s="236" t="str">
        <f>IFERROR(__xludf.DUMMYFUNCTION("if(countif(ecn.list,FH90),OFFSET(INDIRECT(CONCAT(""A"",to_text(match(FH90,ecn.list,0)))),0,1),"""")"),"N7 ")</f>
        <v>N7 </v>
      </c>
      <c r="CI90" s="236" t="str">
        <f>IFERROR(__xludf.DUMMYFUNCTION("if(countif(ecn.list,FI90),OFFSET(INDIRECT(CONCAT(""A"",to_text(match(FI90,ecn.list,0)))),0,1),"""")"),"")</f>
        <v/>
      </c>
      <c r="CJ90" s="236" t="str">
        <f>IFERROR(__xludf.DUMMYFUNCTION("if(countif(ecn.list,FJ90),OFFSET(INDIRECT(CONCAT(""A"",to_text(match(FJ90,ecn.list,0)))),0,1),"""")"),"")</f>
        <v/>
      </c>
      <c r="CK90" s="236" t="str">
        <f>IFERROR(__xludf.DUMMYFUNCTION("if(countif(ecn.list,FK90),OFFSET(INDIRECT(CONCAT(""A"",to_text(match(FK90,ecn.list,0)))),0,1),"""")"),"NA ")</f>
        <v>NA </v>
      </c>
      <c r="CL90" s="236" t="str">
        <f>IFERROR(__xludf.DUMMYFUNCTION("if(countif(ecn.list,FL90),OFFSET(INDIRECT(CONCAT(""A"",to_text(match(FL90,ecn.list,0)))),0,1),"""")"),"")</f>
        <v/>
      </c>
      <c r="CM90" s="236" t="str">
        <f>IFERROR(__xludf.DUMMYFUNCTION("if(countif(ecn.list,FM90),OFFSET(INDIRECT(CONCAT(""A"",to_text(match(FM90,ecn.list,0)))),0,1),"""")"),"")</f>
        <v/>
      </c>
      <c r="CN90" s="198" t="s">
        <v>342</v>
      </c>
      <c r="CO90" s="198" t="s">
        <v>1447</v>
      </c>
      <c r="CP90" s="198" t="s">
        <v>1451</v>
      </c>
      <c r="CQ90" s="198" t="s">
        <v>1452</v>
      </c>
      <c r="CR90" s="198" t="s">
        <v>1453</v>
      </c>
      <c r="CS90" s="198" t="s">
        <v>1453</v>
      </c>
      <c r="CT90" s="198" t="s">
        <v>1454</v>
      </c>
      <c r="CU90" s="198" t="s">
        <v>1455</v>
      </c>
      <c r="CV90" s="198" t="s">
        <v>1456</v>
      </c>
      <c r="CW90" s="198" t="s">
        <v>1453</v>
      </c>
      <c r="CX90" s="198" t="s">
        <v>1453</v>
      </c>
      <c r="CY90" s="198" t="s">
        <v>1484</v>
      </c>
      <c r="CZ90" s="198" t="s">
        <v>1453</v>
      </c>
      <c r="DA90" s="198" t="s">
        <v>1457</v>
      </c>
      <c r="DB90" s="198" t="s">
        <v>1453</v>
      </c>
      <c r="DC90" s="198" t="s">
        <v>1453</v>
      </c>
      <c r="DD90" s="198" t="s">
        <v>1453</v>
      </c>
      <c r="DE90" s="198" t="s">
        <v>1459</v>
      </c>
      <c r="DF90" s="198" t="s">
        <v>1453</v>
      </c>
      <c r="DG90" s="198" t="s">
        <v>1453</v>
      </c>
      <c r="DH90" s="198" t="s">
        <v>1500</v>
      </c>
      <c r="DI90" s="198" t="s">
        <v>1501</v>
      </c>
      <c r="DJ90" s="198" t="s">
        <v>1460</v>
      </c>
      <c r="DK90" s="198" t="s">
        <v>1453</v>
      </c>
      <c r="DL90" s="198" t="s">
        <v>1461</v>
      </c>
      <c r="DM90" s="198" t="s">
        <v>1453</v>
      </c>
      <c r="DN90" s="198" t="s">
        <v>1463</v>
      </c>
      <c r="DO90" s="198" t="s">
        <v>1464</v>
      </c>
      <c r="DP90" s="198" t="s">
        <v>1465</v>
      </c>
      <c r="DQ90" s="198" t="s">
        <v>1466</v>
      </c>
      <c r="DR90" s="198" t="s">
        <v>1467</v>
      </c>
      <c r="DS90" s="198" t="s">
        <v>1453</v>
      </c>
      <c r="DT90" s="198" t="s">
        <v>1468</v>
      </c>
      <c r="DU90" s="198" t="s">
        <v>1453</v>
      </c>
      <c r="DV90" s="198" t="s">
        <v>1469</v>
      </c>
      <c r="DW90" s="198" t="s">
        <v>1453</v>
      </c>
      <c r="DX90" s="198" t="s">
        <v>1453</v>
      </c>
      <c r="DY90" s="198" t="s">
        <v>1453</v>
      </c>
      <c r="DZ90" s="198" t="s">
        <v>1453</v>
      </c>
      <c r="EA90" s="198" t="s">
        <v>1453</v>
      </c>
      <c r="EB90" s="198" t="s">
        <v>1453</v>
      </c>
      <c r="EC90" s="198" t="s">
        <v>1483</v>
      </c>
      <c r="ED90" s="198" t="s">
        <v>1453</v>
      </c>
      <c r="EE90" s="198" t="s">
        <v>1470</v>
      </c>
      <c r="EF90" s="198" t="s">
        <v>1453</v>
      </c>
      <c r="EG90" s="198" t="s">
        <v>1471</v>
      </c>
      <c r="EH90" s="198" t="s">
        <v>1453</v>
      </c>
      <c r="EI90" s="198" t="s">
        <v>1453</v>
      </c>
      <c r="EJ90" s="198" t="s">
        <v>1472</v>
      </c>
      <c r="EK90" s="198" t="s">
        <v>1487</v>
      </c>
      <c r="EL90" s="198" t="s">
        <v>1473</v>
      </c>
      <c r="EM90" s="198" t="s">
        <v>1453</v>
      </c>
      <c r="EN90" s="198" t="s">
        <v>1474</v>
      </c>
      <c r="EO90" s="198" t="s">
        <v>1453</v>
      </c>
      <c r="EP90" s="198" t="s">
        <v>1453</v>
      </c>
      <c r="EQ90" s="198" t="s">
        <v>1453</v>
      </c>
      <c r="ER90" s="198" t="s">
        <v>1453</v>
      </c>
      <c r="ES90" s="198" t="s">
        <v>1505</v>
      </c>
      <c r="ET90" s="198" t="s">
        <v>1453</v>
      </c>
      <c r="EU90" s="198" t="s">
        <v>1453</v>
      </c>
      <c r="EV90" s="198" t="s">
        <v>1476</v>
      </c>
      <c r="EW90" s="198" t="s">
        <v>1453</v>
      </c>
      <c r="EX90" s="198" t="s">
        <v>1488</v>
      </c>
      <c r="EY90" s="198" t="s">
        <v>1453</v>
      </c>
      <c r="EZ90" s="198" t="s">
        <v>1477</v>
      </c>
      <c r="FA90" s="198" t="s">
        <v>1453</v>
      </c>
      <c r="FB90" s="198" t="s">
        <v>1453</v>
      </c>
      <c r="FC90" s="198" t="s">
        <v>1478</v>
      </c>
      <c r="FD90" s="198" t="s">
        <v>1453</v>
      </c>
      <c r="FE90" s="198" t="s">
        <v>1453</v>
      </c>
      <c r="FF90" s="198" t="s">
        <v>1453</v>
      </c>
      <c r="FG90" s="198" t="s">
        <v>1453</v>
      </c>
      <c r="FH90" s="198" t="s">
        <v>1479</v>
      </c>
      <c r="FI90" s="198" t="s">
        <v>1453</v>
      </c>
      <c r="FJ90" s="198" t="s">
        <v>1453</v>
      </c>
      <c r="FK90" s="198" t="s">
        <v>1481</v>
      </c>
      <c r="FL90" s="198" t="s">
        <v>1482</v>
      </c>
      <c r="FM90" s="198" t="s">
        <v>1453</v>
      </c>
    </row>
    <row r="91" ht="15.75" customHeight="1">
      <c r="A91" s="198"/>
      <c r="B91" s="198"/>
      <c r="C91" s="234"/>
      <c r="D91" s="232" t="s">
        <v>770</v>
      </c>
      <c r="E91" s="232" t="s">
        <v>1448</v>
      </c>
      <c r="F91" s="232" t="s">
        <v>1050</v>
      </c>
      <c r="G91" s="232" t="s">
        <v>1064</v>
      </c>
      <c r="H91" s="232" t="s">
        <v>775</v>
      </c>
      <c r="I91" s="232" t="s">
        <v>1065</v>
      </c>
      <c r="J91" s="232" t="s">
        <v>893</v>
      </c>
      <c r="K91" s="232" t="s">
        <v>1134</v>
      </c>
      <c r="L91" s="188" t="s">
        <v>345</v>
      </c>
      <c r="M91" s="236" t="str">
        <f>IFERROR(__xludf.DUMMYFUNCTION("regexreplace(N91,"" "","", "")"),"J0, J5, J6, K5, K7, KC, KD, L1, L8, LA, LC, MF, N2, N7, NA, ")</f>
        <v>J0, J5, J6, K5, K7, KC, KD, L1, L8, LA, LC, MF, N2, N7, NA, </v>
      </c>
      <c r="N91" s="236" t="str">
        <f t="shared" si="2"/>
        <v>J0 J5 J6 K5 K7 KC KD L1 L8 LA LC MF N2 N7 NA </v>
      </c>
      <c r="O91" s="236" t="str">
        <f>IFERROR(__xludf.DUMMYFUNCTION("if(countif(ecn.list,CO91),OFFSET(INDIRECT(CONCAT(""A"",to_text(match(CO91,ecn.list,0)))),0,1),"""")"),"J0 ")</f>
        <v>J0 </v>
      </c>
      <c r="P91" s="236" t="str">
        <f>IFERROR(__xludf.DUMMYFUNCTION("if(countif(ecn.list,CP91),OFFSET(INDIRECT(CONCAT(""A"",to_text(match(CP91,ecn.list,0)))),0,1),"""")"),"")</f>
        <v/>
      </c>
      <c r="Q91" s="236" t="str">
        <f>IFERROR(__xludf.DUMMYFUNCTION("if(countif(ecn.list,CQ91),OFFSET(INDIRECT(CONCAT(""A"",to_text(match(CQ91,ecn.list,0)))),0,1),"""")"),"")</f>
        <v/>
      </c>
      <c r="R91" s="236" t="str">
        <f>IFERROR(__xludf.DUMMYFUNCTION("if(countif(ecn.list,CR91),OFFSET(INDIRECT(CONCAT(""A"",to_text(match(CR91,ecn.list,0)))),0,1),"""")"),"")</f>
        <v/>
      </c>
      <c r="S91" s="236" t="str">
        <f>IFERROR(__xludf.DUMMYFUNCTION("if(countif(ecn.list,CS91),OFFSET(INDIRECT(CONCAT(""A"",to_text(match(CS91,ecn.list,0)))),0,1),"""")"),"")</f>
        <v/>
      </c>
      <c r="T91" s="236" t="str">
        <f>IFERROR(__xludf.DUMMYFUNCTION("if(countif(ecn.list,CT91),OFFSET(INDIRECT(CONCAT(""A"",to_text(match(CT91,ecn.list,0)))),0,1),"""")"),"J5 ")</f>
        <v>J5 </v>
      </c>
      <c r="U91" s="236" t="str">
        <f>IFERROR(__xludf.DUMMYFUNCTION("if(countif(ecn.list,CU91),OFFSET(INDIRECT(CONCAT(""A"",to_text(match(CU91,ecn.list,0)))),0,1),"""")"),"J6 ")</f>
        <v>J6 </v>
      </c>
      <c r="V91" s="236" t="str">
        <f>IFERROR(__xludf.DUMMYFUNCTION("if(countif(ecn.list,CV91),OFFSET(INDIRECT(CONCAT(""A"",to_text(match(CV91,ecn.list,0)))),0,1),"""")"),"")</f>
        <v/>
      </c>
      <c r="W91" s="236" t="str">
        <f>IFERROR(__xludf.DUMMYFUNCTION("if(countif(ecn.list,CW91),OFFSET(INDIRECT(CONCAT(""A"",to_text(match(CW91,ecn.list,0)))),0,1),"""")"),"")</f>
        <v/>
      </c>
      <c r="X91" s="236" t="str">
        <f>IFERROR(__xludf.DUMMYFUNCTION("if(countif(ecn.list,CX91),OFFSET(INDIRECT(CONCAT(""A"",to_text(match(CX91,ecn.list,0)))),0,1),"""")"),"")</f>
        <v/>
      </c>
      <c r="Y91" s="236" t="str">
        <f>IFERROR(__xludf.DUMMYFUNCTION("if(countif(ecn.list,CY91),OFFSET(INDIRECT(CONCAT(""A"",to_text(match(CY91,ecn.list,0)))),0,1),"""")"),"")</f>
        <v/>
      </c>
      <c r="Z91" s="236" t="str">
        <f>IFERROR(__xludf.DUMMYFUNCTION("if(countif(ecn.list,CZ91),OFFSET(INDIRECT(CONCAT(""A"",to_text(match(CZ91,ecn.list,0)))),0,1),"""")"),"")</f>
        <v/>
      </c>
      <c r="AA91" s="236" t="str">
        <f>IFERROR(__xludf.DUMMYFUNCTION("if(countif(ecn.list,DA91),OFFSET(INDIRECT(CONCAT(""A"",to_text(match(DA91,ecn.list,0)))),0,1),"""")"),"")</f>
        <v/>
      </c>
      <c r="AB91" s="236" t="str">
        <f>IFERROR(__xludf.DUMMYFUNCTION("if(countif(ecn.list,DB91),OFFSET(INDIRECT(CONCAT(""A"",to_text(match(DB91,ecn.list,0)))),0,1),"""")"),"")</f>
        <v/>
      </c>
      <c r="AC91" s="236" t="str">
        <f>IFERROR(__xludf.DUMMYFUNCTION("if(countif(ecn.list,DC91),OFFSET(INDIRECT(CONCAT(""A"",to_text(match(DC91,ecn.list,0)))),0,1),"""")"),"")</f>
        <v/>
      </c>
      <c r="AD91" s="236" t="str">
        <f>IFERROR(__xludf.DUMMYFUNCTION("if(countif(ecn.list,DD91),OFFSET(INDIRECT(CONCAT(""A"",to_text(match(DD91,ecn.list,0)))),0,1),"""")"),"")</f>
        <v/>
      </c>
      <c r="AE91" s="236" t="str">
        <f>IFERROR(__xludf.DUMMYFUNCTION("if(countif(ecn.list,DE91),OFFSET(INDIRECT(CONCAT(""A"",to_text(match(DE91,ecn.list,0)))),0,1),"""")"),"")</f>
        <v/>
      </c>
      <c r="AF91" s="236" t="str">
        <f>IFERROR(__xludf.DUMMYFUNCTION("if(countif(ecn.list,DF91),OFFSET(INDIRECT(CONCAT(""A"",to_text(match(DF91,ecn.list,0)))),0,1),"""")"),"")</f>
        <v/>
      </c>
      <c r="AG91" s="236" t="str">
        <f>IFERROR(__xludf.DUMMYFUNCTION("if(countif(ecn.list,DG91),OFFSET(INDIRECT(CONCAT(""A"",to_text(match(DG91,ecn.list,0)))),0,1),"""")"),"")</f>
        <v/>
      </c>
      <c r="AH91" s="236" t="str">
        <f>IFERROR(__xludf.DUMMYFUNCTION("if(countif(ecn.list,DH91),OFFSET(INDIRECT(CONCAT(""A"",to_text(match(DH91,ecn.list,0)))),0,1),"""")"),"")</f>
        <v/>
      </c>
      <c r="AI91" s="236" t="str">
        <f>IFERROR(__xludf.DUMMYFUNCTION("if(countif(ecn.list,DI91),OFFSET(INDIRECT(CONCAT(""A"",to_text(match(DI91,ecn.list,0)))),0,1),"""")"),"")</f>
        <v/>
      </c>
      <c r="AJ91" s="236" t="str">
        <f>IFERROR(__xludf.DUMMYFUNCTION("if(countif(ecn.list,DJ91),OFFSET(INDIRECT(CONCAT(""A"",to_text(match(DJ91,ecn.list,0)))),0,1),"""")"),"K5 ")</f>
        <v>K5 </v>
      </c>
      <c r="AK91" s="236" t="str">
        <f>IFERROR(__xludf.DUMMYFUNCTION("if(countif(ecn.list,DK91),OFFSET(INDIRECT(CONCAT(""A"",to_text(match(DK91,ecn.list,0)))),0,1),"""")"),"")</f>
        <v/>
      </c>
      <c r="AL91" s="236" t="str">
        <f>IFERROR(__xludf.DUMMYFUNCTION("if(countif(ecn.list,DL91),OFFSET(INDIRECT(CONCAT(""A"",to_text(match(DL91,ecn.list,0)))),0,1),"""")"),"K7 ")</f>
        <v>K7 </v>
      </c>
      <c r="AM91" s="236" t="str">
        <f>IFERROR(__xludf.DUMMYFUNCTION("if(countif(ecn.list,DM91),OFFSET(INDIRECT(CONCAT(""A"",to_text(match(DM91,ecn.list,0)))),0,1),"""")"),"")</f>
        <v/>
      </c>
      <c r="AN91" s="236" t="str">
        <f>IFERROR(__xludf.DUMMYFUNCTION("if(countif(ecn.list,DN91),OFFSET(INDIRECT(CONCAT(""A"",to_text(match(DN91,ecn.list,0)))),0,1),"""")"),"")</f>
        <v/>
      </c>
      <c r="AO91" s="236" t="str">
        <f>IFERROR(__xludf.DUMMYFUNCTION("if(countif(ecn.list,DO91),OFFSET(INDIRECT(CONCAT(""A"",to_text(match(DO91,ecn.list,0)))),0,1),"""")"),"")</f>
        <v/>
      </c>
      <c r="AP91" s="236" t="str">
        <f>IFERROR(__xludf.DUMMYFUNCTION("if(countif(ecn.list,DP91),OFFSET(INDIRECT(CONCAT(""A"",to_text(match(DP91,ecn.list,0)))),0,1),"""")"),"")</f>
        <v/>
      </c>
      <c r="AQ91" s="236" t="str">
        <f>IFERROR(__xludf.DUMMYFUNCTION("if(countif(ecn.list,DQ91),OFFSET(INDIRECT(CONCAT(""A"",to_text(match(DQ91,ecn.list,0)))),0,1),"""")"),"KC ")</f>
        <v>KC </v>
      </c>
      <c r="AR91" s="236" t="str">
        <f>IFERROR(__xludf.DUMMYFUNCTION("if(countif(ecn.list,DR91),OFFSET(INDIRECT(CONCAT(""A"",to_text(match(DR91,ecn.list,0)))),0,1),"""")"),"KD ")</f>
        <v>KD </v>
      </c>
      <c r="AS91" s="236" t="str">
        <f>IFERROR(__xludf.DUMMYFUNCTION("if(countif(ecn.list,DS91),OFFSET(INDIRECT(CONCAT(""A"",to_text(match(DS91,ecn.list,0)))),0,1),"""")"),"")</f>
        <v/>
      </c>
      <c r="AT91" s="236" t="str">
        <f>IFERROR(__xludf.DUMMYFUNCTION("if(countif(ecn.list,DT91),OFFSET(INDIRECT(CONCAT(""A"",to_text(match(DT91,ecn.list,0)))),0,1),"""")"),"")</f>
        <v/>
      </c>
      <c r="AU91" s="236" t="str">
        <f>IFERROR(__xludf.DUMMYFUNCTION("if(countif(ecn.list,DU91),OFFSET(INDIRECT(CONCAT(""A"",to_text(match(DU91,ecn.list,0)))),0,1),"""")"),"")</f>
        <v/>
      </c>
      <c r="AV91" s="236" t="str">
        <f>IFERROR(__xludf.DUMMYFUNCTION("if(countif(ecn.list,DV91),OFFSET(INDIRECT(CONCAT(""A"",to_text(match(DV91,ecn.list,0)))),0,1),"""")"),"L1 ")</f>
        <v>L1 </v>
      </c>
      <c r="AW91" s="236" t="str">
        <f>IFERROR(__xludf.DUMMYFUNCTION("if(countif(ecn.list,DW91),OFFSET(INDIRECT(CONCAT(""A"",to_text(match(DW91,ecn.list,0)))),0,1),"""")"),"")</f>
        <v/>
      </c>
      <c r="AX91" s="236" t="str">
        <f>IFERROR(__xludf.DUMMYFUNCTION("if(countif(ecn.list,DX91),OFFSET(INDIRECT(CONCAT(""A"",to_text(match(DX91,ecn.list,0)))),0,1),"""")"),"")</f>
        <v/>
      </c>
      <c r="AY91" s="236" t="str">
        <f>IFERROR(__xludf.DUMMYFUNCTION("if(countif(ecn.list,DY91),OFFSET(INDIRECT(CONCAT(""A"",to_text(match(DY91,ecn.list,0)))),0,1),"""")"),"")</f>
        <v/>
      </c>
      <c r="AZ91" s="236" t="str">
        <f>IFERROR(__xludf.DUMMYFUNCTION("if(countif(ecn.list,DZ91),OFFSET(INDIRECT(CONCAT(""A"",to_text(match(DZ91,ecn.list,0)))),0,1),"""")"),"")</f>
        <v/>
      </c>
      <c r="BA91" s="236" t="str">
        <f>IFERROR(__xludf.DUMMYFUNCTION("if(countif(ecn.list,EA91),OFFSET(INDIRECT(CONCAT(""A"",to_text(match(EA91,ecn.list,0)))),0,1),"""")"),"")</f>
        <v/>
      </c>
      <c r="BB91" s="236" t="str">
        <f>IFERROR(__xludf.DUMMYFUNCTION("if(countif(ecn.list,EB91),OFFSET(INDIRECT(CONCAT(""A"",to_text(match(EB91,ecn.list,0)))),0,1),"""")"),"")</f>
        <v/>
      </c>
      <c r="BC91" s="236" t="str">
        <f>IFERROR(__xludf.DUMMYFUNCTION("if(countif(ecn.list,EC91),OFFSET(INDIRECT(CONCAT(""A"",to_text(match(EC91,ecn.list,0)))),0,1),"""")"),"L8 ")</f>
        <v>L8 </v>
      </c>
      <c r="BD91" s="236" t="str">
        <f>IFERROR(__xludf.DUMMYFUNCTION("if(countif(ecn.list,ED91),OFFSET(INDIRECT(CONCAT(""A"",to_text(match(ED91,ecn.list,0)))),0,1),"""")"),"")</f>
        <v/>
      </c>
      <c r="BE91" s="236" t="str">
        <f>IFERROR(__xludf.DUMMYFUNCTION("if(countif(ecn.list,EE91),OFFSET(INDIRECT(CONCAT(""A"",to_text(match(EE91,ecn.list,0)))),0,1),"""")"),"LA ")</f>
        <v>LA </v>
      </c>
      <c r="BF91" s="236" t="str">
        <f>IFERROR(__xludf.DUMMYFUNCTION("if(countif(ecn.list,EF91),OFFSET(INDIRECT(CONCAT(""A"",to_text(match(EF91,ecn.list,0)))),0,1),"""")"),"")</f>
        <v/>
      </c>
      <c r="BG91" s="236" t="str">
        <f>IFERROR(__xludf.DUMMYFUNCTION("if(countif(ecn.list,EG91),OFFSET(INDIRECT(CONCAT(""A"",to_text(match(EG91,ecn.list,0)))),0,1),"""")"),"LC ")</f>
        <v>LC </v>
      </c>
      <c r="BH91" s="236" t="str">
        <f>IFERROR(__xludf.DUMMYFUNCTION("if(countif(ecn.list,EH91),OFFSET(INDIRECT(CONCAT(""A"",to_text(match(EH91,ecn.list,0)))),0,1),"""")"),"")</f>
        <v/>
      </c>
      <c r="BI91" s="236" t="str">
        <f>IFERROR(__xludf.DUMMYFUNCTION("if(countif(ecn.list,EI91),OFFSET(INDIRECT(CONCAT(""A"",to_text(match(EI91,ecn.list,0)))),0,1),"""")"),"")</f>
        <v/>
      </c>
      <c r="BJ91" s="236" t="str">
        <f>IFERROR(__xludf.DUMMYFUNCTION("if(countif(ecn.list,EJ91),OFFSET(INDIRECT(CONCAT(""A"",to_text(match(EJ91,ecn.list,0)))),0,1),"""")"),"")</f>
        <v/>
      </c>
      <c r="BK91" s="236" t="str">
        <f>IFERROR(__xludf.DUMMYFUNCTION("if(countif(ecn.list,EK91),OFFSET(INDIRECT(CONCAT(""A"",to_text(match(EK91,ecn.list,0)))),0,1),"""")"),"")</f>
        <v/>
      </c>
      <c r="BL91" s="236" t="str">
        <f>IFERROR(__xludf.DUMMYFUNCTION("if(countif(ecn.list,EL91),OFFSET(INDIRECT(CONCAT(""A"",to_text(match(EL91,ecn.list,0)))),0,1),"""")"),"")</f>
        <v/>
      </c>
      <c r="BM91" s="236" t="str">
        <f>IFERROR(__xludf.DUMMYFUNCTION("if(countif(ecn.list,EM91),OFFSET(INDIRECT(CONCAT(""A"",to_text(match(EM91,ecn.list,0)))),0,1),"""")"),"")</f>
        <v/>
      </c>
      <c r="BN91" s="236" t="str">
        <f>IFERROR(__xludf.DUMMYFUNCTION("if(countif(ecn.list,EN91),OFFSET(INDIRECT(CONCAT(""A"",to_text(match(EN91,ecn.list,0)))),0,1),"""")"),"")</f>
        <v/>
      </c>
      <c r="BO91" s="236" t="str">
        <f>IFERROR(__xludf.DUMMYFUNCTION("if(countif(ecn.list,EO91),OFFSET(INDIRECT(CONCAT(""A"",to_text(match(EO91,ecn.list,0)))),0,1),"""")"),"")</f>
        <v/>
      </c>
      <c r="BP91" s="236" t="str">
        <f>IFERROR(__xludf.DUMMYFUNCTION("if(countif(ecn.list,EP91),OFFSET(INDIRECT(CONCAT(""A"",to_text(match(EP91,ecn.list,0)))),0,1),"""")"),"")</f>
        <v/>
      </c>
      <c r="BQ91" s="236" t="str">
        <f>IFERROR(__xludf.DUMMYFUNCTION("if(countif(ecn.list,EQ91),OFFSET(INDIRECT(CONCAT(""A"",to_text(match(EQ91,ecn.list,0)))),0,1),"""")"),"")</f>
        <v/>
      </c>
      <c r="BR91" s="236" t="str">
        <f>IFERROR(__xludf.DUMMYFUNCTION("if(countif(ecn.list,ER91),OFFSET(INDIRECT(CONCAT(""A"",to_text(match(ER91,ecn.list,0)))),0,1),"""")"),"")</f>
        <v/>
      </c>
      <c r="BS91" s="236" t="str">
        <f>IFERROR(__xludf.DUMMYFUNCTION("if(countif(ecn.list,ES91),OFFSET(INDIRECT(CONCAT(""A"",to_text(match(ES91,ecn.list,0)))),0,1),"""")"),"")</f>
        <v/>
      </c>
      <c r="BT91" s="236" t="str">
        <f>IFERROR(__xludf.DUMMYFUNCTION("if(countif(ecn.list,ET91),OFFSET(INDIRECT(CONCAT(""A"",to_text(match(ET91,ecn.list,0)))),0,1),"""")"),"")</f>
        <v/>
      </c>
      <c r="BU91" s="236" t="str">
        <f>IFERROR(__xludf.DUMMYFUNCTION("if(countif(ecn.list,EU91),OFFSET(INDIRECT(CONCAT(""A"",to_text(match(EU91,ecn.list,0)))),0,1),"""")"),"")</f>
        <v/>
      </c>
      <c r="BV91" s="236" t="str">
        <f>IFERROR(__xludf.DUMMYFUNCTION("if(countif(ecn.list,EV91),OFFSET(INDIRECT(CONCAT(""A"",to_text(match(EV91,ecn.list,0)))),0,1),"""")"),"")</f>
        <v/>
      </c>
      <c r="BW91" s="236" t="str">
        <f>IFERROR(__xludf.DUMMYFUNCTION("if(countif(ecn.list,EW91),OFFSET(INDIRECT(CONCAT(""A"",to_text(match(EW91,ecn.list,0)))),0,1),"""")"),"")</f>
        <v/>
      </c>
      <c r="BX91" s="236" t="str">
        <f>IFERROR(__xludf.DUMMYFUNCTION("if(countif(ecn.list,EX91),OFFSET(INDIRECT(CONCAT(""A"",to_text(match(EX91,ecn.list,0)))),0,1),"""")"),"")</f>
        <v/>
      </c>
      <c r="BY91" s="236" t="str">
        <f>IFERROR(__xludf.DUMMYFUNCTION("if(countif(ecn.list,EY91),OFFSET(INDIRECT(CONCAT(""A"",to_text(match(EY91,ecn.list,0)))),0,1),"""")"),"")</f>
        <v/>
      </c>
      <c r="BZ91" s="236" t="str">
        <f>IFERROR(__xludf.DUMMYFUNCTION("if(countif(ecn.list,EZ91),OFFSET(INDIRECT(CONCAT(""A"",to_text(match(EZ91,ecn.list,0)))),0,1),"""")"),"MF ")</f>
        <v>MF </v>
      </c>
      <c r="CA91" s="236" t="str">
        <f>IFERROR(__xludf.DUMMYFUNCTION("if(countif(ecn.list,FA91),OFFSET(INDIRECT(CONCAT(""A"",to_text(match(FA91,ecn.list,0)))),0,1),"""")"),"")</f>
        <v/>
      </c>
      <c r="CB91" s="236" t="str">
        <f>IFERROR(__xludf.DUMMYFUNCTION("if(countif(ecn.list,FB91),OFFSET(INDIRECT(CONCAT(""A"",to_text(match(FB91,ecn.list,0)))),0,1),"""")"),"")</f>
        <v/>
      </c>
      <c r="CC91" s="236" t="str">
        <f>IFERROR(__xludf.DUMMYFUNCTION("if(countif(ecn.list,FC91),OFFSET(INDIRECT(CONCAT(""A"",to_text(match(FC91,ecn.list,0)))),0,1),"""")"),"N2 ")</f>
        <v>N2 </v>
      </c>
      <c r="CD91" s="236" t="str">
        <f>IFERROR(__xludf.DUMMYFUNCTION("if(countif(ecn.list,FD91),OFFSET(INDIRECT(CONCAT(""A"",to_text(match(FD91,ecn.list,0)))),0,1),"""")"),"")</f>
        <v/>
      </c>
      <c r="CE91" s="236" t="str">
        <f>IFERROR(__xludf.DUMMYFUNCTION("if(countif(ecn.list,FE91),OFFSET(INDIRECT(CONCAT(""A"",to_text(match(FE91,ecn.list,0)))),0,1),"""")"),"")</f>
        <v/>
      </c>
      <c r="CF91" s="236" t="str">
        <f>IFERROR(__xludf.DUMMYFUNCTION("if(countif(ecn.list,FF91),OFFSET(INDIRECT(CONCAT(""A"",to_text(match(FF91,ecn.list,0)))),0,1),"""")"),"")</f>
        <v/>
      </c>
      <c r="CG91" s="236" t="str">
        <f>IFERROR(__xludf.DUMMYFUNCTION("if(countif(ecn.list,FG91),OFFSET(INDIRECT(CONCAT(""A"",to_text(match(FG91,ecn.list,0)))),0,1),"""")"),"")</f>
        <v/>
      </c>
      <c r="CH91" s="236" t="str">
        <f>IFERROR(__xludf.DUMMYFUNCTION("if(countif(ecn.list,FH91),OFFSET(INDIRECT(CONCAT(""A"",to_text(match(FH91,ecn.list,0)))),0,1),"""")"),"N7 ")</f>
        <v>N7 </v>
      </c>
      <c r="CI91" s="236" t="str">
        <f>IFERROR(__xludf.DUMMYFUNCTION("if(countif(ecn.list,FI91),OFFSET(INDIRECT(CONCAT(""A"",to_text(match(FI91,ecn.list,0)))),0,1),"""")"),"")</f>
        <v/>
      </c>
      <c r="CJ91" s="236" t="str">
        <f>IFERROR(__xludf.DUMMYFUNCTION("if(countif(ecn.list,FJ91),OFFSET(INDIRECT(CONCAT(""A"",to_text(match(FJ91,ecn.list,0)))),0,1),"""")"),"")</f>
        <v/>
      </c>
      <c r="CK91" s="236" t="str">
        <f>IFERROR(__xludf.DUMMYFUNCTION("if(countif(ecn.list,FK91),OFFSET(INDIRECT(CONCAT(""A"",to_text(match(FK91,ecn.list,0)))),0,1),"""")"),"NA ")</f>
        <v>NA </v>
      </c>
      <c r="CL91" s="236" t="str">
        <f>IFERROR(__xludf.DUMMYFUNCTION("if(countif(ecn.list,FL91),OFFSET(INDIRECT(CONCAT(""A"",to_text(match(FL91,ecn.list,0)))),0,1),"""")"),"")</f>
        <v/>
      </c>
      <c r="CM91" s="236" t="str">
        <f>IFERROR(__xludf.DUMMYFUNCTION("if(countif(ecn.list,FM91),OFFSET(INDIRECT(CONCAT(""A"",to_text(match(FM91,ecn.list,0)))),0,1),"""")"),"")</f>
        <v/>
      </c>
      <c r="CN91" s="198" t="s">
        <v>345</v>
      </c>
      <c r="CO91" s="198" t="s">
        <v>1447</v>
      </c>
      <c r="CP91" s="198" t="s">
        <v>1453</v>
      </c>
      <c r="CQ91" s="198" t="s">
        <v>1453</v>
      </c>
      <c r="CR91" s="198" t="s">
        <v>1453</v>
      </c>
      <c r="CS91" s="198" t="s">
        <v>1453</v>
      </c>
      <c r="CT91" s="198" t="s">
        <v>1454</v>
      </c>
      <c r="CU91" s="198" t="s">
        <v>1455</v>
      </c>
      <c r="CV91" s="198" t="s">
        <v>1453</v>
      </c>
      <c r="CW91" s="198" t="s">
        <v>1453</v>
      </c>
      <c r="CX91" s="198" t="s">
        <v>1453</v>
      </c>
      <c r="CY91" s="198" t="s">
        <v>1453</v>
      </c>
      <c r="CZ91" s="198" t="s">
        <v>1453</v>
      </c>
      <c r="DA91" s="198" t="s">
        <v>1453</v>
      </c>
      <c r="DB91" s="198" t="s">
        <v>1453</v>
      </c>
      <c r="DC91" s="198" t="s">
        <v>1453</v>
      </c>
      <c r="DD91" s="198" t="s">
        <v>1453</v>
      </c>
      <c r="DE91" s="198" t="s">
        <v>1453</v>
      </c>
      <c r="DF91" s="198" t="s">
        <v>1453</v>
      </c>
      <c r="DG91" s="198" t="s">
        <v>1453</v>
      </c>
      <c r="DH91" s="198" t="s">
        <v>1453</v>
      </c>
      <c r="DI91" s="198" t="s">
        <v>1453</v>
      </c>
      <c r="DJ91" s="198" t="s">
        <v>1460</v>
      </c>
      <c r="DK91" s="198" t="s">
        <v>1453</v>
      </c>
      <c r="DL91" s="198" t="s">
        <v>1461</v>
      </c>
      <c r="DM91" s="198" t="s">
        <v>1453</v>
      </c>
      <c r="DN91" s="198" t="s">
        <v>1453</v>
      </c>
      <c r="DO91" s="198" t="s">
        <v>1453</v>
      </c>
      <c r="DP91" s="198" t="s">
        <v>1453</v>
      </c>
      <c r="DQ91" s="198" t="s">
        <v>1466</v>
      </c>
      <c r="DR91" s="198" t="s">
        <v>1467</v>
      </c>
      <c r="DS91" s="198" t="s">
        <v>1453</v>
      </c>
      <c r="DT91" s="198" t="s">
        <v>1453</v>
      </c>
      <c r="DU91" s="198" t="s">
        <v>1453</v>
      </c>
      <c r="DV91" s="198" t="s">
        <v>1469</v>
      </c>
      <c r="DW91" s="198" t="s">
        <v>1453</v>
      </c>
      <c r="DX91" s="198" t="s">
        <v>1453</v>
      </c>
      <c r="DY91" s="198" t="s">
        <v>1453</v>
      </c>
      <c r="DZ91" s="198" t="s">
        <v>1453</v>
      </c>
      <c r="EA91" s="198" t="s">
        <v>1453</v>
      </c>
      <c r="EB91" s="198" t="s">
        <v>1453</v>
      </c>
      <c r="EC91" s="198" t="s">
        <v>1483</v>
      </c>
      <c r="ED91" s="198" t="s">
        <v>1453</v>
      </c>
      <c r="EE91" s="198" t="s">
        <v>1470</v>
      </c>
      <c r="EF91" s="198" t="s">
        <v>1453</v>
      </c>
      <c r="EG91" s="198" t="s">
        <v>1471</v>
      </c>
      <c r="EH91" s="198" t="s">
        <v>1453</v>
      </c>
      <c r="EI91" s="198" t="s">
        <v>1453</v>
      </c>
      <c r="EJ91" s="198" t="s">
        <v>1453</v>
      </c>
      <c r="EK91" s="198" t="s">
        <v>1453</v>
      </c>
      <c r="EL91" s="198" t="s">
        <v>1453</v>
      </c>
      <c r="EM91" s="198" t="s">
        <v>1453</v>
      </c>
      <c r="EN91" s="198" t="s">
        <v>1453</v>
      </c>
      <c r="EO91" s="198" t="s">
        <v>1453</v>
      </c>
      <c r="EP91" s="198" t="s">
        <v>1453</v>
      </c>
      <c r="EQ91" s="198" t="s">
        <v>1453</v>
      </c>
      <c r="ER91" s="198" t="s">
        <v>1453</v>
      </c>
      <c r="ES91" s="198" t="s">
        <v>1453</v>
      </c>
      <c r="ET91" s="198" t="s">
        <v>1453</v>
      </c>
      <c r="EU91" s="198" t="s">
        <v>1453</v>
      </c>
      <c r="EV91" s="198" t="s">
        <v>1453</v>
      </c>
      <c r="EW91" s="198" t="s">
        <v>1453</v>
      </c>
      <c r="EX91" s="198" t="s">
        <v>1453</v>
      </c>
      <c r="EY91" s="198" t="s">
        <v>1453</v>
      </c>
      <c r="EZ91" s="198" t="s">
        <v>1477</v>
      </c>
      <c r="FA91" s="198" t="s">
        <v>1453</v>
      </c>
      <c r="FB91" s="198" t="s">
        <v>1453</v>
      </c>
      <c r="FC91" s="198" t="s">
        <v>1478</v>
      </c>
      <c r="FD91" s="198" t="s">
        <v>1453</v>
      </c>
      <c r="FE91" s="198" t="s">
        <v>1453</v>
      </c>
      <c r="FF91" s="198" t="s">
        <v>1453</v>
      </c>
      <c r="FG91" s="198" t="s">
        <v>1453</v>
      </c>
      <c r="FH91" s="198" t="s">
        <v>1479</v>
      </c>
      <c r="FI91" s="198" t="s">
        <v>1453</v>
      </c>
      <c r="FJ91" s="198" t="s">
        <v>1453</v>
      </c>
      <c r="FK91" s="198" t="s">
        <v>1481</v>
      </c>
      <c r="FL91" s="198" t="s">
        <v>1482</v>
      </c>
      <c r="FM91" s="198" t="s">
        <v>1453</v>
      </c>
    </row>
    <row r="92" ht="15.75" customHeight="1">
      <c r="A92" s="198"/>
      <c r="B92" s="198"/>
      <c r="C92" s="234"/>
      <c r="D92" s="232" t="s">
        <v>770</v>
      </c>
      <c r="E92" s="232" t="s">
        <v>1448</v>
      </c>
      <c r="F92" s="232" t="s">
        <v>1449</v>
      </c>
      <c r="G92" s="232" t="s">
        <v>1450</v>
      </c>
      <c r="H92" s="232" t="s">
        <v>804</v>
      </c>
      <c r="I92" s="232" t="s">
        <v>1005</v>
      </c>
      <c r="J92" s="232" t="s">
        <v>814</v>
      </c>
      <c r="K92" s="232" t="s">
        <v>1088</v>
      </c>
      <c r="L92" s="188" t="s">
        <v>348</v>
      </c>
      <c r="M92" s="236" t="str">
        <f>IFERROR(__xludf.DUMMYFUNCTION("regexreplace(N92,"" "","", "")"),"J0, J1, J2, J5, J6, J7, JA, JC, K0, K3, K4, K5, K7, K8, K9, KA, KC, KD, L1, L8, LA, LB, LC, LF, M0, M1, M3, M4, M8, MB, MD, MF, N2, N7, NA, ")</f>
        <v>J0, J1, J2, J5, J6, J7, JA, JC, K0, K3, K4, K5, K7, K8, K9, KA, KC, KD, L1, L8, LA, LB, LC, LF, M0, M1, M3, M4, M8, MB, MD, MF, N2, N7, NA, </v>
      </c>
      <c r="N92" s="236" t="str">
        <f t="shared" si="2"/>
        <v>J0 J1 J2 J5 J6 J7 JA JC K0 K3 K4 K5 K7 K8 K9 KA KC KD L1 L8 LA LB LC LF M0 M1 M3 M4 M8 MB MD MF N2 N7 NA </v>
      </c>
      <c r="O92" s="236" t="str">
        <f>IFERROR(__xludf.DUMMYFUNCTION("if(countif(ecn.list,CO92),OFFSET(INDIRECT(CONCAT(""A"",to_text(match(CO92,ecn.list,0)))),0,1),"""")"),"J0 ")</f>
        <v>J0 </v>
      </c>
      <c r="P92" s="236" t="str">
        <f>IFERROR(__xludf.DUMMYFUNCTION("if(countif(ecn.list,CP92),OFFSET(INDIRECT(CONCAT(""A"",to_text(match(CP92,ecn.list,0)))),0,1),"""")"),"J1 ")</f>
        <v>J1 </v>
      </c>
      <c r="Q92" s="236" t="str">
        <f>IFERROR(__xludf.DUMMYFUNCTION("if(countif(ecn.list,CQ92),OFFSET(INDIRECT(CONCAT(""A"",to_text(match(CQ92,ecn.list,0)))),0,1),"""")"),"J2 ")</f>
        <v>J2 </v>
      </c>
      <c r="R92" s="236" t="str">
        <f>IFERROR(__xludf.DUMMYFUNCTION("if(countif(ecn.list,CR92),OFFSET(INDIRECT(CONCAT(""A"",to_text(match(CR92,ecn.list,0)))),0,1),"""")"),"")</f>
        <v/>
      </c>
      <c r="S92" s="236" t="str">
        <f>IFERROR(__xludf.DUMMYFUNCTION("if(countif(ecn.list,CS92),OFFSET(INDIRECT(CONCAT(""A"",to_text(match(CS92,ecn.list,0)))),0,1),"""")"),"")</f>
        <v/>
      </c>
      <c r="T92" s="236" t="str">
        <f>IFERROR(__xludf.DUMMYFUNCTION("if(countif(ecn.list,CT92),OFFSET(INDIRECT(CONCAT(""A"",to_text(match(CT92,ecn.list,0)))),0,1),"""")"),"J5 ")</f>
        <v>J5 </v>
      </c>
      <c r="U92" s="236" t="str">
        <f>IFERROR(__xludf.DUMMYFUNCTION("if(countif(ecn.list,CU92),OFFSET(INDIRECT(CONCAT(""A"",to_text(match(CU92,ecn.list,0)))),0,1),"""")"),"J6 ")</f>
        <v>J6 </v>
      </c>
      <c r="V92" s="236" t="str">
        <f>IFERROR(__xludf.DUMMYFUNCTION("if(countif(ecn.list,CV92),OFFSET(INDIRECT(CONCAT(""A"",to_text(match(CV92,ecn.list,0)))),0,1),"""")"),"J7 ")</f>
        <v>J7 </v>
      </c>
      <c r="W92" s="236" t="str">
        <f>IFERROR(__xludf.DUMMYFUNCTION("if(countif(ecn.list,CW92),OFFSET(INDIRECT(CONCAT(""A"",to_text(match(CW92,ecn.list,0)))),0,1),"""")"),"")</f>
        <v/>
      </c>
      <c r="X92" s="236" t="str">
        <f>IFERROR(__xludf.DUMMYFUNCTION("if(countif(ecn.list,CX92),OFFSET(INDIRECT(CONCAT(""A"",to_text(match(CX92,ecn.list,0)))),0,1),"""")"),"")</f>
        <v/>
      </c>
      <c r="Y92" s="236" t="str">
        <f>IFERROR(__xludf.DUMMYFUNCTION("if(countif(ecn.list,CY92),OFFSET(INDIRECT(CONCAT(""A"",to_text(match(CY92,ecn.list,0)))),0,1),"""")"),"JA ")</f>
        <v>JA </v>
      </c>
      <c r="Z92" s="236" t="str">
        <f>IFERROR(__xludf.DUMMYFUNCTION("if(countif(ecn.list,CZ92),OFFSET(INDIRECT(CONCAT(""A"",to_text(match(CZ92,ecn.list,0)))),0,1),"""")"),"")</f>
        <v/>
      </c>
      <c r="AA92" s="236" t="str">
        <f>IFERROR(__xludf.DUMMYFUNCTION("if(countif(ecn.list,DA92),OFFSET(INDIRECT(CONCAT(""A"",to_text(match(DA92,ecn.list,0)))),0,1),"""")"),"JC ")</f>
        <v>JC </v>
      </c>
      <c r="AB92" s="236" t="str">
        <f>IFERROR(__xludf.DUMMYFUNCTION("if(countif(ecn.list,DB92),OFFSET(INDIRECT(CONCAT(""A"",to_text(match(DB92,ecn.list,0)))),0,1),"""")"),"")</f>
        <v/>
      </c>
      <c r="AC92" s="236" t="str">
        <f>IFERROR(__xludf.DUMMYFUNCTION("if(countif(ecn.list,DC92),OFFSET(INDIRECT(CONCAT(""A"",to_text(match(DC92,ecn.list,0)))),0,1),"""")"),"")</f>
        <v/>
      </c>
      <c r="AD92" s="236" t="str">
        <f>IFERROR(__xludf.DUMMYFUNCTION("if(countif(ecn.list,DD92),OFFSET(INDIRECT(CONCAT(""A"",to_text(match(DD92,ecn.list,0)))),0,1),"""")"),"")</f>
        <v/>
      </c>
      <c r="AE92" s="236" t="str">
        <f>IFERROR(__xludf.DUMMYFUNCTION("if(countif(ecn.list,DE92),OFFSET(INDIRECT(CONCAT(""A"",to_text(match(DE92,ecn.list,0)))),0,1),"""")"),"K0 ")</f>
        <v>K0 </v>
      </c>
      <c r="AF92" s="236" t="str">
        <f>IFERROR(__xludf.DUMMYFUNCTION("if(countif(ecn.list,DF92),OFFSET(INDIRECT(CONCAT(""A"",to_text(match(DF92,ecn.list,0)))),0,1),"""")"),"")</f>
        <v/>
      </c>
      <c r="AG92" s="236" t="str">
        <f>IFERROR(__xludf.DUMMYFUNCTION("if(countif(ecn.list,DG92),OFFSET(INDIRECT(CONCAT(""A"",to_text(match(DG92,ecn.list,0)))),0,1),"""")"),"")</f>
        <v/>
      </c>
      <c r="AH92" s="236" t="str">
        <f>IFERROR(__xludf.DUMMYFUNCTION("if(countif(ecn.list,DH92),OFFSET(INDIRECT(CONCAT(""A"",to_text(match(DH92,ecn.list,0)))),0,1),"""")"),"K3 ")</f>
        <v>K3 </v>
      </c>
      <c r="AI92" s="236" t="str">
        <f>IFERROR(__xludf.DUMMYFUNCTION("if(countif(ecn.list,DI92),OFFSET(INDIRECT(CONCAT(""A"",to_text(match(DI92,ecn.list,0)))),0,1),"""")"),"K4 ")</f>
        <v>K4 </v>
      </c>
      <c r="AJ92" s="236" t="str">
        <f>IFERROR(__xludf.DUMMYFUNCTION("if(countif(ecn.list,DJ92),OFFSET(INDIRECT(CONCAT(""A"",to_text(match(DJ92,ecn.list,0)))),0,1),"""")"),"K5 ")</f>
        <v>K5 </v>
      </c>
      <c r="AK92" s="236" t="str">
        <f>IFERROR(__xludf.DUMMYFUNCTION("if(countif(ecn.list,DK92),OFFSET(INDIRECT(CONCAT(""A"",to_text(match(DK92,ecn.list,0)))),0,1),"""")"),"")</f>
        <v/>
      </c>
      <c r="AL92" s="236" t="str">
        <f>IFERROR(__xludf.DUMMYFUNCTION("if(countif(ecn.list,DL92),OFFSET(INDIRECT(CONCAT(""A"",to_text(match(DL92,ecn.list,0)))),0,1),"""")"),"K7 ")</f>
        <v>K7 </v>
      </c>
      <c r="AM92" s="236" t="str">
        <f>IFERROR(__xludf.DUMMYFUNCTION("if(countif(ecn.list,DM92),OFFSET(INDIRECT(CONCAT(""A"",to_text(match(DM92,ecn.list,0)))),0,1),"""")"),"K8 ")</f>
        <v>K8 </v>
      </c>
      <c r="AN92" s="236" t="str">
        <f>IFERROR(__xludf.DUMMYFUNCTION("if(countif(ecn.list,DN92),OFFSET(INDIRECT(CONCAT(""A"",to_text(match(DN92,ecn.list,0)))),0,1),"""")"),"K9 ")</f>
        <v>K9 </v>
      </c>
      <c r="AO92" s="236" t="str">
        <f>IFERROR(__xludf.DUMMYFUNCTION("if(countif(ecn.list,DO92),OFFSET(INDIRECT(CONCAT(""A"",to_text(match(DO92,ecn.list,0)))),0,1),"""")"),"KA ")</f>
        <v>KA </v>
      </c>
      <c r="AP92" s="236" t="str">
        <f>IFERROR(__xludf.DUMMYFUNCTION("if(countif(ecn.list,DP92),OFFSET(INDIRECT(CONCAT(""A"",to_text(match(DP92,ecn.list,0)))),0,1),"""")"),"")</f>
        <v/>
      </c>
      <c r="AQ92" s="236" t="str">
        <f>IFERROR(__xludf.DUMMYFUNCTION("if(countif(ecn.list,DQ92),OFFSET(INDIRECT(CONCAT(""A"",to_text(match(DQ92,ecn.list,0)))),0,1),"""")"),"KC ")</f>
        <v>KC </v>
      </c>
      <c r="AR92" s="236" t="str">
        <f>IFERROR(__xludf.DUMMYFUNCTION("if(countif(ecn.list,DR92),OFFSET(INDIRECT(CONCAT(""A"",to_text(match(DR92,ecn.list,0)))),0,1),"""")"),"KD ")</f>
        <v>KD </v>
      </c>
      <c r="AS92" s="236" t="str">
        <f>IFERROR(__xludf.DUMMYFUNCTION("if(countif(ecn.list,DS92),OFFSET(INDIRECT(CONCAT(""A"",to_text(match(DS92,ecn.list,0)))),0,1),"""")"),"")</f>
        <v/>
      </c>
      <c r="AT92" s="236" t="str">
        <f>IFERROR(__xludf.DUMMYFUNCTION("if(countif(ecn.list,DT92),OFFSET(INDIRECT(CONCAT(""A"",to_text(match(DT92,ecn.list,0)))),0,1),"""")"),"")</f>
        <v/>
      </c>
      <c r="AU92" s="236" t="str">
        <f>IFERROR(__xludf.DUMMYFUNCTION("if(countif(ecn.list,DU92),OFFSET(INDIRECT(CONCAT(""A"",to_text(match(DU92,ecn.list,0)))),0,1),"""")"),"")</f>
        <v/>
      </c>
      <c r="AV92" s="236" t="str">
        <f>IFERROR(__xludf.DUMMYFUNCTION("if(countif(ecn.list,DV92),OFFSET(INDIRECT(CONCAT(""A"",to_text(match(DV92,ecn.list,0)))),0,1),"""")"),"L1 ")</f>
        <v>L1 </v>
      </c>
      <c r="AW92" s="236" t="str">
        <f>IFERROR(__xludf.DUMMYFUNCTION("if(countif(ecn.list,DW92),OFFSET(INDIRECT(CONCAT(""A"",to_text(match(DW92,ecn.list,0)))),0,1),"""")"),"")</f>
        <v/>
      </c>
      <c r="AX92" s="236" t="str">
        <f>IFERROR(__xludf.DUMMYFUNCTION("if(countif(ecn.list,DX92),OFFSET(INDIRECT(CONCAT(""A"",to_text(match(DX92,ecn.list,0)))),0,1),"""")"),"")</f>
        <v/>
      </c>
      <c r="AY92" s="236" t="str">
        <f>IFERROR(__xludf.DUMMYFUNCTION("if(countif(ecn.list,DY92),OFFSET(INDIRECT(CONCAT(""A"",to_text(match(DY92,ecn.list,0)))),0,1),"""")"),"")</f>
        <v/>
      </c>
      <c r="AZ92" s="236" t="str">
        <f>IFERROR(__xludf.DUMMYFUNCTION("if(countif(ecn.list,DZ92),OFFSET(INDIRECT(CONCAT(""A"",to_text(match(DZ92,ecn.list,0)))),0,1),"""")"),"")</f>
        <v/>
      </c>
      <c r="BA92" s="236" t="str">
        <f>IFERROR(__xludf.DUMMYFUNCTION("if(countif(ecn.list,EA92),OFFSET(INDIRECT(CONCAT(""A"",to_text(match(EA92,ecn.list,0)))),0,1),"""")"),"")</f>
        <v/>
      </c>
      <c r="BB92" s="236" t="str">
        <f>IFERROR(__xludf.DUMMYFUNCTION("if(countif(ecn.list,EB92),OFFSET(INDIRECT(CONCAT(""A"",to_text(match(EB92,ecn.list,0)))),0,1),"""")"),"")</f>
        <v/>
      </c>
      <c r="BC92" s="236" t="str">
        <f>IFERROR(__xludf.DUMMYFUNCTION("if(countif(ecn.list,EC92),OFFSET(INDIRECT(CONCAT(""A"",to_text(match(EC92,ecn.list,0)))),0,1),"""")"),"L8 ")</f>
        <v>L8 </v>
      </c>
      <c r="BD92" s="236" t="str">
        <f>IFERROR(__xludf.DUMMYFUNCTION("if(countif(ecn.list,ED92),OFFSET(INDIRECT(CONCAT(""A"",to_text(match(ED92,ecn.list,0)))),0,1),"""")"),"")</f>
        <v/>
      </c>
      <c r="BE92" s="236" t="str">
        <f>IFERROR(__xludf.DUMMYFUNCTION("if(countif(ecn.list,EE92),OFFSET(INDIRECT(CONCAT(""A"",to_text(match(EE92,ecn.list,0)))),0,1),"""")"),"LA ")</f>
        <v>LA </v>
      </c>
      <c r="BF92" s="236" t="str">
        <f>IFERROR(__xludf.DUMMYFUNCTION("if(countif(ecn.list,EF92),OFFSET(INDIRECT(CONCAT(""A"",to_text(match(EF92,ecn.list,0)))),0,1),"""")"),"LB ")</f>
        <v>LB </v>
      </c>
      <c r="BG92" s="236" t="str">
        <f>IFERROR(__xludf.DUMMYFUNCTION("if(countif(ecn.list,EG92),OFFSET(INDIRECT(CONCAT(""A"",to_text(match(EG92,ecn.list,0)))),0,1),"""")"),"LC ")</f>
        <v>LC </v>
      </c>
      <c r="BH92" s="236" t="str">
        <f>IFERROR(__xludf.DUMMYFUNCTION("if(countif(ecn.list,EH92),OFFSET(INDIRECT(CONCAT(""A"",to_text(match(EH92,ecn.list,0)))),0,1),"""")"),"")</f>
        <v/>
      </c>
      <c r="BI92" s="236" t="str">
        <f>IFERROR(__xludf.DUMMYFUNCTION("if(countif(ecn.list,EI92),OFFSET(INDIRECT(CONCAT(""A"",to_text(match(EI92,ecn.list,0)))),0,1),"""")"),"")</f>
        <v/>
      </c>
      <c r="BJ92" s="236" t="str">
        <f>IFERROR(__xludf.DUMMYFUNCTION("if(countif(ecn.list,EJ92),OFFSET(INDIRECT(CONCAT(""A"",to_text(match(EJ92,ecn.list,0)))),0,1),"""")"),"LF ")</f>
        <v>LF </v>
      </c>
      <c r="BK92" s="236" t="str">
        <f>IFERROR(__xludf.DUMMYFUNCTION("if(countif(ecn.list,EK92),OFFSET(INDIRECT(CONCAT(""A"",to_text(match(EK92,ecn.list,0)))),0,1),"""")"),"M0 ")</f>
        <v>M0 </v>
      </c>
      <c r="BL92" s="236" t="str">
        <f>IFERROR(__xludf.DUMMYFUNCTION("if(countif(ecn.list,EL92),OFFSET(INDIRECT(CONCAT(""A"",to_text(match(EL92,ecn.list,0)))),0,1),"""")"),"M1 ")</f>
        <v>M1 </v>
      </c>
      <c r="BM92" s="236" t="str">
        <f>IFERROR(__xludf.DUMMYFUNCTION("if(countif(ecn.list,EM92),OFFSET(INDIRECT(CONCAT(""A"",to_text(match(EM92,ecn.list,0)))),0,1),"""")"),"")</f>
        <v/>
      </c>
      <c r="BN92" s="236" t="str">
        <f>IFERROR(__xludf.DUMMYFUNCTION("if(countif(ecn.list,EN92),OFFSET(INDIRECT(CONCAT(""A"",to_text(match(EN92,ecn.list,0)))),0,1),"""")"),"M3 ")</f>
        <v>M3 </v>
      </c>
      <c r="BO92" s="236" t="str">
        <f>IFERROR(__xludf.DUMMYFUNCTION("if(countif(ecn.list,EO92),OFFSET(INDIRECT(CONCAT(""A"",to_text(match(EO92,ecn.list,0)))),0,1),"""")"),"M4 ")</f>
        <v>M4 </v>
      </c>
      <c r="BP92" s="236" t="str">
        <f>IFERROR(__xludf.DUMMYFUNCTION("if(countif(ecn.list,EP92),OFFSET(INDIRECT(CONCAT(""A"",to_text(match(EP92,ecn.list,0)))),0,1),"""")"),"")</f>
        <v/>
      </c>
      <c r="BQ92" s="236" t="str">
        <f>IFERROR(__xludf.DUMMYFUNCTION("if(countif(ecn.list,EQ92),OFFSET(INDIRECT(CONCAT(""A"",to_text(match(EQ92,ecn.list,0)))),0,1),"""")"),"")</f>
        <v/>
      </c>
      <c r="BR92" s="236" t="str">
        <f>IFERROR(__xludf.DUMMYFUNCTION("if(countif(ecn.list,ER92),OFFSET(INDIRECT(CONCAT(""A"",to_text(match(ER92,ecn.list,0)))),0,1),"""")"),"")</f>
        <v/>
      </c>
      <c r="BS92" s="236" t="str">
        <f>IFERROR(__xludf.DUMMYFUNCTION("if(countif(ecn.list,ES92),OFFSET(INDIRECT(CONCAT(""A"",to_text(match(ES92,ecn.list,0)))),0,1),"""")"),"M8 ")</f>
        <v>M8 </v>
      </c>
      <c r="BT92" s="236" t="str">
        <f>IFERROR(__xludf.DUMMYFUNCTION("if(countif(ecn.list,ET92),OFFSET(INDIRECT(CONCAT(""A"",to_text(match(ET92,ecn.list,0)))),0,1),"""")"),"")</f>
        <v/>
      </c>
      <c r="BU92" s="236" t="str">
        <f>IFERROR(__xludf.DUMMYFUNCTION("if(countif(ecn.list,EU92),OFFSET(INDIRECT(CONCAT(""A"",to_text(match(EU92,ecn.list,0)))),0,1),"""")"),"")</f>
        <v/>
      </c>
      <c r="BV92" s="236" t="str">
        <f>IFERROR(__xludf.DUMMYFUNCTION("if(countif(ecn.list,EV92),OFFSET(INDIRECT(CONCAT(""A"",to_text(match(EV92,ecn.list,0)))),0,1),"""")"),"MB ")</f>
        <v>MB </v>
      </c>
      <c r="BW92" s="236" t="str">
        <f>IFERROR(__xludf.DUMMYFUNCTION("if(countif(ecn.list,EW92),OFFSET(INDIRECT(CONCAT(""A"",to_text(match(EW92,ecn.list,0)))),0,1),"""")"),"")</f>
        <v/>
      </c>
      <c r="BX92" s="236" t="str">
        <f>IFERROR(__xludf.DUMMYFUNCTION("if(countif(ecn.list,EX92),OFFSET(INDIRECT(CONCAT(""A"",to_text(match(EX92,ecn.list,0)))),0,1),"""")"),"MD ")</f>
        <v>MD </v>
      </c>
      <c r="BY92" s="236" t="str">
        <f>IFERROR(__xludf.DUMMYFUNCTION("if(countif(ecn.list,EY92),OFFSET(INDIRECT(CONCAT(""A"",to_text(match(EY92,ecn.list,0)))),0,1),"""")"),"")</f>
        <v/>
      </c>
      <c r="BZ92" s="236" t="str">
        <f>IFERROR(__xludf.DUMMYFUNCTION("if(countif(ecn.list,EZ92),OFFSET(INDIRECT(CONCAT(""A"",to_text(match(EZ92,ecn.list,0)))),0,1),"""")"),"MF ")</f>
        <v>MF </v>
      </c>
      <c r="CA92" s="236" t="str">
        <f>IFERROR(__xludf.DUMMYFUNCTION("if(countif(ecn.list,FA92),OFFSET(INDIRECT(CONCAT(""A"",to_text(match(FA92,ecn.list,0)))),0,1),"""")"),"")</f>
        <v/>
      </c>
      <c r="CB92" s="236" t="str">
        <f>IFERROR(__xludf.DUMMYFUNCTION("if(countif(ecn.list,FB92),OFFSET(INDIRECT(CONCAT(""A"",to_text(match(FB92,ecn.list,0)))),0,1),"""")"),"")</f>
        <v/>
      </c>
      <c r="CC92" s="236" t="str">
        <f>IFERROR(__xludf.DUMMYFUNCTION("if(countif(ecn.list,FC92),OFFSET(INDIRECT(CONCAT(""A"",to_text(match(FC92,ecn.list,0)))),0,1),"""")"),"N2 ")</f>
        <v>N2 </v>
      </c>
      <c r="CD92" s="236" t="str">
        <f>IFERROR(__xludf.DUMMYFUNCTION("if(countif(ecn.list,FD92),OFFSET(INDIRECT(CONCAT(""A"",to_text(match(FD92,ecn.list,0)))),0,1),"""")"),"")</f>
        <v/>
      </c>
      <c r="CE92" s="236" t="str">
        <f>IFERROR(__xludf.DUMMYFUNCTION("if(countif(ecn.list,FE92),OFFSET(INDIRECT(CONCAT(""A"",to_text(match(FE92,ecn.list,0)))),0,1),"""")"),"")</f>
        <v/>
      </c>
      <c r="CF92" s="236" t="str">
        <f>IFERROR(__xludf.DUMMYFUNCTION("if(countif(ecn.list,FF92),OFFSET(INDIRECT(CONCAT(""A"",to_text(match(FF92,ecn.list,0)))),0,1),"""")"),"")</f>
        <v/>
      </c>
      <c r="CG92" s="236" t="str">
        <f>IFERROR(__xludf.DUMMYFUNCTION("if(countif(ecn.list,FG92),OFFSET(INDIRECT(CONCAT(""A"",to_text(match(FG92,ecn.list,0)))),0,1),"""")"),"")</f>
        <v/>
      </c>
      <c r="CH92" s="236" t="str">
        <f>IFERROR(__xludf.DUMMYFUNCTION("if(countif(ecn.list,FH92),OFFSET(INDIRECT(CONCAT(""A"",to_text(match(FH92,ecn.list,0)))),0,1),"""")"),"N7 ")</f>
        <v>N7 </v>
      </c>
      <c r="CI92" s="236" t="str">
        <f>IFERROR(__xludf.DUMMYFUNCTION("if(countif(ecn.list,FI92),OFFSET(INDIRECT(CONCAT(""A"",to_text(match(FI92,ecn.list,0)))),0,1),"""")"),"")</f>
        <v/>
      </c>
      <c r="CJ92" s="236" t="str">
        <f>IFERROR(__xludf.DUMMYFUNCTION("if(countif(ecn.list,FJ92),OFFSET(INDIRECT(CONCAT(""A"",to_text(match(FJ92,ecn.list,0)))),0,1),"""")"),"")</f>
        <v/>
      </c>
      <c r="CK92" s="236" t="str">
        <f>IFERROR(__xludf.DUMMYFUNCTION("if(countif(ecn.list,FK92),OFFSET(INDIRECT(CONCAT(""A"",to_text(match(FK92,ecn.list,0)))),0,1),"""")"),"NA ")</f>
        <v>NA </v>
      </c>
      <c r="CL92" s="236" t="str">
        <f>IFERROR(__xludf.DUMMYFUNCTION("if(countif(ecn.list,FL92),OFFSET(INDIRECT(CONCAT(""A"",to_text(match(FL92,ecn.list,0)))),0,1),"""")"),"")</f>
        <v/>
      </c>
      <c r="CM92" s="236" t="str">
        <f>IFERROR(__xludf.DUMMYFUNCTION("if(countif(ecn.list,FM92),OFFSET(INDIRECT(CONCAT(""A"",to_text(match(FM92,ecn.list,0)))),0,1),"""")"),"")</f>
        <v/>
      </c>
      <c r="CN92" s="198" t="s">
        <v>348</v>
      </c>
      <c r="CO92" s="198" t="s">
        <v>1447</v>
      </c>
      <c r="CP92" s="198" t="s">
        <v>1451</v>
      </c>
      <c r="CQ92" s="198" t="s">
        <v>1452</v>
      </c>
      <c r="CR92" s="198" t="s">
        <v>1453</v>
      </c>
      <c r="CS92" s="198" t="s">
        <v>1453</v>
      </c>
      <c r="CT92" s="198" t="s">
        <v>1454</v>
      </c>
      <c r="CU92" s="198" t="s">
        <v>1455</v>
      </c>
      <c r="CV92" s="198" t="s">
        <v>1456</v>
      </c>
      <c r="CW92" s="198" t="s">
        <v>1453</v>
      </c>
      <c r="CX92" s="198" t="s">
        <v>1453</v>
      </c>
      <c r="CY92" s="198" t="s">
        <v>1484</v>
      </c>
      <c r="CZ92" s="198" t="s">
        <v>1453</v>
      </c>
      <c r="DA92" s="198" t="s">
        <v>1457</v>
      </c>
      <c r="DB92" s="198" t="s">
        <v>1453</v>
      </c>
      <c r="DC92" s="198" t="s">
        <v>1453</v>
      </c>
      <c r="DD92" s="198" t="s">
        <v>1453</v>
      </c>
      <c r="DE92" s="198" t="s">
        <v>1459</v>
      </c>
      <c r="DF92" s="198" t="s">
        <v>1453</v>
      </c>
      <c r="DG92" s="198" t="s">
        <v>1453</v>
      </c>
      <c r="DH92" s="198" t="s">
        <v>1500</v>
      </c>
      <c r="DI92" s="198" t="s">
        <v>1501</v>
      </c>
      <c r="DJ92" s="198" t="s">
        <v>1460</v>
      </c>
      <c r="DK92" s="198" t="s">
        <v>1453</v>
      </c>
      <c r="DL92" s="198" t="s">
        <v>1461</v>
      </c>
      <c r="DM92" s="198" t="s">
        <v>1462</v>
      </c>
      <c r="DN92" s="198" t="s">
        <v>1463</v>
      </c>
      <c r="DO92" s="198" t="s">
        <v>1464</v>
      </c>
      <c r="DP92" s="198" t="s">
        <v>1453</v>
      </c>
      <c r="DQ92" s="198" t="s">
        <v>1466</v>
      </c>
      <c r="DR92" s="198" t="s">
        <v>1467</v>
      </c>
      <c r="DS92" s="198" t="s">
        <v>1453</v>
      </c>
      <c r="DT92" s="198" t="s">
        <v>1453</v>
      </c>
      <c r="DU92" s="198" t="s">
        <v>1453</v>
      </c>
      <c r="DV92" s="198" t="s">
        <v>1469</v>
      </c>
      <c r="DW92" s="198" t="s">
        <v>1453</v>
      </c>
      <c r="DX92" s="198" t="s">
        <v>1453</v>
      </c>
      <c r="DY92" s="198" t="s">
        <v>1453</v>
      </c>
      <c r="DZ92" s="198" t="s">
        <v>1453</v>
      </c>
      <c r="EA92" s="198" t="s">
        <v>1453</v>
      </c>
      <c r="EB92" s="198" t="s">
        <v>1453</v>
      </c>
      <c r="EC92" s="198" t="s">
        <v>1483</v>
      </c>
      <c r="ED92" s="198" t="s">
        <v>1453</v>
      </c>
      <c r="EE92" s="198" t="s">
        <v>1470</v>
      </c>
      <c r="EF92" s="198" t="s">
        <v>1525</v>
      </c>
      <c r="EG92" s="198" t="s">
        <v>1471</v>
      </c>
      <c r="EH92" s="198" t="s">
        <v>1453</v>
      </c>
      <c r="EI92" s="198" t="s">
        <v>1453</v>
      </c>
      <c r="EJ92" s="198" t="s">
        <v>1472</v>
      </c>
      <c r="EK92" s="198" t="s">
        <v>1487</v>
      </c>
      <c r="EL92" s="198" t="s">
        <v>1473</v>
      </c>
      <c r="EM92" s="198" t="s">
        <v>1453</v>
      </c>
      <c r="EN92" s="198" t="s">
        <v>1474</v>
      </c>
      <c r="EO92" s="198" t="s">
        <v>1475</v>
      </c>
      <c r="EP92" s="198" t="s">
        <v>1453</v>
      </c>
      <c r="EQ92" s="198" t="s">
        <v>1453</v>
      </c>
      <c r="ER92" s="198" t="s">
        <v>1453</v>
      </c>
      <c r="ES92" s="198" t="s">
        <v>1505</v>
      </c>
      <c r="ET92" s="198" t="s">
        <v>1453</v>
      </c>
      <c r="EU92" s="198" t="s">
        <v>1453</v>
      </c>
      <c r="EV92" s="198" t="s">
        <v>1476</v>
      </c>
      <c r="EW92" s="198" t="s">
        <v>1453</v>
      </c>
      <c r="EX92" s="198" t="s">
        <v>1488</v>
      </c>
      <c r="EY92" s="198" t="s">
        <v>1453</v>
      </c>
      <c r="EZ92" s="198" t="s">
        <v>1477</v>
      </c>
      <c r="FA92" s="198" t="s">
        <v>1453</v>
      </c>
      <c r="FB92" s="198" t="s">
        <v>1453</v>
      </c>
      <c r="FC92" s="198" t="s">
        <v>1478</v>
      </c>
      <c r="FD92" s="198" t="s">
        <v>1453</v>
      </c>
      <c r="FE92" s="198" t="s">
        <v>1453</v>
      </c>
      <c r="FF92" s="198" t="s">
        <v>1453</v>
      </c>
      <c r="FG92" s="198" t="s">
        <v>1453</v>
      </c>
      <c r="FH92" s="198" t="s">
        <v>1479</v>
      </c>
      <c r="FI92" s="198" t="s">
        <v>1453</v>
      </c>
      <c r="FJ92" s="198" t="s">
        <v>1453</v>
      </c>
      <c r="FK92" s="198" t="s">
        <v>1481</v>
      </c>
      <c r="FL92" s="198" t="s">
        <v>1482</v>
      </c>
      <c r="FM92" s="198" t="s">
        <v>1453</v>
      </c>
    </row>
    <row r="93" ht="15.75" customHeight="1">
      <c r="A93" s="198"/>
      <c r="B93" s="198"/>
      <c r="C93" s="234"/>
      <c r="D93" s="232" t="s">
        <v>770</v>
      </c>
      <c r="E93" s="232" t="s">
        <v>1448</v>
      </c>
      <c r="F93" s="232" t="s">
        <v>1449</v>
      </c>
      <c r="G93" s="232" t="s">
        <v>1450</v>
      </c>
      <c r="H93" s="232" t="s">
        <v>788</v>
      </c>
      <c r="I93" s="232" t="s">
        <v>980</v>
      </c>
      <c r="J93" s="232" t="s">
        <v>847</v>
      </c>
      <c r="K93" s="232" t="s">
        <v>1107</v>
      </c>
      <c r="L93" s="188" t="s">
        <v>351</v>
      </c>
      <c r="M93" s="236" t="str">
        <f>IFERROR(__xludf.DUMMYFUNCTION("regexreplace(N93,"" "","", "")"),"J0, J1, J2, J5, J6, J7, JC, JF, K0, K5, K7, K8, K9, KA, KC, KD, KF, L1, LA, LC, LF, M1, M4, MB, MF, N2, N7, N8, NA, ")</f>
        <v>J0, J1, J2, J5, J6, J7, JC, JF, K0, K5, K7, K8, K9, KA, KC, KD, KF, L1, LA, LC, LF, M1, M4, MB, MF, N2, N7, N8, NA, </v>
      </c>
      <c r="N93" s="236" t="str">
        <f t="shared" si="2"/>
        <v>J0 J1 J2 J5 J6 J7 JC JF K0 K5 K7 K8 K9 KA KC KD KF L1 LA LC LF M1 M4 MB MF N2 N7 N8 NA </v>
      </c>
      <c r="O93" s="236" t="str">
        <f>IFERROR(__xludf.DUMMYFUNCTION("if(countif(ecn.list,CO93),OFFSET(INDIRECT(CONCAT(""A"",to_text(match(CO93,ecn.list,0)))),0,1),"""")"),"J0 ")</f>
        <v>J0 </v>
      </c>
      <c r="P93" s="236" t="str">
        <f>IFERROR(__xludf.DUMMYFUNCTION("if(countif(ecn.list,CP93),OFFSET(INDIRECT(CONCAT(""A"",to_text(match(CP93,ecn.list,0)))),0,1),"""")"),"J1 ")</f>
        <v>J1 </v>
      </c>
      <c r="Q93" s="236" t="str">
        <f>IFERROR(__xludf.DUMMYFUNCTION("if(countif(ecn.list,CQ93),OFFSET(INDIRECT(CONCAT(""A"",to_text(match(CQ93,ecn.list,0)))),0,1),"""")"),"J2 ")</f>
        <v>J2 </v>
      </c>
      <c r="R93" s="236" t="str">
        <f>IFERROR(__xludf.DUMMYFUNCTION("if(countif(ecn.list,CR93),OFFSET(INDIRECT(CONCAT(""A"",to_text(match(CR93,ecn.list,0)))),0,1),"""")"),"")</f>
        <v/>
      </c>
      <c r="S93" s="236" t="str">
        <f>IFERROR(__xludf.DUMMYFUNCTION("if(countif(ecn.list,CS93),OFFSET(INDIRECT(CONCAT(""A"",to_text(match(CS93,ecn.list,0)))),0,1),"""")"),"")</f>
        <v/>
      </c>
      <c r="T93" s="236" t="str">
        <f>IFERROR(__xludf.DUMMYFUNCTION("if(countif(ecn.list,CT93),OFFSET(INDIRECT(CONCAT(""A"",to_text(match(CT93,ecn.list,0)))),0,1),"""")"),"J5 ")</f>
        <v>J5 </v>
      </c>
      <c r="U93" s="236" t="str">
        <f>IFERROR(__xludf.DUMMYFUNCTION("if(countif(ecn.list,CU93),OFFSET(INDIRECT(CONCAT(""A"",to_text(match(CU93,ecn.list,0)))),0,1),"""")"),"J6 ")</f>
        <v>J6 </v>
      </c>
      <c r="V93" s="236" t="str">
        <f>IFERROR(__xludf.DUMMYFUNCTION("if(countif(ecn.list,CV93),OFFSET(INDIRECT(CONCAT(""A"",to_text(match(CV93,ecn.list,0)))),0,1),"""")"),"J7 ")</f>
        <v>J7 </v>
      </c>
      <c r="W93" s="236" t="str">
        <f>IFERROR(__xludf.DUMMYFUNCTION("if(countif(ecn.list,CW93),OFFSET(INDIRECT(CONCAT(""A"",to_text(match(CW93,ecn.list,0)))),0,1),"""")"),"")</f>
        <v/>
      </c>
      <c r="X93" s="236" t="str">
        <f>IFERROR(__xludf.DUMMYFUNCTION("if(countif(ecn.list,CX93),OFFSET(INDIRECT(CONCAT(""A"",to_text(match(CX93,ecn.list,0)))),0,1),"""")"),"")</f>
        <v/>
      </c>
      <c r="Y93" s="236" t="str">
        <f>IFERROR(__xludf.DUMMYFUNCTION("if(countif(ecn.list,CY93),OFFSET(INDIRECT(CONCAT(""A"",to_text(match(CY93,ecn.list,0)))),0,1),"""")"),"")</f>
        <v/>
      </c>
      <c r="Z93" s="236" t="str">
        <f>IFERROR(__xludf.DUMMYFUNCTION("if(countif(ecn.list,CZ93),OFFSET(INDIRECT(CONCAT(""A"",to_text(match(CZ93,ecn.list,0)))),0,1),"""")"),"")</f>
        <v/>
      </c>
      <c r="AA93" s="236" t="str">
        <f>IFERROR(__xludf.DUMMYFUNCTION("if(countif(ecn.list,DA93),OFFSET(INDIRECT(CONCAT(""A"",to_text(match(DA93,ecn.list,0)))),0,1),"""")"),"JC ")</f>
        <v>JC </v>
      </c>
      <c r="AB93" s="236" t="str">
        <f>IFERROR(__xludf.DUMMYFUNCTION("if(countif(ecn.list,DB93),OFFSET(INDIRECT(CONCAT(""A"",to_text(match(DB93,ecn.list,0)))),0,1),"""")"),"")</f>
        <v/>
      </c>
      <c r="AC93" s="236" t="str">
        <f>IFERROR(__xludf.DUMMYFUNCTION("if(countif(ecn.list,DC93),OFFSET(INDIRECT(CONCAT(""A"",to_text(match(DC93,ecn.list,0)))),0,1),"""")"),"")</f>
        <v/>
      </c>
      <c r="AD93" s="236" t="str">
        <f>IFERROR(__xludf.DUMMYFUNCTION("if(countif(ecn.list,DD93),OFFSET(INDIRECT(CONCAT(""A"",to_text(match(DD93,ecn.list,0)))),0,1),"""")"),"JF ")</f>
        <v>JF </v>
      </c>
      <c r="AE93" s="236" t="str">
        <f>IFERROR(__xludf.DUMMYFUNCTION("if(countif(ecn.list,DE93),OFFSET(INDIRECT(CONCAT(""A"",to_text(match(DE93,ecn.list,0)))),0,1),"""")"),"K0 ")</f>
        <v>K0 </v>
      </c>
      <c r="AF93" s="236" t="str">
        <f>IFERROR(__xludf.DUMMYFUNCTION("if(countif(ecn.list,DF93),OFFSET(INDIRECT(CONCAT(""A"",to_text(match(DF93,ecn.list,0)))),0,1),"""")"),"")</f>
        <v/>
      </c>
      <c r="AG93" s="236" t="str">
        <f>IFERROR(__xludf.DUMMYFUNCTION("if(countif(ecn.list,DG93),OFFSET(INDIRECT(CONCAT(""A"",to_text(match(DG93,ecn.list,0)))),0,1),"""")"),"")</f>
        <v/>
      </c>
      <c r="AH93" s="236" t="str">
        <f>IFERROR(__xludf.DUMMYFUNCTION("if(countif(ecn.list,DH93),OFFSET(INDIRECT(CONCAT(""A"",to_text(match(DH93,ecn.list,0)))),0,1),"""")"),"")</f>
        <v/>
      </c>
      <c r="AI93" s="236" t="str">
        <f>IFERROR(__xludf.DUMMYFUNCTION("if(countif(ecn.list,DI93),OFFSET(INDIRECT(CONCAT(""A"",to_text(match(DI93,ecn.list,0)))),0,1),"""")"),"")</f>
        <v/>
      </c>
      <c r="AJ93" s="236" t="str">
        <f>IFERROR(__xludf.DUMMYFUNCTION("if(countif(ecn.list,DJ93),OFFSET(INDIRECT(CONCAT(""A"",to_text(match(DJ93,ecn.list,0)))),0,1),"""")"),"K5 ")</f>
        <v>K5 </v>
      </c>
      <c r="AK93" s="236" t="str">
        <f>IFERROR(__xludf.DUMMYFUNCTION("if(countif(ecn.list,DK93),OFFSET(INDIRECT(CONCAT(""A"",to_text(match(DK93,ecn.list,0)))),0,1),"""")"),"")</f>
        <v/>
      </c>
      <c r="AL93" s="236" t="str">
        <f>IFERROR(__xludf.DUMMYFUNCTION("if(countif(ecn.list,DL93),OFFSET(INDIRECT(CONCAT(""A"",to_text(match(DL93,ecn.list,0)))),0,1),"""")"),"K7 ")</f>
        <v>K7 </v>
      </c>
      <c r="AM93" s="236" t="str">
        <f>IFERROR(__xludf.DUMMYFUNCTION("if(countif(ecn.list,DM93),OFFSET(INDIRECT(CONCAT(""A"",to_text(match(DM93,ecn.list,0)))),0,1),"""")"),"K8 ")</f>
        <v>K8 </v>
      </c>
      <c r="AN93" s="236" t="str">
        <f>IFERROR(__xludf.DUMMYFUNCTION("if(countif(ecn.list,DN93),OFFSET(INDIRECT(CONCAT(""A"",to_text(match(DN93,ecn.list,0)))),0,1),"""")"),"K9 ")</f>
        <v>K9 </v>
      </c>
      <c r="AO93" s="236" t="str">
        <f>IFERROR(__xludf.DUMMYFUNCTION("if(countif(ecn.list,DO93),OFFSET(INDIRECT(CONCAT(""A"",to_text(match(DO93,ecn.list,0)))),0,1),"""")"),"KA ")</f>
        <v>KA </v>
      </c>
      <c r="AP93" s="236" t="str">
        <f>IFERROR(__xludf.DUMMYFUNCTION("if(countif(ecn.list,DP93),OFFSET(INDIRECT(CONCAT(""A"",to_text(match(DP93,ecn.list,0)))),0,1),"""")"),"")</f>
        <v/>
      </c>
      <c r="AQ93" s="236" t="str">
        <f>IFERROR(__xludf.DUMMYFUNCTION("if(countif(ecn.list,DQ93),OFFSET(INDIRECT(CONCAT(""A"",to_text(match(DQ93,ecn.list,0)))),0,1),"""")"),"KC ")</f>
        <v>KC </v>
      </c>
      <c r="AR93" s="236" t="str">
        <f>IFERROR(__xludf.DUMMYFUNCTION("if(countif(ecn.list,DR93),OFFSET(INDIRECT(CONCAT(""A"",to_text(match(DR93,ecn.list,0)))),0,1),"""")"),"KD ")</f>
        <v>KD </v>
      </c>
      <c r="AS93" s="236" t="str">
        <f>IFERROR(__xludf.DUMMYFUNCTION("if(countif(ecn.list,DS93),OFFSET(INDIRECT(CONCAT(""A"",to_text(match(DS93,ecn.list,0)))),0,1),"""")"),"")</f>
        <v/>
      </c>
      <c r="AT93" s="236" t="str">
        <f>IFERROR(__xludf.DUMMYFUNCTION("if(countif(ecn.list,DT93),OFFSET(INDIRECT(CONCAT(""A"",to_text(match(DT93,ecn.list,0)))),0,1),"""")"),"KF ")</f>
        <v>KF </v>
      </c>
      <c r="AU93" s="236" t="str">
        <f>IFERROR(__xludf.DUMMYFUNCTION("if(countif(ecn.list,DU93),OFFSET(INDIRECT(CONCAT(""A"",to_text(match(DU93,ecn.list,0)))),0,1),"""")"),"")</f>
        <v/>
      </c>
      <c r="AV93" s="236" t="str">
        <f>IFERROR(__xludf.DUMMYFUNCTION("if(countif(ecn.list,DV93),OFFSET(INDIRECT(CONCAT(""A"",to_text(match(DV93,ecn.list,0)))),0,1),"""")"),"L1 ")</f>
        <v>L1 </v>
      </c>
      <c r="AW93" s="236" t="str">
        <f>IFERROR(__xludf.DUMMYFUNCTION("if(countif(ecn.list,DW93),OFFSET(INDIRECT(CONCAT(""A"",to_text(match(DW93,ecn.list,0)))),0,1),"""")"),"")</f>
        <v/>
      </c>
      <c r="AX93" s="236" t="str">
        <f>IFERROR(__xludf.DUMMYFUNCTION("if(countif(ecn.list,DX93),OFFSET(INDIRECT(CONCAT(""A"",to_text(match(DX93,ecn.list,0)))),0,1),"""")"),"")</f>
        <v/>
      </c>
      <c r="AY93" s="236" t="str">
        <f>IFERROR(__xludf.DUMMYFUNCTION("if(countif(ecn.list,DY93),OFFSET(INDIRECT(CONCAT(""A"",to_text(match(DY93,ecn.list,0)))),0,1),"""")"),"")</f>
        <v/>
      </c>
      <c r="AZ93" s="236" t="str">
        <f>IFERROR(__xludf.DUMMYFUNCTION("if(countif(ecn.list,DZ93),OFFSET(INDIRECT(CONCAT(""A"",to_text(match(DZ93,ecn.list,0)))),0,1),"""")"),"")</f>
        <v/>
      </c>
      <c r="BA93" s="236" t="str">
        <f>IFERROR(__xludf.DUMMYFUNCTION("if(countif(ecn.list,EA93),OFFSET(INDIRECT(CONCAT(""A"",to_text(match(EA93,ecn.list,0)))),0,1),"""")"),"")</f>
        <v/>
      </c>
      <c r="BB93" s="236" t="str">
        <f>IFERROR(__xludf.DUMMYFUNCTION("if(countif(ecn.list,EB93),OFFSET(INDIRECT(CONCAT(""A"",to_text(match(EB93,ecn.list,0)))),0,1),"""")"),"")</f>
        <v/>
      </c>
      <c r="BC93" s="236" t="str">
        <f>IFERROR(__xludf.DUMMYFUNCTION("if(countif(ecn.list,EC93),OFFSET(INDIRECT(CONCAT(""A"",to_text(match(EC93,ecn.list,0)))),0,1),"""")"),"")</f>
        <v/>
      </c>
      <c r="BD93" s="236" t="str">
        <f>IFERROR(__xludf.DUMMYFUNCTION("if(countif(ecn.list,ED93),OFFSET(INDIRECT(CONCAT(""A"",to_text(match(ED93,ecn.list,0)))),0,1),"""")"),"")</f>
        <v/>
      </c>
      <c r="BE93" s="236" t="str">
        <f>IFERROR(__xludf.DUMMYFUNCTION("if(countif(ecn.list,EE93),OFFSET(INDIRECT(CONCAT(""A"",to_text(match(EE93,ecn.list,0)))),0,1),"""")"),"LA ")</f>
        <v>LA </v>
      </c>
      <c r="BF93" s="236" t="str">
        <f>IFERROR(__xludf.DUMMYFUNCTION("if(countif(ecn.list,EF93),OFFSET(INDIRECT(CONCAT(""A"",to_text(match(EF93,ecn.list,0)))),0,1),"""")"),"")</f>
        <v/>
      </c>
      <c r="BG93" s="236" t="str">
        <f>IFERROR(__xludf.DUMMYFUNCTION("if(countif(ecn.list,EG93),OFFSET(INDIRECT(CONCAT(""A"",to_text(match(EG93,ecn.list,0)))),0,1),"""")"),"LC ")</f>
        <v>LC </v>
      </c>
      <c r="BH93" s="236" t="str">
        <f>IFERROR(__xludf.DUMMYFUNCTION("if(countif(ecn.list,EH93),OFFSET(INDIRECT(CONCAT(""A"",to_text(match(EH93,ecn.list,0)))),0,1),"""")"),"")</f>
        <v/>
      </c>
      <c r="BI93" s="236" t="str">
        <f>IFERROR(__xludf.DUMMYFUNCTION("if(countif(ecn.list,EI93),OFFSET(INDIRECT(CONCAT(""A"",to_text(match(EI93,ecn.list,0)))),0,1),"""")"),"")</f>
        <v/>
      </c>
      <c r="BJ93" s="236" t="str">
        <f>IFERROR(__xludf.DUMMYFUNCTION("if(countif(ecn.list,EJ93),OFFSET(INDIRECT(CONCAT(""A"",to_text(match(EJ93,ecn.list,0)))),0,1),"""")"),"LF ")</f>
        <v>LF </v>
      </c>
      <c r="BK93" s="236" t="str">
        <f>IFERROR(__xludf.DUMMYFUNCTION("if(countif(ecn.list,EK93),OFFSET(INDIRECT(CONCAT(""A"",to_text(match(EK93,ecn.list,0)))),0,1),"""")"),"")</f>
        <v/>
      </c>
      <c r="BL93" s="236" t="str">
        <f>IFERROR(__xludf.DUMMYFUNCTION("if(countif(ecn.list,EL93),OFFSET(INDIRECT(CONCAT(""A"",to_text(match(EL93,ecn.list,0)))),0,1),"""")"),"M1 ")</f>
        <v>M1 </v>
      </c>
      <c r="BM93" s="236" t="str">
        <f>IFERROR(__xludf.DUMMYFUNCTION("if(countif(ecn.list,EM93),OFFSET(INDIRECT(CONCAT(""A"",to_text(match(EM93,ecn.list,0)))),0,1),"""")"),"")</f>
        <v/>
      </c>
      <c r="BN93" s="236" t="str">
        <f>IFERROR(__xludf.DUMMYFUNCTION("if(countif(ecn.list,EN93),OFFSET(INDIRECT(CONCAT(""A"",to_text(match(EN93,ecn.list,0)))),0,1),"""")"),"")</f>
        <v/>
      </c>
      <c r="BO93" s="236" t="str">
        <f>IFERROR(__xludf.DUMMYFUNCTION("if(countif(ecn.list,EO93),OFFSET(INDIRECT(CONCAT(""A"",to_text(match(EO93,ecn.list,0)))),0,1),"""")"),"M4 ")</f>
        <v>M4 </v>
      </c>
      <c r="BP93" s="236" t="str">
        <f>IFERROR(__xludf.DUMMYFUNCTION("if(countif(ecn.list,EP93),OFFSET(INDIRECT(CONCAT(""A"",to_text(match(EP93,ecn.list,0)))),0,1),"""")"),"")</f>
        <v/>
      </c>
      <c r="BQ93" s="236" t="str">
        <f>IFERROR(__xludf.DUMMYFUNCTION("if(countif(ecn.list,EQ93),OFFSET(INDIRECT(CONCAT(""A"",to_text(match(EQ93,ecn.list,0)))),0,1),"""")"),"")</f>
        <v/>
      </c>
      <c r="BR93" s="236" t="str">
        <f>IFERROR(__xludf.DUMMYFUNCTION("if(countif(ecn.list,ER93),OFFSET(INDIRECT(CONCAT(""A"",to_text(match(ER93,ecn.list,0)))),0,1),"""")"),"")</f>
        <v/>
      </c>
      <c r="BS93" s="236" t="str">
        <f>IFERROR(__xludf.DUMMYFUNCTION("if(countif(ecn.list,ES93),OFFSET(INDIRECT(CONCAT(""A"",to_text(match(ES93,ecn.list,0)))),0,1),"""")"),"")</f>
        <v/>
      </c>
      <c r="BT93" s="236" t="str">
        <f>IFERROR(__xludf.DUMMYFUNCTION("if(countif(ecn.list,ET93),OFFSET(INDIRECT(CONCAT(""A"",to_text(match(ET93,ecn.list,0)))),0,1),"""")"),"")</f>
        <v/>
      </c>
      <c r="BU93" s="236" t="str">
        <f>IFERROR(__xludf.DUMMYFUNCTION("if(countif(ecn.list,EU93),OFFSET(INDIRECT(CONCAT(""A"",to_text(match(EU93,ecn.list,0)))),0,1),"""")"),"")</f>
        <v/>
      </c>
      <c r="BV93" s="236" t="str">
        <f>IFERROR(__xludf.DUMMYFUNCTION("if(countif(ecn.list,EV93),OFFSET(INDIRECT(CONCAT(""A"",to_text(match(EV93,ecn.list,0)))),0,1),"""")"),"MB ")</f>
        <v>MB </v>
      </c>
      <c r="BW93" s="236" t="str">
        <f>IFERROR(__xludf.DUMMYFUNCTION("if(countif(ecn.list,EW93),OFFSET(INDIRECT(CONCAT(""A"",to_text(match(EW93,ecn.list,0)))),0,1),"""")"),"")</f>
        <v/>
      </c>
      <c r="BX93" s="236" t="str">
        <f>IFERROR(__xludf.DUMMYFUNCTION("if(countif(ecn.list,EX93),OFFSET(INDIRECT(CONCAT(""A"",to_text(match(EX93,ecn.list,0)))),0,1),"""")"),"")</f>
        <v/>
      </c>
      <c r="BY93" s="236" t="str">
        <f>IFERROR(__xludf.DUMMYFUNCTION("if(countif(ecn.list,EY93),OFFSET(INDIRECT(CONCAT(""A"",to_text(match(EY93,ecn.list,0)))),0,1),"""")"),"")</f>
        <v/>
      </c>
      <c r="BZ93" s="236" t="str">
        <f>IFERROR(__xludf.DUMMYFUNCTION("if(countif(ecn.list,EZ93),OFFSET(INDIRECT(CONCAT(""A"",to_text(match(EZ93,ecn.list,0)))),0,1),"""")"),"MF ")</f>
        <v>MF </v>
      </c>
      <c r="CA93" s="236" t="str">
        <f>IFERROR(__xludf.DUMMYFUNCTION("if(countif(ecn.list,FA93),OFFSET(INDIRECT(CONCAT(""A"",to_text(match(FA93,ecn.list,0)))),0,1),"""")"),"")</f>
        <v/>
      </c>
      <c r="CB93" s="236" t="str">
        <f>IFERROR(__xludf.DUMMYFUNCTION("if(countif(ecn.list,FB93),OFFSET(INDIRECT(CONCAT(""A"",to_text(match(FB93,ecn.list,0)))),0,1),"""")"),"")</f>
        <v/>
      </c>
      <c r="CC93" s="236" t="str">
        <f>IFERROR(__xludf.DUMMYFUNCTION("if(countif(ecn.list,FC93),OFFSET(INDIRECT(CONCAT(""A"",to_text(match(FC93,ecn.list,0)))),0,1),"""")"),"N2 ")</f>
        <v>N2 </v>
      </c>
      <c r="CD93" s="236" t="str">
        <f>IFERROR(__xludf.DUMMYFUNCTION("if(countif(ecn.list,FD93),OFFSET(INDIRECT(CONCAT(""A"",to_text(match(FD93,ecn.list,0)))),0,1),"""")"),"")</f>
        <v/>
      </c>
      <c r="CE93" s="236" t="str">
        <f>IFERROR(__xludf.DUMMYFUNCTION("if(countif(ecn.list,FE93),OFFSET(INDIRECT(CONCAT(""A"",to_text(match(FE93,ecn.list,0)))),0,1),"""")"),"")</f>
        <v/>
      </c>
      <c r="CF93" s="236" t="str">
        <f>IFERROR(__xludf.DUMMYFUNCTION("if(countif(ecn.list,FF93),OFFSET(INDIRECT(CONCAT(""A"",to_text(match(FF93,ecn.list,0)))),0,1),"""")"),"")</f>
        <v/>
      </c>
      <c r="CG93" s="236" t="str">
        <f>IFERROR(__xludf.DUMMYFUNCTION("if(countif(ecn.list,FG93),OFFSET(INDIRECT(CONCAT(""A"",to_text(match(FG93,ecn.list,0)))),0,1),"""")"),"")</f>
        <v/>
      </c>
      <c r="CH93" s="236" t="str">
        <f>IFERROR(__xludf.DUMMYFUNCTION("if(countif(ecn.list,FH93),OFFSET(INDIRECT(CONCAT(""A"",to_text(match(FH93,ecn.list,0)))),0,1),"""")"),"N7 ")</f>
        <v>N7 </v>
      </c>
      <c r="CI93" s="236" t="str">
        <f>IFERROR(__xludf.DUMMYFUNCTION("if(countif(ecn.list,FI93),OFFSET(INDIRECT(CONCAT(""A"",to_text(match(FI93,ecn.list,0)))),0,1),"""")"),"N8 ")</f>
        <v>N8 </v>
      </c>
      <c r="CJ93" s="236" t="str">
        <f>IFERROR(__xludf.DUMMYFUNCTION("if(countif(ecn.list,FJ93),OFFSET(INDIRECT(CONCAT(""A"",to_text(match(FJ93,ecn.list,0)))),0,1),"""")"),"")</f>
        <v/>
      </c>
      <c r="CK93" s="236" t="str">
        <f>IFERROR(__xludf.DUMMYFUNCTION("if(countif(ecn.list,FK93),OFFSET(INDIRECT(CONCAT(""A"",to_text(match(FK93,ecn.list,0)))),0,1),"""")"),"NA ")</f>
        <v>NA </v>
      </c>
      <c r="CL93" s="236" t="str">
        <f>IFERROR(__xludf.DUMMYFUNCTION("if(countif(ecn.list,FL93),OFFSET(INDIRECT(CONCAT(""A"",to_text(match(FL93,ecn.list,0)))),0,1),"""")"),"")</f>
        <v/>
      </c>
      <c r="CM93" s="236" t="str">
        <f>IFERROR(__xludf.DUMMYFUNCTION("if(countif(ecn.list,FM93),OFFSET(INDIRECT(CONCAT(""A"",to_text(match(FM93,ecn.list,0)))),0,1),"""")"),"")</f>
        <v/>
      </c>
      <c r="CN93" s="198" t="s">
        <v>351</v>
      </c>
      <c r="CO93" s="198" t="s">
        <v>1447</v>
      </c>
      <c r="CP93" s="198" t="s">
        <v>1451</v>
      </c>
      <c r="CQ93" s="198" t="s">
        <v>1452</v>
      </c>
      <c r="CR93" s="198" t="s">
        <v>1453</v>
      </c>
      <c r="CS93" s="198" t="s">
        <v>1453</v>
      </c>
      <c r="CT93" s="198" t="s">
        <v>1454</v>
      </c>
      <c r="CU93" s="198" t="s">
        <v>1455</v>
      </c>
      <c r="CV93" s="198" t="s">
        <v>1456</v>
      </c>
      <c r="CW93" s="198" t="s">
        <v>1453</v>
      </c>
      <c r="CX93" s="198" t="s">
        <v>1453</v>
      </c>
      <c r="CY93" s="198" t="s">
        <v>1453</v>
      </c>
      <c r="CZ93" s="198" t="s">
        <v>1453</v>
      </c>
      <c r="DA93" s="198" t="s">
        <v>1457</v>
      </c>
      <c r="DB93" s="198" t="s">
        <v>1453</v>
      </c>
      <c r="DC93" s="198" t="s">
        <v>1453</v>
      </c>
      <c r="DD93" s="198" t="s">
        <v>1458</v>
      </c>
      <c r="DE93" s="198" t="s">
        <v>1459</v>
      </c>
      <c r="DF93" s="198" t="s">
        <v>1453</v>
      </c>
      <c r="DG93" s="198" t="s">
        <v>1453</v>
      </c>
      <c r="DH93" s="198" t="s">
        <v>1453</v>
      </c>
      <c r="DI93" s="198" t="s">
        <v>1453</v>
      </c>
      <c r="DJ93" s="198" t="s">
        <v>1460</v>
      </c>
      <c r="DK93" s="198" t="s">
        <v>1453</v>
      </c>
      <c r="DL93" s="198" t="s">
        <v>1461</v>
      </c>
      <c r="DM93" s="198" t="s">
        <v>1462</v>
      </c>
      <c r="DN93" s="198" t="s">
        <v>1463</v>
      </c>
      <c r="DO93" s="198" t="s">
        <v>1464</v>
      </c>
      <c r="DP93" s="198" t="s">
        <v>1453</v>
      </c>
      <c r="DQ93" s="198" t="s">
        <v>1466</v>
      </c>
      <c r="DR93" s="198" t="s">
        <v>1467</v>
      </c>
      <c r="DS93" s="198" t="s">
        <v>1453</v>
      </c>
      <c r="DT93" s="198" t="s">
        <v>1468</v>
      </c>
      <c r="DU93" s="198" t="s">
        <v>1453</v>
      </c>
      <c r="DV93" s="198" t="s">
        <v>1469</v>
      </c>
      <c r="DW93" s="198" t="s">
        <v>1453</v>
      </c>
      <c r="DX93" s="198" t="s">
        <v>1453</v>
      </c>
      <c r="DY93" s="198" t="s">
        <v>1453</v>
      </c>
      <c r="DZ93" s="198" t="s">
        <v>1453</v>
      </c>
      <c r="EA93" s="198" t="s">
        <v>1453</v>
      </c>
      <c r="EB93" s="198" t="s">
        <v>1453</v>
      </c>
      <c r="EC93" s="198" t="s">
        <v>1453</v>
      </c>
      <c r="ED93" s="198" t="s">
        <v>1453</v>
      </c>
      <c r="EE93" s="198" t="s">
        <v>1470</v>
      </c>
      <c r="EF93" s="198" t="s">
        <v>1453</v>
      </c>
      <c r="EG93" s="198" t="s">
        <v>1471</v>
      </c>
      <c r="EH93" s="198" t="s">
        <v>1453</v>
      </c>
      <c r="EI93" s="198" t="s">
        <v>1453</v>
      </c>
      <c r="EJ93" s="198" t="s">
        <v>1472</v>
      </c>
      <c r="EK93" s="198" t="s">
        <v>1453</v>
      </c>
      <c r="EL93" s="198" t="s">
        <v>1473</v>
      </c>
      <c r="EM93" s="198" t="s">
        <v>1453</v>
      </c>
      <c r="EN93" s="198" t="s">
        <v>1453</v>
      </c>
      <c r="EO93" s="198" t="s">
        <v>1475</v>
      </c>
      <c r="EP93" s="198" t="s">
        <v>1453</v>
      </c>
      <c r="EQ93" s="198" t="s">
        <v>1453</v>
      </c>
      <c r="ER93" s="198" t="s">
        <v>1453</v>
      </c>
      <c r="ES93" s="198" t="s">
        <v>1453</v>
      </c>
      <c r="ET93" s="198" t="s">
        <v>1453</v>
      </c>
      <c r="EU93" s="198" t="s">
        <v>1453</v>
      </c>
      <c r="EV93" s="198" t="s">
        <v>1476</v>
      </c>
      <c r="EW93" s="198" t="s">
        <v>1453</v>
      </c>
      <c r="EX93" s="198" t="s">
        <v>1453</v>
      </c>
      <c r="EY93" s="198" t="s">
        <v>1453</v>
      </c>
      <c r="EZ93" s="198" t="s">
        <v>1477</v>
      </c>
      <c r="FA93" s="198" t="s">
        <v>1453</v>
      </c>
      <c r="FB93" s="198" t="s">
        <v>1453</v>
      </c>
      <c r="FC93" s="198" t="s">
        <v>1478</v>
      </c>
      <c r="FD93" s="198" t="s">
        <v>1453</v>
      </c>
      <c r="FE93" s="198" t="s">
        <v>1453</v>
      </c>
      <c r="FF93" s="198" t="s">
        <v>1453</v>
      </c>
      <c r="FG93" s="198" t="s">
        <v>1453</v>
      </c>
      <c r="FH93" s="198" t="s">
        <v>1479</v>
      </c>
      <c r="FI93" s="198" t="s">
        <v>1480</v>
      </c>
      <c r="FJ93" s="198" t="s">
        <v>1453</v>
      </c>
      <c r="FK93" s="198" t="s">
        <v>1481</v>
      </c>
      <c r="FL93" s="198" t="s">
        <v>1482</v>
      </c>
      <c r="FM93" s="198" t="s">
        <v>1453</v>
      </c>
    </row>
    <row r="94" ht="15.75" customHeight="1">
      <c r="A94" s="198"/>
      <c r="B94" s="198"/>
      <c r="C94" s="234"/>
      <c r="D94" s="232" t="s">
        <v>770</v>
      </c>
      <c r="E94" s="232" t="s">
        <v>1448</v>
      </c>
      <c r="F94" s="232" t="s">
        <v>1449</v>
      </c>
      <c r="G94" s="232" t="s">
        <v>1450</v>
      </c>
      <c r="H94" s="232" t="s">
        <v>804</v>
      </c>
      <c r="I94" s="232" t="s">
        <v>941</v>
      </c>
      <c r="J94" s="232" t="s">
        <v>897</v>
      </c>
      <c r="K94" s="232" t="s">
        <v>1147</v>
      </c>
      <c r="L94" s="188" t="s">
        <v>354</v>
      </c>
      <c r="M94" s="236" t="str">
        <f>IFERROR(__xludf.DUMMYFUNCTION("regexreplace(N94,"" "","", "")"),"J0, J1, J2, J5, J6, J7, JA, JC, JF, K0, K3, K4, K5, K7, K9, KA, KC, KD, KF, L1, L8, LA, LC, M0, M1, M3, M4, M6, MD, MF, N2, N7, NA, ")</f>
        <v>J0, J1, J2, J5, J6, J7, JA, JC, JF, K0, K3, K4, K5, K7, K9, KA, KC, KD, KF, L1, L8, LA, LC, M0, M1, M3, M4, M6, MD, MF, N2, N7, NA, </v>
      </c>
      <c r="N94" s="236" t="str">
        <f t="shared" si="2"/>
        <v>J0 J1 J2 J5 J6 J7 JA JC JF K0 K3 K4 K5 K7 K9 KA KC KD KF L1 L8 LA LC M0 M1 M3 M4 M6 MD MF N2 N7 NA </v>
      </c>
      <c r="O94" s="236" t="str">
        <f>IFERROR(__xludf.DUMMYFUNCTION("if(countif(ecn.list,CO94),OFFSET(INDIRECT(CONCAT(""A"",to_text(match(CO94,ecn.list,0)))),0,1),"""")"),"J0 ")</f>
        <v>J0 </v>
      </c>
      <c r="P94" s="236" t="str">
        <f>IFERROR(__xludf.DUMMYFUNCTION("if(countif(ecn.list,CP94),OFFSET(INDIRECT(CONCAT(""A"",to_text(match(CP94,ecn.list,0)))),0,1),"""")"),"J1 ")</f>
        <v>J1 </v>
      </c>
      <c r="Q94" s="236" t="str">
        <f>IFERROR(__xludf.DUMMYFUNCTION("if(countif(ecn.list,CQ94),OFFSET(INDIRECT(CONCAT(""A"",to_text(match(CQ94,ecn.list,0)))),0,1),"""")"),"J2 ")</f>
        <v>J2 </v>
      </c>
      <c r="R94" s="236" t="str">
        <f>IFERROR(__xludf.DUMMYFUNCTION("if(countif(ecn.list,CR94),OFFSET(INDIRECT(CONCAT(""A"",to_text(match(CR94,ecn.list,0)))),0,1),"""")"),"")</f>
        <v/>
      </c>
      <c r="S94" s="236" t="str">
        <f>IFERROR(__xludf.DUMMYFUNCTION("if(countif(ecn.list,CS94),OFFSET(INDIRECT(CONCAT(""A"",to_text(match(CS94,ecn.list,0)))),0,1),"""")"),"")</f>
        <v/>
      </c>
      <c r="T94" s="236" t="str">
        <f>IFERROR(__xludf.DUMMYFUNCTION("if(countif(ecn.list,CT94),OFFSET(INDIRECT(CONCAT(""A"",to_text(match(CT94,ecn.list,0)))),0,1),"""")"),"J5 ")</f>
        <v>J5 </v>
      </c>
      <c r="U94" s="236" t="str">
        <f>IFERROR(__xludf.DUMMYFUNCTION("if(countif(ecn.list,CU94),OFFSET(INDIRECT(CONCAT(""A"",to_text(match(CU94,ecn.list,0)))),0,1),"""")"),"J6 ")</f>
        <v>J6 </v>
      </c>
      <c r="V94" s="236" t="str">
        <f>IFERROR(__xludf.DUMMYFUNCTION("if(countif(ecn.list,CV94),OFFSET(INDIRECT(CONCAT(""A"",to_text(match(CV94,ecn.list,0)))),0,1),"""")"),"J7 ")</f>
        <v>J7 </v>
      </c>
      <c r="W94" s="236" t="str">
        <f>IFERROR(__xludf.DUMMYFUNCTION("if(countif(ecn.list,CW94),OFFSET(INDIRECT(CONCAT(""A"",to_text(match(CW94,ecn.list,0)))),0,1),"""")"),"")</f>
        <v/>
      </c>
      <c r="X94" s="236" t="str">
        <f>IFERROR(__xludf.DUMMYFUNCTION("if(countif(ecn.list,CX94),OFFSET(INDIRECT(CONCAT(""A"",to_text(match(CX94,ecn.list,0)))),0,1),"""")"),"")</f>
        <v/>
      </c>
      <c r="Y94" s="236" t="str">
        <f>IFERROR(__xludf.DUMMYFUNCTION("if(countif(ecn.list,CY94),OFFSET(INDIRECT(CONCAT(""A"",to_text(match(CY94,ecn.list,0)))),0,1),"""")"),"JA ")</f>
        <v>JA </v>
      </c>
      <c r="Z94" s="236" t="str">
        <f>IFERROR(__xludf.DUMMYFUNCTION("if(countif(ecn.list,CZ94),OFFSET(INDIRECT(CONCAT(""A"",to_text(match(CZ94,ecn.list,0)))),0,1),"""")"),"")</f>
        <v/>
      </c>
      <c r="AA94" s="236" t="str">
        <f>IFERROR(__xludf.DUMMYFUNCTION("if(countif(ecn.list,DA94),OFFSET(INDIRECT(CONCAT(""A"",to_text(match(DA94,ecn.list,0)))),0,1),"""")"),"JC ")</f>
        <v>JC </v>
      </c>
      <c r="AB94" s="236" t="str">
        <f>IFERROR(__xludf.DUMMYFUNCTION("if(countif(ecn.list,DB94),OFFSET(INDIRECT(CONCAT(""A"",to_text(match(DB94,ecn.list,0)))),0,1),"""")"),"")</f>
        <v/>
      </c>
      <c r="AC94" s="236" t="str">
        <f>IFERROR(__xludf.DUMMYFUNCTION("if(countif(ecn.list,DC94),OFFSET(INDIRECT(CONCAT(""A"",to_text(match(DC94,ecn.list,0)))),0,1),"""")"),"")</f>
        <v/>
      </c>
      <c r="AD94" s="236" t="str">
        <f>IFERROR(__xludf.DUMMYFUNCTION("if(countif(ecn.list,DD94),OFFSET(INDIRECT(CONCAT(""A"",to_text(match(DD94,ecn.list,0)))),0,1),"""")"),"JF ")</f>
        <v>JF </v>
      </c>
      <c r="AE94" s="236" t="str">
        <f>IFERROR(__xludf.DUMMYFUNCTION("if(countif(ecn.list,DE94),OFFSET(INDIRECT(CONCAT(""A"",to_text(match(DE94,ecn.list,0)))),0,1),"""")"),"K0 ")</f>
        <v>K0 </v>
      </c>
      <c r="AF94" s="236" t="str">
        <f>IFERROR(__xludf.DUMMYFUNCTION("if(countif(ecn.list,DF94),OFFSET(INDIRECT(CONCAT(""A"",to_text(match(DF94,ecn.list,0)))),0,1),"""")"),"")</f>
        <v/>
      </c>
      <c r="AG94" s="236" t="str">
        <f>IFERROR(__xludf.DUMMYFUNCTION("if(countif(ecn.list,DG94),OFFSET(INDIRECT(CONCAT(""A"",to_text(match(DG94,ecn.list,0)))),0,1),"""")"),"")</f>
        <v/>
      </c>
      <c r="AH94" s="236" t="str">
        <f>IFERROR(__xludf.DUMMYFUNCTION("if(countif(ecn.list,DH94),OFFSET(INDIRECT(CONCAT(""A"",to_text(match(DH94,ecn.list,0)))),0,1),"""")"),"K3 ")</f>
        <v>K3 </v>
      </c>
      <c r="AI94" s="236" t="str">
        <f>IFERROR(__xludf.DUMMYFUNCTION("if(countif(ecn.list,DI94),OFFSET(INDIRECT(CONCAT(""A"",to_text(match(DI94,ecn.list,0)))),0,1),"""")"),"K4 ")</f>
        <v>K4 </v>
      </c>
      <c r="AJ94" s="236" t="str">
        <f>IFERROR(__xludf.DUMMYFUNCTION("if(countif(ecn.list,DJ94),OFFSET(INDIRECT(CONCAT(""A"",to_text(match(DJ94,ecn.list,0)))),0,1),"""")"),"K5 ")</f>
        <v>K5 </v>
      </c>
      <c r="AK94" s="236" t="str">
        <f>IFERROR(__xludf.DUMMYFUNCTION("if(countif(ecn.list,DK94),OFFSET(INDIRECT(CONCAT(""A"",to_text(match(DK94,ecn.list,0)))),0,1),"""")"),"")</f>
        <v/>
      </c>
      <c r="AL94" s="236" t="str">
        <f>IFERROR(__xludf.DUMMYFUNCTION("if(countif(ecn.list,DL94),OFFSET(INDIRECT(CONCAT(""A"",to_text(match(DL94,ecn.list,0)))),0,1),"""")"),"K7 ")</f>
        <v>K7 </v>
      </c>
      <c r="AM94" s="236" t="str">
        <f>IFERROR(__xludf.DUMMYFUNCTION("if(countif(ecn.list,DM94),OFFSET(INDIRECT(CONCAT(""A"",to_text(match(DM94,ecn.list,0)))),0,1),"""")"),"")</f>
        <v/>
      </c>
      <c r="AN94" s="236" t="str">
        <f>IFERROR(__xludf.DUMMYFUNCTION("if(countif(ecn.list,DN94),OFFSET(INDIRECT(CONCAT(""A"",to_text(match(DN94,ecn.list,0)))),0,1),"""")"),"K9 ")</f>
        <v>K9 </v>
      </c>
      <c r="AO94" s="236" t="str">
        <f>IFERROR(__xludf.DUMMYFUNCTION("if(countif(ecn.list,DO94),OFFSET(INDIRECT(CONCAT(""A"",to_text(match(DO94,ecn.list,0)))),0,1),"""")"),"KA ")</f>
        <v>KA </v>
      </c>
      <c r="AP94" s="236" t="str">
        <f>IFERROR(__xludf.DUMMYFUNCTION("if(countif(ecn.list,DP94),OFFSET(INDIRECT(CONCAT(""A"",to_text(match(DP94,ecn.list,0)))),0,1),"""")"),"")</f>
        <v/>
      </c>
      <c r="AQ94" s="236" t="str">
        <f>IFERROR(__xludf.DUMMYFUNCTION("if(countif(ecn.list,DQ94),OFFSET(INDIRECT(CONCAT(""A"",to_text(match(DQ94,ecn.list,0)))),0,1),"""")"),"KC ")</f>
        <v>KC </v>
      </c>
      <c r="AR94" s="236" t="str">
        <f>IFERROR(__xludf.DUMMYFUNCTION("if(countif(ecn.list,DR94),OFFSET(INDIRECT(CONCAT(""A"",to_text(match(DR94,ecn.list,0)))),0,1),"""")"),"KD ")</f>
        <v>KD </v>
      </c>
      <c r="AS94" s="236" t="str">
        <f>IFERROR(__xludf.DUMMYFUNCTION("if(countif(ecn.list,DS94),OFFSET(INDIRECT(CONCAT(""A"",to_text(match(DS94,ecn.list,0)))),0,1),"""")"),"")</f>
        <v/>
      </c>
      <c r="AT94" s="236" t="str">
        <f>IFERROR(__xludf.DUMMYFUNCTION("if(countif(ecn.list,DT94),OFFSET(INDIRECT(CONCAT(""A"",to_text(match(DT94,ecn.list,0)))),0,1),"""")"),"KF ")</f>
        <v>KF </v>
      </c>
      <c r="AU94" s="236" t="str">
        <f>IFERROR(__xludf.DUMMYFUNCTION("if(countif(ecn.list,DU94),OFFSET(INDIRECT(CONCAT(""A"",to_text(match(DU94,ecn.list,0)))),0,1),"""")"),"")</f>
        <v/>
      </c>
      <c r="AV94" s="236" t="str">
        <f>IFERROR(__xludf.DUMMYFUNCTION("if(countif(ecn.list,DV94),OFFSET(INDIRECT(CONCAT(""A"",to_text(match(DV94,ecn.list,0)))),0,1),"""")"),"L1 ")</f>
        <v>L1 </v>
      </c>
      <c r="AW94" s="236" t="str">
        <f>IFERROR(__xludf.DUMMYFUNCTION("if(countif(ecn.list,DW94),OFFSET(INDIRECT(CONCAT(""A"",to_text(match(DW94,ecn.list,0)))),0,1),"""")"),"")</f>
        <v/>
      </c>
      <c r="AX94" s="236" t="str">
        <f>IFERROR(__xludf.DUMMYFUNCTION("if(countif(ecn.list,DX94),OFFSET(INDIRECT(CONCAT(""A"",to_text(match(DX94,ecn.list,0)))),0,1),"""")"),"")</f>
        <v/>
      </c>
      <c r="AY94" s="236" t="str">
        <f>IFERROR(__xludf.DUMMYFUNCTION("if(countif(ecn.list,DY94),OFFSET(INDIRECT(CONCAT(""A"",to_text(match(DY94,ecn.list,0)))),0,1),"""")"),"")</f>
        <v/>
      </c>
      <c r="AZ94" s="236" t="str">
        <f>IFERROR(__xludf.DUMMYFUNCTION("if(countif(ecn.list,DZ94),OFFSET(INDIRECT(CONCAT(""A"",to_text(match(DZ94,ecn.list,0)))),0,1),"""")"),"")</f>
        <v/>
      </c>
      <c r="BA94" s="236" t="str">
        <f>IFERROR(__xludf.DUMMYFUNCTION("if(countif(ecn.list,EA94),OFFSET(INDIRECT(CONCAT(""A"",to_text(match(EA94,ecn.list,0)))),0,1),"""")"),"")</f>
        <v/>
      </c>
      <c r="BB94" s="236" t="str">
        <f>IFERROR(__xludf.DUMMYFUNCTION("if(countif(ecn.list,EB94),OFFSET(INDIRECT(CONCAT(""A"",to_text(match(EB94,ecn.list,0)))),0,1),"""")"),"")</f>
        <v/>
      </c>
      <c r="BC94" s="236" t="str">
        <f>IFERROR(__xludf.DUMMYFUNCTION("if(countif(ecn.list,EC94),OFFSET(INDIRECT(CONCAT(""A"",to_text(match(EC94,ecn.list,0)))),0,1),"""")"),"L8 ")</f>
        <v>L8 </v>
      </c>
      <c r="BD94" s="236" t="str">
        <f>IFERROR(__xludf.DUMMYFUNCTION("if(countif(ecn.list,ED94),OFFSET(INDIRECT(CONCAT(""A"",to_text(match(ED94,ecn.list,0)))),0,1),"""")"),"")</f>
        <v/>
      </c>
      <c r="BE94" s="236" t="str">
        <f>IFERROR(__xludf.DUMMYFUNCTION("if(countif(ecn.list,EE94),OFFSET(INDIRECT(CONCAT(""A"",to_text(match(EE94,ecn.list,0)))),0,1),"""")"),"LA ")</f>
        <v>LA </v>
      </c>
      <c r="BF94" s="236" t="str">
        <f>IFERROR(__xludf.DUMMYFUNCTION("if(countif(ecn.list,EF94),OFFSET(INDIRECT(CONCAT(""A"",to_text(match(EF94,ecn.list,0)))),0,1),"""")"),"")</f>
        <v/>
      </c>
      <c r="BG94" s="236" t="str">
        <f>IFERROR(__xludf.DUMMYFUNCTION("if(countif(ecn.list,EG94),OFFSET(INDIRECT(CONCAT(""A"",to_text(match(EG94,ecn.list,0)))),0,1),"""")"),"LC ")</f>
        <v>LC </v>
      </c>
      <c r="BH94" s="236" t="str">
        <f>IFERROR(__xludf.DUMMYFUNCTION("if(countif(ecn.list,EH94),OFFSET(INDIRECT(CONCAT(""A"",to_text(match(EH94,ecn.list,0)))),0,1),"""")"),"")</f>
        <v/>
      </c>
      <c r="BI94" s="236" t="str">
        <f>IFERROR(__xludf.DUMMYFUNCTION("if(countif(ecn.list,EI94),OFFSET(INDIRECT(CONCAT(""A"",to_text(match(EI94,ecn.list,0)))),0,1),"""")"),"")</f>
        <v/>
      </c>
      <c r="BJ94" s="236" t="str">
        <f>IFERROR(__xludf.DUMMYFUNCTION("if(countif(ecn.list,EJ94),OFFSET(INDIRECT(CONCAT(""A"",to_text(match(EJ94,ecn.list,0)))),0,1),"""")"),"")</f>
        <v/>
      </c>
      <c r="BK94" s="236" t="str">
        <f>IFERROR(__xludf.DUMMYFUNCTION("if(countif(ecn.list,EK94),OFFSET(INDIRECT(CONCAT(""A"",to_text(match(EK94,ecn.list,0)))),0,1),"""")"),"M0 ")</f>
        <v>M0 </v>
      </c>
      <c r="BL94" s="236" t="str">
        <f>IFERROR(__xludf.DUMMYFUNCTION("if(countif(ecn.list,EL94),OFFSET(INDIRECT(CONCAT(""A"",to_text(match(EL94,ecn.list,0)))),0,1),"""")"),"M1 ")</f>
        <v>M1 </v>
      </c>
      <c r="BM94" s="236" t="str">
        <f>IFERROR(__xludf.DUMMYFUNCTION("if(countif(ecn.list,EM94),OFFSET(INDIRECT(CONCAT(""A"",to_text(match(EM94,ecn.list,0)))),0,1),"""")"),"")</f>
        <v/>
      </c>
      <c r="BN94" s="236" t="str">
        <f>IFERROR(__xludf.DUMMYFUNCTION("if(countif(ecn.list,EN94),OFFSET(INDIRECT(CONCAT(""A"",to_text(match(EN94,ecn.list,0)))),0,1),"""")"),"M3 ")</f>
        <v>M3 </v>
      </c>
      <c r="BO94" s="236" t="str">
        <f>IFERROR(__xludf.DUMMYFUNCTION("if(countif(ecn.list,EO94),OFFSET(INDIRECT(CONCAT(""A"",to_text(match(EO94,ecn.list,0)))),0,1),"""")"),"M4 ")</f>
        <v>M4 </v>
      </c>
      <c r="BP94" s="236" t="str">
        <f>IFERROR(__xludf.DUMMYFUNCTION("if(countif(ecn.list,EP94),OFFSET(INDIRECT(CONCAT(""A"",to_text(match(EP94,ecn.list,0)))),0,1),"""")"),"")</f>
        <v/>
      </c>
      <c r="BQ94" s="236" t="str">
        <f>IFERROR(__xludf.DUMMYFUNCTION("if(countif(ecn.list,EQ94),OFFSET(INDIRECT(CONCAT(""A"",to_text(match(EQ94,ecn.list,0)))),0,1),"""")"),"M6 ")</f>
        <v>M6 </v>
      </c>
      <c r="BR94" s="236" t="str">
        <f>IFERROR(__xludf.DUMMYFUNCTION("if(countif(ecn.list,ER94),OFFSET(INDIRECT(CONCAT(""A"",to_text(match(ER94,ecn.list,0)))),0,1),"""")"),"")</f>
        <v/>
      </c>
      <c r="BS94" s="236" t="str">
        <f>IFERROR(__xludf.DUMMYFUNCTION("if(countif(ecn.list,ES94),OFFSET(INDIRECT(CONCAT(""A"",to_text(match(ES94,ecn.list,0)))),0,1),"""")"),"")</f>
        <v/>
      </c>
      <c r="BT94" s="236" t="str">
        <f>IFERROR(__xludf.DUMMYFUNCTION("if(countif(ecn.list,ET94),OFFSET(INDIRECT(CONCAT(""A"",to_text(match(ET94,ecn.list,0)))),0,1),"""")"),"")</f>
        <v/>
      </c>
      <c r="BU94" s="236" t="str">
        <f>IFERROR(__xludf.DUMMYFUNCTION("if(countif(ecn.list,EU94),OFFSET(INDIRECT(CONCAT(""A"",to_text(match(EU94,ecn.list,0)))),0,1),"""")"),"")</f>
        <v/>
      </c>
      <c r="BV94" s="236" t="str">
        <f>IFERROR(__xludf.DUMMYFUNCTION("if(countif(ecn.list,EV94),OFFSET(INDIRECT(CONCAT(""A"",to_text(match(EV94,ecn.list,0)))),0,1),"""")"),"")</f>
        <v/>
      </c>
      <c r="BW94" s="236" t="str">
        <f>IFERROR(__xludf.DUMMYFUNCTION("if(countif(ecn.list,EW94),OFFSET(INDIRECT(CONCAT(""A"",to_text(match(EW94,ecn.list,0)))),0,1),"""")"),"")</f>
        <v/>
      </c>
      <c r="BX94" s="236" t="str">
        <f>IFERROR(__xludf.DUMMYFUNCTION("if(countif(ecn.list,EX94),OFFSET(INDIRECT(CONCAT(""A"",to_text(match(EX94,ecn.list,0)))),0,1),"""")"),"MD ")</f>
        <v>MD </v>
      </c>
      <c r="BY94" s="236" t="str">
        <f>IFERROR(__xludf.DUMMYFUNCTION("if(countif(ecn.list,EY94),OFFSET(INDIRECT(CONCAT(""A"",to_text(match(EY94,ecn.list,0)))),0,1),"""")"),"")</f>
        <v/>
      </c>
      <c r="BZ94" s="236" t="str">
        <f>IFERROR(__xludf.DUMMYFUNCTION("if(countif(ecn.list,EZ94),OFFSET(INDIRECT(CONCAT(""A"",to_text(match(EZ94,ecn.list,0)))),0,1),"""")"),"MF ")</f>
        <v>MF </v>
      </c>
      <c r="CA94" s="236" t="str">
        <f>IFERROR(__xludf.DUMMYFUNCTION("if(countif(ecn.list,FA94),OFFSET(INDIRECT(CONCAT(""A"",to_text(match(FA94,ecn.list,0)))),0,1),"""")"),"")</f>
        <v/>
      </c>
      <c r="CB94" s="236" t="str">
        <f>IFERROR(__xludf.DUMMYFUNCTION("if(countif(ecn.list,FB94),OFFSET(INDIRECT(CONCAT(""A"",to_text(match(FB94,ecn.list,0)))),0,1),"""")"),"")</f>
        <v/>
      </c>
      <c r="CC94" s="236" t="str">
        <f>IFERROR(__xludf.DUMMYFUNCTION("if(countif(ecn.list,FC94),OFFSET(INDIRECT(CONCAT(""A"",to_text(match(FC94,ecn.list,0)))),0,1),"""")"),"N2 ")</f>
        <v>N2 </v>
      </c>
      <c r="CD94" s="236" t="str">
        <f>IFERROR(__xludf.DUMMYFUNCTION("if(countif(ecn.list,FD94),OFFSET(INDIRECT(CONCAT(""A"",to_text(match(FD94,ecn.list,0)))),0,1),"""")"),"")</f>
        <v/>
      </c>
      <c r="CE94" s="236" t="str">
        <f>IFERROR(__xludf.DUMMYFUNCTION("if(countif(ecn.list,FE94),OFFSET(INDIRECT(CONCAT(""A"",to_text(match(FE94,ecn.list,0)))),0,1),"""")"),"")</f>
        <v/>
      </c>
      <c r="CF94" s="236" t="str">
        <f>IFERROR(__xludf.DUMMYFUNCTION("if(countif(ecn.list,FF94),OFFSET(INDIRECT(CONCAT(""A"",to_text(match(FF94,ecn.list,0)))),0,1),"""")"),"")</f>
        <v/>
      </c>
      <c r="CG94" s="236" t="str">
        <f>IFERROR(__xludf.DUMMYFUNCTION("if(countif(ecn.list,FG94),OFFSET(INDIRECT(CONCAT(""A"",to_text(match(FG94,ecn.list,0)))),0,1),"""")"),"")</f>
        <v/>
      </c>
      <c r="CH94" s="236" t="str">
        <f>IFERROR(__xludf.DUMMYFUNCTION("if(countif(ecn.list,FH94),OFFSET(INDIRECT(CONCAT(""A"",to_text(match(FH94,ecn.list,0)))),0,1),"""")"),"N7 ")</f>
        <v>N7 </v>
      </c>
      <c r="CI94" s="236" t="str">
        <f>IFERROR(__xludf.DUMMYFUNCTION("if(countif(ecn.list,FI94),OFFSET(INDIRECT(CONCAT(""A"",to_text(match(FI94,ecn.list,0)))),0,1),"""")"),"")</f>
        <v/>
      </c>
      <c r="CJ94" s="236" t="str">
        <f>IFERROR(__xludf.DUMMYFUNCTION("if(countif(ecn.list,FJ94),OFFSET(INDIRECT(CONCAT(""A"",to_text(match(FJ94,ecn.list,0)))),0,1),"""")"),"")</f>
        <v/>
      </c>
      <c r="CK94" s="236" t="str">
        <f>IFERROR(__xludf.DUMMYFUNCTION("if(countif(ecn.list,FK94),OFFSET(INDIRECT(CONCAT(""A"",to_text(match(FK94,ecn.list,0)))),0,1),"""")"),"NA ")</f>
        <v>NA </v>
      </c>
      <c r="CL94" s="236" t="str">
        <f>IFERROR(__xludf.DUMMYFUNCTION("if(countif(ecn.list,FL94),OFFSET(INDIRECT(CONCAT(""A"",to_text(match(FL94,ecn.list,0)))),0,1),"""")"),"")</f>
        <v/>
      </c>
      <c r="CM94" s="236" t="str">
        <f>IFERROR(__xludf.DUMMYFUNCTION("if(countif(ecn.list,FM94),OFFSET(INDIRECT(CONCAT(""A"",to_text(match(FM94,ecn.list,0)))),0,1),"""")"),"")</f>
        <v/>
      </c>
      <c r="CN94" s="198" t="s">
        <v>354</v>
      </c>
      <c r="CO94" s="198" t="s">
        <v>1447</v>
      </c>
      <c r="CP94" s="198" t="s">
        <v>1451</v>
      </c>
      <c r="CQ94" s="198" t="s">
        <v>1452</v>
      </c>
      <c r="CR94" s="198" t="s">
        <v>1453</v>
      </c>
      <c r="CS94" s="198" t="s">
        <v>1453</v>
      </c>
      <c r="CT94" s="198" t="s">
        <v>1454</v>
      </c>
      <c r="CU94" s="198" t="s">
        <v>1455</v>
      </c>
      <c r="CV94" s="198" t="s">
        <v>1456</v>
      </c>
      <c r="CW94" s="198" t="s">
        <v>1453</v>
      </c>
      <c r="CX94" s="198" t="s">
        <v>1453</v>
      </c>
      <c r="CY94" s="198" t="s">
        <v>1484</v>
      </c>
      <c r="CZ94" s="198" t="s">
        <v>1453</v>
      </c>
      <c r="DA94" s="198" t="s">
        <v>1457</v>
      </c>
      <c r="DB94" s="198" t="s">
        <v>1453</v>
      </c>
      <c r="DC94" s="198" t="s">
        <v>1453</v>
      </c>
      <c r="DD94" s="198" t="s">
        <v>1458</v>
      </c>
      <c r="DE94" s="198" t="s">
        <v>1459</v>
      </c>
      <c r="DF94" s="198" t="s">
        <v>1453</v>
      </c>
      <c r="DG94" s="198" t="s">
        <v>1453</v>
      </c>
      <c r="DH94" s="198" t="s">
        <v>1500</v>
      </c>
      <c r="DI94" s="198" t="s">
        <v>1501</v>
      </c>
      <c r="DJ94" s="198" t="s">
        <v>1460</v>
      </c>
      <c r="DK94" s="198" t="s">
        <v>1453</v>
      </c>
      <c r="DL94" s="198" t="s">
        <v>1461</v>
      </c>
      <c r="DM94" s="198" t="s">
        <v>1453</v>
      </c>
      <c r="DN94" s="198" t="s">
        <v>1463</v>
      </c>
      <c r="DO94" s="198" t="s">
        <v>1464</v>
      </c>
      <c r="DP94" s="198" t="s">
        <v>1453</v>
      </c>
      <c r="DQ94" s="198" t="s">
        <v>1466</v>
      </c>
      <c r="DR94" s="198" t="s">
        <v>1467</v>
      </c>
      <c r="DS94" s="198" t="s">
        <v>1453</v>
      </c>
      <c r="DT94" s="198" t="s">
        <v>1468</v>
      </c>
      <c r="DU94" s="198" t="s">
        <v>1453</v>
      </c>
      <c r="DV94" s="198" t="s">
        <v>1469</v>
      </c>
      <c r="DW94" s="198" t="s">
        <v>1453</v>
      </c>
      <c r="DX94" s="198" t="s">
        <v>1453</v>
      </c>
      <c r="DY94" s="198" t="s">
        <v>1453</v>
      </c>
      <c r="DZ94" s="198" t="s">
        <v>1453</v>
      </c>
      <c r="EA94" s="198" t="s">
        <v>1453</v>
      </c>
      <c r="EB94" s="198" t="s">
        <v>1453</v>
      </c>
      <c r="EC94" s="198" t="s">
        <v>1483</v>
      </c>
      <c r="ED94" s="198" t="s">
        <v>1453</v>
      </c>
      <c r="EE94" s="198" t="s">
        <v>1470</v>
      </c>
      <c r="EF94" s="198" t="s">
        <v>1453</v>
      </c>
      <c r="EG94" s="198" t="s">
        <v>1471</v>
      </c>
      <c r="EH94" s="198" t="s">
        <v>1453</v>
      </c>
      <c r="EI94" s="198" t="s">
        <v>1453</v>
      </c>
      <c r="EJ94" s="198" t="s">
        <v>1453</v>
      </c>
      <c r="EK94" s="198" t="s">
        <v>1487</v>
      </c>
      <c r="EL94" s="198" t="s">
        <v>1473</v>
      </c>
      <c r="EM94" s="198" t="s">
        <v>1453</v>
      </c>
      <c r="EN94" s="198" t="s">
        <v>1474</v>
      </c>
      <c r="EO94" s="198" t="s">
        <v>1475</v>
      </c>
      <c r="EP94" s="198" t="s">
        <v>1453</v>
      </c>
      <c r="EQ94" s="198" t="s">
        <v>1528</v>
      </c>
      <c r="ER94" s="198" t="s">
        <v>1453</v>
      </c>
      <c r="ES94" s="198" t="s">
        <v>1453</v>
      </c>
      <c r="ET94" s="198" t="s">
        <v>1453</v>
      </c>
      <c r="EU94" s="198" t="s">
        <v>1453</v>
      </c>
      <c r="EV94" s="198" t="s">
        <v>1453</v>
      </c>
      <c r="EW94" s="198" t="s">
        <v>1453</v>
      </c>
      <c r="EX94" s="198" t="s">
        <v>1488</v>
      </c>
      <c r="EY94" s="198" t="s">
        <v>1453</v>
      </c>
      <c r="EZ94" s="198" t="s">
        <v>1477</v>
      </c>
      <c r="FA94" s="198" t="s">
        <v>1453</v>
      </c>
      <c r="FB94" s="198" t="s">
        <v>1453</v>
      </c>
      <c r="FC94" s="198" t="s">
        <v>1478</v>
      </c>
      <c r="FD94" s="198" t="s">
        <v>1453</v>
      </c>
      <c r="FE94" s="198" t="s">
        <v>1453</v>
      </c>
      <c r="FF94" s="198" t="s">
        <v>1453</v>
      </c>
      <c r="FG94" s="198" t="s">
        <v>1453</v>
      </c>
      <c r="FH94" s="198" t="s">
        <v>1479</v>
      </c>
      <c r="FI94" s="198" t="s">
        <v>1453</v>
      </c>
      <c r="FJ94" s="198" t="s">
        <v>1453</v>
      </c>
      <c r="FK94" s="198" t="s">
        <v>1481</v>
      </c>
      <c r="FL94" s="198" t="s">
        <v>1482</v>
      </c>
      <c r="FM94" s="198" t="s">
        <v>1453</v>
      </c>
    </row>
    <row r="95" ht="15.75" customHeight="1">
      <c r="A95" s="198"/>
      <c r="B95" s="198"/>
      <c r="C95" s="234"/>
      <c r="D95" s="232" t="s">
        <v>770</v>
      </c>
      <c r="E95" s="232" t="s">
        <v>1448</v>
      </c>
      <c r="F95" s="232" t="s">
        <v>1449</v>
      </c>
      <c r="G95" s="232" t="s">
        <v>1450</v>
      </c>
      <c r="H95" s="232" t="s">
        <v>804</v>
      </c>
      <c r="I95" s="232" t="s">
        <v>941</v>
      </c>
      <c r="J95" s="232" t="s">
        <v>897</v>
      </c>
      <c r="K95" s="232" t="s">
        <v>1147</v>
      </c>
      <c r="L95" s="188" t="s">
        <v>357</v>
      </c>
      <c r="M95" s="236" t="str">
        <f>IFERROR(__xludf.DUMMYFUNCTION("regexreplace(N95,"" "","", "")"),"J0, J1, J2, J5, J6, J7, JA, JC, JF, K0, K3, K4, K5, K7, K9, KA, KB, KC, KD, KF, L1, L8, LA, LC, M0, M1, M3, M4, MD, MF, N2, N7, NA, ")</f>
        <v>J0, J1, J2, J5, J6, J7, JA, JC, JF, K0, K3, K4, K5, K7, K9, KA, KB, KC, KD, KF, L1, L8, LA, LC, M0, M1, M3, M4, MD, MF, N2, N7, NA, </v>
      </c>
      <c r="N95" s="236" t="str">
        <f t="shared" si="2"/>
        <v>J0 J1 J2 J5 J6 J7 JA JC JF K0 K3 K4 K5 K7 K9 KA KB KC KD KF L1 L8 LA LC M0 M1 M3 M4 MD MF N2 N7 NA </v>
      </c>
      <c r="O95" s="236" t="str">
        <f>IFERROR(__xludf.DUMMYFUNCTION("if(countif(ecn.list,CO95),OFFSET(INDIRECT(CONCAT(""A"",to_text(match(CO95,ecn.list,0)))),0,1),"""")"),"J0 ")</f>
        <v>J0 </v>
      </c>
      <c r="P95" s="236" t="str">
        <f>IFERROR(__xludf.DUMMYFUNCTION("if(countif(ecn.list,CP95),OFFSET(INDIRECT(CONCAT(""A"",to_text(match(CP95,ecn.list,0)))),0,1),"""")"),"J1 ")</f>
        <v>J1 </v>
      </c>
      <c r="Q95" s="236" t="str">
        <f>IFERROR(__xludf.DUMMYFUNCTION("if(countif(ecn.list,CQ95),OFFSET(INDIRECT(CONCAT(""A"",to_text(match(CQ95,ecn.list,0)))),0,1),"""")"),"J2 ")</f>
        <v>J2 </v>
      </c>
      <c r="R95" s="236" t="str">
        <f>IFERROR(__xludf.DUMMYFUNCTION("if(countif(ecn.list,CR95),OFFSET(INDIRECT(CONCAT(""A"",to_text(match(CR95,ecn.list,0)))),0,1),"""")"),"")</f>
        <v/>
      </c>
      <c r="S95" s="236" t="str">
        <f>IFERROR(__xludf.DUMMYFUNCTION("if(countif(ecn.list,CS95),OFFSET(INDIRECT(CONCAT(""A"",to_text(match(CS95,ecn.list,0)))),0,1),"""")"),"")</f>
        <v/>
      </c>
      <c r="T95" s="236" t="str">
        <f>IFERROR(__xludf.DUMMYFUNCTION("if(countif(ecn.list,CT95),OFFSET(INDIRECT(CONCAT(""A"",to_text(match(CT95,ecn.list,0)))),0,1),"""")"),"J5 ")</f>
        <v>J5 </v>
      </c>
      <c r="U95" s="236" t="str">
        <f>IFERROR(__xludf.DUMMYFUNCTION("if(countif(ecn.list,CU95),OFFSET(INDIRECT(CONCAT(""A"",to_text(match(CU95,ecn.list,0)))),0,1),"""")"),"J6 ")</f>
        <v>J6 </v>
      </c>
      <c r="V95" s="236" t="str">
        <f>IFERROR(__xludf.DUMMYFUNCTION("if(countif(ecn.list,CV95),OFFSET(INDIRECT(CONCAT(""A"",to_text(match(CV95,ecn.list,0)))),0,1),"""")"),"J7 ")</f>
        <v>J7 </v>
      </c>
      <c r="W95" s="236" t="str">
        <f>IFERROR(__xludf.DUMMYFUNCTION("if(countif(ecn.list,CW95),OFFSET(INDIRECT(CONCAT(""A"",to_text(match(CW95,ecn.list,0)))),0,1),"""")"),"")</f>
        <v/>
      </c>
      <c r="X95" s="236" t="str">
        <f>IFERROR(__xludf.DUMMYFUNCTION("if(countif(ecn.list,CX95),OFFSET(INDIRECT(CONCAT(""A"",to_text(match(CX95,ecn.list,0)))),0,1),"""")"),"")</f>
        <v/>
      </c>
      <c r="Y95" s="236" t="str">
        <f>IFERROR(__xludf.DUMMYFUNCTION("if(countif(ecn.list,CY95),OFFSET(INDIRECT(CONCAT(""A"",to_text(match(CY95,ecn.list,0)))),0,1),"""")"),"JA ")</f>
        <v>JA </v>
      </c>
      <c r="Z95" s="236" t="str">
        <f>IFERROR(__xludf.DUMMYFUNCTION("if(countif(ecn.list,CZ95),OFFSET(INDIRECT(CONCAT(""A"",to_text(match(CZ95,ecn.list,0)))),0,1),"""")"),"")</f>
        <v/>
      </c>
      <c r="AA95" s="236" t="str">
        <f>IFERROR(__xludf.DUMMYFUNCTION("if(countif(ecn.list,DA95),OFFSET(INDIRECT(CONCAT(""A"",to_text(match(DA95,ecn.list,0)))),0,1),"""")"),"JC ")</f>
        <v>JC </v>
      </c>
      <c r="AB95" s="236" t="str">
        <f>IFERROR(__xludf.DUMMYFUNCTION("if(countif(ecn.list,DB95),OFFSET(INDIRECT(CONCAT(""A"",to_text(match(DB95,ecn.list,0)))),0,1),"""")"),"")</f>
        <v/>
      </c>
      <c r="AC95" s="236" t="str">
        <f>IFERROR(__xludf.DUMMYFUNCTION("if(countif(ecn.list,DC95),OFFSET(INDIRECT(CONCAT(""A"",to_text(match(DC95,ecn.list,0)))),0,1),"""")"),"")</f>
        <v/>
      </c>
      <c r="AD95" s="236" t="str">
        <f>IFERROR(__xludf.DUMMYFUNCTION("if(countif(ecn.list,DD95),OFFSET(INDIRECT(CONCAT(""A"",to_text(match(DD95,ecn.list,0)))),0,1),"""")"),"JF ")</f>
        <v>JF </v>
      </c>
      <c r="AE95" s="236" t="str">
        <f>IFERROR(__xludf.DUMMYFUNCTION("if(countif(ecn.list,DE95),OFFSET(INDIRECT(CONCAT(""A"",to_text(match(DE95,ecn.list,0)))),0,1),"""")"),"K0 ")</f>
        <v>K0 </v>
      </c>
      <c r="AF95" s="236" t="str">
        <f>IFERROR(__xludf.DUMMYFUNCTION("if(countif(ecn.list,DF95),OFFSET(INDIRECT(CONCAT(""A"",to_text(match(DF95,ecn.list,0)))),0,1),"""")"),"")</f>
        <v/>
      </c>
      <c r="AG95" s="236" t="str">
        <f>IFERROR(__xludf.DUMMYFUNCTION("if(countif(ecn.list,DG95),OFFSET(INDIRECT(CONCAT(""A"",to_text(match(DG95,ecn.list,0)))),0,1),"""")"),"")</f>
        <v/>
      </c>
      <c r="AH95" s="236" t="str">
        <f>IFERROR(__xludf.DUMMYFUNCTION("if(countif(ecn.list,DH95),OFFSET(INDIRECT(CONCAT(""A"",to_text(match(DH95,ecn.list,0)))),0,1),"""")"),"K3 ")</f>
        <v>K3 </v>
      </c>
      <c r="AI95" s="236" t="str">
        <f>IFERROR(__xludf.DUMMYFUNCTION("if(countif(ecn.list,DI95),OFFSET(INDIRECT(CONCAT(""A"",to_text(match(DI95,ecn.list,0)))),0,1),"""")"),"K4 ")</f>
        <v>K4 </v>
      </c>
      <c r="AJ95" s="236" t="str">
        <f>IFERROR(__xludf.DUMMYFUNCTION("if(countif(ecn.list,DJ95),OFFSET(INDIRECT(CONCAT(""A"",to_text(match(DJ95,ecn.list,0)))),0,1),"""")"),"K5 ")</f>
        <v>K5 </v>
      </c>
      <c r="AK95" s="236" t="str">
        <f>IFERROR(__xludf.DUMMYFUNCTION("if(countif(ecn.list,DK95),OFFSET(INDIRECT(CONCAT(""A"",to_text(match(DK95,ecn.list,0)))),0,1),"""")"),"")</f>
        <v/>
      </c>
      <c r="AL95" s="236" t="str">
        <f>IFERROR(__xludf.DUMMYFUNCTION("if(countif(ecn.list,DL95),OFFSET(INDIRECT(CONCAT(""A"",to_text(match(DL95,ecn.list,0)))),0,1),"""")"),"K7 ")</f>
        <v>K7 </v>
      </c>
      <c r="AM95" s="236" t="str">
        <f>IFERROR(__xludf.DUMMYFUNCTION("if(countif(ecn.list,DM95),OFFSET(INDIRECT(CONCAT(""A"",to_text(match(DM95,ecn.list,0)))),0,1),"""")"),"")</f>
        <v/>
      </c>
      <c r="AN95" s="236" t="str">
        <f>IFERROR(__xludf.DUMMYFUNCTION("if(countif(ecn.list,DN95),OFFSET(INDIRECT(CONCAT(""A"",to_text(match(DN95,ecn.list,0)))),0,1),"""")"),"K9 ")</f>
        <v>K9 </v>
      </c>
      <c r="AO95" s="236" t="str">
        <f>IFERROR(__xludf.DUMMYFUNCTION("if(countif(ecn.list,DO95),OFFSET(INDIRECT(CONCAT(""A"",to_text(match(DO95,ecn.list,0)))),0,1),"""")"),"KA ")</f>
        <v>KA </v>
      </c>
      <c r="AP95" s="236" t="str">
        <f>IFERROR(__xludf.DUMMYFUNCTION("if(countif(ecn.list,DP95),OFFSET(INDIRECT(CONCAT(""A"",to_text(match(DP95,ecn.list,0)))),0,1),"""")"),"KB ")</f>
        <v>KB </v>
      </c>
      <c r="AQ95" s="236" t="str">
        <f>IFERROR(__xludf.DUMMYFUNCTION("if(countif(ecn.list,DQ95),OFFSET(INDIRECT(CONCAT(""A"",to_text(match(DQ95,ecn.list,0)))),0,1),"""")"),"KC ")</f>
        <v>KC </v>
      </c>
      <c r="AR95" s="236" t="str">
        <f>IFERROR(__xludf.DUMMYFUNCTION("if(countif(ecn.list,DR95),OFFSET(INDIRECT(CONCAT(""A"",to_text(match(DR95,ecn.list,0)))),0,1),"""")"),"KD ")</f>
        <v>KD </v>
      </c>
      <c r="AS95" s="236" t="str">
        <f>IFERROR(__xludf.DUMMYFUNCTION("if(countif(ecn.list,DS95),OFFSET(INDIRECT(CONCAT(""A"",to_text(match(DS95,ecn.list,0)))),0,1),"""")"),"")</f>
        <v/>
      </c>
      <c r="AT95" s="236" t="str">
        <f>IFERROR(__xludf.DUMMYFUNCTION("if(countif(ecn.list,DT95),OFFSET(INDIRECT(CONCAT(""A"",to_text(match(DT95,ecn.list,0)))),0,1),"""")"),"KF ")</f>
        <v>KF </v>
      </c>
      <c r="AU95" s="236" t="str">
        <f>IFERROR(__xludf.DUMMYFUNCTION("if(countif(ecn.list,DU95),OFFSET(INDIRECT(CONCAT(""A"",to_text(match(DU95,ecn.list,0)))),0,1),"""")"),"")</f>
        <v/>
      </c>
      <c r="AV95" s="236" t="str">
        <f>IFERROR(__xludf.DUMMYFUNCTION("if(countif(ecn.list,DV95),OFFSET(INDIRECT(CONCAT(""A"",to_text(match(DV95,ecn.list,0)))),0,1),"""")"),"L1 ")</f>
        <v>L1 </v>
      </c>
      <c r="AW95" s="236" t="str">
        <f>IFERROR(__xludf.DUMMYFUNCTION("if(countif(ecn.list,DW95),OFFSET(INDIRECT(CONCAT(""A"",to_text(match(DW95,ecn.list,0)))),0,1),"""")"),"")</f>
        <v/>
      </c>
      <c r="AX95" s="236" t="str">
        <f>IFERROR(__xludf.DUMMYFUNCTION("if(countif(ecn.list,DX95),OFFSET(INDIRECT(CONCAT(""A"",to_text(match(DX95,ecn.list,0)))),0,1),"""")"),"")</f>
        <v/>
      </c>
      <c r="AY95" s="236" t="str">
        <f>IFERROR(__xludf.DUMMYFUNCTION("if(countif(ecn.list,DY95),OFFSET(INDIRECT(CONCAT(""A"",to_text(match(DY95,ecn.list,0)))),0,1),"""")"),"")</f>
        <v/>
      </c>
      <c r="AZ95" s="236" t="str">
        <f>IFERROR(__xludf.DUMMYFUNCTION("if(countif(ecn.list,DZ95),OFFSET(INDIRECT(CONCAT(""A"",to_text(match(DZ95,ecn.list,0)))),0,1),"""")"),"")</f>
        <v/>
      </c>
      <c r="BA95" s="236" t="str">
        <f>IFERROR(__xludf.DUMMYFUNCTION("if(countif(ecn.list,EA95),OFFSET(INDIRECT(CONCAT(""A"",to_text(match(EA95,ecn.list,0)))),0,1),"""")"),"")</f>
        <v/>
      </c>
      <c r="BB95" s="236" t="str">
        <f>IFERROR(__xludf.DUMMYFUNCTION("if(countif(ecn.list,EB95),OFFSET(INDIRECT(CONCAT(""A"",to_text(match(EB95,ecn.list,0)))),0,1),"""")"),"")</f>
        <v/>
      </c>
      <c r="BC95" s="236" t="str">
        <f>IFERROR(__xludf.DUMMYFUNCTION("if(countif(ecn.list,EC95),OFFSET(INDIRECT(CONCAT(""A"",to_text(match(EC95,ecn.list,0)))),0,1),"""")"),"L8 ")</f>
        <v>L8 </v>
      </c>
      <c r="BD95" s="236" t="str">
        <f>IFERROR(__xludf.DUMMYFUNCTION("if(countif(ecn.list,ED95),OFFSET(INDIRECT(CONCAT(""A"",to_text(match(ED95,ecn.list,0)))),0,1),"""")"),"")</f>
        <v/>
      </c>
      <c r="BE95" s="236" t="str">
        <f>IFERROR(__xludf.DUMMYFUNCTION("if(countif(ecn.list,EE95),OFFSET(INDIRECT(CONCAT(""A"",to_text(match(EE95,ecn.list,0)))),0,1),"""")"),"LA ")</f>
        <v>LA </v>
      </c>
      <c r="BF95" s="236" t="str">
        <f>IFERROR(__xludf.DUMMYFUNCTION("if(countif(ecn.list,EF95),OFFSET(INDIRECT(CONCAT(""A"",to_text(match(EF95,ecn.list,0)))),0,1),"""")"),"")</f>
        <v/>
      </c>
      <c r="BG95" s="236" t="str">
        <f>IFERROR(__xludf.DUMMYFUNCTION("if(countif(ecn.list,EG95),OFFSET(INDIRECT(CONCAT(""A"",to_text(match(EG95,ecn.list,0)))),0,1),"""")"),"LC ")</f>
        <v>LC </v>
      </c>
      <c r="BH95" s="236" t="str">
        <f>IFERROR(__xludf.DUMMYFUNCTION("if(countif(ecn.list,EH95),OFFSET(INDIRECT(CONCAT(""A"",to_text(match(EH95,ecn.list,0)))),0,1),"""")"),"")</f>
        <v/>
      </c>
      <c r="BI95" s="236" t="str">
        <f>IFERROR(__xludf.DUMMYFUNCTION("if(countif(ecn.list,EI95),OFFSET(INDIRECT(CONCAT(""A"",to_text(match(EI95,ecn.list,0)))),0,1),"""")"),"")</f>
        <v/>
      </c>
      <c r="BJ95" s="236" t="str">
        <f>IFERROR(__xludf.DUMMYFUNCTION("if(countif(ecn.list,EJ95),OFFSET(INDIRECT(CONCAT(""A"",to_text(match(EJ95,ecn.list,0)))),0,1),"""")"),"")</f>
        <v/>
      </c>
      <c r="BK95" s="236" t="str">
        <f>IFERROR(__xludf.DUMMYFUNCTION("if(countif(ecn.list,EK95),OFFSET(INDIRECT(CONCAT(""A"",to_text(match(EK95,ecn.list,0)))),0,1),"""")"),"M0 ")</f>
        <v>M0 </v>
      </c>
      <c r="BL95" s="236" t="str">
        <f>IFERROR(__xludf.DUMMYFUNCTION("if(countif(ecn.list,EL95),OFFSET(INDIRECT(CONCAT(""A"",to_text(match(EL95,ecn.list,0)))),0,1),"""")"),"M1 ")</f>
        <v>M1 </v>
      </c>
      <c r="BM95" s="236" t="str">
        <f>IFERROR(__xludf.DUMMYFUNCTION("if(countif(ecn.list,EM95),OFFSET(INDIRECT(CONCAT(""A"",to_text(match(EM95,ecn.list,0)))),0,1),"""")"),"")</f>
        <v/>
      </c>
      <c r="BN95" s="236" t="str">
        <f>IFERROR(__xludf.DUMMYFUNCTION("if(countif(ecn.list,EN95),OFFSET(INDIRECT(CONCAT(""A"",to_text(match(EN95,ecn.list,0)))),0,1),"""")"),"M3 ")</f>
        <v>M3 </v>
      </c>
      <c r="BO95" s="236" t="str">
        <f>IFERROR(__xludf.DUMMYFUNCTION("if(countif(ecn.list,EO95),OFFSET(INDIRECT(CONCAT(""A"",to_text(match(EO95,ecn.list,0)))),0,1),"""")"),"M4 ")</f>
        <v>M4 </v>
      </c>
      <c r="BP95" s="236" t="str">
        <f>IFERROR(__xludf.DUMMYFUNCTION("if(countif(ecn.list,EP95),OFFSET(INDIRECT(CONCAT(""A"",to_text(match(EP95,ecn.list,0)))),0,1),"""")"),"")</f>
        <v/>
      </c>
      <c r="BQ95" s="236" t="str">
        <f>IFERROR(__xludf.DUMMYFUNCTION("if(countif(ecn.list,EQ95),OFFSET(INDIRECT(CONCAT(""A"",to_text(match(EQ95,ecn.list,0)))),0,1),"""")"),"")</f>
        <v/>
      </c>
      <c r="BR95" s="236" t="str">
        <f>IFERROR(__xludf.DUMMYFUNCTION("if(countif(ecn.list,ER95),OFFSET(INDIRECT(CONCAT(""A"",to_text(match(ER95,ecn.list,0)))),0,1),"""")"),"")</f>
        <v/>
      </c>
      <c r="BS95" s="236" t="str">
        <f>IFERROR(__xludf.DUMMYFUNCTION("if(countif(ecn.list,ES95),OFFSET(INDIRECT(CONCAT(""A"",to_text(match(ES95,ecn.list,0)))),0,1),"""")"),"")</f>
        <v/>
      </c>
      <c r="BT95" s="236" t="str">
        <f>IFERROR(__xludf.DUMMYFUNCTION("if(countif(ecn.list,ET95),OFFSET(INDIRECT(CONCAT(""A"",to_text(match(ET95,ecn.list,0)))),0,1),"""")"),"")</f>
        <v/>
      </c>
      <c r="BU95" s="236" t="str">
        <f>IFERROR(__xludf.DUMMYFUNCTION("if(countif(ecn.list,EU95),OFFSET(INDIRECT(CONCAT(""A"",to_text(match(EU95,ecn.list,0)))),0,1),"""")"),"")</f>
        <v/>
      </c>
      <c r="BV95" s="236" t="str">
        <f>IFERROR(__xludf.DUMMYFUNCTION("if(countif(ecn.list,EV95),OFFSET(INDIRECT(CONCAT(""A"",to_text(match(EV95,ecn.list,0)))),0,1),"""")"),"")</f>
        <v/>
      </c>
      <c r="BW95" s="236" t="str">
        <f>IFERROR(__xludf.DUMMYFUNCTION("if(countif(ecn.list,EW95),OFFSET(INDIRECT(CONCAT(""A"",to_text(match(EW95,ecn.list,0)))),0,1),"""")"),"")</f>
        <v/>
      </c>
      <c r="BX95" s="236" t="str">
        <f>IFERROR(__xludf.DUMMYFUNCTION("if(countif(ecn.list,EX95),OFFSET(INDIRECT(CONCAT(""A"",to_text(match(EX95,ecn.list,0)))),0,1),"""")"),"MD ")</f>
        <v>MD </v>
      </c>
      <c r="BY95" s="236" t="str">
        <f>IFERROR(__xludf.DUMMYFUNCTION("if(countif(ecn.list,EY95),OFFSET(INDIRECT(CONCAT(""A"",to_text(match(EY95,ecn.list,0)))),0,1),"""")"),"")</f>
        <v/>
      </c>
      <c r="BZ95" s="236" t="str">
        <f>IFERROR(__xludf.DUMMYFUNCTION("if(countif(ecn.list,EZ95),OFFSET(INDIRECT(CONCAT(""A"",to_text(match(EZ95,ecn.list,0)))),0,1),"""")"),"MF ")</f>
        <v>MF </v>
      </c>
      <c r="CA95" s="236" t="str">
        <f>IFERROR(__xludf.DUMMYFUNCTION("if(countif(ecn.list,FA95),OFFSET(INDIRECT(CONCAT(""A"",to_text(match(FA95,ecn.list,0)))),0,1),"""")"),"")</f>
        <v/>
      </c>
      <c r="CB95" s="236" t="str">
        <f>IFERROR(__xludf.DUMMYFUNCTION("if(countif(ecn.list,FB95),OFFSET(INDIRECT(CONCAT(""A"",to_text(match(FB95,ecn.list,0)))),0,1),"""")"),"")</f>
        <v/>
      </c>
      <c r="CC95" s="236" t="str">
        <f>IFERROR(__xludf.DUMMYFUNCTION("if(countif(ecn.list,FC95),OFFSET(INDIRECT(CONCAT(""A"",to_text(match(FC95,ecn.list,0)))),0,1),"""")"),"N2 ")</f>
        <v>N2 </v>
      </c>
      <c r="CD95" s="236" t="str">
        <f>IFERROR(__xludf.DUMMYFUNCTION("if(countif(ecn.list,FD95),OFFSET(INDIRECT(CONCAT(""A"",to_text(match(FD95,ecn.list,0)))),0,1),"""")"),"")</f>
        <v/>
      </c>
      <c r="CE95" s="236" t="str">
        <f>IFERROR(__xludf.DUMMYFUNCTION("if(countif(ecn.list,FE95),OFFSET(INDIRECT(CONCAT(""A"",to_text(match(FE95,ecn.list,0)))),0,1),"""")"),"")</f>
        <v/>
      </c>
      <c r="CF95" s="236" t="str">
        <f>IFERROR(__xludf.DUMMYFUNCTION("if(countif(ecn.list,FF95),OFFSET(INDIRECT(CONCAT(""A"",to_text(match(FF95,ecn.list,0)))),0,1),"""")"),"")</f>
        <v/>
      </c>
      <c r="CG95" s="236" t="str">
        <f>IFERROR(__xludf.DUMMYFUNCTION("if(countif(ecn.list,FG95),OFFSET(INDIRECT(CONCAT(""A"",to_text(match(FG95,ecn.list,0)))),0,1),"""")"),"")</f>
        <v/>
      </c>
      <c r="CH95" s="236" t="str">
        <f>IFERROR(__xludf.DUMMYFUNCTION("if(countif(ecn.list,FH95),OFFSET(INDIRECT(CONCAT(""A"",to_text(match(FH95,ecn.list,0)))),0,1),"""")"),"N7 ")</f>
        <v>N7 </v>
      </c>
      <c r="CI95" s="236" t="str">
        <f>IFERROR(__xludf.DUMMYFUNCTION("if(countif(ecn.list,FI95),OFFSET(INDIRECT(CONCAT(""A"",to_text(match(FI95,ecn.list,0)))),0,1),"""")"),"")</f>
        <v/>
      </c>
      <c r="CJ95" s="236" t="str">
        <f>IFERROR(__xludf.DUMMYFUNCTION("if(countif(ecn.list,FJ95),OFFSET(INDIRECT(CONCAT(""A"",to_text(match(FJ95,ecn.list,0)))),0,1),"""")"),"")</f>
        <v/>
      </c>
      <c r="CK95" s="236" t="str">
        <f>IFERROR(__xludf.DUMMYFUNCTION("if(countif(ecn.list,FK95),OFFSET(INDIRECT(CONCAT(""A"",to_text(match(FK95,ecn.list,0)))),0,1),"""")"),"NA ")</f>
        <v>NA </v>
      </c>
      <c r="CL95" s="236" t="str">
        <f>IFERROR(__xludf.DUMMYFUNCTION("if(countif(ecn.list,FL95),OFFSET(INDIRECT(CONCAT(""A"",to_text(match(FL95,ecn.list,0)))),0,1),"""")"),"")</f>
        <v/>
      </c>
      <c r="CM95" s="236" t="str">
        <f>IFERROR(__xludf.DUMMYFUNCTION("if(countif(ecn.list,FM95),OFFSET(INDIRECT(CONCAT(""A"",to_text(match(FM95,ecn.list,0)))),0,1),"""")"),"")</f>
        <v/>
      </c>
      <c r="CN95" s="198" t="s">
        <v>357</v>
      </c>
      <c r="CO95" s="198" t="s">
        <v>1447</v>
      </c>
      <c r="CP95" s="198" t="s">
        <v>1451</v>
      </c>
      <c r="CQ95" s="198" t="s">
        <v>1452</v>
      </c>
      <c r="CR95" s="198" t="s">
        <v>1453</v>
      </c>
      <c r="CS95" s="198" t="s">
        <v>1453</v>
      </c>
      <c r="CT95" s="198" t="s">
        <v>1454</v>
      </c>
      <c r="CU95" s="198" t="s">
        <v>1455</v>
      </c>
      <c r="CV95" s="198" t="s">
        <v>1456</v>
      </c>
      <c r="CW95" s="198" t="s">
        <v>1453</v>
      </c>
      <c r="CX95" s="198" t="s">
        <v>1453</v>
      </c>
      <c r="CY95" s="198" t="s">
        <v>1484</v>
      </c>
      <c r="CZ95" s="198" t="s">
        <v>1453</v>
      </c>
      <c r="DA95" s="198" t="s">
        <v>1457</v>
      </c>
      <c r="DB95" s="198" t="s">
        <v>1453</v>
      </c>
      <c r="DC95" s="198" t="s">
        <v>1453</v>
      </c>
      <c r="DD95" s="198" t="s">
        <v>1458</v>
      </c>
      <c r="DE95" s="198" t="s">
        <v>1459</v>
      </c>
      <c r="DF95" s="198" t="s">
        <v>1453</v>
      </c>
      <c r="DG95" s="198" t="s">
        <v>1453</v>
      </c>
      <c r="DH95" s="198" t="s">
        <v>1500</v>
      </c>
      <c r="DI95" s="198" t="s">
        <v>1501</v>
      </c>
      <c r="DJ95" s="198" t="s">
        <v>1460</v>
      </c>
      <c r="DK95" s="198" t="s">
        <v>1453</v>
      </c>
      <c r="DL95" s="198" t="s">
        <v>1461</v>
      </c>
      <c r="DM95" s="198" t="s">
        <v>1453</v>
      </c>
      <c r="DN95" s="198" t="s">
        <v>1463</v>
      </c>
      <c r="DO95" s="198" t="s">
        <v>1464</v>
      </c>
      <c r="DP95" s="198" t="s">
        <v>1465</v>
      </c>
      <c r="DQ95" s="198" t="s">
        <v>1466</v>
      </c>
      <c r="DR95" s="198" t="s">
        <v>1467</v>
      </c>
      <c r="DS95" s="198" t="s">
        <v>1453</v>
      </c>
      <c r="DT95" s="198" t="s">
        <v>1468</v>
      </c>
      <c r="DU95" s="198" t="s">
        <v>1453</v>
      </c>
      <c r="DV95" s="198" t="s">
        <v>1469</v>
      </c>
      <c r="DW95" s="198" t="s">
        <v>1453</v>
      </c>
      <c r="DX95" s="198" t="s">
        <v>1453</v>
      </c>
      <c r="DY95" s="198" t="s">
        <v>1453</v>
      </c>
      <c r="DZ95" s="198" t="s">
        <v>1453</v>
      </c>
      <c r="EA95" s="198" t="s">
        <v>1453</v>
      </c>
      <c r="EB95" s="198" t="s">
        <v>1453</v>
      </c>
      <c r="EC95" s="198" t="s">
        <v>1483</v>
      </c>
      <c r="ED95" s="198" t="s">
        <v>1453</v>
      </c>
      <c r="EE95" s="198" t="s">
        <v>1470</v>
      </c>
      <c r="EF95" s="198" t="s">
        <v>1453</v>
      </c>
      <c r="EG95" s="198" t="s">
        <v>1471</v>
      </c>
      <c r="EH95" s="198" t="s">
        <v>1453</v>
      </c>
      <c r="EI95" s="198" t="s">
        <v>1453</v>
      </c>
      <c r="EJ95" s="198" t="s">
        <v>1453</v>
      </c>
      <c r="EK95" s="198" t="s">
        <v>1487</v>
      </c>
      <c r="EL95" s="198" t="s">
        <v>1473</v>
      </c>
      <c r="EM95" s="198" t="s">
        <v>1453</v>
      </c>
      <c r="EN95" s="198" t="s">
        <v>1474</v>
      </c>
      <c r="EO95" s="198" t="s">
        <v>1475</v>
      </c>
      <c r="EP95" s="198" t="s">
        <v>1453</v>
      </c>
      <c r="EQ95" s="198" t="s">
        <v>1453</v>
      </c>
      <c r="ER95" s="198" t="s">
        <v>1453</v>
      </c>
      <c r="ES95" s="198" t="s">
        <v>1453</v>
      </c>
      <c r="ET95" s="198" t="s">
        <v>1453</v>
      </c>
      <c r="EU95" s="198" t="s">
        <v>1453</v>
      </c>
      <c r="EV95" s="198" t="s">
        <v>1453</v>
      </c>
      <c r="EW95" s="198" t="s">
        <v>1453</v>
      </c>
      <c r="EX95" s="198" t="s">
        <v>1488</v>
      </c>
      <c r="EY95" s="198" t="s">
        <v>1453</v>
      </c>
      <c r="EZ95" s="198" t="s">
        <v>1477</v>
      </c>
      <c r="FA95" s="198" t="s">
        <v>1453</v>
      </c>
      <c r="FB95" s="198" t="s">
        <v>1453</v>
      </c>
      <c r="FC95" s="198" t="s">
        <v>1478</v>
      </c>
      <c r="FD95" s="198" t="s">
        <v>1453</v>
      </c>
      <c r="FE95" s="198" t="s">
        <v>1453</v>
      </c>
      <c r="FF95" s="198" t="s">
        <v>1453</v>
      </c>
      <c r="FG95" s="198" t="s">
        <v>1453</v>
      </c>
      <c r="FH95" s="198" t="s">
        <v>1479</v>
      </c>
      <c r="FI95" s="198" t="s">
        <v>1453</v>
      </c>
      <c r="FJ95" s="198" t="s">
        <v>1453</v>
      </c>
      <c r="FK95" s="198" t="s">
        <v>1481</v>
      </c>
      <c r="FL95" s="198" t="s">
        <v>1482</v>
      </c>
      <c r="FM95" s="198" t="s">
        <v>1453</v>
      </c>
    </row>
    <row r="96" ht="15.75" customHeight="1">
      <c r="A96" s="198"/>
      <c r="B96" s="198"/>
      <c r="C96" s="234"/>
      <c r="D96" s="232" t="s">
        <v>770</v>
      </c>
      <c r="E96" s="232" t="s">
        <v>1448</v>
      </c>
      <c r="F96" s="232" t="s">
        <v>1449</v>
      </c>
      <c r="G96" s="232" t="s">
        <v>1450</v>
      </c>
      <c r="H96" s="232" t="s">
        <v>804</v>
      </c>
      <c r="I96" s="232" t="s">
        <v>941</v>
      </c>
      <c r="J96" s="232" t="s">
        <v>897</v>
      </c>
      <c r="K96" s="232" t="s">
        <v>1147</v>
      </c>
      <c r="L96" s="188" t="s">
        <v>360</v>
      </c>
      <c r="M96" s="236" t="str">
        <f>IFERROR(__xludf.DUMMYFUNCTION("regexreplace(N96,"" "","", "")"),"J0, J1, J2, J5, J6, J7, JA, JC, JF, K0, K3, K4, K5, K7, K9, KA, KB, KC, KD, KF, L1, L8, LA, LC, LF, M0, M1, M3, M4, M6, M8, MD, MF, N2, N7, NA, ")</f>
        <v>J0, J1, J2, J5, J6, J7, JA, JC, JF, K0, K3, K4, K5, K7, K9, KA, KB, KC, KD, KF, L1, L8, LA, LC, LF, M0, M1, M3, M4, M6, M8, MD, MF, N2, N7, NA, </v>
      </c>
      <c r="N96" s="236" t="str">
        <f t="shared" si="2"/>
        <v>J0 J1 J2 J5 J6 J7 JA JC JF K0 K3 K4 K5 K7 K9 KA KB KC KD KF L1 L8 LA LC LF M0 M1 M3 M4 M6 M8 MD MF N2 N7 NA </v>
      </c>
      <c r="O96" s="236" t="str">
        <f>IFERROR(__xludf.DUMMYFUNCTION("if(countif(ecn.list,CO96),OFFSET(INDIRECT(CONCAT(""A"",to_text(match(CO96,ecn.list,0)))),0,1),"""")"),"J0 ")</f>
        <v>J0 </v>
      </c>
      <c r="P96" s="236" t="str">
        <f>IFERROR(__xludf.DUMMYFUNCTION("if(countif(ecn.list,CP96),OFFSET(INDIRECT(CONCAT(""A"",to_text(match(CP96,ecn.list,0)))),0,1),"""")"),"J1 ")</f>
        <v>J1 </v>
      </c>
      <c r="Q96" s="236" t="str">
        <f>IFERROR(__xludf.DUMMYFUNCTION("if(countif(ecn.list,CQ96),OFFSET(INDIRECT(CONCAT(""A"",to_text(match(CQ96,ecn.list,0)))),0,1),"""")"),"J2 ")</f>
        <v>J2 </v>
      </c>
      <c r="R96" s="236" t="str">
        <f>IFERROR(__xludf.DUMMYFUNCTION("if(countif(ecn.list,CR96),OFFSET(INDIRECT(CONCAT(""A"",to_text(match(CR96,ecn.list,0)))),0,1),"""")"),"")</f>
        <v/>
      </c>
      <c r="S96" s="236" t="str">
        <f>IFERROR(__xludf.DUMMYFUNCTION("if(countif(ecn.list,CS96),OFFSET(INDIRECT(CONCAT(""A"",to_text(match(CS96,ecn.list,0)))),0,1),"""")"),"")</f>
        <v/>
      </c>
      <c r="T96" s="236" t="str">
        <f>IFERROR(__xludf.DUMMYFUNCTION("if(countif(ecn.list,CT96),OFFSET(INDIRECT(CONCAT(""A"",to_text(match(CT96,ecn.list,0)))),0,1),"""")"),"J5 ")</f>
        <v>J5 </v>
      </c>
      <c r="U96" s="236" t="str">
        <f>IFERROR(__xludf.DUMMYFUNCTION("if(countif(ecn.list,CU96),OFFSET(INDIRECT(CONCAT(""A"",to_text(match(CU96,ecn.list,0)))),0,1),"""")"),"J6 ")</f>
        <v>J6 </v>
      </c>
      <c r="V96" s="236" t="str">
        <f>IFERROR(__xludf.DUMMYFUNCTION("if(countif(ecn.list,CV96),OFFSET(INDIRECT(CONCAT(""A"",to_text(match(CV96,ecn.list,0)))),0,1),"""")"),"J7 ")</f>
        <v>J7 </v>
      </c>
      <c r="W96" s="236" t="str">
        <f>IFERROR(__xludf.DUMMYFUNCTION("if(countif(ecn.list,CW96),OFFSET(INDIRECT(CONCAT(""A"",to_text(match(CW96,ecn.list,0)))),0,1),"""")"),"")</f>
        <v/>
      </c>
      <c r="X96" s="236" t="str">
        <f>IFERROR(__xludf.DUMMYFUNCTION("if(countif(ecn.list,CX96),OFFSET(INDIRECT(CONCAT(""A"",to_text(match(CX96,ecn.list,0)))),0,1),"""")"),"")</f>
        <v/>
      </c>
      <c r="Y96" s="236" t="str">
        <f>IFERROR(__xludf.DUMMYFUNCTION("if(countif(ecn.list,CY96),OFFSET(INDIRECT(CONCAT(""A"",to_text(match(CY96,ecn.list,0)))),0,1),"""")"),"JA ")</f>
        <v>JA </v>
      </c>
      <c r="Z96" s="236" t="str">
        <f>IFERROR(__xludf.DUMMYFUNCTION("if(countif(ecn.list,CZ96),OFFSET(INDIRECT(CONCAT(""A"",to_text(match(CZ96,ecn.list,0)))),0,1),"""")"),"")</f>
        <v/>
      </c>
      <c r="AA96" s="236" t="str">
        <f>IFERROR(__xludf.DUMMYFUNCTION("if(countif(ecn.list,DA96),OFFSET(INDIRECT(CONCAT(""A"",to_text(match(DA96,ecn.list,0)))),0,1),"""")"),"JC ")</f>
        <v>JC </v>
      </c>
      <c r="AB96" s="236" t="str">
        <f>IFERROR(__xludf.DUMMYFUNCTION("if(countif(ecn.list,DB96),OFFSET(INDIRECT(CONCAT(""A"",to_text(match(DB96,ecn.list,0)))),0,1),"""")"),"")</f>
        <v/>
      </c>
      <c r="AC96" s="236" t="str">
        <f>IFERROR(__xludf.DUMMYFUNCTION("if(countif(ecn.list,DC96),OFFSET(INDIRECT(CONCAT(""A"",to_text(match(DC96,ecn.list,0)))),0,1),"""")"),"")</f>
        <v/>
      </c>
      <c r="AD96" s="236" t="str">
        <f>IFERROR(__xludf.DUMMYFUNCTION("if(countif(ecn.list,DD96),OFFSET(INDIRECT(CONCAT(""A"",to_text(match(DD96,ecn.list,0)))),0,1),"""")"),"JF ")</f>
        <v>JF </v>
      </c>
      <c r="AE96" s="236" t="str">
        <f>IFERROR(__xludf.DUMMYFUNCTION("if(countif(ecn.list,DE96),OFFSET(INDIRECT(CONCAT(""A"",to_text(match(DE96,ecn.list,0)))),0,1),"""")"),"K0 ")</f>
        <v>K0 </v>
      </c>
      <c r="AF96" s="236" t="str">
        <f>IFERROR(__xludf.DUMMYFUNCTION("if(countif(ecn.list,DF96),OFFSET(INDIRECT(CONCAT(""A"",to_text(match(DF96,ecn.list,0)))),0,1),"""")"),"")</f>
        <v/>
      </c>
      <c r="AG96" s="236" t="str">
        <f>IFERROR(__xludf.DUMMYFUNCTION("if(countif(ecn.list,DG96),OFFSET(INDIRECT(CONCAT(""A"",to_text(match(DG96,ecn.list,0)))),0,1),"""")"),"")</f>
        <v/>
      </c>
      <c r="AH96" s="236" t="str">
        <f>IFERROR(__xludf.DUMMYFUNCTION("if(countif(ecn.list,DH96),OFFSET(INDIRECT(CONCAT(""A"",to_text(match(DH96,ecn.list,0)))),0,1),"""")"),"K3 ")</f>
        <v>K3 </v>
      </c>
      <c r="AI96" s="236" t="str">
        <f>IFERROR(__xludf.DUMMYFUNCTION("if(countif(ecn.list,DI96),OFFSET(INDIRECT(CONCAT(""A"",to_text(match(DI96,ecn.list,0)))),0,1),"""")"),"K4 ")</f>
        <v>K4 </v>
      </c>
      <c r="AJ96" s="236" t="str">
        <f>IFERROR(__xludf.DUMMYFUNCTION("if(countif(ecn.list,DJ96),OFFSET(INDIRECT(CONCAT(""A"",to_text(match(DJ96,ecn.list,0)))),0,1),"""")"),"K5 ")</f>
        <v>K5 </v>
      </c>
      <c r="AK96" s="236" t="str">
        <f>IFERROR(__xludf.DUMMYFUNCTION("if(countif(ecn.list,DK96),OFFSET(INDIRECT(CONCAT(""A"",to_text(match(DK96,ecn.list,0)))),0,1),"""")"),"")</f>
        <v/>
      </c>
      <c r="AL96" s="236" t="str">
        <f>IFERROR(__xludf.DUMMYFUNCTION("if(countif(ecn.list,DL96),OFFSET(INDIRECT(CONCAT(""A"",to_text(match(DL96,ecn.list,0)))),0,1),"""")"),"K7 ")</f>
        <v>K7 </v>
      </c>
      <c r="AM96" s="236" t="str">
        <f>IFERROR(__xludf.DUMMYFUNCTION("if(countif(ecn.list,DM96),OFFSET(INDIRECT(CONCAT(""A"",to_text(match(DM96,ecn.list,0)))),0,1),"""")"),"")</f>
        <v/>
      </c>
      <c r="AN96" s="236" t="str">
        <f>IFERROR(__xludf.DUMMYFUNCTION("if(countif(ecn.list,DN96),OFFSET(INDIRECT(CONCAT(""A"",to_text(match(DN96,ecn.list,0)))),0,1),"""")"),"K9 ")</f>
        <v>K9 </v>
      </c>
      <c r="AO96" s="236" t="str">
        <f>IFERROR(__xludf.DUMMYFUNCTION("if(countif(ecn.list,DO96),OFFSET(INDIRECT(CONCAT(""A"",to_text(match(DO96,ecn.list,0)))),0,1),"""")"),"KA ")</f>
        <v>KA </v>
      </c>
      <c r="AP96" s="236" t="str">
        <f>IFERROR(__xludf.DUMMYFUNCTION("if(countif(ecn.list,DP96),OFFSET(INDIRECT(CONCAT(""A"",to_text(match(DP96,ecn.list,0)))),0,1),"""")"),"KB ")</f>
        <v>KB </v>
      </c>
      <c r="AQ96" s="236" t="str">
        <f>IFERROR(__xludf.DUMMYFUNCTION("if(countif(ecn.list,DQ96),OFFSET(INDIRECT(CONCAT(""A"",to_text(match(DQ96,ecn.list,0)))),0,1),"""")"),"KC ")</f>
        <v>KC </v>
      </c>
      <c r="AR96" s="236" t="str">
        <f>IFERROR(__xludf.DUMMYFUNCTION("if(countif(ecn.list,DR96),OFFSET(INDIRECT(CONCAT(""A"",to_text(match(DR96,ecn.list,0)))),0,1),"""")"),"KD ")</f>
        <v>KD </v>
      </c>
      <c r="AS96" s="236" t="str">
        <f>IFERROR(__xludf.DUMMYFUNCTION("if(countif(ecn.list,DS96),OFFSET(INDIRECT(CONCAT(""A"",to_text(match(DS96,ecn.list,0)))),0,1),"""")"),"")</f>
        <v/>
      </c>
      <c r="AT96" s="236" t="str">
        <f>IFERROR(__xludf.DUMMYFUNCTION("if(countif(ecn.list,DT96),OFFSET(INDIRECT(CONCAT(""A"",to_text(match(DT96,ecn.list,0)))),0,1),"""")"),"KF ")</f>
        <v>KF </v>
      </c>
      <c r="AU96" s="236" t="str">
        <f>IFERROR(__xludf.DUMMYFUNCTION("if(countif(ecn.list,DU96),OFFSET(INDIRECT(CONCAT(""A"",to_text(match(DU96,ecn.list,0)))),0,1),"""")"),"")</f>
        <v/>
      </c>
      <c r="AV96" s="236" t="str">
        <f>IFERROR(__xludf.DUMMYFUNCTION("if(countif(ecn.list,DV96),OFFSET(INDIRECT(CONCAT(""A"",to_text(match(DV96,ecn.list,0)))),0,1),"""")"),"L1 ")</f>
        <v>L1 </v>
      </c>
      <c r="AW96" s="236" t="str">
        <f>IFERROR(__xludf.DUMMYFUNCTION("if(countif(ecn.list,DW96),OFFSET(INDIRECT(CONCAT(""A"",to_text(match(DW96,ecn.list,0)))),0,1),"""")"),"")</f>
        <v/>
      </c>
      <c r="AX96" s="236" t="str">
        <f>IFERROR(__xludf.DUMMYFUNCTION("if(countif(ecn.list,DX96),OFFSET(INDIRECT(CONCAT(""A"",to_text(match(DX96,ecn.list,0)))),0,1),"""")"),"")</f>
        <v/>
      </c>
      <c r="AY96" s="236" t="str">
        <f>IFERROR(__xludf.DUMMYFUNCTION("if(countif(ecn.list,DY96),OFFSET(INDIRECT(CONCAT(""A"",to_text(match(DY96,ecn.list,0)))),0,1),"""")"),"")</f>
        <v/>
      </c>
      <c r="AZ96" s="236" t="str">
        <f>IFERROR(__xludf.DUMMYFUNCTION("if(countif(ecn.list,DZ96),OFFSET(INDIRECT(CONCAT(""A"",to_text(match(DZ96,ecn.list,0)))),0,1),"""")"),"")</f>
        <v/>
      </c>
      <c r="BA96" s="236" t="str">
        <f>IFERROR(__xludf.DUMMYFUNCTION("if(countif(ecn.list,EA96),OFFSET(INDIRECT(CONCAT(""A"",to_text(match(EA96,ecn.list,0)))),0,1),"""")"),"")</f>
        <v/>
      </c>
      <c r="BB96" s="236" t="str">
        <f>IFERROR(__xludf.DUMMYFUNCTION("if(countif(ecn.list,EB96),OFFSET(INDIRECT(CONCAT(""A"",to_text(match(EB96,ecn.list,0)))),0,1),"""")"),"")</f>
        <v/>
      </c>
      <c r="BC96" s="236" t="str">
        <f>IFERROR(__xludf.DUMMYFUNCTION("if(countif(ecn.list,EC96),OFFSET(INDIRECT(CONCAT(""A"",to_text(match(EC96,ecn.list,0)))),0,1),"""")"),"L8 ")</f>
        <v>L8 </v>
      </c>
      <c r="BD96" s="236" t="str">
        <f>IFERROR(__xludf.DUMMYFUNCTION("if(countif(ecn.list,ED96),OFFSET(INDIRECT(CONCAT(""A"",to_text(match(ED96,ecn.list,0)))),0,1),"""")"),"")</f>
        <v/>
      </c>
      <c r="BE96" s="236" t="str">
        <f>IFERROR(__xludf.DUMMYFUNCTION("if(countif(ecn.list,EE96),OFFSET(INDIRECT(CONCAT(""A"",to_text(match(EE96,ecn.list,0)))),0,1),"""")"),"LA ")</f>
        <v>LA </v>
      </c>
      <c r="BF96" s="236" t="str">
        <f>IFERROR(__xludf.DUMMYFUNCTION("if(countif(ecn.list,EF96),OFFSET(INDIRECT(CONCAT(""A"",to_text(match(EF96,ecn.list,0)))),0,1),"""")"),"")</f>
        <v/>
      </c>
      <c r="BG96" s="236" t="str">
        <f>IFERROR(__xludf.DUMMYFUNCTION("if(countif(ecn.list,EG96),OFFSET(INDIRECT(CONCAT(""A"",to_text(match(EG96,ecn.list,0)))),0,1),"""")"),"LC ")</f>
        <v>LC </v>
      </c>
      <c r="BH96" s="236" t="str">
        <f>IFERROR(__xludf.DUMMYFUNCTION("if(countif(ecn.list,EH96),OFFSET(INDIRECT(CONCAT(""A"",to_text(match(EH96,ecn.list,0)))),0,1),"""")"),"")</f>
        <v/>
      </c>
      <c r="BI96" s="236" t="str">
        <f>IFERROR(__xludf.DUMMYFUNCTION("if(countif(ecn.list,EI96),OFFSET(INDIRECT(CONCAT(""A"",to_text(match(EI96,ecn.list,0)))),0,1),"""")"),"")</f>
        <v/>
      </c>
      <c r="BJ96" s="236" t="str">
        <f>IFERROR(__xludf.DUMMYFUNCTION("if(countif(ecn.list,EJ96),OFFSET(INDIRECT(CONCAT(""A"",to_text(match(EJ96,ecn.list,0)))),0,1),"""")"),"LF ")</f>
        <v>LF </v>
      </c>
      <c r="BK96" s="236" t="str">
        <f>IFERROR(__xludf.DUMMYFUNCTION("if(countif(ecn.list,EK96),OFFSET(INDIRECT(CONCAT(""A"",to_text(match(EK96,ecn.list,0)))),0,1),"""")"),"M0 ")</f>
        <v>M0 </v>
      </c>
      <c r="BL96" s="236" t="str">
        <f>IFERROR(__xludf.DUMMYFUNCTION("if(countif(ecn.list,EL96),OFFSET(INDIRECT(CONCAT(""A"",to_text(match(EL96,ecn.list,0)))),0,1),"""")"),"M1 ")</f>
        <v>M1 </v>
      </c>
      <c r="BM96" s="236" t="str">
        <f>IFERROR(__xludf.DUMMYFUNCTION("if(countif(ecn.list,EM96),OFFSET(INDIRECT(CONCAT(""A"",to_text(match(EM96,ecn.list,0)))),0,1),"""")"),"")</f>
        <v/>
      </c>
      <c r="BN96" s="236" t="str">
        <f>IFERROR(__xludf.DUMMYFUNCTION("if(countif(ecn.list,EN96),OFFSET(INDIRECT(CONCAT(""A"",to_text(match(EN96,ecn.list,0)))),0,1),"""")"),"M3 ")</f>
        <v>M3 </v>
      </c>
      <c r="BO96" s="236" t="str">
        <f>IFERROR(__xludf.DUMMYFUNCTION("if(countif(ecn.list,EO96),OFFSET(INDIRECT(CONCAT(""A"",to_text(match(EO96,ecn.list,0)))),0,1),"""")"),"M4 ")</f>
        <v>M4 </v>
      </c>
      <c r="BP96" s="236" t="str">
        <f>IFERROR(__xludf.DUMMYFUNCTION("if(countif(ecn.list,EP96),OFFSET(INDIRECT(CONCAT(""A"",to_text(match(EP96,ecn.list,0)))),0,1),"""")"),"")</f>
        <v/>
      </c>
      <c r="BQ96" s="236" t="str">
        <f>IFERROR(__xludf.DUMMYFUNCTION("if(countif(ecn.list,EQ96),OFFSET(INDIRECT(CONCAT(""A"",to_text(match(EQ96,ecn.list,0)))),0,1),"""")"),"M6 ")</f>
        <v>M6 </v>
      </c>
      <c r="BR96" s="236" t="str">
        <f>IFERROR(__xludf.DUMMYFUNCTION("if(countif(ecn.list,ER96),OFFSET(INDIRECT(CONCAT(""A"",to_text(match(ER96,ecn.list,0)))),0,1),"""")"),"")</f>
        <v/>
      </c>
      <c r="BS96" s="236" t="str">
        <f>IFERROR(__xludf.DUMMYFUNCTION("if(countif(ecn.list,ES96),OFFSET(INDIRECT(CONCAT(""A"",to_text(match(ES96,ecn.list,0)))),0,1),"""")"),"M8 ")</f>
        <v>M8 </v>
      </c>
      <c r="BT96" s="236" t="str">
        <f>IFERROR(__xludf.DUMMYFUNCTION("if(countif(ecn.list,ET96),OFFSET(INDIRECT(CONCAT(""A"",to_text(match(ET96,ecn.list,0)))),0,1),"""")"),"")</f>
        <v/>
      </c>
      <c r="BU96" s="236" t="str">
        <f>IFERROR(__xludf.DUMMYFUNCTION("if(countif(ecn.list,EU96),OFFSET(INDIRECT(CONCAT(""A"",to_text(match(EU96,ecn.list,0)))),0,1),"""")"),"")</f>
        <v/>
      </c>
      <c r="BV96" s="236" t="str">
        <f>IFERROR(__xludf.DUMMYFUNCTION("if(countif(ecn.list,EV96),OFFSET(INDIRECT(CONCAT(""A"",to_text(match(EV96,ecn.list,0)))),0,1),"""")"),"")</f>
        <v/>
      </c>
      <c r="BW96" s="236" t="str">
        <f>IFERROR(__xludf.DUMMYFUNCTION("if(countif(ecn.list,EW96),OFFSET(INDIRECT(CONCAT(""A"",to_text(match(EW96,ecn.list,0)))),0,1),"""")"),"")</f>
        <v/>
      </c>
      <c r="BX96" s="236" t="str">
        <f>IFERROR(__xludf.DUMMYFUNCTION("if(countif(ecn.list,EX96),OFFSET(INDIRECT(CONCAT(""A"",to_text(match(EX96,ecn.list,0)))),0,1),"""")"),"MD ")</f>
        <v>MD </v>
      </c>
      <c r="BY96" s="236" t="str">
        <f>IFERROR(__xludf.DUMMYFUNCTION("if(countif(ecn.list,EY96),OFFSET(INDIRECT(CONCAT(""A"",to_text(match(EY96,ecn.list,0)))),0,1),"""")"),"")</f>
        <v/>
      </c>
      <c r="BZ96" s="236" t="str">
        <f>IFERROR(__xludf.DUMMYFUNCTION("if(countif(ecn.list,EZ96),OFFSET(INDIRECT(CONCAT(""A"",to_text(match(EZ96,ecn.list,0)))),0,1),"""")"),"MF ")</f>
        <v>MF </v>
      </c>
      <c r="CA96" s="236" t="str">
        <f>IFERROR(__xludf.DUMMYFUNCTION("if(countif(ecn.list,FA96),OFFSET(INDIRECT(CONCAT(""A"",to_text(match(FA96,ecn.list,0)))),0,1),"""")"),"")</f>
        <v/>
      </c>
      <c r="CB96" s="236" t="str">
        <f>IFERROR(__xludf.DUMMYFUNCTION("if(countif(ecn.list,FB96),OFFSET(INDIRECT(CONCAT(""A"",to_text(match(FB96,ecn.list,0)))),0,1),"""")"),"")</f>
        <v/>
      </c>
      <c r="CC96" s="236" t="str">
        <f>IFERROR(__xludf.DUMMYFUNCTION("if(countif(ecn.list,FC96),OFFSET(INDIRECT(CONCAT(""A"",to_text(match(FC96,ecn.list,0)))),0,1),"""")"),"N2 ")</f>
        <v>N2 </v>
      </c>
      <c r="CD96" s="236" t="str">
        <f>IFERROR(__xludf.DUMMYFUNCTION("if(countif(ecn.list,FD96),OFFSET(INDIRECT(CONCAT(""A"",to_text(match(FD96,ecn.list,0)))),0,1),"""")"),"")</f>
        <v/>
      </c>
      <c r="CE96" s="236" t="str">
        <f>IFERROR(__xludf.DUMMYFUNCTION("if(countif(ecn.list,FE96),OFFSET(INDIRECT(CONCAT(""A"",to_text(match(FE96,ecn.list,0)))),0,1),"""")"),"")</f>
        <v/>
      </c>
      <c r="CF96" s="236" t="str">
        <f>IFERROR(__xludf.DUMMYFUNCTION("if(countif(ecn.list,FF96),OFFSET(INDIRECT(CONCAT(""A"",to_text(match(FF96,ecn.list,0)))),0,1),"""")"),"")</f>
        <v/>
      </c>
      <c r="CG96" s="236" t="str">
        <f>IFERROR(__xludf.DUMMYFUNCTION("if(countif(ecn.list,FG96),OFFSET(INDIRECT(CONCAT(""A"",to_text(match(FG96,ecn.list,0)))),0,1),"""")"),"")</f>
        <v/>
      </c>
      <c r="CH96" s="236" t="str">
        <f>IFERROR(__xludf.DUMMYFUNCTION("if(countif(ecn.list,FH96),OFFSET(INDIRECT(CONCAT(""A"",to_text(match(FH96,ecn.list,0)))),0,1),"""")"),"N7 ")</f>
        <v>N7 </v>
      </c>
      <c r="CI96" s="236" t="str">
        <f>IFERROR(__xludf.DUMMYFUNCTION("if(countif(ecn.list,FI96),OFFSET(INDIRECT(CONCAT(""A"",to_text(match(FI96,ecn.list,0)))),0,1),"""")"),"")</f>
        <v/>
      </c>
      <c r="CJ96" s="236" t="str">
        <f>IFERROR(__xludf.DUMMYFUNCTION("if(countif(ecn.list,FJ96),OFFSET(INDIRECT(CONCAT(""A"",to_text(match(FJ96,ecn.list,0)))),0,1),"""")"),"")</f>
        <v/>
      </c>
      <c r="CK96" s="236" t="str">
        <f>IFERROR(__xludf.DUMMYFUNCTION("if(countif(ecn.list,FK96),OFFSET(INDIRECT(CONCAT(""A"",to_text(match(FK96,ecn.list,0)))),0,1),"""")"),"NA ")</f>
        <v>NA </v>
      </c>
      <c r="CL96" s="236" t="str">
        <f>IFERROR(__xludf.DUMMYFUNCTION("if(countif(ecn.list,FL96),OFFSET(INDIRECT(CONCAT(""A"",to_text(match(FL96,ecn.list,0)))),0,1),"""")"),"")</f>
        <v/>
      </c>
      <c r="CM96" s="236" t="str">
        <f>IFERROR(__xludf.DUMMYFUNCTION("if(countif(ecn.list,FM96),OFFSET(INDIRECT(CONCAT(""A"",to_text(match(FM96,ecn.list,0)))),0,1),"""")"),"")</f>
        <v/>
      </c>
      <c r="CN96" s="198" t="s">
        <v>360</v>
      </c>
      <c r="CO96" s="198" t="s">
        <v>1447</v>
      </c>
      <c r="CP96" s="198" t="s">
        <v>1451</v>
      </c>
      <c r="CQ96" s="198" t="s">
        <v>1452</v>
      </c>
      <c r="CR96" s="198" t="s">
        <v>1453</v>
      </c>
      <c r="CS96" s="198" t="s">
        <v>1453</v>
      </c>
      <c r="CT96" s="198" t="s">
        <v>1454</v>
      </c>
      <c r="CU96" s="198" t="s">
        <v>1455</v>
      </c>
      <c r="CV96" s="198" t="s">
        <v>1456</v>
      </c>
      <c r="CW96" s="198" t="s">
        <v>1453</v>
      </c>
      <c r="CX96" s="198" t="s">
        <v>1453</v>
      </c>
      <c r="CY96" s="198" t="s">
        <v>1484</v>
      </c>
      <c r="CZ96" s="198" t="s">
        <v>1453</v>
      </c>
      <c r="DA96" s="198" t="s">
        <v>1457</v>
      </c>
      <c r="DB96" s="198" t="s">
        <v>1453</v>
      </c>
      <c r="DC96" s="198" t="s">
        <v>1453</v>
      </c>
      <c r="DD96" s="198" t="s">
        <v>1458</v>
      </c>
      <c r="DE96" s="198" t="s">
        <v>1459</v>
      </c>
      <c r="DF96" s="198" t="s">
        <v>1453</v>
      </c>
      <c r="DG96" s="198" t="s">
        <v>1453</v>
      </c>
      <c r="DH96" s="198" t="s">
        <v>1500</v>
      </c>
      <c r="DI96" s="198" t="s">
        <v>1501</v>
      </c>
      <c r="DJ96" s="198" t="s">
        <v>1460</v>
      </c>
      <c r="DK96" s="198" t="s">
        <v>1453</v>
      </c>
      <c r="DL96" s="198" t="s">
        <v>1461</v>
      </c>
      <c r="DM96" s="198" t="s">
        <v>1453</v>
      </c>
      <c r="DN96" s="198" t="s">
        <v>1463</v>
      </c>
      <c r="DO96" s="198" t="s">
        <v>1464</v>
      </c>
      <c r="DP96" s="198" t="s">
        <v>1465</v>
      </c>
      <c r="DQ96" s="198" t="s">
        <v>1466</v>
      </c>
      <c r="DR96" s="198" t="s">
        <v>1467</v>
      </c>
      <c r="DS96" s="198" t="s">
        <v>1453</v>
      </c>
      <c r="DT96" s="198" t="s">
        <v>1468</v>
      </c>
      <c r="DU96" s="198" t="s">
        <v>1453</v>
      </c>
      <c r="DV96" s="198" t="s">
        <v>1469</v>
      </c>
      <c r="DW96" s="198" t="s">
        <v>1453</v>
      </c>
      <c r="DX96" s="198" t="s">
        <v>1453</v>
      </c>
      <c r="DY96" s="198" t="s">
        <v>1453</v>
      </c>
      <c r="DZ96" s="198" t="s">
        <v>1453</v>
      </c>
      <c r="EA96" s="198" t="s">
        <v>1453</v>
      </c>
      <c r="EB96" s="198" t="s">
        <v>1453</v>
      </c>
      <c r="EC96" s="198" t="s">
        <v>1483</v>
      </c>
      <c r="ED96" s="198" t="s">
        <v>1453</v>
      </c>
      <c r="EE96" s="198" t="s">
        <v>1470</v>
      </c>
      <c r="EF96" s="198" t="s">
        <v>1453</v>
      </c>
      <c r="EG96" s="198" t="s">
        <v>1471</v>
      </c>
      <c r="EH96" s="198" t="s">
        <v>1453</v>
      </c>
      <c r="EI96" s="198" t="s">
        <v>1453</v>
      </c>
      <c r="EJ96" s="198" t="s">
        <v>1472</v>
      </c>
      <c r="EK96" s="198" t="s">
        <v>1487</v>
      </c>
      <c r="EL96" s="198" t="s">
        <v>1473</v>
      </c>
      <c r="EM96" s="198" t="s">
        <v>1453</v>
      </c>
      <c r="EN96" s="198" t="s">
        <v>1474</v>
      </c>
      <c r="EO96" s="198" t="s">
        <v>1475</v>
      </c>
      <c r="EP96" s="198" t="s">
        <v>1453</v>
      </c>
      <c r="EQ96" s="198" t="s">
        <v>1528</v>
      </c>
      <c r="ER96" s="198" t="s">
        <v>1453</v>
      </c>
      <c r="ES96" s="198" t="s">
        <v>1505</v>
      </c>
      <c r="ET96" s="198" t="s">
        <v>1453</v>
      </c>
      <c r="EU96" s="198" t="s">
        <v>1453</v>
      </c>
      <c r="EV96" s="198" t="s">
        <v>1453</v>
      </c>
      <c r="EW96" s="198" t="s">
        <v>1453</v>
      </c>
      <c r="EX96" s="198" t="s">
        <v>1488</v>
      </c>
      <c r="EY96" s="198" t="s">
        <v>1453</v>
      </c>
      <c r="EZ96" s="198" t="s">
        <v>1477</v>
      </c>
      <c r="FA96" s="198" t="s">
        <v>1453</v>
      </c>
      <c r="FB96" s="198" t="s">
        <v>1453</v>
      </c>
      <c r="FC96" s="198" t="s">
        <v>1478</v>
      </c>
      <c r="FD96" s="198" t="s">
        <v>1453</v>
      </c>
      <c r="FE96" s="198" t="s">
        <v>1453</v>
      </c>
      <c r="FF96" s="198" t="s">
        <v>1453</v>
      </c>
      <c r="FG96" s="198" t="s">
        <v>1453</v>
      </c>
      <c r="FH96" s="198" t="s">
        <v>1479</v>
      </c>
      <c r="FI96" s="198" t="s">
        <v>1453</v>
      </c>
      <c r="FJ96" s="198" t="s">
        <v>1453</v>
      </c>
      <c r="FK96" s="198" t="s">
        <v>1481</v>
      </c>
      <c r="FL96" s="198" t="s">
        <v>1482</v>
      </c>
      <c r="FM96" s="198" t="s">
        <v>1453</v>
      </c>
    </row>
    <row r="97" ht="15.75" customHeight="1">
      <c r="A97" s="198"/>
      <c r="B97" s="198"/>
      <c r="C97" s="234"/>
      <c r="D97" s="232" t="s">
        <v>770</v>
      </c>
      <c r="E97" s="232" t="s">
        <v>1448</v>
      </c>
      <c r="F97" s="232" t="s">
        <v>1449</v>
      </c>
      <c r="G97" s="232" t="s">
        <v>1450</v>
      </c>
      <c r="H97" s="232" t="s">
        <v>788</v>
      </c>
      <c r="I97" s="232" t="s">
        <v>980</v>
      </c>
      <c r="J97" s="232" t="s">
        <v>847</v>
      </c>
      <c r="K97" s="232" t="s">
        <v>364</v>
      </c>
      <c r="L97" s="188" t="s">
        <v>363</v>
      </c>
      <c r="M97" s="236" t="str">
        <f>IFERROR(__xludf.DUMMYFUNCTION("regexreplace(N97,"" "","", "")"),"J0, J1, J2, J5, J6, J7, JF, K0, K5, K7, K8, K9, KA, KC, KD, KF, L1, L5, LA, LC, LF, M1, M3, M4, MB, MF, N2, N7, N8, NA, ")</f>
        <v>J0, J1, J2, J5, J6, J7, JF, K0, K5, K7, K8, K9, KA, KC, KD, KF, L1, L5, LA, LC, LF, M1, M3, M4, MB, MF, N2, N7, N8, NA, </v>
      </c>
      <c r="N97" s="236" t="str">
        <f t="shared" si="2"/>
        <v>J0 J1 J2 J5 J6 J7 JF K0 K5 K7 K8 K9 KA KC KD KF L1 L5 LA LC LF M1 M3 M4 MB MF N2 N7 N8 NA </v>
      </c>
      <c r="O97" s="236" t="str">
        <f>IFERROR(__xludf.DUMMYFUNCTION("if(countif(ecn.list,CO97),OFFSET(INDIRECT(CONCAT(""A"",to_text(match(CO97,ecn.list,0)))),0,1),"""")"),"J0 ")</f>
        <v>J0 </v>
      </c>
      <c r="P97" s="236" t="str">
        <f>IFERROR(__xludf.DUMMYFUNCTION("if(countif(ecn.list,CP97),OFFSET(INDIRECT(CONCAT(""A"",to_text(match(CP97,ecn.list,0)))),0,1),"""")"),"J1 ")</f>
        <v>J1 </v>
      </c>
      <c r="Q97" s="236" t="str">
        <f>IFERROR(__xludf.DUMMYFUNCTION("if(countif(ecn.list,CQ97),OFFSET(INDIRECT(CONCAT(""A"",to_text(match(CQ97,ecn.list,0)))),0,1),"""")"),"J2 ")</f>
        <v>J2 </v>
      </c>
      <c r="R97" s="236" t="str">
        <f>IFERROR(__xludf.DUMMYFUNCTION("if(countif(ecn.list,CR97),OFFSET(INDIRECT(CONCAT(""A"",to_text(match(CR97,ecn.list,0)))),0,1),"""")"),"")</f>
        <v/>
      </c>
      <c r="S97" s="236" t="str">
        <f>IFERROR(__xludf.DUMMYFUNCTION("if(countif(ecn.list,CS97),OFFSET(INDIRECT(CONCAT(""A"",to_text(match(CS97,ecn.list,0)))),0,1),"""")"),"")</f>
        <v/>
      </c>
      <c r="T97" s="236" t="str">
        <f>IFERROR(__xludf.DUMMYFUNCTION("if(countif(ecn.list,CT97),OFFSET(INDIRECT(CONCAT(""A"",to_text(match(CT97,ecn.list,0)))),0,1),"""")"),"J5 ")</f>
        <v>J5 </v>
      </c>
      <c r="U97" s="236" t="str">
        <f>IFERROR(__xludf.DUMMYFUNCTION("if(countif(ecn.list,CU97),OFFSET(INDIRECT(CONCAT(""A"",to_text(match(CU97,ecn.list,0)))),0,1),"""")"),"J6 ")</f>
        <v>J6 </v>
      </c>
      <c r="V97" s="236" t="str">
        <f>IFERROR(__xludf.DUMMYFUNCTION("if(countif(ecn.list,CV97),OFFSET(INDIRECT(CONCAT(""A"",to_text(match(CV97,ecn.list,0)))),0,1),"""")"),"J7 ")</f>
        <v>J7 </v>
      </c>
      <c r="W97" s="236" t="str">
        <f>IFERROR(__xludf.DUMMYFUNCTION("if(countif(ecn.list,CW97),OFFSET(INDIRECT(CONCAT(""A"",to_text(match(CW97,ecn.list,0)))),0,1),"""")"),"")</f>
        <v/>
      </c>
      <c r="X97" s="236" t="str">
        <f>IFERROR(__xludf.DUMMYFUNCTION("if(countif(ecn.list,CX97),OFFSET(INDIRECT(CONCAT(""A"",to_text(match(CX97,ecn.list,0)))),0,1),"""")"),"")</f>
        <v/>
      </c>
      <c r="Y97" s="236" t="str">
        <f>IFERROR(__xludf.DUMMYFUNCTION("if(countif(ecn.list,CY97),OFFSET(INDIRECT(CONCAT(""A"",to_text(match(CY97,ecn.list,0)))),0,1),"""")"),"")</f>
        <v/>
      </c>
      <c r="Z97" s="236" t="str">
        <f>IFERROR(__xludf.DUMMYFUNCTION("if(countif(ecn.list,CZ97),OFFSET(INDIRECT(CONCAT(""A"",to_text(match(CZ97,ecn.list,0)))),0,1),"""")"),"")</f>
        <v/>
      </c>
      <c r="AA97" s="236" t="str">
        <f>IFERROR(__xludf.DUMMYFUNCTION("if(countif(ecn.list,DA97),OFFSET(INDIRECT(CONCAT(""A"",to_text(match(DA97,ecn.list,0)))),0,1),"""")"),"")</f>
        <v/>
      </c>
      <c r="AB97" s="236" t="str">
        <f>IFERROR(__xludf.DUMMYFUNCTION("if(countif(ecn.list,DB97),OFFSET(INDIRECT(CONCAT(""A"",to_text(match(DB97,ecn.list,0)))),0,1),"""")"),"")</f>
        <v/>
      </c>
      <c r="AC97" s="236" t="str">
        <f>IFERROR(__xludf.DUMMYFUNCTION("if(countif(ecn.list,DC97),OFFSET(INDIRECT(CONCAT(""A"",to_text(match(DC97,ecn.list,0)))),0,1),"""")"),"")</f>
        <v/>
      </c>
      <c r="AD97" s="236" t="str">
        <f>IFERROR(__xludf.DUMMYFUNCTION("if(countif(ecn.list,DD97),OFFSET(INDIRECT(CONCAT(""A"",to_text(match(DD97,ecn.list,0)))),0,1),"""")"),"JF ")</f>
        <v>JF </v>
      </c>
      <c r="AE97" s="236" t="str">
        <f>IFERROR(__xludf.DUMMYFUNCTION("if(countif(ecn.list,DE97),OFFSET(INDIRECT(CONCAT(""A"",to_text(match(DE97,ecn.list,0)))),0,1),"""")"),"K0 ")</f>
        <v>K0 </v>
      </c>
      <c r="AF97" s="236" t="str">
        <f>IFERROR(__xludf.DUMMYFUNCTION("if(countif(ecn.list,DF97),OFFSET(INDIRECT(CONCAT(""A"",to_text(match(DF97,ecn.list,0)))),0,1),"""")"),"")</f>
        <v/>
      </c>
      <c r="AG97" s="236" t="str">
        <f>IFERROR(__xludf.DUMMYFUNCTION("if(countif(ecn.list,DG97),OFFSET(INDIRECT(CONCAT(""A"",to_text(match(DG97,ecn.list,0)))),0,1),"""")"),"")</f>
        <v/>
      </c>
      <c r="AH97" s="236" t="str">
        <f>IFERROR(__xludf.DUMMYFUNCTION("if(countif(ecn.list,DH97),OFFSET(INDIRECT(CONCAT(""A"",to_text(match(DH97,ecn.list,0)))),0,1),"""")"),"")</f>
        <v/>
      </c>
      <c r="AI97" s="236" t="str">
        <f>IFERROR(__xludf.DUMMYFUNCTION("if(countif(ecn.list,DI97),OFFSET(INDIRECT(CONCAT(""A"",to_text(match(DI97,ecn.list,0)))),0,1),"""")"),"")</f>
        <v/>
      </c>
      <c r="AJ97" s="236" t="str">
        <f>IFERROR(__xludf.DUMMYFUNCTION("if(countif(ecn.list,DJ97),OFFSET(INDIRECT(CONCAT(""A"",to_text(match(DJ97,ecn.list,0)))),0,1),"""")"),"K5 ")</f>
        <v>K5 </v>
      </c>
      <c r="AK97" s="236" t="str">
        <f>IFERROR(__xludf.DUMMYFUNCTION("if(countif(ecn.list,DK97),OFFSET(INDIRECT(CONCAT(""A"",to_text(match(DK97,ecn.list,0)))),0,1),"""")"),"")</f>
        <v/>
      </c>
      <c r="AL97" s="236" t="str">
        <f>IFERROR(__xludf.DUMMYFUNCTION("if(countif(ecn.list,DL97),OFFSET(INDIRECT(CONCAT(""A"",to_text(match(DL97,ecn.list,0)))),0,1),"""")"),"K7 ")</f>
        <v>K7 </v>
      </c>
      <c r="AM97" s="236" t="str">
        <f>IFERROR(__xludf.DUMMYFUNCTION("if(countif(ecn.list,DM97),OFFSET(INDIRECT(CONCAT(""A"",to_text(match(DM97,ecn.list,0)))),0,1),"""")"),"K8 ")</f>
        <v>K8 </v>
      </c>
      <c r="AN97" s="236" t="str">
        <f>IFERROR(__xludf.DUMMYFUNCTION("if(countif(ecn.list,DN97),OFFSET(INDIRECT(CONCAT(""A"",to_text(match(DN97,ecn.list,0)))),0,1),"""")"),"K9 ")</f>
        <v>K9 </v>
      </c>
      <c r="AO97" s="236" t="str">
        <f>IFERROR(__xludf.DUMMYFUNCTION("if(countif(ecn.list,DO97),OFFSET(INDIRECT(CONCAT(""A"",to_text(match(DO97,ecn.list,0)))),0,1),"""")"),"KA ")</f>
        <v>KA </v>
      </c>
      <c r="AP97" s="236" t="str">
        <f>IFERROR(__xludf.DUMMYFUNCTION("if(countif(ecn.list,DP97),OFFSET(INDIRECT(CONCAT(""A"",to_text(match(DP97,ecn.list,0)))),0,1),"""")"),"")</f>
        <v/>
      </c>
      <c r="AQ97" s="236" t="str">
        <f>IFERROR(__xludf.DUMMYFUNCTION("if(countif(ecn.list,DQ97),OFFSET(INDIRECT(CONCAT(""A"",to_text(match(DQ97,ecn.list,0)))),0,1),"""")"),"KC ")</f>
        <v>KC </v>
      </c>
      <c r="AR97" s="236" t="str">
        <f>IFERROR(__xludf.DUMMYFUNCTION("if(countif(ecn.list,DR97),OFFSET(INDIRECT(CONCAT(""A"",to_text(match(DR97,ecn.list,0)))),0,1),"""")"),"KD ")</f>
        <v>KD </v>
      </c>
      <c r="AS97" s="236" t="str">
        <f>IFERROR(__xludf.DUMMYFUNCTION("if(countif(ecn.list,DS97),OFFSET(INDIRECT(CONCAT(""A"",to_text(match(DS97,ecn.list,0)))),0,1),"""")"),"")</f>
        <v/>
      </c>
      <c r="AT97" s="236" t="str">
        <f>IFERROR(__xludf.DUMMYFUNCTION("if(countif(ecn.list,DT97),OFFSET(INDIRECT(CONCAT(""A"",to_text(match(DT97,ecn.list,0)))),0,1),"""")"),"KF ")</f>
        <v>KF </v>
      </c>
      <c r="AU97" s="236" t="str">
        <f>IFERROR(__xludf.DUMMYFUNCTION("if(countif(ecn.list,DU97),OFFSET(INDIRECT(CONCAT(""A"",to_text(match(DU97,ecn.list,0)))),0,1),"""")"),"")</f>
        <v/>
      </c>
      <c r="AV97" s="236" t="str">
        <f>IFERROR(__xludf.DUMMYFUNCTION("if(countif(ecn.list,DV97),OFFSET(INDIRECT(CONCAT(""A"",to_text(match(DV97,ecn.list,0)))),0,1),"""")"),"L1 ")</f>
        <v>L1 </v>
      </c>
      <c r="AW97" s="236" t="str">
        <f>IFERROR(__xludf.DUMMYFUNCTION("if(countif(ecn.list,DW97),OFFSET(INDIRECT(CONCAT(""A"",to_text(match(DW97,ecn.list,0)))),0,1),"""")"),"")</f>
        <v/>
      </c>
      <c r="AX97" s="236" t="str">
        <f>IFERROR(__xludf.DUMMYFUNCTION("if(countif(ecn.list,DX97),OFFSET(INDIRECT(CONCAT(""A"",to_text(match(DX97,ecn.list,0)))),0,1),"""")"),"")</f>
        <v/>
      </c>
      <c r="AY97" s="236" t="str">
        <f>IFERROR(__xludf.DUMMYFUNCTION("if(countif(ecn.list,DY97),OFFSET(INDIRECT(CONCAT(""A"",to_text(match(DY97,ecn.list,0)))),0,1),"""")"),"")</f>
        <v/>
      </c>
      <c r="AZ97" s="236" t="str">
        <f>IFERROR(__xludf.DUMMYFUNCTION("if(countif(ecn.list,DZ97),OFFSET(INDIRECT(CONCAT(""A"",to_text(match(DZ97,ecn.list,0)))),0,1),"""")"),"L5 ")</f>
        <v>L5 </v>
      </c>
      <c r="BA97" s="236" t="str">
        <f>IFERROR(__xludf.DUMMYFUNCTION("if(countif(ecn.list,EA97),OFFSET(INDIRECT(CONCAT(""A"",to_text(match(EA97,ecn.list,0)))),0,1),"""")"),"")</f>
        <v/>
      </c>
      <c r="BB97" s="236" t="str">
        <f>IFERROR(__xludf.DUMMYFUNCTION("if(countif(ecn.list,EB97),OFFSET(INDIRECT(CONCAT(""A"",to_text(match(EB97,ecn.list,0)))),0,1),"""")"),"")</f>
        <v/>
      </c>
      <c r="BC97" s="236" t="str">
        <f>IFERROR(__xludf.DUMMYFUNCTION("if(countif(ecn.list,EC97),OFFSET(INDIRECT(CONCAT(""A"",to_text(match(EC97,ecn.list,0)))),0,1),"""")"),"")</f>
        <v/>
      </c>
      <c r="BD97" s="236" t="str">
        <f>IFERROR(__xludf.DUMMYFUNCTION("if(countif(ecn.list,ED97),OFFSET(INDIRECT(CONCAT(""A"",to_text(match(ED97,ecn.list,0)))),0,1),"""")"),"")</f>
        <v/>
      </c>
      <c r="BE97" s="236" t="str">
        <f>IFERROR(__xludf.DUMMYFUNCTION("if(countif(ecn.list,EE97),OFFSET(INDIRECT(CONCAT(""A"",to_text(match(EE97,ecn.list,0)))),0,1),"""")"),"LA ")</f>
        <v>LA </v>
      </c>
      <c r="BF97" s="236" t="str">
        <f>IFERROR(__xludf.DUMMYFUNCTION("if(countif(ecn.list,EF97),OFFSET(INDIRECT(CONCAT(""A"",to_text(match(EF97,ecn.list,0)))),0,1),"""")"),"")</f>
        <v/>
      </c>
      <c r="BG97" s="236" t="str">
        <f>IFERROR(__xludf.DUMMYFUNCTION("if(countif(ecn.list,EG97),OFFSET(INDIRECT(CONCAT(""A"",to_text(match(EG97,ecn.list,0)))),0,1),"""")"),"LC ")</f>
        <v>LC </v>
      </c>
      <c r="BH97" s="236" t="str">
        <f>IFERROR(__xludf.DUMMYFUNCTION("if(countif(ecn.list,EH97),OFFSET(INDIRECT(CONCAT(""A"",to_text(match(EH97,ecn.list,0)))),0,1),"""")"),"")</f>
        <v/>
      </c>
      <c r="BI97" s="236" t="str">
        <f>IFERROR(__xludf.DUMMYFUNCTION("if(countif(ecn.list,EI97),OFFSET(INDIRECT(CONCAT(""A"",to_text(match(EI97,ecn.list,0)))),0,1),"""")"),"")</f>
        <v/>
      </c>
      <c r="BJ97" s="236" t="str">
        <f>IFERROR(__xludf.DUMMYFUNCTION("if(countif(ecn.list,EJ97),OFFSET(INDIRECT(CONCAT(""A"",to_text(match(EJ97,ecn.list,0)))),0,1),"""")"),"LF ")</f>
        <v>LF </v>
      </c>
      <c r="BK97" s="236" t="str">
        <f>IFERROR(__xludf.DUMMYFUNCTION("if(countif(ecn.list,EK97),OFFSET(INDIRECT(CONCAT(""A"",to_text(match(EK97,ecn.list,0)))),0,1),"""")"),"")</f>
        <v/>
      </c>
      <c r="BL97" s="236" t="str">
        <f>IFERROR(__xludf.DUMMYFUNCTION("if(countif(ecn.list,EL97),OFFSET(INDIRECT(CONCAT(""A"",to_text(match(EL97,ecn.list,0)))),0,1),"""")"),"M1 ")</f>
        <v>M1 </v>
      </c>
      <c r="BM97" s="236" t="str">
        <f>IFERROR(__xludf.DUMMYFUNCTION("if(countif(ecn.list,EM97),OFFSET(INDIRECT(CONCAT(""A"",to_text(match(EM97,ecn.list,0)))),0,1),"""")"),"")</f>
        <v/>
      </c>
      <c r="BN97" s="236" t="str">
        <f>IFERROR(__xludf.DUMMYFUNCTION("if(countif(ecn.list,EN97),OFFSET(INDIRECT(CONCAT(""A"",to_text(match(EN97,ecn.list,0)))),0,1),"""")"),"M3 ")</f>
        <v>M3 </v>
      </c>
      <c r="BO97" s="236" t="str">
        <f>IFERROR(__xludf.DUMMYFUNCTION("if(countif(ecn.list,EO97),OFFSET(INDIRECT(CONCAT(""A"",to_text(match(EO97,ecn.list,0)))),0,1),"""")"),"M4 ")</f>
        <v>M4 </v>
      </c>
      <c r="BP97" s="236" t="str">
        <f>IFERROR(__xludf.DUMMYFUNCTION("if(countif(ecn.list,EP97),OFFSET(INDIRECT(CONCAT(""A"",to_text(match(EP97,ecn.list,0)))),0,1),"""")"),"")</f>
        <v/>
      </c>
      <c r="BQ97" s="236" t="str">
        <f>IFERROR(__xludf.DUMMYFUNCTION("if(countif(ecn.list,EQ97),OFFSET(INDIRECT(CONCAT(""A"",to_text(match(EQ97,ecn.list,0)))),0,1),"""")"),"")</f>
        <v/>
      </c>
      <c r="BR97" s="236" t="str">
        <f>IFERROR(__xludf.DUMMYFUNCTION("if(countif(ecn.list,ER97),OFFSET(INDIRECT(CONCAT(""A"",to_text(match(ER97,ecn.list,0)))),0,1),"""")"),"")</f>
        <v/>
      </c>
      <c r="BS97" s="236" t="str">
        <f>IFERROR(__xludf.DUMMYFUNCTION("if(countif(ecn.list,ES97),OFFSET(INDIRECT(CONCAT(""A"",to_text(match(ES97,ecn.list,0)))),0,1),"""")"),"")</f>
        <v/>
      </c>
      <c r="BT97" s="236" t="str">
        <f>IFERROR(__xludf.DUMMYFUNCTION("if(countif(ecn.list,ET97),OFFSET(INDIRECT(CONCAT(""A"",to_text(match(ET97,ecn.list,0)))),0,1),"""")"),"")</f>
        <v/>
      </c>
      <c r="BU97" s="236" t="str">
        <f>IFERROR(__xludf.DUMMYFUNCTION("if(countif(ecn.list,EU97),OFFSET(INDIRECT(CONCAT(""A"",to_text(match(EU97,ecn.list,0)))),0,1),"""")"),"")</f>
        <v/>
      </c>
      <c r="BV97" s="236" t="str">
        <f>IFERROR(__xludf.DUMMYFUNCTION("if(countif(ecn.list,EV97),OFFSET(INDIRECT(CONCAT(""A"",to_text(match(EV97,ecn.list,0)))),0,1),"""")"),"MB ")</f>
        <v>MB </v>
      </c>
      <c r="BW97" s="236" t="str">
        <f>IFERROR(__xludf.DUMMYFUNCTION("if(countif(ecn.list,EW97),OFFSET(INDIRECT(CONCAT(""A"",to_text(match(EW97,ecn.list,0)))),0,1),"""")"),"")</f>
        <v/>
      </c>
      <c r="BX97" s="236" t="str">
        <f>IFERROR(__xludf.DUMMYFUNCTION("if(countif(ecn.list,EX97),OFFSET(INDIRECT(CONCAT(""A"",to_text(match(EX97,ecn.list,0)))),0,1),"""")"),"")</f>
        <v/>
      </c>
      <c r="BY97" s="236" t="str">
        <f>IFERROR(__xludf.DUMMYFUNCTION("if(countif(ecn.list,EY97),OFFSET(INDIRECT(CONCAT(""A"",to_text(match(EY97,ecn.list,0)))),0,1),"""")"),"")</f>
        <v/>
      </c>
      <c r="BZ97" s="236" t="str">
        <f>IFERROR(__xludf.DUMMYFUNCTION("if(countif(ecn.list,EZ97),OFFSET(INDIRECT(CONCAT(""A"",to_text(match(EZ97,ecn.list,0)))),0,1),"""")"),"MF ")</f>
        <v>MF </v>
      </c>
      <c r="CA97" s="236" t="str">
        <f>IFERROR(__xludf.DUMMYFUNCTION("if(countif(ecn.list,FA97),OFFSET(INDIRECT(CONCAT(""A"",to_text(match(FA97,ecn.list,0)))),0,1),"""")"),"")</f>
        <v/>
      </c>
      <c r="CB97" s="236" t="str">
        <f>IFERROR(__xludf.DUMMYFUNCTION("if(countif(ecn.list,FB97),OFFSET(INDIRECT(CONCAT(""A"",to_text(match(FB97,ecn.list,0)))),0,1),"""")"),"")</f>
        <v/>
      </c>
      <c r="CC97" s="236" t="str">
        <f>IFERROR(__xludf.DUMMYFUNCTION("if(countif(ecn.list,FC97),OFFSET(INDIRECT(CONCAT(""A"",to_text(match(FC97,ecn.list,0)))),0,1),"""")"),"N2 ")</f>
        <v>N2 </v>
      </c>
      <c r="CD97" s="236" t="str">
        <f>IFERROR(__xludf.DUMMYFUNCTION("if(countif(ecn.list,FD97),OFFSET(INDIRECT(CONCAT(""A"",to_text(match(FD97,ecn.list,0)))),0,1),"""")"),"")</f>
        <v/>
      </c>
      <c r="CE97" s="236" t="str">
        <f>IFERROR(__xludf.DUMMYFUNCTION("if(countif(ecn.list,FE97),OFFSET(INDIRECT(CONCAT(""A"",to_text(match(FE97,ecn.list,0)))),0,1),"""")"),"")</f>
        <v/>
      </c>
      <c r="CF97" s="236" t="str">
        <f>IFERROR(__xludf.DUMMYFUNCTION("if(countif(ecn.list,FF97),OFFSET(INDIRECT(CONCAT(""A"",to_text(match(FF97,ecn.list,0)))),0,1),"""")"),"")</f>
        <v/>
      </c>
      <c r="CG97" s="236" t="str">
        <f>IFERROR(__xludf.DUMMYFUNCTION("if(countif(ecn.list,FG97),OFFSET(INDIRECT(CONCAT(""A"",to_text(match(FG97,ecn.list,0)))),0,1),"""")"),"")</f>
        <v/>
      </c>
      <c r="CH97" s="236" t="str">
        <f>IFERROR(__xludf.DUMMYFUNCTION("if(countif(ecn.list,FH97),OFFSET(INDIRECT(CONCAT(""A"",to_text(match(FH97,ecn.list,0)))),0,1),"""")"),"N7 ")</f>
        <v>N7 </v>
      </c>
      <c r="CI97" s="236" t="str">
        <f>IFERROR(__xludf.DUMMYFUNCTION("if(countif(ecn.list,FI97),OFFSET(INDIRECT(CONCAT(""A"",to_text(match(FI97,ecn.list,0)))),0,1),"""")"),"N8 ")</f>
        <v>N8 </v>
      </c>
      <c r="CJ97" s="236" t="str">
        <f>IFERROR(__xludf.DUMMYFUNCTION("if(countif(ecn.list,FJ97),OFFSET(INDIRECT(CONCAT(""A"",to_text(match(FJ97,ecn.list,0)))),0,1),"""")"),"")</f>
        <v/>
      </c>
      <c r="CK97" s="236" t="str">
        <f>IFERROR(__xludf.DUMMYFUNCTION("if(countif(ecn.list,FK97),OFFSET(INDIRECT(CONCAT(""A"",to_text(match(FK97,ecn.list,0)))),0,1),"""")"),"NA ")</f>
        <v>NA </v>
      </c>
      <c r="CL97" s="236" t="str">
        <f>IFERROR(__xludf.DUMMYFUNCTION("if(countif(ecn.list,FL97),OFFSET(INDIRECT(CONCAT(""A"",to_text(match(FL97,ecn.list,0)))),0,1),"""")"),"")</f>
        <v/>
      </c>
      <c r="CM97" s="236" t="str">
        <f>IFERROR(__xludf.DUMMYFUNCTION("if(countif(ecn.list,FM97),OFFSET(INDIRECT(CONCAT(""A"",to_text(match(FM97,ecn.list,0)))),0,1),"""")"),"")</f>
        <v/>
      </c>
      <c r="CN97" s="198" t="s">
        <v>363</v>
      </c>
      <c r="CO97" s="198" t="s">
        <v>1447</v>
      </c>
      <c r="CP97" s="198" t="s">
        <v>1451</v>
      </c>
      <c r="CQ97" s="198" t="s">
        <v>1452</v>
      </c>
      <c r="CR97" s="198" t="s">
        <v>1453</v>
      </c>
      <c r="CS97" s="198" t="s">
        <v>1453</v>
      </c>
      <c r="CT97" s="198" t="s">
        <v>1454</v>
      </c>
      <c r="CU97" s="198" t="s">
        <v>1455</v>
      </c>
      <c r="CV97" s="198" t="s">
        <v>1456</v>
      </c>
      <c r="CW97" s="198" t="s">
        <v>1453</v>
      </c>
      <c r="CX97" s="198" t="s">
        <v>1453</v>
      </c>
      <c r="CY97" s="198" t="s">
        <v>1453</v>
      </c>
      <c r="CZ97" s="198" t="s">
        <v>1453</v>
      </c>
      <c r="DA97" s="198" t="s">
        <v>1453</v>
      </c>
      <c r="DB97" s="198" t="s">
        <v>1453</v>
      </c>
      <c r="DC97" s="198" t="s">
        <v>1453</v>
      </c>
      <c r="DD97" s="198" t="s">
        <v>1458</v>
      </c>
      <c r="DE97" s="198" t="s">
        <v>1459</v>
      </c>
      <c r="DF97" s="198" t="s">
        <v>1453</v>
      </c>
      <c r="DG97" s="198" t="s">
        <v>1453</v>
      </c>
      <c r="DH97" s="198" t="s">
        <v>1453</v>
      </c>
      <c r="DI97" s="198" t="s">
        <v>1453</v>
      </c>
      <c r="DJ97" s="198" t="s">
        <v>1460</v>
      </c>
      <c r="DK97" s="198" t="s">
        <v>1453</v>
      </c>
      <c r="DL97" s="198" t="s">
        <v>1461</v>
      </c>
      <c r="DM97" s="198" t="s">
        <v>1462</v>
      </c>
      <c r="DN97" s="198" t="s">
        <v>1463</v>
      </c>
      <c r="DO97" s="198" t="s">
        <v>1464</v>
      </c>
      <c r="DP97" s="198" t="s">
        <v>1453</v>
      </c>
      <c r="DQ97" s="198" t="s">
        <v>1466</v>
      </c>
      <c r="DR97" s="198" t="s">
        <v>1467</v>
      </c>
      <c r="DS97" s="198" t="s">
        <v>1453</v>
      </c>
      <c r="DT97" s="198" t="s">
        <v>1468</v>
      </c>
      <c r="DU97" s="198" t="s">
        <v>1453</v>
      </c>
      <c r="DV97" s="198" t="s">
        <v>1469</v>
      </c>
      <c r="DW97" s="198" t="s">
        <v>1453</v>
      </c>
      <c r="DX97" s="198" t="s">
        <v>1453</v>
      </c>
      <c r="DY97" s="198" t="s">
        <v>1453</v>
      </c>
      <c r="DZ97" s="198" t="s">
        <v>1522</v>
      </c>
      <c r="EA97" s="198" t="s">
        <v>1453</v>
      </c>
      <c r="EB97" s="198" t="s">
        <v>1453</v>
      </c>
      <c r="EC97" s="198" t="s">
        <v>1453</v>
      </c>
      <c r="ED97" s="198" t="s">
        <v>1453</v>
      </c>
      <c r="EE97" s="198" t="s">
        <v>1470</v>
      </c>
      <c r="EF97" s="198" t="s">
        <v>1453</v>
      </c>
      <c r="EG97" s="198" t="s">
        <v>1471</v>
      </c>
      <c r="EH97" s="198" t="s">
        <v>1453</v>
      </c>
      <c r="EI97" s="198" t="s">
        <v>1453</v>
      </c>
      <c r="EJ97" s="198" t="s">
        <v>1472</v>
      </c>
      <c r="EK97" s="198" t="s">
        <v>1453</v>
      </c>
      <c r="EL97" s="198" t="s">
        <v>1473</v>
      </c>
      <c r="EM97" s="198" t="s">
        <v>1453</v>
      </c>
      <c r="EN97" s="198" t="s">
        <v>1474</v>
      </c>
      <c r="EO97" s="198" t="s">
        <v>1475</v>
      </c>
      <c r="EP97" s="198" t="s">
        <v>1453</v>
      </c>
      <c r="EQ97" s="198" t="s">
        <v>1453</v>
      </c>
      <c r="ER97" s="198" t="s">
        <v>1453</v>
      </c>
      <c r="ES97" s="198" t="s">
        <v>1453</v>
      </c>
      <c r="ET97" s="198" t="s">
        <v>1453</v>
      </c>
      <c r="EU97" s="198" t="s">
        <v>1453</v>
      </c>
      <c r="EV97" s="198" t="s">
        <v>1476</v>
      </c>
      <c r="EW97" s="198" t="s">
        <v>1453</v>
      </c>
      <c r="EX97" s="198" t="s">
        <v>1453</v>
      </c>
      <c r="EY97" s="198" t="s">
        <v>1453</v>
      </c>
      <c r="EZ97" s="198" t="s">
        <v>1477</v>
      </c>
      <c r="FA97" s="198" t="s">
        <v>1453</v>
      </c>
      <c r="FB97" s="198" t="s">
        <v>1453</v>
      </c>
      <c r="FC97" s="198" t="s">
        <v>1478</v>
      </c>
      <c r="FD97" s="198" t="s">
        <v>1453</v>
      </c>
      <c r="FE97" s="198" t="s">
        <v>1453</v>
      </c>
      <c r="FF97" s="198" t="s">
        <v>1453</v>
      </c>
      <c r="FG97" s="198" t="s">
        <v>1453</v>
      </c>
      <c r="FH97" s="198" t="s">
        <v>1479</v>
      </c>
      <c r="FI97" s="198" t="s">
        <v>1480</v>
      </c>
      <c r="FJ97" s="198" t="s">
        <v>1453</v>
      </c>
      <c r="FK97" s="198" t="s">
        <v>1481</v>
      </c>
      <c r="FL97" s="198" t="s">
        <v>1482</v>
      </c>
      <c r="FM97" s="198" t="s">
        <v>1453</v>
      </c>
    </row>
    <row r="98" ht="15.75" customHeight="1">
      <c r="A98" s="198"/>
      <c r="B98" s="198"/>
      <c r="C98" s="234"/>
      <c r="D98" s="232" t="s">
        <v>770</v>
      </c>
      <c r="E98" s="232" t="s">
        <v>1448</v>
      </c>
      <c r="F98" s="232" t="s">
        <v>1449</v>
      </c>
      <c r="G98" s="232" t="s">
        <v>1450</v>
      </c>
      <c r="H98" s="232" t="s">
        <v>777</v>
      </c>
      <c r="I98" s="232" t="s">
        <v>778</v>
      </c>
      <c r="J98" s="232" t="s">
        <v>779</v>
      </c>
      <c r="K98" s="232" t="s">
        <v>797</v>
      </c>
      <c r="L98" s="188" t="s">
        <v>366</v>
      </c>
      <c r="M98" s="236" t="str">
        <f>IFERROR(__xludf.DUMMYFUNCTION("regexreplace(N98,"" "","", "")"),"J0, J1, J2, J5, J6, J7, JA, JC, K0, K5, K7, K9, KA, KB, KC, KD, L1, L8, LA, LC, LF, M0, M1, M3, M4, M8, MB, MD, MF, N2, N7, NA, ")</f>
        <v>J0, J1, J2, J5, J6, J7, JA, JC, K0, K5, K7, K9, KA, KB, KC, KD, L1, L8, LA, LC, LF, M0, M1, M3, M4, M8, MB, MD, MF, N2, N7, NA, </v>
      </c>
      <c r="N98" s="236" t="str">
        <f t="shared" si="2"/>
        <v>J0 J1 J2 J5 J6 J7 JA JC K0 K5 K7 K9 KA KB KC KD L1 L8 LA LC LF M0 M1 M3 M4 M8 MB MD MF N2 N7 NA </v>
      </c>
      <c r="O98" s="236" t="str">
        <f>IFERROR(__xludf.DUMMYFUNCTION("if(countif(ecn.list,CO98),OFFSET(INDIRECT(CONCAT(""A"",to_text(match(CO98,ecn.list,0)))),0,1),"""")"),"J0 ")</f>
        <v>J0 </v>
      </c>
      <c r="P98" s="236" t="str">
        <f>IFERROR(__xludf.DUMMYFUNCTION("if(countif(ecn.list,CP98),OFFSET(INDIRECT(CONCAT(""A"",to_text(match(CP98,ecn.list,0)))),0,1),"""")"),"J1 ")</f>
        <v>J1 </v>
      </c>
      <c r="Q98" s="236" t="str">
        <f>IFERROR(__xludf.DUMMYFUNCTION("if(countif(ecn.list,CQ98),OFFSET(INDIRECT(CONCAT(""A"",to_text(match(CQ98,ecn.list,0)))),0,1),"""")"),"J2 ")</f>
        <v>J2 </v>
      </c>
      <c r="R98" s="236" t="str">
        <f>IFERROR(__xludf.DUMMYFUNCTION("if(countif(ecn.list,CR98),OFFSET(INDIRECT(CONCAT(""A"",to_text(match(CR98,ecn.list,0)))),0,1),"""")"),"")</f>
        <v/>
      </c>
      <c r="S98" s="236" t="str">
        <f>IFERROR(__xludf.DUMMYFUNCTION("if(countif(ecn.list,CS98),OFFSET(INDIRECT(CONCAT(""A"",to_text(match(CS98,ecn.list,0)))),0,1),"""")"),"")</f>
        <v/>
      </c>
      <c r="T98" s="236" t="str">
        <f>IFERROR(__xludf.DUMMYFUNCTION("if(countif(ecn.list,CT98),OFFSET(INDIRECT(CONCAT(""A"",to_text(match(CT98,ecn.list,0)))),0,1),"""")"),"J5 ")</f>
        <v>J5 </v>
      </c>
      <c r="U98" s="236" t="str">
        <f>IFERROR(__xludf.DUMMYFUNCTION("if(countif(ecn.list,CU98),OFFSET(INDIRECT(CONCAT(""A"",to_text(match(CU98,ecn.list,0)))),0,1),"""")"),"J6 ")</f>
        <v>J6 </v>
      </c>
      <c r="V98" s="236" t="str">
        <f>IFERROR(__xludf.DUMMYFUNCTION("if(countif(ecn.list,CV98),OFFSET(INDIRECT(CONCAT(""A"",to_text(match(CV98,ecn.list,0)))),0,1),"""")"),"J7 ")</f>
        <v>J7 </v>
      </c>
      <c r="W98" s="236" t="str">
        <f>IFERROR(__xludf.DUMMYFUNCTION("if(countif(ecn.list,CW98),OFFSET(INDIRECT(CONCAT(""A"",to_text(match(CW98,ecn.list,0)))),0,1),"""")"),"")</f>
        <v/>
      </c>
      <c r="X98" s="236" t="str">
        <f>IFERROR(__xludf.DUMMYFUNCTION("if(countif(ecn.list,CX98),OFFSET(INDIRECT(CONCAT(""A"",to_text(match(CX98,ecn.list,0)))),0,1),"""")"),"")</f>
        <v/>
      </c>
      <c r="Y98" s="236" t="str">
        <f>IFERROR(__xludf.DUMMYFUNCTION("if(countif(ecn.list,CY98),OFFSET(INDIRECT(CONCAT(""A"",to_text(match(CY98,ecn.list,0)))),0,1),"""")"),"JA ")</f>
        <v>JA </v>
      </c>
      <c r="Z98" s="236" t="str">
        <f>IFERROR(__xludf.DUMMYFUNCTION("if(countif(ecn.list,CZ98),OFFSET(INDIRECT(CONCAT(""A"",to_text(match(CZ98,ecn.list,0)))),0,1),"""")"),"")</f>
        <v/>
      </c>
      <c r="AA98" s="236" t="str">
        <f>IFERROR(__xludf.DUMMYFUNCTION("if(countif(ecn.list,DA98),OFFSET(INDIRECT(CONCAT(""A"",to_text(match(DA98,ecn.list,0)))),0,1),"""")"),"JC ")</f>
        <v>JC </v>
      </c>
      <c r="AB98" s="236" t="str">
        <f>IFERROR(__xludf.DUMMYFUNCTION("if(countif(ecn.list,DB98),OFFSET(INDIRECT(CONCAT(""A"",to_text(match(DB98,ecn.list,0)))),0,1),"""")"),"")</f>
        <v/>
      </c>
      <c r="AC98" s="236" t="str">
        <f>IFERROR(__xludf.DUMMYFUNCTION("if(countif(ecn.list,DC98),OFFSET(INDIRECT(CONCAT(""A"",to_text(match(DC98,ecn.list,0)))),0,1),"""")"),"")</f>
        <v/>
      </c>
      <c r="AD98" s="236" t="str">
        <f>IFERROR(__xludf.DUMMYFUNCTION("if(countif(ecn.list,DD98),OFFSET(INDIRECT(CONCAT(""A"",to_text(match(DD98,ecn.list,0)))),0,1),"""")"),"")</f>
        <v/>
      </c>
      <c r="AE98" s="236" t="str">
        <f>IFERROR(__xludf.DUMMYFUNCTION("if(countif(ecn.list,DE98),OFFSET(INDIRECT(CONCAT(""A"",to_text(match(DE98,ecn.list,0)))),0,1),"""")"),"K0 ")</f>
        <v>K0 </v>
      </c>
      <c r="AF98" s="236" t="str">
        <f>IFERROR(__xludf.DUMMYFUNCTION("if(countif(ecn.list,DF98),OFFSET(INDIRECT(CONCAT(""A"",to_text(match(DF98,ecn.list,0)))),0,1),"""")"),"")</f>
        <v/>
      </c>
      <c r="AG98" s="236" t="str">
        <f>IFERROR(__xludf.DUMMYFUNCTION("if(countif(ecn.list,DG98),OFFSET(INDIRECT(CONCAT(""A"",to_text(match(DG98,ecn.list,0)))),0,1),"""")"),"")</f>
        <v/>
      </c>
      <c r="AH98" s="236" t="str">
        <f>IFERROR(__xludf.DUMMYFUNCTION("if(countif(ecn.list,DH98),OFFSET(INDIRECT(CONCAT(""A"",to_text(match(DH98,ecn.list,0)))),0,1),"""")"),"")</f>
        <v/>
      </c>
      <c r="AI98" s="236" t="str">
        <f>IFERROR(__xludf.DUMMYFUNCTION("if(countif(ecn.list,DI98),OFFSET(INDIRECT(CONCAT(""A"",to_text(match(DI98,ecn.list,0)))),0,1),"""")"),"")</f>
        <v/>
      </c>
      <c r="AJ98" s="236" t="str">
        <f>IFERROR(__xludf.DUMMYFUNCTION("if(countif(ecn.list,DJ98),OFFSET(INDIRECT(CONCAT(""A"",to_text(match(DJ98,ecn.list,0)))),0,1),"""")"),"K5 ")</f>
        <v>K5 </v>
      </c>
      <c r="AK98" s="236" t="str">
        <f>IFERROR(__xludf.DUMMYFUNCTION("if(countif(ecn.list,DK98),OFFSET(INDIRECT(CONCAT(""A"",to_text(match(DK98,ecn.list,0)))),0,1),"""")"),"")</f>
        <v/>
      </c>
      <c r="AL98" s="236" t="str">
        <f>IFERROR(__xludf.DUMMYFUNCTION("if(countif(ecn.list,DL98),OFFSET(INDIRECT(CONCAT(""A"",to_text(match(DL98,ecn.list,0)))),0,1),"""")"),"K7 ")</f>
        <v>K7 </v>
      </c>
      <c r="AM98" s="236" t="str">
        <f>IFERROR(__xludf.DUMMYFUNCTION("if(countif(ecn.list,DM98),OFFSET(INDIRECT(CONCAT(""A"",to_text(match(DM98,ecn.list,0)))),0,1),"""")"),"")</f>
        <v/>
      </c>
      <c r="AN98" s="236" t="str">
        <f>IFERROR(__xludf.DUMMYFUNCTION("if(countif(ecn.list,DN98),OFFSET(INDIRECT(CONCAT(""A"",to_text(match(DN98,ecn.list,0)))),0,1),"""")"),"K9 ")</f>
        <v>K9 </v>
      </c>
      <c r="AO98" s="236" t="str">
        <f>IFERROR(__xludf.DUMMYFUNCTION("if(countif(ecn.list,DO98),OFFSET(INDIRECT(CONCAT(""A"",to_text(match(DO98,ecn.list,0)))),0,1),"""")"),"KA ")</f>
        <v>KA </v>
      </c>
      <c r="AP98" s="236" t="str">
        <f>IFERROR(__xludf.DUMMYFUNCTION("if(countif(ecn.list,DP98),OFFSET(INDIRECT(CONCAT(""A"",to_text(match(DP98,ecn.list,0)))),0,1),"""")"),"KB ")</f>
        <v>KB </v>
      </c>
      <c r="AQ98" s="236" t="str">
        <f>IFERROR(__xludf.DUMMYFUNCTION("if(countif(ecn.list,DQ98),OFFSET(INDIRECT(CONCAT(""A"",to_text(match(DQ98,ecn.list,0)))),0,1),"""")"),"KC ")</f>
        <v>KC </v>
      </c>
      <c r="AR98" s="236" t="str">
        <f>IFERROR(__xludf.DUMMYFUNCTION("if(countif(ecn.list,DR98),OFFSET(INDIRECT(CONCAT(""A"",to_text(match(DR98,ecn.list,0)))),0,1),"""")"),"KD ")</f>
        <v>KD </v>
      </c>
      <c r="AS98" s="236" t="str">
        <f>IFERROR(__xludf.DUMMYFUNCTION("if(countif(ecn.list,DS98),OFFSET(INDIRECT(CONCAT(""A"",to_text(match(DS98,ecn.list,0)))),0,1),"""")"),"")</f>
        <v/>
      </c>
      <c r="AT98" s="236" t="str">
        <f>IFERROR(__xludf.DUMMYFUNCTION("if(countif(ecn.list,DT98),OFFSET(INDIRECT(CONCAT(""A"",to_text(match(DT98,ecn.list,0)))),0,1),"""")"),"")</f>
        <v/>
      </c>
      <c r="AU98" s="236" t="str">
        <f>IFERROR(__xludf.DUMMYFUNCTION("if(countif(ecn.list,DU98),OFFSET(INDIRECT(CONCAT(""A"",to_text(match(DU98,ecn.list,0)))),0,1),"""")"),"")</f>
        <v/>
      </c>
      <c r="AV98" s="236" t="str">
        <f>IFERROR(__xludf.DUMMYFUNCTION("if(countif(ecn.list,DV98),OFFSET(INDIRECT(CONCAT(""A"",to_text(match(DV98,ecn.list,0)))),0,1),"""")"),"L1 ")</f>
        <v>L1 </v>
      </c>
      <c r="AW98" s="236" t="str">
        <f>IFERROR(__xludf.DUMMYFUNCTION("if(countif(ecn.list,DW98),OFFSET(INDIRECT(CONCAT(""A"",to_text(match(DW98,ecn.list,0)))),0,1),"""")"),"")</f>
        <v/>
      </c>
      <c r="AX98" s="236" t="str">
        <f>IFERROR(__xludf.DUMMYFUNCTION("if(countif(ecn.list,DX98),OFFSET(INDIRECT(CONCAT(""A"",to_text(match(DX98,ecn.list,0)))),0,1),"""")"),"")</f>
        <v/>
      </c>
      <c r="AY98" s="236" t="str">
        <f>IFERROR(__xludf.DUMMYFUNCTION("if(countif(ecn.list,DY98),OFFSET(INDIRECT(CONCAT(""A"",to_text(match(DY98,ecn.list,0)))),0,1),"""")"),"")</f>
        <v/>
      </c>
      <c r="AZ98" s="236" t="str">
        <f>IFERROR(__xludf.DUMMYFUNCTION("if(countif(ecn.list,DZ98),OFFSET(INDIRECT(CONCAT(""A"",to_text(match(DZ98,ecn.list,0)))),0,1),"""")"),"")</f>
        <v/>
      </c>
      <c r="BA98" s="236" t="str">
        <f>IFERROR(__xludf.DUMMYFUNCTION("if(countif(ecn.list,EA98),OFFSET(INDIRECT(CONCAT(""A"",to_text(match(EA98,ecn.list,0)))),0,1),"""")"),"")</f>
        <v/>
      </c>
      <c r="BB98" s="236" t="str">
        <f>IFERROR(__xludf.DUMMYFUNCTION("if(countif(ecn.list,EB98),OFFSET(INDIRECT(CONCAT(""A"",to_text(match(EB98,ecn.list,0)))),0,1),"""")"),"")</f>
        <v/>
      </c>
      <c r="BC98" s="236" t="str">
        <f>IFERROR(__xludf.DUMMYFUNCTION("if(countif(ecn.list,EC98),OFFSET(INDIRECT(CONCAT(""A"",to_text(match(EC98,ecn.list,0)))),0,1),"""")"),"L8 ")</f>
        <v>L8 </v>
      </c>
      <c r="BD98" s="236" t="str">
        <f>IFERROR(__xludf.DUMMYFUNCTION("if(countif(ecn.list,ED98),OFFSET(INDIRECT(CONCAT(""A"",to_text(match(ED98,ecn.list,0)))),0,1),"""")"),"")</f>
        <v/>
      </c>
      <c r="BE98" s="236" t="str">
        <f>IFERROR(__xludf.DUMMYFUNCTION("if(countif(ecn.list,EE98),OFFSET(INDIRECT(CONCAT(""A"",to_text(match(EE98,ecn.list,0)))),0,1),"""")"),"LA ")</f>
        <v>LA </v>
      </c>
      <c r="BF98" s="236" t="str">
        <f>IFERROR(__xludf.DUMMYFUNCTION("if(countif(ecn.list,EF98),OFFSET(INDIRECT(CONCAT(""A"",to_text(match(EF98,ecn.list,0)))),0,1),"""")"),"")</f>
        <v/>
      </c>
      <c r="BG98" s="236" t="str">
        <f>IFERROR(__xludf.DUMMYFUNCTION("if(countif(ecn.list,EG98),OFFSET(INDIRECT(CONCAT(""A"",to_text(match(EG98,ecn.list,0)))),0,1),"""")"),"LC ")</f>
        <v>LC </v>
      </c>
      <c r="BH98" s="236" t="str">
        <f>IFERROR(__xludf.DUMMYFUNCTION("if(countif(ecn.list,EH98),OFFSET(INDIRECT(CONCAT(""A"",to_text(match(EH98,ecn.list,0)))),0,1),"""")"),"")</f>
        <v/>
      </c>
      <c r="BI98" s="236" t="str">
        <f>IFERROR(__xludf.DUMMYFUNCTION("if(countif(ecn.list,EI98),OFFSET(INDIRECT(CONCAT(""A"",to_text(match(EI98,ecn.list,0)))),0,1),"""")"),"")</f>
        <v/>
      </c>
      <c r="BJ98" s="236" t="str">
        <f>IFERROR(__xludf.DUMMYFUNCTION("if(countif(ecn.list,EJ98),OFFSET(INDIRECT(CONCAT(""A"",to_text(match(EJ98,ecn.list,0)))),0,1),"""")"),"LF ")</f>
        <v>LF </v>
      </c>
      <c r="BK98" s="236" t="str">
        <f>IFERROR(__xludf.DUMMYFUNCTION("if(countif(ecn.list,EK98),OFFSET(INDIRECT(CONCAT(""A"",to_text(match(EK98,ecn.list,0)))),0,1),"""")"),"M0 ")</f>
        <v>M0 </v>
      </c>
      <c r="BL98" s="236" t="str">
        <f>IFERROR(__xludf.DUMMYFUNCTION("if(countif(ecn.list,EL98),OFFSET(INDIRECT(CONCAT(""A"",to_text(match(EL98,ecn.list,0)))),0,1),"""")"),"M1 ")</f>
        <v>M1 </v>
      </c>
      <c r="BM98" s="236" t="str">
        <f>IFERROR(__xludf.DUMMYFUNCTION("if(countif(ecn.list,EM98),OFFSET(INDIRECT(CONCAT(""A"",to_text(match(EM98,ecn.list,0)))),0,1),"""")"),"")</f>
        <v/>
      </c>
      <c r="BN98" s="236" t="str">
        <f>IFERROR(__xludf.DUMMYFUNCTION("if(countif(ecn.list,EN98),OFFSET(INDIRECT(CONCAT(""A"",to_text(match(EN98,ecn.list,0)))),0,1),"""")"),"M3 ")</f>
        <v>M3 </v>
      </c>
      <c r="BO98" s="236" t="str">
        <f>IFERROR(__xludf.DUMMYFUNCTION("if(countif(ecn.list,EO98),OFFSET(INDIRECT(CONCAT(""A"",to_text(match(EO98,ecn.list,0)))),0,1),"""")"),"M4 ")</f>
        <v>M4 </v>
      </c>
      <c r="BP98" s="236" t="str">
        <f>IFERROR(__xludf.DUMMYFUNCTION("if(countif(ecn.list,EP98),OFFSET(INDIRECT(CONCAT(""A"",to_text(match(EP98,ecn.list,0)))),0,1),"""")"),"")</f>
        <v/>
      </c>
      <c r="BQ98" s="236" t="str">
        <f>IFERROR(__xludf.DUMMYFUNCTION("if(countif(ecn.list,EQ98),OFFSET(INDIRECT(CONCAT(""A"",to_text(match(EQ98,ecn.list,0)))),0,1),"""")"),"")</f>
        <v/>
      </c>
      <c r="BR98" s="236" t="str">
        <f>IFERROR(__xludf.DUMMYFUNCTION("if(countif(ecn.list,ER98),OFFSET(INDIRECT(CONCAT(""A"",to_text(match(ER98,ecn.list,0)))),0,1),"""")"),"")</f>
        <v/>
      </c>
      <c r="BS98" s="236" t="str">
        <f>IFERROR(__xludf.DUMMYFUNCTION("if(countif(ecn.list,ES98),OFFSET(INDIRECT(CONCAT(""A"",to_text(match(ES98,ecn.list,0)))),0,1),"""")"),"M8 ")</f>
        <v>M8 </v>
      </c>
      <c r="BT98" s="236" t="str">
        <f>IFERROR(__xludf.DUMMYFUNCTION("if(countif(ecn.list,ET98),OFFSET(INDIRECT(CONCAT(""A"",to_text(match(ET98,ecn.list,0)))),0,1),"""")"),"")</f>
        <v/>
      </c>
      <c r="BU98" s="236" t="str">
        <f>IFERROR(__xludf.DUMMYFUNCTION("if(countif(ecn.list,EU98),OFFSET(INDIRECT(CONCAT(""A"",to_text(match(EU98,ecn.list,0)))),0,1),"""")"),"")</f>
        <v/>
      </c>
      <c r="BV98" s="236" t="str">
        <f>IFERROR(__xludf.DUMMYFUNCTION("if(countif(ecn.list,EV98),OFFSET(INDIRECT(CONCAT(""A"",to_text(match(EV98,ecn.list,0)))),0,1),"""")"),"MB ")</f>
        <v>MB </v>
      </c>
      <c r="BW98" s="236" t="str">
        <f>IFERROR(__xludf.DUMMYFUNCTION("if(countif(ecn.list,EW98),OFFSET(INDIRECT(CONCAT(""A"",to_text(match(EW98,ecn.list,0)))),0,1),"""")"),"")</f>
        <v/>
      </c>
      <c r="BX98" s="236" t="str">
        <f>IFERROR(__xludf.DUMMYFUNCTION("if(countif(ecn.list,EX98),OFFSET(INDIRECT(CONCAT(""A"",to_text(match(EX98,ecn.list,0)))),0,1),"""")"),"MD ")</f>
        <v>MD </v>
      </c>
      <c r="BY98" s="236" t="str">
        <f>IFERROR(__xludf.DUMMYFUNCTION("if(countif(ecn.list,EY98),OFFSET(INDIRECT(CONCAT(""A"",to_text(match(EY98,ecn.list,0)))),0,1),"""")"),"")</f>
        <v/>
      </c>
      <c r="BZ98" s="236" t="str">
        <f>IFERROR(__xludf.DUMMYFUNCTION("if(countif(ecn.list,EZ98),OFFSET(INDIRECT(CONCAT(""A"",to_text(match(EZ98,ecn.list,0)))),0,1),"""")"),"MF ")</f>
        <v>MF </v>
      </c>
      <c r="CA98" s="236" t="str">
        <f>IFERROR(__xludf.DUMMYFUNCTION("if(countif(ecn.list,FA98),OFFSET(INDIRECT(CONCAT(""A"",to_text(match(FA98,ecn.list,0)))),0,1),"""")"),"")</f>
        <v/>
      </c>
      <c r="CB98" s="236" t="str">
        <f>IFERROR(__xludf.DUMMYFUNCTION("if(countif(ecn.list,FB98),OFFSET(INDIRECT(CONCAT(""A"",to_text(match(FB98,ecn.list,0)))),0,1),"""")"),"")</f>
        <v/>
      </c>
      <c r="CC98" s="236" t="str">
        <f>IFERROR(__xludf.DUMMYFUNCTION("if(countif(ecn.list,FC98),OFFSET(INDIRECT(CONCAT(""A"",to_text(match(FC98,ecn.list,0)))),0,1),"""")"),"N2 ")</f>
        <v>N2 </v>
      </c>
      <c r="CD98" s="236" t="str">
        <f>IFERROR(__xludf.DUMMYFUNCTION("if(countif(ecn.list,FD98),OFFSET(INDIRECT(CONCAT(""A"",to_text(match(FD98,ecn.list,0)))),0,1),"""")"),"")</f>
        <v/>
      </c>
      <c r="CE98" s="236" t="str">
        <f>IFERROR(__xludf.DUMMYFUNCTION("if(countif(ecn.list,FE98),OFFSET(INDIRECT(CONCAT(""A"",to_text(match(FE98,ecn.list,0)))),0,1),"""")"),"")</f>
        <v/>
      </c>
      <c r="CF98" s="236" t="str">
        <f>IFERROR(__xludf.DUMMYFUNCTION("if(countif(ecn.list,FF98),OFFSET(INDIRECT(CONCAT(""A"",to_text(match(FF98,ecn.list,0)))),0,1),"""")"),"")</f>
        <v/>
      </c>
      <c r="CG98" s="236" t="str">
        <f>IFERROR(__xludf.DUMMYFUNCTION("if(countif(ecn.list,FG98),OFFSET(INDIRECT(CONCAT(""A"",to_text(match(FG98,ecn.list,0)))),0,1),"""")"),"")</f>
        <v/>
      </c>
      <c r="CH98" s="236" t="str">
        <f>IFERROR(__xludf.DUMMYFUNCTION("if(countif(ecn.list,FH98),OFFSET(INDIRECT(CONCAT(""A"",to_text(match(FH98,ecn.list,0)))),0,1),"""")"),"N7 ")</f>
        <v>N7 </v>
      </c>
      <c r="CI98" s="236" t="str">
        <f>IFERROR(__xludf.DUMMYFUNCTION("if(countif(ecn.list,FI98),OFFSET(INDIRECT(CONCAT(""A"",to_text(match(FI98,ecn.list,0)))),0,1),"""")"),"")</f>
        <v/>
      </c>
      <c r="CJ98" s="236" t="str">
        <f>IFERROR(__xludf.DUMMYFUNCTION("if(countif(ecn.list,FJ98),OFFSET(INDIRECT(CONCAT(""A"",to_text(match(FJ98,ecn.list,0)))),0,1),"""")"),"")</f>
        <v/>
      </c>
      <c r="CK98" s="236" t="str">
        <f>IFERROR(__xludf.DUMMYFUNCTION("if(countif(ecn.list,FK98),OFFSET(INDIRECT(CONCAT(""A"",to_text(match(FK98,ecn.list,0)))),0,1),"""")"),"NA ")</f>
        <v>NA </v>
      </c>
      <c r="CL98" s="236" t="str">
        <f>IFERROR(__xludf.DUMMYFUNCTION("if(countif(ecn.list,FL98),OFFSET(INDIRECT(CONCAT(""A"",to_text(match(FL98,ecn.list,0)))),0,1),"""")"),"")</f>
        <v/>
      </c>
      <c r="CM98" s="236" t="str">
        <f>IFERROR(__xludf.DUMMYFUNCTION("if(countif(ecn.list,FM98),OFFSET(INDIRECT(CONCAT(""A"",to_text(match(FM98,ecn.list,0)))),0,1),"""")"),"")</f>
        <v/>
      </c>
      <c r="CN98" s="198" t="s">
        <v>366</v>
      </c>
      <c r="CO98" s="198" t="s">
        <v>1447</v>
      </c>
      <c r="CP98" s="198" t="s">
        <v>1451</v>
      </c>
      <c r="CQ98" s="198" t="s">
        <v>1452</v>
      </c>
      <c r="CR98" s="198" t="s">
        <v>1453</v>
      </c>
      <c r="CS98" s="198" t="s">
        <v>1453</v>
      </c>
      <c r="CT98" s="198" t="s">
        <v>1454</v>
      </c>
      <c r="CU98" s="198" t="s">
        <v>1455</v>
      </c>
      <c r="CV98" s="198" t="s">
        <v>1456</v>
      </c>
      <c r="CW98" s="198" t="s">
        <v>1453</v>
      </c>
      <c r="CX98" s="198" t="s">
        <v>1453</v>
      </c>
      <c r="CY98" s="198" t="s">
        <v>1484</v>
      </c>
      <c r="CZ98" s="198" t="s">
        <v>1453</v>
      </c>
      <c r="DA98" s="198" t="s">
        <v>1457</v>
      </c>
      <c r="DB98" s="198" t="s">
        <v>1453</v>
      </c>
      <c r="DC98" s="198" t="s">
        <v>1453</v>
      </c>
      <c r="DD98" s="198" t="s">
        <v>1453</v>
      </c>
      <c r="DE98" s="198" t="s">
        <v>1459</v>
      </c>
      <c r="DF98" s="198" t="s">
        <v>1453</v>
      </c>
      <c r="DG98" s="198" t="s">
        <v>1453</v>
      </c>
      <c r="DH98" s="198" t="s">
        <v>1453</v>
      </c>
      <c r="DI98" s="198" t="s">
        <v>1453</v>
      </c>
      <c r="DJ98" s="198" t="s">
        <v>1460</v>
      </c>
      <c r="DK98" s="198" t="s">
        <v>1453</v>
      </c>
      <c r="DL98" s="198" t="s">
        <v>1461</v>
      </c>
      <c r="DM98" s="198" t="s">
        <v>1453</v>
      </c>
      <c r="DN98" s="198" t="s">
        <v>1463</v>
      </c>
      <c r="DO98" s="198" t="s">
        <v>1464</v>
      </c>
      <c r="DP98" s="198" t="s">
        <v>1465</v>
      </c>
      <c r="DQ98" s="198" t="s">
        <v>1466</v>
      </c>
      <c r="DR98" s="198" t="s">
        <v>1467</v>
      </c>
      <c r="DS98" s="198" t="s">
        <v>1453</v>
      </c>
      <c r="DT98" s="198" t="s">
        <v>1453</v>
      </c>
      <c r="DU98" s="198" t="s">
        <v>1453</v>
      </c>
      <c r="DV98" s="198" t="s">
        <v>1469</v>
      </c>
      <c r="DW98" s="198" t="s">
        <v>1453</v>
      </c>
      <c r="DX98" s="198" t="s">
        <v>1453</v>
      </c>
      <c r="DY98" s="198" t="s">
        <v>1453</v>
      </c>
      <c r="DZ98" s="198" t="s">
        <v>1453</v>
      </c>
      <c r="EA98" s="198" t="s">
        <v>1453</v>
      </c>
      <c r="EB98" s="198" t="s">
        <v>1453</v>
      </c>
      <c r="EC98" s="198" t="s">
        <v>1483</v>
      </c>
      <c r="ED98" s="198" t="s">
        <v>1453</v>
      </c>
      <c r="EE98" s="198" t="s">
        <v>1470</v>
      </c>
      <c r="EF98" s="198" t="s">
        <v>1453</v>
      </c>
      <c r="EG98" s="198" t="s">
        <v>1471</v>
      </c>
      <c r="EH98" s="198" t="s">
        <v>1453</v>
      </c>
      <c r="EI98" s="198" t="s">
        <v>1453</v>
      </c>
      <c r="EJ98" s="198" t="s">
        <v>1472</v>
      </c>
      <c r="EK98" s="198" t="s">
        <v>1487</v>
      </c>
      <c r="EL98" s="198" t="s">
        <v>1473</v>
      </c>
      <c r="EM98" s="198" t="s">
        <v>1453</v>
      </c>
      <c r="EN98" s="198" t="s">
        <v>1474</v>
      </c>
      <c r="EO98" s="198" t="s">
        <v>1475</v>
      </c>
      <c r="EP98" s="198" t="s">
        <v>1453</v>
      </c>
      <c r="EQ98" s="198" t="s">
        <v>1453</v>
      </c>
      <c r="ER98" s="198" t="s">
        <v>1453</v>
      </c>
      <c r="ES98" s="198" t="s">
        <v>1505</v>
      </c>
      <c r="ET98" s="198" t="s">
        <v>1453</v>
      </c>
      <c r="EU98" s="198" t="s">
        <v>1453</v>
      </c>
      <c r="EV98" s="198" t="s">
        <v>1476</v>
      </c>
      <c r="EW98" s="198" t="s">
        <v>1453</v>
      </c>
      <c r="EX98" s="198" t="s">
        <v>1488</v>
      </c>
      <c r="EY98" s="198" t="s">
        <v>1453</v>
      </c>
      <c r="EZ98" s="198" t="s">
        <v>1477</v>
      </c>
      <c r="FA98" s="198" t="s">
        <v>1453</v>
      </c>
      <c r="FB98" s="198" t="s">
        <v>1453</v>
      </c>
      <c r="FC98" s="198" t="s">
        <v>1478</v>
      </c>
      <c r="FD98" s="198" t="s">
        <v>1453</v>
      </c>
      <c r="FE98" s="198" t="s">
        <v>1453</v>
      </c>
      <c r="FF98" s="198" t="s">
        <v>1453</v>
      </c>
      <c r="FG98" s="198" t="s">
        <v>1453</v>
      </c>
      <c r="FH98" s="198" t="s">
        <v>1479</v>
      </c>
      <c r="FI98" s="198" t="s">
        <v>1453</v>
      </c>
      <c r="FJ98" s="198" t="s">
        <v>1453</v>
      </c>
      <c r="FK98" s="198" t="s">
        <v>1481</v>
      </c>
      <c r="FL98" s="198" t="s">
        <v>1482</v>
      </c>
      <c r="FM98" s="198" t="s">
        <v>1453</v>
      </c>
    </row>
    <row r="99" ht="15.75" customHeight="1">
      <c r="A99" s="198"/>
      <c r="B99" s="198"/>
      <c r="C99" s="234"/>
      <c r="D99" s="232" t="s">
        <v>770</v>
      </c>
      <c r="E99" s="232" t="s">
        <v>1448</v>
      </c>
      <c r="F99" s="232" t="s">
        <v>1449</v>
      </c>
      <c r="G99" s="232" t="s">
        <v>1450</v>
      </c>
      <c r="H99" s="232" t="s">
        <v>876</v>
      </c>
      <c r="I99" s="232" t="s">
        <v>882</v>
      </c>
      <c r="J99" s="232" t="s">
        <v>934</v>
      </c>
      <c r="K99" s="232" t="s">
        <v>935</v>
      </c>
      <c r="L99" s="188" t="s">
        <v>369</v>
      </c>
      <c r="M99" s="236" t="str">
        <f>IFERROR(__xludf.DUMMYFUNCTION("regexreplace(N99,"" "","", "")"),"J0, J1, J2, J5, J6, J7, JA, JC, JD, K0, K5, K7, K9, KA, KC, KD, KF, L1, L8, LA, LC, M0, M3, MA, MD, MF, N2, N7, NA, ")</f>
        <v>J0, J1, J2, J5, J6, J7, JA, JC, JD, K0, K5, K7, K9, KA, KC, KD, KF, L1, L8, LA, LC, M0, M3, MA, MD, MF, N2, N7, NA, </v>
      </c>
      <c r="N99" s="236" t="str">
        <f t="shared" si="2"/>
        <v>J0 J1 J2 J5 J6 J7 JA JC JD K0 K5 K7 K9 KA KC KD KF L1 L8 LA LC M0 M3 MA MD MF N2 N7 NA </v>
      </c>
      <c r="O99" s="236" t="str">
        <f>IFERROR(__xludf.DUMMYFUNCTION("if(countif(ecn.list,CO99),OFFSET(INDIRECT(CONCAT(""A"",to_text(match(CO99,ecn.list,0)))),0,1),"""")"),"J0 ")</f>
        <v>J0 </v>
      </c>
      <c r="P99" s="236" t="str">
        <f>IFERROR(__xludf.DUMMYFUNCTION("if(countif(ecn.list,CP99),OFFSET(INDIRECT(CONCAT(""A"",to_text(match(CP99,ecn.list,0)))),0,1),"""")"),"J1 ")</f>
        <v>J1 </v>
      </c>
      <c r="Q99" s="236" t="str">
        <f>IFERROR(__xludf.DUMMYFUNCTION("if(countif(ecn.list,CQ99),OFFSET(INDIRECT(CONCAT(""A"",to_text(match(CQ99,ecn.list,0)))),0,1),"""")"),"J2 ")</f>
        <v>J2 </v>
      </c>
      <c r="R99" s="236" t="str">
        <f>IFERROR(__xludf.DUMMYFUNCTION("if(countif(ecn.list,CR99),OFFSET(INDIRECT(CONCAT(""A"",to_text(match(CR99,ecn.list,0)))),0,1),"""")"),"")</f>
        <v/>
      </c>
      <c r="S99" s="236" t="str">
        <f>IFERROR(__xludf.DUMMYFUNCTION("if(countif(ecn.list,CS99),OFFSET(INDIRECT(CONCAT(""A"",to_text(match(CS99,ecn.list,0)))),0,1),"""")"),"")</f>
        <v/>
      </c>
      <c r="T99" s="236" t="str">
        <f>IFERROR(__xludf.DUMMYFUNCTION("if(countif(ecn.list,CT99),OFFSET(INDIRECT(CONCAT(""A"",to_text(match(CT99,ecn.list,0)))),0,1),"""")"),"J5 ")</f>
        <v>J5 </v>
      </c>
      <c r="U99" s="236" t="str">
        <f>IFERROR(__xludf.DUMMYFUNCTION("if(countif(ecn.list,CU99),OFFSET(INDIRECT(CONCAT(""A"",to_text(match(CU99,ecn.list,0)))),0,1),"""")"),"J6 ")</f>
        <v>J6 </v>
      </c>
      <c r="V99" s="236" t="str">
        <f>IFERROR(__xludf.DUMMYFUNCTION("if(countif(ecn.list,CV99),OFFSET(INDIRECT(CONCAT(""A"",to_text(match(CV99,ecn.list,0)))),0,1),"""")"),"J7 ")</f>
        <v>J7 </v>
      </c>
      <c r="W99" s="236" t="str">
        <f>IFERROR(__xludf.DUMMYFUNCTION("if(countif(ecn.list,CW99),OFFSET(INDIRECT(CONCAT(""A"",to_text(match(CW99,ecn.list,0)))),0,1),"""")"),"")</f>
        <v/>
      </c>
      <c r="X99" s="236" t="str">
        <f>IFERROR(__xludf.DUMMYFUNCTION("if(countif(ecn.list,CX99),OFFSET(INDIRECT(CONCAT(""A"",to_text(match(CX99,ecn.list,0)))),0,1),"""")"),"")</f>
        <v/>
      </c>
      <c r="Y99" s="236" t="str">
        <f>IFERROR(__xludf.DUMMYFUNCTION("if(countif(ecn.list,CY99),OFFSET(INDIRECT(CONCAT(""A"",to_text(match(CY99,ecn.list,0)))),0,1),"""")"),"JA ")</f>
        <v>JA </v>
      </c>
      <c r="Z99" s="236" t="str">
        <f>IFERROR(__xludf.DUMMYFUNCTION("if(countif(ecn.list,CZ99),OFFSET(INDIRECT(CONCAT(""A"",to_text(match(CZ99,ecn.list,0)))),0,1),"""")"),"")</f>
        <v/>
      </c>
      <c r="AA99" s="236" t="str">
        <f>IFERROR(__xludf.DUMMYFUNCTION("if(countif(ecn.list,DA99),OFFSET(INDIRECT(CONCAT(""A"",to_text(match(DA99,ecn.list,0)))),0,1),"""")"),"JC ")</f>
        <v>JC </v>
      </c>
      <c r="AB99" s="236" t="str">
        <f>IFERROR(__xludf.DUMMYFUNCTION("if(countif(ecn.list,DB99),OFFSET(INDIRECT(CONCAT(""A"",to_text(match(DB99,ecn.list,0)))),0,1),"""")"),"JD ")</f>
        <v>JD </v>
      </c>
      <c r="AC99" s="236" t="str">
        <f>IFERROR(__xludf.DUMMYFUNCTION("if(countif(ecn.list,DC99),OFFSET(INDIRECT(CONCAT(""A"",to_text(match(DC99,ecn.list,0)))),0,1),"""")"),"")</f>
        <v/>
      </c>
      <c r="AD99" s="236" t="str">
        <f>IFERROR(__xludf.DUMMYFUNCTION("if(countif(ecn.list,DD99),OFFSET(INDIRECT(CONCAT(""A"",to_text(match(DD99,ecn.list,0)))),0,1),"""")"),"")</f>
        <v/>
      </c>
      <c r="AE99" s="236" t="str">
        <f>IFERROR(__xludf.DUMMYFUNCTION("if(countif(ecn.list,DE99),OFFSET(INDIRECT(CONCAT(""A"",to_text(match(DE99,ecn.list,0)))),0,1),"""")"),"K0 ")</f>
        <v>K0 </v>
      </c>
      <c r="AF99" s="236" t="str">
        <f>IFERROR(__xludf.DUMMYFUNCTION("if(countif(ecn.list,DF99),OFFSET(INDIRECT(CONCAT(""A"",to_text(match(DF99,ecn.list,0)))),0,1),"""")"),"")</f>
        <v/>
      </c>
      <c r="AG99" s="236" t="str">
        <f>IFERROR(__xludf.DUMMYFUNCTION("if(countif(ecn.list,DG99),OFFSET(INDIRECT(CONCAT(""A"",to_text(match(DG99,ecn.list,0)))),0,1),"""")"),"")</f>
        <v/>
      </c>
      <c r="AH99" s="236" t="str">
        <f>IFERROR(__xludf.DUMMYFUNCTION("if(countif(ecn.list,DH99),OFFSET(INDIRECT(CONCAT(""A"",to_text(match(DH99,ecn.list,0)))),0,1),"""")"),"")</f>
        <v/>
      </c>
      <c r="AI99" s="236" t="str">
        <f>IFERROR(__xludf.DUMMYFUNCTION("if(countif(ecn.list,DI99),OFFSET(INDIRECT(CONCAT(""A"",to_text(match(DI99,ecn.list,0)))),0,1),"""")"),"")</f>
        <v/>
      </c>
      <c r="AJ99" s="236" t="str">
        <f>IFERROR(__xludf.DUMMYFUNCTION("if(countif(ecn.list,DJ99),OFFSET(INDIRECT(CONCAT(""A"",to_text(match(DJ99,ecn.list,0)))),0,1),"""")"),"K5 ")</f>
        <v>K5 </v>
      </c>
      <c r="AK99" s="236" t="str">
        <f>IFERROR(__xludf.DUMMYFUNCTION("if(countif(ecn.list,DK99),OFFSET(INDIRECT(CONCAT(""A"",to_text(match(DK99,ecn.list,0)))),0,1),"""")"),"")</f>
        <v/>
      </c>
      <c r="AL99" s="236" t="str">
        <f>IFERROR(__xludf.DUMMYFUNCTION("if(countif(ecn.list,DL99),OFFSET(INDIRECT(CONCAT(""A"",to_text(match(DL99,ecn.list,0)))),0,1),"""")"),"K7 ")</f>
        <v>K7 </v>
      </c>
      <c r="AM99" s="236" t="str">
        <f>IFERROR(__xludf.DUMMYFUNCTION("if(countif(ecn.list,DM99),OFFSET(INDIRECT(CONCAT(""A"",to_text(match(DM99,ecn.list,0)))),0,1),"""")"),"")</f>
        <v/>
      </c>
      <c r="AN99" s="236" t="str">
        <f>IFERROR(__xludf.DUMMYFUNCTION("if(countif(ecn.list,DN99),OFFSET(INDIRECT(CONCAT(""A"",to_text(match(DN99,ecn.list,0)))),0,1),"""")"),"K9 ")</f>
        <v>K9 </v>
      </c>
      <c r="AO99" s="236" t="str">
        <f>IFERROR(__xludf.DUMMYFUNCTION("if(countif(ecn.list,DO99),OFFSET(INDIRECT(CONCAT(""A"",to_text(match(DO99,ecn.list,0)))),0,1),"""")"),"KA ")</f>
        <v>KA </v>
      </c>
      <c r="AP99" s="236" t="str">
        <f>IFERROR(__xludf.DUMMYFUNCTION("if(countif(ecn.list,DP99),OFFSET(INDIRECT(CONCAT(""A"",to_text(match(DP99,ecn.list,0)))),0,1),"""")"),"")</f>
        <v/>
      </c>
      <c r="AQ99" s="236" t="str">
        <f>IFERROR(__xludf.DUMMYFUNCTION("if(countif(ecn.list,DQ99),OFFSET(INDIRECT(CONCAT(""A"",to_text(match(DQ99,ecn.list,0)))),0,1),"""")"),"KC ")</f>
        <v>KC </v>
      </c>
      <c r="AR99" s="236" t="str">
        <f>IFERROR(__xludf.DUMMYFUNCTION("if(countif(ecn.list,DR99),OFFSET(INDIRECT(CONCAT(""A"",to_text(match(DR99,ecn.list,0)))),0,1),"""")"),"KD ")</f>
        <v>KD </v>
      </c>
      <c r="AS99" s="236" t="str">
        <f>IFERROR(__xludf.DUMMYFUNCTION("if(countif(ecn.list,DS99),OFFSET(INDIRECT(CONCAT(""A"",to_text(match(DS99,ecn.list,0)))),0,1),"""")"),"")</f>
        <v/>
      </c>
      <c r="AT99" s="236" t="str">
        <f>IFERROR(__xludf.DUMMYFUNCTION("if(countif(ecn.list,DT99),OFFSET(INDIRECT(CONCAT(""A"",to_text(match(DT99,ecn.list,0)))),0,1),"""")"),"KF ")</f>
        <v>KF </v>
      </c>
      <c r="AU99" s="236" t="str">
        <f>IFERROR(__xludf.DUMMYFUNCTION("if(countif(ecn.list,DU99),OFFSET(INDIRECT(CONCAT(""A"",to_text(match(DU99,ecn.list,0)))),0,1),"""")"),"")</f>
        <v/>
      </c>
      <c r="AV99" s="236" t="str">
        <f>IFERROR(__xludf.DUMMYFUNCTION("if(countif(ecn.list,DV99),OFFSET(INDIRECT(CONCAT(""A"",to_text(match(DV99,ecn.list,0)))),0,1),"""")"),"L1 ")</f>
        <v>L1 </v>
      </c>
      <c r="AW99" s="236" t="str">
        <f>IFERROR(__xludf.DUMMYFUNCTION("if(countif(ecn.list,DW99),OFFSET(INDIRECT(CONCAT(""A"",to_text(match(DW99,ecn.list,0)))),0,1),"""")"),"")</f>
        <v/>
      </c>
      <c r="AX99" s="236" t="str">
        <f>IFERROR(__xludf.DUMMYFUNCTION("if(countif(ecn.list,DX99),OFFSET(INDIRECT(CONCAT(""A"",to_text(match(DX99,ecn.list,0)))),0,1),"""")"),"")</f>
        <v/>
      </c>
      <c r="AY99" s="236" t="str">
        <f>IFERROR(__xludf.DUMMYFUNCTION("if(countif(ecn.list,DY99),OFFSET(INDIRECT(CONCAT(""A"",to_text(match(DY99,ecn.list,0)))),0,1),"""")"),"")</f>
        <v/>
      </c>
      <c r="AZ99" s="236" t="str">
        <f>IFERROR(__xludf.DUMMYFUNCTION("if(countif(ecn.list,DZ99),OFFSET(INDIRECT(CONCAT(""A"",to_text(match(DZ99,ecn.list,0)))),0,1),"""")"),"")</f>
        <v/>
      </c>
      <c r="BA99" s="236" t="str">
        <f>IFERROR(__xludf.DUMMYFUNCTION("if(countif(ecn.list,EA99),OFFSET(INDIRECT(CONCAT(""A"",to_text(match(EA99,ecn.list,0)))),0,1),"""")"),"")</f>
        <v/>
      </c>
      <c r="BB99" s="236" t="str">
        <f>IFERROR(__xludf.DUMMYFUNCTION("if(countif(ecn.list,EB99),OFFSET(INDIRECT(CONCAT(""A"",to_text(match(EB99,ecn.list,0)))),0,1),"""")"),"")</f>
        <v/>
      </c>
      <c r="BC99" s="236" t="str">
        <f>IFERROR(__xludf.DUMMYFUNCTION("if(countif(ecn.list,EC99),OFFSET(INDIRECT(CONCAT(""A"",to_text(match(EC99,ecn.list,0)))),0,1),"""")"),"L8 ")</f>
        <v>L8 </v>
      </c>
      <c r="BD99" s="236" t="str">
        <f>IFERROR(__xludf.DUMMYFUNCTION("if(countif(ecn.list,ED99),OFFSET(INDIRECT(CONCAT(""A"",to_text(match(ED99,ecn.list,0)))),0,1),"""")"),"")</f>
        <v/>
      </c>
      <c r="BE99" s="236" t="str">
        <f>IFERROR(__xludf.DUMMYFUNCTION("if(countif(ecn.list,EE99),OFFSET(INDIRECT(CONCAT(""A"",to_text(match(EE99,ecn.list,0)))),0,1),"""")"),"LA ")</f>
        <v>LA </v>
      </c>
      <c r="BF99" s="236" t="str">
        <f>IFERROR(__xludf.DUMMYFUNCTION("if(countif(ecn.list,EF99),OFFSET(INDIRECT(CONCAT(""A"",to_text(match(EF99,ecn.list,0)))),0,1),"""")"),"")</f>
        <v/>
      </c>
      <c r="BG99" s="236" t="str">
        <f>IFERROR(__xludf.DUMMYFUNCTION("if(countif(ecn.list,EG99),OFFSET(INDIRECT(CONCAT(""A"",to_text(match(EG99,ecn.list,0)))),0,1),"""")"),"LC ")</f>
        <v>LC </v>
      </c>
      <c r="BH99" s="236" t="str">
        <f>IFERROR(__xludf.DUMMYFUNCTION("if(countif(ecn.list,EH99),OFFSET(INDIRECT(CONCAT(""A"",to_text(match(EH99,ecn.list,0)))),0,1),"""")"),"")</f>
        <v/>
      </c>
      <c r="BI99" s="236" t="str">
        <f>IFERROR(__xludf.DUMMYFUNCTION("if(countif(ecn.list,EI99),OFFSET(INDIRECT(CONCAT(""A"",to_text(match(EI99,ecn.list,0)))),0,1),"""")"),"")</f>
        <v/>
      </c>
      <c r="BJ99" s="236" t="str">
        <f>IFERROR(__xludf.DUMMYFUNCTION("if(countif(ecn.list,EJ99),OFFSET(INDIRECT(CONCAT(""A"",to_text(match(EJ99,ecn.list,0)))),0,1),"""")"),"")</f>
        <v/>
      </c>
      <c r="BK99" s="236" t="str">
        <f>IFERROR(__xludf.DUMMYFUNCTION("if(countif(ecn.list,EK99),OFFSET(INDIRECT(CONCAT(""A"",to_text(match(EK99,ecn.list,0)))),0,1),"""")"),"M0 ")</f>
        <v>M0 </v>
      </c>
      <c r="BL99" s="236" t="str">
        <f>IFERROR(__xludf.DUMMYFUNCTION("if(countif(ecn.list,EL99),OFFSET(INDIRECT(CONCAT(""A"",to_text(match(EL99,ecn.list,0)))),0,1),"""")"),"")</f>
        <v/>
      </c>
      <c r="BM99" s="236" t="str">
        <f>IFERROR(__xludf.DUMMYFUNCTION("if(countif(ecn.list,EM99),OFFSET(INDIRECT(CONCAT(""A"",to_text(match(EM99,ecn.list,0)))),0,1),"""")"),"")</f>
        <v/>
      </c>
      <c r="BN99" s="236" t="str">
        <f>IFERROR(__xludf.DUMMYFUNCTION("if(countif(ecn.list,EN99),OFFSET(INDIRECT(CONCAT(""A"",to_text(match(EN99,ecn.list,0)))),0,1),"""")"),"M3 ")</f>
        <v>M3 </v>
      </c>
      <c r="BO99" s="236" t="str">
        <f>IFERROR(__xludf.DUMMYFUNCTION("if(countif(ecn.list,EO99),OFFSET(INDIRECT(CONCAT(""A"",to_text(match(EO99,ecn.list,0)))),0,1),"""")"),"")</f>
        <v/>
      </c>
      <c r="BP99" s="236" t="str">
        <f>IFERROR(__xludf.DUMMYFUNCTION("if(countif(ecn.list,EP99),OFFSET(INDIRECT(CONCAT(""A"",to_text(match(EP99,ecn.list,0)))),0,1),"""")"),"")</f>
        <v/>
      </c>
      <c r="BQ99" s="236" t="str">
        <f>IFERROR(__xludf.DUMMYFUNCTION("if(countif(ecn.list,EQ99),OFFSET(INDIRECT(CONCAT(""A"",to_text(match(EQ99,ecn.list,0)))),0,1),"""")"),"")</f>
        <v/>
      </c>
      <c r="BR99" s="236" t="str">
        <f>IFERROR(__xludf.DUMMYFUNCTION("if(countif(ecn.list,ER99),OFFSET(INDIRECT(CONCAT(""A"",to_text(match(ER99,ecn.list,0)))),0,1),"""")"),"")</f>
        <v/>
      </c>
      <c r="BS99" s="236" t="str">
        <f>IFERROR(__xludf.DUMMYFUNCTION("if(countif(ecn.list,ES99),OFFSET(INDIRECT(CONCAT(""A"",to_text(match(ES99,ecn.list,0)))),0,1),"""")"),"")</f>
        <v/>
      </c>
      <c r="BT99" s="236" t="str">
        <f>IFERROR(__xludf.DUMMYFUNCTION("if(countif(ecn.list,ET99),OFFSET(INDIRECT(CONCAT(""A"",to_text(match(ET99,ecn.list,0)))),0,1),"""")"),"")</f>
        <v/>
      </c>
      <c r="BU99" s="236" t="str">
        <f>IFERROR(__xludf.DUMMYFUNCTION("if(countif(ecn.list,EU99),OFFSET(INDIRECT(CONCAT(""A"",to_text(match(EU99,ecn.list,0)))),0,1),"""")"),"MA ")</f>
        <v>MA </v>
      </c>
      <c r="BV99" s="236" t="str">
        <f>IFERROR(__xludf.DUMMYFUNCTION("if(countif(ecn.list,EV99),OFFSET(INDIRECT(CONCAT(""A"",to_text(match(EV99,ecn.list,0)))),0,1),"""")"),"")</f>
        <v/>
      </c>
      <c r="BW99" s="236" t="str">
        <f>IFERROR(__xludf.DUMMYFUNCTION("if(countif(ecn.list,EW99),OFFSET(INDIRECT(CONCAT(""A"",to_text(match(EW99,ecn.list,0)))),0,1),"""")"),"")</f>
        <v/>
      </c>
      <c r="BX99" s="236" t="str">
        <f>IFERROR(__xludf.DUMMYFUNCTION("if(countif(ecn.list,EX99),OFFSET(INDIRECT(CONCAT(""A"",to_text(match(EX99,ecn.list,0)))),0,1),"""")"),"MD ")</f>
        <v>MD </v>
      </c>
      <c r="BY99" s="236" t="str">
        <f>IFERROR(__xludf.DUMMYFUNCTION("if(countif(ecn.list,EY99),OFFSET(INDIRECT(CONCAT(""A"",to_text(match(EY99,ecn.list,0)))),0,1),"""")"),"")</f>
        <v/>
      </c>
      <c r="BZ99" s="236" t="str">
        <f>IFERROR(__xludf.DUMMYFUNCTION("if(countif(ecn.list,EZ99),OFFSET(INDIRECT(CONCAT(""A"",to_text(match(EZ99,ecn.list,0)))),0,1),"""")"),"MF ")</f>
        <v>MF </v>
      </c>
      <c r="CA99" s="236" t="str">
        <f>IFERROR(__xludf.DUMMYFUNCTION("if(countif(ecn.list,FA99),OFFSET(INDIRECT(CONCAT(""A"",to_text(match(FA99,ecn.list,0)))),0,1),"""")"),"")</f>
        <v/>
      </c>
      <c r="CB99" s="236" t="str">
        <f>IFERROR(__xludf.DUMMYFUNCTION("if(countif(ecn.list,FB99),OFFSET(INDIRECT(CONCAT(""A"",to_text(match(FB99,ecn.list,0)))),0,1),"""")"),"")</f>
        <v/>
      </c>
      <c r="CC99" s="236" t="str">
        <f>IFERROR(__xludf.DUMMYFUNCTION("if(countif(ecn.list,FC99),OFFSET(INDIRECT(CONCAT(""A"",to_text(match(FC99,ecn.list,0)))),0,1),"""")"),"N2 ")</f>
        <v>N2 </v>
      </c>
      <c r="CD99" s="236" t="str">
        <f>IFERROR(__xludf.DUMMYFUNCTION("if(countif(ecn.list,FD99),OFFSET(INDIRECT(CONCAT(""A"",to_text(match(FD99,ecn.list,0)))),0,1),"""")"),"")</f>
        <v/>
      </c>
      <c r="CE99" s="236" t="str">
        <f>IFERROR(__xludf.DUMMYFUNCTION("if(countif(ecn.list,FE99),OFFSET(INDIRECT(CONCAT(""A"",to_text(match(FE99,ecn.list,0)))),0,1),"""")"),"")</f>
        <v/>
      </c>
      <c r="CF99" s="236" t="str">
        <f>IFERROR(__xludf.DUMMYFUNCTION("if(countif(ecn.list,FF99),OFFSET(INDIRECT(CONCAT(""A"",to_text(match(FF99,ecn.list,0)))),0,1),"""")"),"")</f>
        <v/>
      </c>
      <c r="CG99" s="236" t="str">
        <f>IFERROR(__xludf.DUMMYFUNCTION("if(countif(ecn.list,FG99),OFFSET(INDIRECT(CONCAT(""A"",to_text(match(FG99,ecn.list,0)))),0,1),"""")"),"")</f>
        <v/>
      </c>
      <c r="CH99" s="236" t="str">
        <f>IFERROR(__xludf.DUMMYFUNCTION("if(countif(ecn.list,FH99),OFFSET(INDIRECT(CONCAT(""A"",to_text(match(FH99,ecn.list,0)))),0,1),"""")"),"N7 ")</f>
        <v>N7 </v>
      </c>
      <c r="CI99" s="236" t="str">
        <f>IFERROR(__xludf.DUMMYFUNCTION("if(countif(ecn.list,FI99),OFFSET(INDIRECT(CONCAT(""A"",to_text(match(FI99,ecn.list,0)))),0,1),"""")"),"")</f>
        <v/>
      </c>
      <c r="CJ99" s="236" t="str">
        <f>IFERROR(__xludf.DUMMYFUNCTION("if(countif(ecn.list,FJ99),OFFSET(INDIRECT(CONCAT(""A"",to_text(match(FJ99,ecn.list,0)))),0,1),"""")"),"")</f>
        <v/>
      </c>
      <c r="CK99" s="236" t="str">
        <f>IFERROR(__xludf.DUMMYFUNCTION("if(countif(ecn.list,FK99),OFFSET(INDIRECT(CONCAT(""A"",to_text(match(FK99,ecn.list,0)))),0,1),"""")"),"NA ")</f>
        <v>NA </v>
      </c>
      <c r="CL99" s="236" t="str">
        <f>IFERROR(__xludf.DUMMYFUNCTION("if(countif(ecn.list,FL99),OFFSET(INDIRECT(CONCAT(""A"",to_text(match(FL99,ecn.list,0)))),0,1),"""")"),"")</f>
        <v/>
      </c>
      <c r="CM99" s="236" t="str">
        <f>IFERROR(__xludf.DUMMYFUNCTION("if(countif(ecn.list,FM99),OFFSET(INDIRECT(CONCAT(""A"",to_text(match(FM99,ecn.list,0)))),0,1),"""")"),"")</f>
        <v/>
      </c>
      <c r="CN99" s="198" t="s">
        <v>369</v>
      </c>
      <c r="CO99" s="198" t="s">
        <v>1447</v>
      </c>
      <c r="CP99" s="198" t="s">
        <v>1451</v>
      </c>
      <c r="CQ99" s="198" t="s">
        <v>1452</v>
      </c>
      <c r="CR99" s="198" t="s">
        <v>1453</v>
      </c>
      <c r="CS99" s="198" t="s">
        <v>1453</v>
      </c>
      <c r="CT99" s="198" t="s">
        <v>1454</v>
      </c>
      <c r="CU99" s="198" t="s">
        <v>1455</v>
      </c>
      <c r="CV99" s="198" t="s">
        <v>1456</v>
      </c>
      <c r="CW99" s="198" t="s">
        <v>1453</v>
      </c>
      <c r="CX99" s="198" t="s">
        <v>1453</v>
      </c>
      <c r="CY99" s="198" t="s">
        <v>1484</v>
      </c>
      <c r="CZ99" s="198" t="s">
        <v>1453</v>
      </c>
      <c r="DA99" s="198" t="s">
        <v>1457</v>
      </c>
      <c r="DB99" s="198" t="s">
        <v>1485</v>
      </c>
      <c r="DC99" s="198" t="s">
        <v>1453</v>
      </c>
      <c r="DD99" s="198" t="s">
        <v>1453</v>
      </c>
      <c r="DE99" s="198" t="s">
        <v>1459</v>
      </c>
      <c r="DF99" s="198" t="s">
        <v>1453</v>
      </c>
      <c r="DG99" s="198" t="s">
        <v>1453</v>
      </c>
      <c r="DH99" s="198" t="s">
        <v>1453</v>
      </c>
      <c r="DI99" s="198" t="s">
        <v>1453</v>
      </c>
      <c r="DJ99" s="198" t="s">
        <v>1460</v>
      </c>
      <c r="DK99" s="198" t="s">
        <v>1453</v>
      </c>
      <c r="DL99" s="198" t="s">
        <v>1461</v>
      </c>
      <c r="DM99" s="198" t="s">
        <v>1453</v>
      </c>
      <c r="DN99" s="198" t="s">
        <v>1463</v>
      </c>
      <c r="DO99" s="198" t="s">
        <v>1464</v>
      </c>
      <c r="DP99" s="198" t="s">
        <v>1453</v>
      </c>
      <c r="DQ99" s="198" t="s">
        <v>1466</v>
      </c>
      <c r="DR99" s="198" t="s">
        <v>1467</v>
      </c>
      <c r="DS99" s="198" t="s">
        <v>1453</v>
      </c>
      <c r="DT99" s="198" t="s">
        <v>1468</v>
      </c>
      <c r="DU99" s="198" t="s">
        <v>1453</v>
      </c>
      <c r="DV99" s="198" t="s">
        <v>1469</v>
      </c>
      <c r="DW99" s="198" t="s">
        <v>1453</v>
      </c>
      <c r="DX99" s="198" t="s">
        <v>1453</v>
      </c>
      <c r="DY99" s="198" t="s">
        <v>1453</v>
      </c>
      <c r="DZ99" s="198" t="s">
        <v>1453</v>
      </c>
      <c r="EA99" s="198" t="s">
        <v>1453</v>
      </c>
      <c r="EB99" s="198" t="s">
        <v>1453</v>
      </c>
      <c r="EC99" s="198" t="s">
        <v>1483</v>
      </c>
      <c r="ED99" s="198" t="s">
        <v>1453</v>
      </c>
      <c r="EE99" s="198" t="s">
        <v>1470</v>
      </c>
      <c r="EF99" s="198" t="s">
        <v>1453</v>
      </c>
      <c r="EG99" s="198" t="s">
        <v>1471</v>
      </c>
      <c r="EH99" s="198" t="s">
        <v>1453</v>
      </c>
      <c r="EI99" s="198" t="s">
        <v>1453</v>
      </c>
      <c r="EJ99" s="198" t="s">
        <v>1453</v>
      </c>
      <c r="EK99" s="198" t="s">
        <v>1487</v>
      </c>
      <c r="EL99" s="198" t="s">
        <v>1453</v>
      </c>
      <c r="EM99" s="198" t="s">
        <v>1453</v>
      </c>
      <c r="EN99" s="198" t="s">
        <v>1474</v>
      </c>
      <c r="EO99" s="198" t="s">
        <v>1453</v>
      </c>
      <c r="EP99" s="198" t="s">
        <v>1453</v>
      </c>
      <c r="EQ99" s="198" t="s">
        <v>1453</v>
      </c>
      <c r="ER99" s="198" t="s">
        <v>1453</v>
      </c>
      <c r="ES99" s="198" t="s">
        <v>1453</v>
      </c>
      <c r="ET99" s="198" t="s">
        <v>1453</v>
      </c>
      <c r="EU99" s="198" t="s">
        <v>1494</v>
      </c>
      <c r="EV99" s="198" t="s">
        <v>1453</v>
      </c>
      <c r="EW99" s="198" t="s">
        <v>1453</v>
      </c>
      <c r="EX99" s="198" t="s">
        <v>1488</v>
      </c>
      <c r="EY99" s="198" t="s">
        <v>1453</v>
      </c>
      <c r="EZ99" s="198" t="s">
        <v>1477</v>
      </c>
      <c r="FA99" s="198" t="s">
        <v>1453</v>
      </c>
      <c r="FB99" s="198" t="s">
        <v>1453</v>
      </c>
      <c r="FC99" s="198" t="s">
        <v>1478</v>
      </c>
      <c r="FD99" s="198" t="s">
        <v>1453</v>
      </c>
      <c r="FE99" s="198" t="s">
        <v>1453</v>
      </c>
      <c r="FF99" s="198" t="s">
        <v>1453</v>
      </c>
      <c r="FG99" s="198" t="s">
        <v>1453</v>
      </c>
      <c r="FH99" s="198" t="s">
        <v>1479</v>
      </c>
      <c r="FI99" s="198" t="s">
        <v>1453</v>
      </c>
      <c r="FJ99" s="198" t="s">
        <v>1453</v>
      </c>
      <c r="FK99" s="198" t="s">
        <v>1481</v>
      </c>
      <c r="FL99" s="198" t="s">
        <v>1482</v>
      </c>
      <c r="FM99" s="198" t="s">
        <v>1453</v>
      </c>
    </row>
    <row r="100" ht="15.75" customHeight="1">
      <c r="A100" s="198"/>
      <c r="B100" s="198"/>
      <c r="C100" s="234"/>
      <c r="D100" s="232" t="s">
        <v>770</v>
      </c>
      <c r="E100" s="232" t="s">
        <v>1448</v>
      </c>
      <c r="F100" s="232" t="s">
        <v>1449</v>
      </c>
      <c r="G100" s="232" t="s">
        <v>1450</v>
      </c>
      <c r="H100" s="232" t="s">
        <v>876</v>
      </c>
      <c r="I100" s="232" t="s">
        <v>877</v>
      </c>
      <c r="J100" s="232" t="s">
        <v>986</v>
      </c>
      <c r="K100" s="232" t="s">
        <v>1055</v>
      </c>
      <c r="L100" s="188" t="s">
        <v>372</v>
      </c>
      <c r="M100" s="236" t="str">
        <f>IFERROR(__xludf.DUMMYFUNCTION("regexreplace(N100,"" "","", "")"),"J0, J1, J2, J5, J6, J7, JA, JC, JF, K0, K3, K4, K5, K7, K8, K9, KA, KB, KC, KD, KF, L1, L8, LA, LC, LF, M0, M1, M3, M8, MB, MD, MF, N2, N7, NA, ")</f>
        <v>J0, J1, J2, J5, J6, J7, JA, JC, JF, K0, K3, K4, K5, K7, K8, K9, KA, KB, KC, KD, KF, L1, L8, LA, LC, LF, M0, M1, M3, M8, MB, MD, MF, N2, N7, NA, </v>
      </c>
      <c r="N100" s="236" t="str">
        <f t="shared" si="2"/>
        <v>J0 J1 J2 J5 J6 J7 JA JC JF K0 K3 K4 K5 K7 K8 K9 KA KB KC KD KF L1 L8 LA LC LF M0 M1 M3 M8 MB MD MF N2 N7 NA </v>
      </c>
      <c r="O100" s="236" t="str">
        <f>IFERROR(__xludf.DUMMYFUNCTION("if(countif(ecn.list,CO100),OFFSET(INDIRECT(CONCAT(""A"",to_text(match(CO100,ecn.list,0)))),0,1),"""")"),"J0 ")</f>
        <v>J0 </v>
      </c>
      <c r="P100" s="236" t="str">
        <f>IFERROR(__xludf.DUMMYFUNCTION("if(countif(ecn.list,CP100),OFFSET(INDIRECT(CONCAT(""A"",to_text(match(CP100,ecn.list,0)))),0,1),"""")"),"J1 ")</f>
        <v>J1 </v>
      </c>
      <c r="Q100" s="236" t="str">
        <f>IFERROR(__xludf.DUMMYFUNCTION("if(countif(ecn.list,CQ100),OFFSET(INDIRECT(CONCAT(""A"",to_text(match(CQ100,ecn.list,0)))),0,1),"""")"),"J2 ")</f>
        <v>J2 </v>
      </c>
      <c r="R100" s="236" t="str">
        <f>IFERROR(__xludf.DUMMYFUNCTION("if(countif(ecn.list,CR100),OFFSET(INDIRECT(CONCAT(""A"",to_text(match(CR100,ecn.list,0)))),0,1),"""")"),"")</f>
        <v/>
      </c>
      <c r="S100" s="236" t="str">
        <f>IFERROR(__xludf.DUMMYFUNCTION("if(countif(ecn.list,CS100),OFFSET(INDIRECT(CONCAT(""A"",to_text(match(CS100,ecn.list,0)))),0,1),"""")"),"")</f>
        <v/>
      </c>
      <c r="T100" s="236" t="str">
        <f>IFERROR(__xludf.DUMMYFUNCTION("if(countif(ecn.list,CT100),OFFSET(INDIRECT(CONCAT(""A"",to_text(match(CT100,ecn.list,0)))),0,1),"""")"),"J5 ")</f>
        <v>J5 </v>
      </c>
      <c r="U100" s="236" t="str">
        <f>IFERROR(__xludf.DUMMYFUNCTION("if(countif(ecn.list,CU100),OFFSET(INDIRECT(CONCAT(""A"",to_text(match(CU100,ecn.list,0)))),0,1),"""")"),"J6 ")</f>
        <v>J6 </v>
      </c>
      <c r="V100" s="236" t="str">
        <f>IFERROR(__xludf.DUMMYFUNCTION("if(countif(ecn.list,CV100),OFFSET(INDIRECT(CONCAT(""A"",to_text(match(CV100,ecn.list,0)))),0,1),"""")"),"J7 ")</f>
        <v>J7 </v>
      </c>
      <c r="W100" s="236" t="str">
        <f>IFERROR(__xludf.DUMMYFUNCTION("if(countif(ecn.list,CW100),OFFSET(INDIRECT(CONCAT(""A"",to_text(match(CW100,ecn.list,0)))),0,1),"""")"),"")</f>
        <v/>
      </c>
      <c r="X100" s="236" t="str">
        <f>IFERROR(__xludf.DUMMYFUNCTION("if(countif(ecn.list,CX100),OFFSET(INDIRECT(CONCAT(""A"",to_text(match(CX100,ecn.list,0)))),0,1),"""")"),"")</f>
        <v/>
      </c>
      <c r="Y100" s="236" t="str">
        <f>IFERROR(__xludf.DUMMYFUNCTION("if(countif(ecn.list,CY100),OFFSET(INDIRECT(CONCAT(""A"",to_text(match(CY100,ecn.list,0)))),0,1),"""")"),"JA ")</f>
        <v>JA </v>
      </c>
      <c r="Z100" s="236" t="str">
        <f>IFERROR(__xludf.DUMMYFUNCTION("if(countif(ecn.list,CZ100),OFFSET(INDIRECT(CONCAT(""A"",to_text(match(CZ100,ecn.list,0)))),0,1),"""")"),"")</f>
        <v/>
      </c>
      <c r="AA100" s="236" t="str">
        <f>IFERROR(__xludf.DUMMYFUNCTION("if(countif(ecn.list,DA100),OFFSET(INDIRECT(CONCAT(""A"",to_text(match(DA100,ecn.list,0)))),0,1),"""")"),"JC ")</f>
        <v>JC </v>
      </c>
      <c r="AB100" s="236" t="str">
        <f>IFERROR(__xludf.DUMMYFUNCTION("if(countif(ecn.list,DB100),OFFSET(INDIRECT(CONCAT(""A"",to_text(match(DB100,ecn.list,0)))),0,1),"""")"),"")</f>
        <v/>
      </c>
      <c r="AC100" s="236" t="str">
        <f>IFERROR(__xludf.DUMMYFUNCTION("if(countif(ecn.list,DC100),OFFSET(INDIRECT(CONCAT(""A"",to_text(match(DC100,ecn.list,0)))),0,1),"""")"),"")</f>
        <v/>
      </c>
      <c r="AD100" s="236" t="str">
        <f>IFERROR(__xludf.DUMMYFUNCTION("if(countif(ecn.list,DD100),OFFSET(INDIRECT(CONCAT(""A"",to_text(match(DD100,ecn.list,0)))),0,1),"""")"),"JF ")</f>
        <v>JF </v>
      </c>
      <c r="AE100" s="236" t="str">
        <f>IFERROR(__xludf.DUMMYFUNCTION("if(countif(ecn.list,DE100),OFFSET(INDIRECT(CONCAT(""A"",to_text(match(DE100,ecn.list,0)))),0,1),"""")"),"K0 ")</f>
        <v>K0 </v>
      </c>
      <c r="AF100" s="236" t="str">
        <f>IFERROR(__xludf.DUMMYFUNCTION("if(countif(ecn.list,DF100),OFFSET(INDIRECT(CONCAT(""A"",to_text(match(DF100,ecn.list,0)))),0,1),"""")"),"")</f>
        <v/>
      </c>
      <c r="AG100" s="236" t="str">
        <f>IFERROR(__xludf.DUMMYFUNCTION("if(countif(ecn.list,DG100),OFFSET(INDIRECT(CONCAT(""A"",to_text(match(DG100,ecn.list,0)))),0,1),"""")"),"")</f>
        <v/>
      </c>
      <c r="AH100" s="236" t="str">
        <f>IFERROR(__xludf.DUMMYFUNCTION("if(countif(ecn.list,DH100),OFFSET(INDIRECT(CONCAT(""A"",to_text(match(DH100,ecn.list,0)))),0,1),"""")"),"K3 ")</f>
        <v>K3 </v>
      </c>
      <c r="AI100" s="236" t="str">
        <f>IFERROR(__xludf.DUMMYFUNCTION("if(countif(ecn.list,DI100),OFFSET(INDIRECT(CONCAT(""A"",to_text(match(DI100,ecn.list,0)))),0,1),"""")"),"K4 ")</f>
        <v>K4 </v>
      </c>
      <c r="AJ100" s="236" t="str">
        <f>IFERROR(__xludf.DUMMYFUNCTION("if(countif(ecn.list,DJ100),OFFSET(INDIRECT(CONCAT(""A"",to_text(match(DJ100,ecn.list,0)))),0,1),"""")"),"K5 ")</f>
        <v>K5 </v>
      </c>
      <c r="AK100" s="236" t="str">
        <f>IFERROR(__xludf.DUMMYFUNCTION("if(countif(ecn.list,DK100),OFFSET(INDIRECT(CONCAT(""A"",to_text(match(DK100,ecn.list,0)))),0,1),"""")"),"")</f>
        <v/>
      </c>
      <c r="AL100" s="236" t="str">
        <f>IFERROR(__xludf.DUMMYFUNCTION("if(countif(ecn.list,DL100),OFFSET(INDIRECT(CONCAT(""A"",to_text(match(DL100,ecn.list,0)))),0,1),"""")"),"K7 ")</f>
        <v>K7 </v>
      </c>
      <c r="AM100" s="236" t="str">
        <f>IFERROR(__xludf.DUMMYFUNCTION("if(countif(ecn.list,DM100),OFFSET(INDIRECT(CONCAT(""A"",to_text(match(DM100,ecn.list,0)))),0,1),"""")"),"K8 ")</f>
        <v>K8 </v>
      </c>
      <c r="AN100" s="236" t="str">
        <f>IFERROR(__xludf.DUMMYFUNCTION("if(countif(ecn.list,DN100),OFFSET(INDIRECT(CONCAT(""A"",to_text(match(DN100,ecn.list,0)))),0,1),"""")"),"K9 ")</f>
        <v>K9 </v>
      </c>
      <c r="AO100" s="236" t="str">
        <f>IFERROR(__xludf.DUMMYFUNCTION("if(countif(ecn.list,DO100),OFFSET(INDIRECT(CONCAT(""A"",to_text(match(DO100,ecn.list,0)))),0,1),"""")"),"KA ")</f>
        <v>KA </v>
      </c>
      <c r="AP100" s="236" t="str">
        <f>IFERROR(__xludf.DUMMYFUNCTION("if(countif(ecn.list,DP100),OFFSET(INDIRECT(CONCAT(""A"",to_text(match(DP100,ecn.list,0)))),0,1),"""")"),"KB ")</f>
        <v>KB </v>
      </c>
      <c r="AQ100" s="236" t="str">
        <f>IFERROR(__xludf.DUMMYFUNCTION("if(countif(ecn.list,DQ100),OFFSET(INDIRECT(CONCAT(""A"",to_text(match(DQ100,ecn.list,0)))),0,1),"""")"),"KC ")</f>
        <v>KC </v>
      </c>
      <c r="AR100" s="236" t="str">
        <f>IFERROR(__xludf.DUMMYFUNCTION("if(countif(ecn.list,DR100),OFFSET(INDIRECT(CONCAT(""A"",to_text(match(DR100,ecn.list,0)))),0,1),"""")"),"KD ")</f>
        <v>KD </v>
      </c>
      <c r="AS100" s="236" t="str">
        <f>IFERROR(__xludf.DUMMYFUNCTION("if(countif(ecn.list,DS100),OFFSET(INDIRECT(CONCAT(""A"",to_text(match(DS100,ecn.list,0)))),0,1),"""")"),"")</f>
        <v/>
      </c>
      <c r="AT100" s="236" t="str">
        <f>IFERROR(__xludf.DUMMYFUNCTION("if(countif(ecn.list,DT100),OFFSET(INDIRECT(CONCAT(""A"",to_text(match(DT100,ecn.list,0)))),0,1),"""")"),"KF ")</f>
        <v>KF </v>
      </c>
      <c r="AU100" s="236" t="str">
        <f>IFERROR(__xludf.DUMMYFUNCTION("if(countif(ecn.list,DU100),OFFSET(INDIRECT(CONCAT(""A"",to_text(match(DU100,ecn.list,0)))),0,1),"""")"),"")</f>
        <v/>
      </c>
      <c r="AV100" s="236" t="str">
        <f>IFERROR(__xludf.DUMMYFUNCTION("if(countif(ecn.list,DV100),OFFSET(INDIRECT(CONCAT(""A"",to_text(match(DV100,ecn.list,0)))),0,1),"""")"),"L1 ")</f>
        <v>L1 </v>
      </c>
      <c r="AW100" s="236" t="str">
        <f>IFERROR(__xludf.DUMMYFUNCTION("if(countif(ecn.list,DW100),OFFSET(INDIRECT(CONCAT(""A"",to_text(match(DW100,ecn.list,0)))),0,1),"""")"),"")</f>
        <v/>
      </c>
      <c r="AX100" s="236" t="str">
        <f>IFERROR(__xludf.DUMMYFUNCTION("if(countif(ecn.list,DX100),OFFSET(INDIRECT(CONCAT(""A"",to_text(match(DX100,ecn.list,0)))),0,1),"""")"),"")</f>
        <v/>
      </c>
      <c r="AY100" s="236" t="str">
        <f>IFERROR(__xludf.DUMMYFUNCTION("if(countif(ecn.list,DY100),OFFSET(INDIRECT(CONCAT(""A"",to_text(match(DY100,ecn.list,0)))),0,1),"""")"),"")</f>
        <v/>
      </c>
      <c r="AZ100" s="236" t="str">
        <f>IFERROR(__xludf.DUMMYFUNCTION("if(countif(ecn.list,DZ100),OFFSET(INDIRECT(CONCAT(""A"",to_text(match(DZ100,ecn.list,0)))),0,1),"""")"),"")</f>
        <v/>
      </c>
      <c r="BA100" s="236" t="str">
        <f>IFERROR(__xludf.DUMMYFUNCTION("if(countif(ecn.list,EA100),OFFSET(INDIRECT(CONCAT(""A"",to_text(match(EA100,ecn.list,0)))),0,1),"""")"),"")</f>
        <v/>
      </c>
      <c r="BB100" s="236" t="str">
        <f>IFERROR(__xludf.DUMMYFUNCTION("if(countif(ecn.list,EB100),OFFSET(INDIRECT(CONCAT(""A"",to_text(match(EB100,ecn.list,0)))),0,1),"""")"),"")</f>
        <v/>
      </c>
      <c r="BC100" s="236" t="str">
        <f>IFERROR(__xludf.DUMMYFUNCTION("if(countif(ecn.list,EC100),OFFSET(INDIRECT(CONCAT(""A"",to_text(match(EC100,ecn.list,0)))),0,1),"""")"),"L8 ")</f>
        <v>L8 </v>
      </c>
      <c r="BD100" s="236" t="str">
        <f>IFERROR(__xludf.DUMMYFUNCTION("if(countif(ecn.list,ED100),OFFSET(INDIRECT(CONCAT(""A"",to_text(match(ED100,ecn.list,0)))),0,1),"""")"),"")</f>
        <v/>
      </c>
      <c r="BE100" s="236" t="str">
        <f>IFERROR(__xludf.DUMMYFUNCTION("if(countif(ecn.list,EE100),OFFSET(INDIRECT(CONCAT(""A"",to_text(match(EE100,ecn.list,0)))),0,1),"""")"),"LA ")</f>
        <v>LA </v>
      </c>
      <c r="BF100" s="236" t="str">
        <f>IFERROR(__xludf.DUMMYFUNCTION("if(countif(ecn.list,EF100),OFFSET(INDIRECT(CONCAT(""A"",to_text(match(EF100,ecn.list,0)))),0,1),"""")"),"")</f>
        <v/>
      </c>
      <c r="BG100" s="236" t="str">
        <f>IFERROR(__xludf.DUMMYFUNCTION("if(countif(ecn.list,EG100),OFFSET(INDIRECT(CONCAT(""A"",to_text(match(EG100,ecn.list,0)))),0,1),"""")"),"LC ")</f>
        <v>LC </v>
      </c>
      <c r="BH100" s="236" t="str">
        <f>IFERROR(__xludf.DUMMYFUNCTION("if(countif(ecn.list,EH100),OFFSET(INDIRECT(CONCAT(""A"",to_text(match(EH100,ecn.list,0)))),0,1),"""")"),"")</f>
        <v/>
      </c>
      <c r="BI100" s="236" t="str">
        <f>IFERROR(__xludf.DUMMYFUNCTION("if(countif(ecn.list,EI100),OFFSET(INDIRECT(CONCAT(""A"",to_text(match(EI100,ecn.list,0)))),0,1),"""")"),"")</f>
        <v/>
      </c>
      <c r="BJ100" s="236" t="str">
        <f>IFERROR(__xludf.DUMMYFUNCTION("if(countif(ecn.list,EJ100),OFFSET(INDIRECT(CONCAT(""A"",to_text(match(EJ100,ecn.list,0)))),0,1),"""")"),"LF ")</f>
        <v>LF </v>
      </c>
      <c r="BK100" s="236" t="str">
        <f>IFERROR(__xludf.DUMMYFUNCTION("if(countif(ecn.list,EK100),OFFSET(INDIRECT(CONCAT(""A"",to_text(match(EK100,ecn.list,0)))),0,1),"""")"),"M0 ")</f>
        <v>M0 </v>
      </c>
      <c r="BL100" s="236" t="str">
        <f>IFERROR(__xludf.DUMMYFUNCTION("if(countif(ecn.list,EL100),OFFSET(INDIRECT(CONCAT(""A"",to_text(match(EL100,ecn.list,0)))),0,1),"""")"),"M1 ")</f>
        <v>M1 </v>
      </c>
      <c r="BM100" s="236" t="str">
        <f>IFERROR(__xludf.DUMMYFUNCTION("if(countif(ecn.list,EM100),OFFSET(INDIRECT(CONCAT(""A"",to_text(match(EM100,ecn.list,0)))),0,1),"""")"),"")</f>
        <v/>
      </c>
      <c r="BN100" s="236" t="str">
        <f>IFERROR(__xludf.DUMMYFUNCTION("if(countif(ecn.list,EN100),OFFSET(INDIRECT(CONCAT(""A"",to_text(match(EN100,ecn.list,0)))),0,1),"""")"),"M3 ")</f>
        <v>M3 </v>
      </c>
      <c r="BO100" s="236" t="str">
        <f>IFERROR(__xludf.DUMMYFUNCTION("if(countif(ecn.list,EO100),OFFSET(INDIRECT(CONCAT(""A"",to_text(match(EO100,ecn.list,0)))),0,1),"""")"),"")</f>
        <v/>
      </c>
      <c r="BP100" s="236" t="str">
        <f>IFERROR(__xludf.DUMMYFUNCTION("if(countif(ecn.list,EP100),OFFSET(INDIRECT(CONCAT(""A"",to_text(match(EP100,ecn.list,0)))),0,1),"""")"),"")</f>
        <v/>
      </c>
      <c r="BQ100" s="236" t="str">
        <f>IFERROR(__xludf.DUMMYFUNCTION("if(countif(ecn.list,EQ100),OFFSET(INDIRECT(CONCAT(""A"",to_text(match(EQ100,ecn.list,0)))),0,1),"""")"),"")</f>
        <v/>
      </c>
      <c r="BR100" s="236" t="str">
        <f>IFERROR(__xludf.DUMMYFUNCTION("if(countif(ecn.list,ER100),OFFSET(INDIRECT(CONCAT(""A"",to_text(match(ER100,ecn.list,0)))),0,1),"""")"),"")</f>
        <v/>
      </c>
      <c r="BS100" s="236" t="str">
        <f>IFERROR(__xludf.DUMMYFUNCTION("if(countif(ecn.list,ES100),OFFSET(INDIRECT(CONCAT(""A"",to_text(match(ES100,ecn.list,0)))),0,1),"""")"),"M8 ")</f>
        <v>M8 </v>
      </c>
      <c r="BT100" s="236" t="str">
        <f>IFERROR(__xludf.DUMMYFUNCTION("if(countif(ecn.list,ET100),OFFSET(INDIRECT(CONCAT(""A"",to_text(match(ET100,ecn.list,0)))),0,1),"""")"),"")</f>
        <v/>
      </c>
      <c r="BU100" s="236" t="str">
        <f>IFERROR(__xludf.DUMMYFUNCTION("if(countif(ecn.list,EU100),OFFSET(INDIRECT(CONCAT(""A"",to_text(match(EU100,ecn.list,0)))),0,1),"""")"),"")</f>
        <v/>
      </c>
      <c r="BV100" s="236" t="str">
        <f>IFERROR(__xludf.DUMMYFUNCTION("if(countif(ecn.list,EV100),OFFSET(INDIRECT(CONCAT(""A"",to_text(match(EV100,ecn.list,0)))),0,1),"""")"),"MB ")</f>
        <v>MB </v>
      </c>
      <c r="BW100" s="236" t="str">
        <f>IFERROR(__xludf.DUMMYFUNCTION("if(countif(ecn.list,EW100),OFFSET(INDIRECT(CONCAT(""A"",to_text(match(EW100,ecn.list,0)))),0,1),"""")"),"")</f>
        <v/>
      </c>
      <c r="BX100" s="236" t="str">
        <f>IFERROR(__xludf.DUMMYFUNCTION("if(countif(ecn.list,EX100),OFFSET(INDIRECT(CONCAT(""A"",to_text(match(EX100,ecn.list,0)))),0,1),"""")"),"MD ")</f>
        <v>MD </v>
      </c>
      <c r="BY100" s="236" t="str">
        <f>IFERROR(__xludf.DUMMYFUNCTION("if(countif(ecn.list,EY100),OFFSET(INDIRECT(CONCAT(""A"",to_text(match(EY100,ecn.list,0)))),0,1),"""")"),"")</f>
        <v/>
      </c>
      <c r="BZ100" s="236" t="str">
        <f>IFERROR(__xludf.DUMMYFUNCTION("if(countif(ecn.list,EZ100),OFFSET(INDIRECT(CONCAT(""A"",to_text(match(EZ100,ecn.list,0)))),0,1),"""")"),"MF ")</f>
        <v>MF </v>
      </c>
      <c r="CA100" s="236" t="str">
        <f>IFERROR(__xludf.DUMMYFUNCTION("if(countif(ecn.list,FA100),OFFSET(INDIRECT(CONCAT(""A"",to_text(match(FA100,ecn.list,0)))),0,1),"""")"),"")</f>
        <v/>
      </c>
      <c r="CB100" s="236" t="str">
        <f>IFERROR(__xludf.DUMMYFUNCTION("if(countif(ecn.list,FB100),OFFSET(INDIRECT(CONCAT(""A"",to_text(match(FB100,ecn.list,0)))),0,1),"""")"),"")</f>
        <v/>
      </c>
      <c r="CC100" s="236" t="str">
        <f>IFERROR(__xludf.DUMMYFUNCTION("if(countif(ecn.list,FC100),OFFSET(INDIRECT(CONCAT(""A"",to_text(match(FC100,ecn.list,0)))),0,1),"""")"),"N2 ")</f>
        <v>N2 </v>
      </c>
      <c r="CD100" s="236" t="str">
        <f>IFERROR(__xludf.DUMMYFUNCTION("if(countif(ecn.list,FD100),OFFSET(INDIRECT(CONCAT(""A"",to_text(match(FD100,ecn.list,0)))),0,1),"""")"),"")</f>
        <v/>
      </c>
      <c r="CE100" s="236" t="str">
        <f>IFERROR(__xludf.DUMMYFUNCTION("if(countif(ecn.list,FE100),OFFSET(INDIRECT(CONCAT(""A"",to_text(match(FE100,ecn.list,0)))),0,1),"""")"),"")</f>
        <v/>
      </c>
      <c r="CF100" s="236" t="str">
        <f>IFERROR(__xludf.DUMMYFUNCTION("if(countif(ecn.list,FF100),OFFSET(INDIRECT(CONCAT(""A"",to_text(match(FF100,ecn.list,0)))),0,1),"""")"),"")</f>
        <v/>
      </c>
      <c r="CG100" s="236" t="str">
        <f>IFERROR(__xludf.DUMMYFUNCTION("if(countif(ecn.list,FG100),OFFSET(INDIRECT(CONCAT(""A"",to_text(match(FG100,ecn.list,0)))),0,1),"""")"),"")</f>
        <v/>
      </c>
      <c r="CH100" s="236" t="str">
        <f>IFERROR(__xludf.DUMMYFUNCTION("if(countif(ecn.list,FH100),OFFSET(INDIRECT(CONCAT(""A"",to_text(match(FH100,ecn.list,0)))),0,1),"""")"),"N7 ")</f>
        <v>N7 </v>
      </c>
      <c r="CI100" s="236" t="str">
        <f>IFERROR(__xludf.DUMMYFUNCTION("if(countif(ecn.list,FI100),OFFSET(INDIRECT(CONCAT(""A"",to_text(match(FI100,ecn.list,0)))),0,1),"""")"),"")</f>
        <v/>
      </c>
      <c r="CJ100" s="236" t="str">
        <f>IFERROR(__xludf.DUMMYFUNCTION("if(countif(ecn.list,FJ100),OFFSET(INDIRECT(CONCAT(""A"",to_text(match(FJ100,ecn.list,0)))),0,1),"""")"),"")</f>
        <v/>
      </c>
      <c r="CK100" s="236" t="str">
        <f>IFERROR(__xludf.DUMMYFUNCTION("if(countif(ecn.list,FK100),OFFSET(INDIRECT(CONCAT(""A"",to_text(match(FK100,ecn.list,0)))),0,1),"""")"),"NA ")</f>
        <v>NA </v>
      </c>
      <c r="CL100" s="236" t="str">
        <f>IFERROR(__xludf.DUMMYFUNCTION("if(countif(ecn.list,FL100),OFFSET(INDIRECT(CONCAT(""A"",to_text(match(FL100,ecn.list,0)))),0,1),"""")"),"")</f>
        <v/>
      </c>
      <c r="CM100" s="236" t="str">
        <f>IFERROR(__xludf.DUMMYFUNCTION("if(countif(ecn.list,FM100),OFFSET(INDIRECT(CONCAT(""A"",to_text(match(FM100,ecn.list,0)))),0,1),"""")"),"")</f>
        <v/>
      </c>
      <c r="CN100" s="198" t="s">
        <v>372</v>
      </c>
      <c r="CO100" s="198" t="s">
        <v>1447</v>
      </c>
      <c r="CP100" s="198" t="s">
        <v>1451</v>
      </c>
      <c r="CQ100" s="198" t="s">
        <v>1452</v>
      </c>
      <c r="CR100" s="198" t="s">
        <v>1453</v>
      </c>
      <c r="CS100" s="198" t="s">
        <v>1453</v>
      </c>
      <c r="CT100" s="198" t="s">
        <v>1454</v>
      </c>
      <c r="CU100" s="198" t="s">
        <v>1455</v>
      </c>
      <c r="CV100" s="198" t="s">
        <v>1456</v>
      </c>
      <c r="CW100" s="198" t="s">
        <v>1453</v>
      </c>
      <c r="CX100" s="198" t="s">
        <v>1453</v>
      </c>
      <c r="CY100" s="198" t="s">
        <v>1484</v>
      </c>
      <c r="CZ100" s="198" t="s">
        <v>1453</v>
      </c>
      <c r="DA100" s="198" t="s">
        <v>1457</v>
      </c>
      <c r="DB100" s="198" t="s">
        <v>1453</v>
      </c>
      <c r="DC100" s="198" t="s">
        <v>1453</v>
      </c>
      <c r="DD100" s="198" t="s">
        <v>1458</v>
      </c>
      <c r="DE100" s="198" t="s">
        <v>1459</v>
      </c>
      <c r="DF100" s="198" t="s">
        <v>1453</v>
      </c>
      <c r="DG100" s="198" t="s">
        <v>1453</v>
      </c>
      <c r="DH100" s="198" t="s">
        <v>1500</v>
      </c>
      <c r="DI100" s="198" t="s">
        <v>1501</v>
      </c>
      <c r="DJ100" s="198" t="s">
        <v>1460</v>
      </c>
      <c r="DK100" s="198" t="s">
        <v>1453</v>
      </c>
      <c r="DL100" s="198" t="s">
        <v>1461</v>
      </c>
      <c r="DM100" s="198" t="s">
        <v>1462</v>
      </c>
      <c r="DN100" s="198" t="s">
        <v>1463</v>
      </c>
      <c r="DO100" s="198" t="s">
        <v>1464</v>
      </c>
      <c r="DP100" s="198" t="s">
        <v>1465</v>
      </c>
      <c r="DQ100" s="198" t="s">
        <v>1466</v>
      </c>
      <c r="DR100" s="198" t="s">
        <v>1467</v>
      </c>
      <c r="DS100" s="198" t="s">
        <v>1453</v>
      </c>
      <c r="DT100" s="198" t="s">
        <v>1468</v>
      </c>
      <c r="DU100" s="198" t="s">
        <v>1453</v>
      </c>
      <c r="DV100" s="198" t="s">
        <v>1469</v>
      </c>
      <c r="DW100" s="198" t="s">
        <v>1453</v>
      </c>
      <c r="DX100" s="198" t="s">
        <v>1453</v>
      </c>
      <c r="DY100" s="198" t="s">
        <v>1453</v>
      </c>
      <c r="DZ100" s="198" t="s">
        <v>1453</v>
      </c>
      <c r="EA100" s="198" t="s">
        <v>1453</v>
      </c>
      <c r="EB100" s="198" t="s">
        <v>1453</v>
      </c>
      <c r="EC100" s="198" t="s">
        <v>1483</v>
      </c>
      <c r="ED100" s="198" t="s">
        <v>1453</v>
      </c>
      <c r="EE100" s="198" t="s">
        <v>1470</v>
      </c>
      <c r="EF100" s="198" t="s">
        <v>1453</v>
      </c>
      <c r="EG100" s="198" t="s">
        <v>1471</v>
      </c>
      <c r="EH100" s="198" t="s">
        <v>1453</v>
      </c>
      <c r="EI100" s="198" t="s">
        <v>1453</v>
      </c>
      <c r="EJ100" s="198" t="s">
        <v>1472</v>
      </c>
      <c r="EK100" s="198" t="s">
        <v>1487</v>
      </c>
      <c r="EL100" s="198" t="s">
        <v>1473</v>
      </c>
      <c r="EM100" s="198" t="s">
        <v>1453</v>
      </c>
      <c r="EN100" s="198" t="s">
        <v>1474</v>
      </c>
      <c r="EO100" s="198" t="s">
        <v>1453</v>
      </c>
      <c r="EP100" s="198" t="s">
        <v>1453</v>
      </c>
      <c r="EQ100" s="198" t="s">
        <v>1453</v>
      </c>
      <c r="ER100" s="198" t="s">
        <v>1453</v>
      </c>
      <c r="ES100" s="198" t="s">
        <v>1505</v>
      </c>
      <c r="ET100" s="198" t="s">
        <v>1453</v>
      </c>
      <c r="EU100" s="198" t="s">
        <v>1453</v>
      </c>
      <c r="EV100" s="198" t="s">
        <v>1476</v>
      </c>
      <c r="EW100" s="198" t="s">
        <v>1453</v>
      </c>
      <c r="EX100" s="198" t="s">
        <v>1488</v>
      </c>
      <c r="EY100" s="198" t="s">
        <v>1453</v>
      </c>
      <c r="EZ100" s="198" t="s">
        <v>1477</v>
      </c>
      <c r="FA100" s="198" t="s">
        <v>1453</v>
      </c>
      <c r="FB100" s="198" t="s">
        <v>1453</v>
      </c>
      <c r="FC100" s="198" t="s">
        <v>1478</v>
      </c>
      <c r="FD100" s="198" t="s">
        <v>1453</v>
      </c>
      <c r="FE100" s="198" t="s">
        <v>1453</v>
      </c>
      <c r="FF100" s="198" t="s">
        <v>1453</v>
      </c>
      <c r="FG100" s="198" t="s">
        <v>1453</v>
      </c>
      <c r="FH100" s="198" t="s">
        <v>1479</v>
      </c>
      <c r="FI100" s="198" t="s">
        <v>1453</v>
      </c>
      <c r="FJ100" s="198" t="s">
        <v>1453</v>
      </c>
      <c r="FK100" s="198" t="s">
        <v>1481</v>
      </c>
      <c r="FL100" s="198" t="s">
        <v>1482</v>
      </c>
      <c r="FM100" s="198" t="s">
        <v>1453</v>
      </c>
    </row>
    <row r="101" ht="15.75" customHeight="1">
      <c r="A101" s="198"/>
      <c r="B101" s="198"/>
      <c r="C101" s="234"/>
      <c r="D101" s="232" t="s">
        <v>770</v>
      </c>
      <c r="E101" s="232" t="s">
        <v>1448</v>
      </c>
      <c r="F101" s="232" t="s">
        <v>1449</v>
      </c>
      <c r="G101" s="232" t="s">
        <v>1450</v>
      </c>
      <c r="H101" s="232" t="s">
        <v>876</v>
      </c>
      <c r="I101" s="232" t="s">
        <v>987</v>
      </c>
      <c r="J101" s="232" t="s">
        <v>1497</v>
      </c>
      <c r="K101" s="232" t="s">
        <v>1012</v>
      </c>
      <c r="L101" s="188" t="s">
        <v>375</v>
      </c>
      <c r="M101" s="236" t="str">
        <f>IFERROR(__xludf.DUMMYFUNCTION("regexreplace(N101,"" "","", "")"),"J0, J1, J2, J3, J5, J6, J7, JA, JC, JD, JF, K0, K1, K2, K3, K4, K5, K7, K8, K9, KA, KB, KC, KD, KE, KF, L1, L2, L3, L7, L8, LA, LC, LF, M0, M1, M3, M4, M5, M8, MB, MF, N2, N6, N7, NA, ")</f>
        <v>J0, J1, J2, J3, J5, J6, J7, JA, JC, JD, JF, K0, K1, K2, K3, K4, K5, K7, K8, K9, KA, KB, KC, KD, KE, KF, L1, L2, L3, L7, L8, LA, LC, LF, M0, M1, M3, M4, M5, M8, MB, MF, N2, N6, N7, NA, </v>
      </c>
      <c r="N101" s="236" t="str">
        <f t="shared" si="2"/>
        <v>J0 J1 J2 J3 J5 J6 J7 JA JC JD JF K0 K1 K2 K3 K4 K5 K7 K8 K9 KA KB KC KD KE KF L1 L2 L3 L7 L8 LA LC LF M0 M1 M3 M4 M5 M8 MB MF N2 N6 N7 NA </v>
      </c>
      <c r="O101" s="236" t="str">
        <f>IFERROR(__xludf.DUMMYFUNCTION("if(countif(ecn.list,CO101),OFFSET(INDIRECT(CONCAT(""A"",to_text(match(CO101,ecn.list,0)))),0,1),"""")"),"J0 ")</f>
        <v>J0 </v>
      </c>
      <c r="P101" s="236" t="str">
        <f>IFERROR(__xludf.DUMMYFUNCTION("if(countif(ecn.list,CP101),OFFSET(INDIRECT(CONCAT(""A"",to_text(match(CP101,ecn.list,0)))),0,1),"""")"),"J1 ")</f>
        <v>J1 </v>
      </c>
      <c r="Q101" s="236" t="str">
        <f>IFERROR(__xludf.DUMMYFUNCTION("if(countif(ecn.list,CQ101),OFFSET(INDIRECT(CONCAT(""A"",to_text(match(CQ101,ecn.list,0)))),0,1),"""")"),"J2 ")</f>
        <v>J2 </v>
      </c>
      <c r="R101" s="236" t="str">
        <f>IFERROR(__xludf.DUMMYFUNCTION("if(countif(ecn.list,CR101),OFFSET(INDIRECT(CONCAT(""A"",to_text(match(CR101,ecn.list,0)))),0,1),"""")"),"J3 ")</f>
        <v>J3 </v>
      </c>
      <c r="S101" s="236" t="str">
        <f>IFERROR(__xludf.DUMMYFUNCTION("if(countif(ecn.list,CS101),OFFSET(INDIRECT(CONCAT(""A"",to_text(match(CS101,ecn.list,0)))),0,1),"""")"),"")</f>
        <v/>
      </c>
      <c r="T101" s="236" t="str">
        <f>IFERROR(__xludf.DUMMYFUNCTION("if(countif(ecn.list,CT101),OFFSET(INDIRECT(CONCAT(""A"",to_text(match(CT101,ecn.list,0)))),0,1),"""")"),"J5 ")</f>
        <v>J5 </v>
      </c>
      <c r="U101" s="236" t="str">
        <f>IFERROR(__xludf.DUMMYFUNCTION("if(countif(ecn.list,CU101),OFFSET(INDIRECT(CONCAT(""A"",to_text(match(CU101,ecn.list,0)))),0,1),"""")"),"J6 ")</f>
        <v>J6 </v>
      </c>
      <c r="V101" s="236" t="str">
        <f>IFERROR(__xludf.DUMMYFUNCTION("if(countif(ecn.list,CV101),OFFSET(INDIRECT(CONCAT(""A"",to_text(match(CV101,ecn.list,0)))),0,1),"""")"),"J7 ")</f>
        <v>J7 </v>
      </c>
      <c r="W101" s="236" t="str">
        <f>IFERROR(__xludf.DUMMYFUNCTION("if(countif(ecn.list,CW101),OFFSET(INDIRECT(CONCAT(""A"",to_text(match(CW101,ecn.list,0)))),0,1),"""")"),"")</f>
        <v/>
      </c>
      <c r="X101" s="236" t="str">
        <f>IFERROR(__xludf.DUMMYFUNCTION("if(countif(ecn.list,CX101),OFFSET(INDIRECT(CONCAT(""A"",to_text(match(CX101,ecn.list,0)))),0,1),"""")"),"")</f>
        <v/>
      </c>
      <c r="Y101" s="236" t="str">
        <f>IFERROR(__xludf.DUMMYFUNCTION("if(countif(ecn.list,CY101),OFFSET(INDIRECT(CONCAT(""A"",to_text(match(CY101,ecn.list,0)))),0,1),"""")"),"JA ")</f>
        <v>JA </v>
      </c>
      <c r="Z101" s="236" t="str">
        <f>IFERROR(__xludf.DUMMYFUNCTION("if(countif(ecn.list,CZ101),OFFSET(INDIRECT(CONCAT(""A"",to_text(match(CZ101,ecn.list,0)))),0,1),"""")"),"")</f>
        <v/>
      </c>
      <c r="AA101" s="236" t="str">
        <f>IFERROR(__xludf.DUMMYFUNCTION("if(countif(ecn.list,DA101),OFFSET(INDIRECT(CONCAT(""A"",to_text(match(DA101,ecn.list,0)))),0,1),"""")"),"JC ")</f>
        <v>JC </v>
      </c>
      <c r="AB101" s="236" t="str">
        <f>IFERROR(__xludf.DUMMYFUNCTION("if(countif(ecn.list,DB101),OFFSET(INDIRECT(CONCAT(""A"",to_text(match(DB101,ecn.list,0)))),0,1),"""")"),"JD ")</f>
        <v>JD </v>
      </c>
      <c r="AC101" s="236" t="str">
        <f>IFERROR(__xludf.DUMMYFUNCTION("if(countif(ecn.list,DC101),OFFSET(INDIRECT(CONCAT(""A"",to_text(match(DC101,ecn.list,0)))),0,1),"""")"),"")</f>
        <v/>
      </c>
      <c r="AD101" s="236" t="str">
        <f>IFERROR(__xludf.DUMMYFUNCTION("if(countif(ecn.list,DD101),OFFSET(INDIRECT(CONCAT(""A"",to_text(match(DD101,ecn.list,0)))),0,1),"""")"),"JF ")</f>
        <v>JF </v>
      </c>
      <c r="AE101" s="236" t="str">
        <f>IFERROR(__xludf.DUMMYFUNCTION("if(countif(ecn.list,DE101),OFFSET(INDIRECT(CONCAT(""A"",to_text(match(DE101,ecn.list,0)))),0,1),"""")"),"K0 ")</f>
        <v>K0 </v>
      </c>
      <c r="AF101" s="236" t="str">
        <f>IFERROR(__xludf.DUMMYFUNCTION("if(countif(ecn.list,DF101),OFFSET(INDIRECT(CONCAT(""A"",to_text(match(DF101,ecn.list,0)))),0,1),"""")"),"K1 ")</f>
        <v>K1 </v>
      </c>
      <c r="AG101" s="236" t="str">
        <f>IFERROR(__xludf.DUMMYFUNCTION("if(countif(ecn.list,DG101),OFFSET(INDIRECT(CONCAT(""A"",to_text(match(DG101,ecn.list,0)))),0,1),"""")"),"K2 ")</f>
        <v>K2 </v>
      </c>
      <c r="AH101" s="236" t="str">
        <f>IFERROR(__xludf.DUMMYFUNCTION("if(countif(ecn.list,DH101),OFFSET(INDIRECT(CONCAT(""A"",to_text(match(DH101,ecn.list,0)))),0,1),"""")"),"K3 ")</f>
        <v>K3 </v>
      </c>
      <c r="AI101" s="236" t="str">
        <f>IFERROR(__xludf.DUMMYFUNCTION("if(countif(ecn.list,DI101),OFFSET(INDIRECT(CONCAT(""A"",to_text(match(DI101,ecn.list,0)))),0,1),"""")"),"K4 ")</f>
        <v>K4 </v>
      </c>
      <c r="AJ101" s="236" t="str">
        <f>IFERROR(__xludf.DUMMYFUNCTION("if(countif(ecn.list,DJ101),OFFSET(INDIRECT(CONCAT(""A"",to_text(match(DJ101,ecn.list,0)))),0,1),"""")"),"K5 ")</f>
        <v>K5 </v>
      </c>
      <c r="AK101" s="236" t="str">
        <f>IFERROR(__xludf.DUMMYFUNCTION("if(countif(ecn.list,DK101),OFFSET(INDIRECT(CONCAT(""A"",to_text(match(DK101,ecn.list,0)))),0,1),"""")"),"")</f>
        <v/>
      </c>
      <c r="AL101" s="236" t="str">
        <f>IFERROR(__xludf.DUMMYFUNCTION("if(countif(ecn.list,DL101),OFFSET(INDIRECT(CONCAT(""A"",to_text(match(DL101,ecn.list,0)))),0,1),"""")"),"K7 ")</f>
        <v>K7 </v>
      </c>
      <c r="AM101" s="236" t="str">
        <f>IFERROR(__xludf.DUMMYFUNCTION("if(countif(ecn.list,DM101),OFFSET(INDIRECT(CONCAT(""A"",to_text(match(DM101,ecn.list,0)))),0,1),"""")"),"K8 ")</f>
        <v>K8 </v>
      </c>
      <c r="AN101" s="236" t="str">
        <f>IFERROR(__xludf.DUMMYFUNCTION("if(countif(ecn.list,DN101),OFFSET(INDIRECT(CONCAT(""A"",to_text(match(DN101,ecn.list,0)))),0,1),"""")"),"K9 ")</f>
        <v>K9 </v>
      </c>
      <c r="AO101" s="236" t="str">
        <f>IFERROR(__xludf.DUMMYFUNCTION("if(countif(ecn.list,DO101),OFFSET(INDIRECT(CONCAT(""A"",to_text(match(DO101,ecn.list,0)))),0,1),"""")"),"KA ")</f>
        <v>KA </v>
      </c>
      <c r="AP101" s="236" t="str">
        <f>IFERROR(__xludf.DUMMYFUNCTION("if(countif(ecn.list,DP101),OFFSET(INDIRECT(CONCAT(""A"",to_text(match(DP101,ecn.list,0)))),0,1),"""")"),"KB ")</f>
        <v>KB </v>
      </c>
      <c r="AQ101" s="236" t="str">
        <f>IFERROR(__xludf.DUMMYFUNCTION("if(countif(ecn.list,DQ101),OFFSET(INDIRECT(CONCAT(""A"",to_text(match(DQ101,ecn.list,0)))),0,1),"""")"),"KC ")</f>
        <v>KC </v>
      </c>
      <c r="AR101" s="236" t="str">
        <f>IFERROR(__xludf.DUMMYFUNCTION("if(countif(ecn.list,DR101),OFFSET(INDIRECT(CONCAT(""A"",to_text(match(DR101,ecn.list,0)))),0,1),"""")"),"KD ")</f>
        <v>KD </v>
      </c>
      <c r="AS101" s="236" t="str">
        <f>IFERROR(__xludf.DUMMYFUNCTION("if(countif(ecn.list,DS101),OFFSET(INDIRECT(CONCAT(""A"",to_text(match(DS101,ecn.list,0)))),0,1),"""")"),"KE ")</f>
        <v>KE </v>
      </c>
      <c r="AT101" s="236" t="str">
        <f>IFERROR(__xludf.DUMMYFUNCTION("if(countif(ecn.list,DT101),OFFSET(INDIRECT(CONCAT(""A"",to_text(match(DT101,ecn.list,0)))),0,1),"""")"),"KF ")</f>
        <v>KF </v>
      </c>
      <c r="AU101" s="236" t="str">
        <f>IFERROR(__xludf.DUMMYFUNCTION("if(countif(ecn.list,DU101),OFFSET(INDIRECT(CONCAT(""A"",to_text(match(DU101,ecn.list,0)))),0,1),"""")"),"")</f>
        <v/>
      </c>
      <c r="AV101" s="236" t="str">
        <f>IFERROR(__xludf.DUMMYFUNCTION("if(countif(ecn.list,DV101),OFFSET(INDIRECT(CONCAT(""A"",to_text(match(DV101,ecn.list,0)))),0,1),"""")"),"L1 ")</f>
        <v>L1 </v>
      </c>
      <c r="AW101" s="236" t="str">
        <f>IFERROR(__xludf.DUMMYFUNCTION("if(countif(ecn.list,DW101),OFFSET(INDIRECT(CONCAT(""A"",to_text(match(DW101,ecn.list,0)))),0,1),"""")"),"L2 ")</f>
        <v>L2 </v>
      </c>
      <c r="AX101" s="236" t="str">
        <f>IFERROR(__xludf.DUMMYFUNCTION("if(countif(ecn.list,DX101),OFFSET(INDIRECT(CONCAT(""A"",to_text(match(DX101,ecn.list,0)))),0,1),"""")"),"L3 ")</f>
        <v>L3 </v>
      </c>
      <c r="AY101" s="236" t="str">
        <f>IFERROR(__xludf.DUMMYFUNCTION("if(countif(ecn.list,DY101),OFFSET(INDIRECT(CONCAT(""A"",to_text(match(DY101,ecn.list,0)))),0,1),"""")"),"")</f>
        <v/>
      </c>
      <c r="AZ101" s="236" t="str">
        <f>IFERROR(__xludf.DUMMYFUNCTION("if(countif(ecn.list,DZ101),OFFSET(INDIRECT(CONCAT(""A"",to_text(match(DZ101,ecn.list,0)))),0,1),"""")"),"")</f>
        <v/>
      </c>
      <c r="BA101" s="236" t="str">
        <f>IFERROR(__xludf.DUMMYFUNCTION("if(countif(ecn.list,EA101),OFFSET(INDIRECT(CONCAT(""A"",to_text(match(EA101,ecn.list,0)))),0,1),"""")"),"")</f>
        <v/>
      </c>
      <c r="BB101" s="236" t="str">
        <f>IFERROR(__xludf.DUMMYFUNCTION("if(countif(ecn.list,EB101),OFFSET(INDIRECT(CONCAT(""A"",to_text(match(EB101,ecn.list,0)))),0,1),"""")"),"L7 ")</f>
        <v>L7 </v>
      </c>
      <c r="BC101" s="236" t="str">
        <f>IFERROR(__xludf.DUMMYFUNCTION("if(countif(ecn.list,EC101),OFFSET(INDIRECT(CONCAT(""A"",to_text(match(EC101,ecn.list,0)))),0,1),"""")"),"L8 ")</f>
        <v>L8 </v>
      </c>
      <c r="BD101" s="236" t="str">
        <f>IFERROR(__xludf.DUMMYFUNCTION("if(countif(ecn.list,ED101),OFFSET(INDIRECT(CONCAT(""A"",to_text(match(ED101,ecn.list,0)))),0,1),"""")"),"")</f>
        <v/>
      </c>
      <c r="BE101" s="236" t="str">
        <f>IFERROR(__xludf.DUMMYFUNCTION("if(countif(ecn.list,EE101),OFFSET(INDIRECT(CONCAT(""A"",to_text(match(EE101,ecn.list,0)))),0,1),"""")"),"LA ")</f>
        <v>LA </v>
      </c>
      <c r="BF101" s="236" t="str">
        <f>IFERROR(__xludf.DUMMYFUNCTION("if(countif(ecn.list,EF101),OFFSET(INDIRECT(CONCAT(""A"",to_text(match(EF101,ecn.list,0)))),0,1),"""")"),"")</f>
        <v/>
      </c>
      <c r="BG101" s="236" t="str">
        <f>IFERROR(__xludf.DUMMYFUNCTION("if(countif(ecn.list,EG101),OFFSET(INDIRECT(CONCAT(""A"",to_text(match(EG101,ecn.list,0)))),0,1),"""")"),"LC ")</f>
        <v>LC </v>
      </c>
      <c r="BH101" s="236" t="str">
        <f>IFERROR(__xludf.DUMMYFUNCTION("if(countif(ecn.list,EH101),OFFSET(INDIRECT(CONCAT(""A"",to_text(match(EH101,ecn.list,0)))),0,1),"""")"),"")</f>
        <v/>
      </c>
      <c r="BI101" s="236" t="str">
        <f>IFERROR(__xludf.DUMMYFUNCTION("if(countif(ecn.list,EI101),OFFSET(INDIRECT(CONCAT(""A"",to_text(match(EI101,ecn.list,0)))),0,1),"""")"),"")</f>
        <v/>
      </c>
      <c r="BJ101" s="236" t="str">
        <f>IFERROR(__xludf.DUMMYFUNCTION("if(countif(ecn.list,EJ101),OFFSET(INDIRECT(CONCAT(""A"",to_text(match(EJ101,ecn.list,0)))),0,1),"""")"),"LF ")</f>
        <v>LF </v>
      </c>
      <c r="BK101" s="236" t="str">
        <f>IFERROR(__xludf.DUMMYFUNCTION("if(countif(ecn.list,EK101),OFFSET(INDIRECT(CONCAT(""A"",to_text(match(EK101,ecn.list,0)))),0,1),"""")"),"M0 ")</f>
        <v>M0 </v>
      </c>
      <c r="BL101" s="236" t="str">
        <f>IFERROR(__xludf.DUMMYFUNCTION("if(countif(ecn.list,EL101),OFFSET(INDIRECT(CONCAT(""A"",to_text(match(EL101,ecn.list,0)))),0,1),"""")"),"M1 ")</f>
        <v>M1 </v>
      </c>
      <c r="BM101" s="236" t="str">
        <f>IFERROR(__xludf.DUMMYFUNCTION("if(countif(ecn.list,EM101),OFFSET(INDIRECT(CONCAT(""A"",to_text(match(EM101,ecn.list,0)))),0,1),"""")"),"")</f>
        <v/>
      </c>
      <c r="BN101" s="236" t="str">
        <f>IFERROR(__xludf.DUMMYFUNCTION("if(countif(ecn.list,EN101),OFFSET(INDIRECT(CONCAT(""A"",to_text(match(EN101,ecn.list,0)))),0,1),"""")"),"M3 ")</f>
        <v>M3 </v>
      </c>
      <c r="BO101" s="236" t="str">
        <f>IFERROR(__xludf.DUMMYFUNCTION("if(countif(ecn.list,EO101),OFFSET(INDIRECT(CONCAT(""A"",to_text(match(EO101,ecn.list,0)))),0,1),"""")"),"M4 ")</f>
        <v>M4 </v>
      </c>
      <c r="BP101" s="236" t="str">
        <f>IFERROR(__xludf.DUMMYFUNCTION("if(countif(ecn.list,EP101),OFFSET(INDIRECT(CONCAT(""A"",to_text(match(EP101,ecn.list,0)))),0,1),"""")"),"M5 ")</f>
        <v>M5 </v>
      </c>
      <c r="BQ101" s="236" t="str">
        <f>IFERROR(__xludf.DUMMYFUNCTION("if(countif(ecn.list,EQ101),OFFSET(INDIRECT(CONCAT(""A"",to_text(match(EQ101,ecn.list,0)))),0,1),"""")"),"")</f>
        <v/>
      </c>
      <c r="BR101" s="236" t="str">
        <f>IFERROR(__xludf.DUMMYFUNCTION("if(countif(ecn.list,ER101),OFFSET(INDIRECT(CONCAT(""A"",to_text(match(ER101,ecn.list,0)))),0,1),"""")"),"")</f>
        <v/>
      </c>
      <c r="BS101" s="236" t="str">
        <f>IFERROR(__xludf.DUMMYFUNCTION("if(countif(ecn.list,ES101),OFFSET(INDIRECT(CONCAT(""A"",to_text(match(ES101,ecn.list,0)))),0,1),"""")"),"M8 ")</f>
        <v>M8 </v>
      </c>
      <c r="BT101" s="236" t="str">
        <f>IFERROR(__xludf.DUMMYFUNCTION("if(countif(ecn.list,ET101),OFFSET(INDIRECT(CONCAT(""A"",to_text(match(ET101,ecn.list,0)))),0,1),"""")"),"")</f>
        <v/>
      </c>
      <c r="BU101" s="236" t="str">
        <f>IFERROR(__xludf.DUMMYFUNCTION("if(countif(ecn.list,EU101),OFFSET(INDIRECT(CONCAT(""A"",to_text(match(EU101,ecn.list,0)))),0,1),"""")"),"")</f>
        <v/>
      </c>
      <c r="BV101" s="236" t="str">
        <f>IFERROR(__xludf.DUMMYFUNCTION("if(countif(ecn.list,EV101),OFFSET(INDIRECT(CONCAT(""A"",to_text(match(EV101,ecn.list,0)))),0,1),"""")"),"MB ")</f>
        <v>MB </v>
      </c>
      <c r="BW101" s="236" t="str">
        <f>IFERROR(__xludf.DUMMYFUNCTION("if(countif(ecn.list,EW101),OFFSET(INDIRECT(CONCAT(""A"",to_text(match(EW101,ecn.list,0)))),0,1),"""")"),"")</f>
        <v/>
      </c>
      <c r="BX101" s="236" t="str">
        <f>IFERROR(__xludf.DUMMYFUNCTION("if(countif(ecn.list,EX101),OFFSET(INDIRECT(CONCAT(""A"",to_text(match(EX101,ecn.list,0)))),0,1),"""")"),"")</f>
        <v/>
      </c>
      <c r="BY101" s="236" t="str">
        <f>IFERROR(__xludf.DUMMYFUNCTION("if(countif(ecn.list,EY101),OFFSET(INDIRECT(CONCAT(""A"",to_text(match(EY101,ecn.list,0)))),0,1),"""")"),"")</f>
        <v/>
      </c>
      <c r="BZ101" s="236" t="str">
        <f>IFERROR(__xludf.DUMMYFUNCTION("if(countif(ecn.list,EZ101),OFFSET(INDIRECT(CONCAT(""A"",to_text(match(EZ101,ecn.list,0)))),0,1),"""")"),"MF ")</f>
        <v>MF </v>
      </c>
      <c r="CA101" s="236" t="str">
        <f>IFERROR(__xludf.DUMMYFUNCTION("if(countif(ecn.list,FA101),OFFSET(INDIRECT(CONCAT(""A"",to_text(match(FA101,ecn.list,0)))),0,1),"""")"),"")</f>
        <v/>
      </c>
      <c r="CB101" s="236" t="str">
        <f>IFERROR(__xludf.DUMMYFUNCTION("if(countif(ecn.list,FB101),OFFSET(INDIRECT(CONCAT(""A"",to_text(match(FB101,ecn.list,0)))),0,1),"""")"),"")</f>
        <v/>
      </c>
      <c r="CC101" s="236" t="str">
        <f>IFERROR(__xludf.DUMMYFUNCTION("if(countif(ecn.list,FC101),OFFSET(INDIRECT(CONCAT(""A"",to_text(match(FC101,ecn.list,0)))),0,1),"""")"),"N2 ")</f>
        <v>N2 </v>
      </c>
      <c r="CD101" s="236" t="str">
        <f>IFERROR(__xludf.DUMMYFUNCTION("if(countif(ecn.list,FD101),OFFSET(INDIRECT(CONCAT(""A"",to_text(match(FD101,ecn.list,0)))),0,1),"""")"),"")</f>
        <v/>
      </c>
      <c r="CE101" s="236" t="str">
        <f>IFERROR(__xludf.DUMMYFUNCTION("if(countif(ecn.list,FE101),OFFSET(INDIRECT(CONCAT(""A"",to_text(match(FE101,ecn.list,0)))),0,1),"""")"),"")</f>
        <v/>
      </c>
      <c r="CF101" s="236" t="str">
        <f>IFERROR(__xludf.DUMMYFUNCTION("if(countif(ecn.list,FF101),OFFSET(INDIRECT(CONCAT(""A"",to_text(match(FF101,ecn.list,0)))),0,1),"""")"),"")</f>
        <v/>
      </c>
      <c r="CG101" s="236" t="str">
        <f>IFERROR(__xludf.DUMMYFUNCTION("if(countif(ecn.list,FG101),OFFSET(INDIRECT(CONCAT(""A"",to_text(match(FG101,ecn.list,0)))),0,1),"""")"),"N6 ")</f>
        <v>N6 </v>
      </c>
      <c r="CH101" s="236" t="str">
        <f>IFERROR(__xludf.DUMMYFUNCTION("if(countif(ecn.list,FH101),OFFSET(INDIRECT(CONCAT(""A"",to_text(match(FH101,ecn.list,0)))),0,1),"""")"),"N7 ")</f>
        <v>N7 </v>
      </c>
      <c r="CI101" s="236" t="str">
        <f>IFERROR(__xludf.DUMMYFUNCTION("if(countif(ecn.list,FI101),OFFSET(INDIRECT(CONCAT(""A"",to_text(match(FI101,ecn.list,0)))),0,1),"""")"),"")</f>
        <v/>
      </c>
      <c r="CJ101" s="236" t="str">
        <f>IFERROR(__xludf.DUMMYFUNCTION("if(countif(ecn.list,FJ101),OFFSET(INDIRECT(CONCAT(""A"",to_text(match(FJ101,ecn.list,0)))),0,1),"""")"),"")</f>
        <v/>
      </c>
      <c r="CK101" s="236" t="str">
        <f>IFERROR(__xludf.DUMMYFUNCTION("if(countif(ecn.list,FK101),OFFSET(INDIRECT(CONCAT(""A"",to_text(match(FK101,ecn.list,0)))),0,1),"""")"),"NA ")</f>
        <v>NA </v>
      </c>
      <c r="CL101" s="236" t="str">
        <f>IFERROR(__xludf.DUMMYFUNCTION("if(countif(ecn.list,FL101),OFFSET(INDIRECT(CONCAT(""A"",to_text(match(FL101,ecn.list,0)))),0,1),"""")"),"")</f>
        <v/>
      </c>
      <c r="CM101" s="236" t="str">
        <f>IFERROR(__xludf.DUMMYFUNCTION("if(countif(ecn.list,FM101),OFFSET(INDIRECT(CONCAT(""A"",to_text(match(FM101,ecn.list,0)))),0,1),"""")"),"")</f>
        <v/>
      </c>
      <c r="CN101" s="198" t="s">
        <v>375</v>
      </c>
      <c r="CO101" s="198" t="s">
        <v>1447</v>
      </c>
      <c r="CP101" s="198" t="s">
        <v>1451</v>
      </c>
      <c r="CQ101" s="198" t="s">
        <v>1452</v>
      </c>
      <c r="CR101" s="198" t="s">
        <v>1490</v>
      </c>
      <c r="CS101" s="198" t="s">
        <v>1453</v>
      </c>
      <c r="CT101" s="198" t="s">
        <v>1454</v>
      </c>
      <c r="CU101" s="198" t="s">
        <v>1455</v>
      </c>
      <c r="CV101" s="198" t="s">
        <v>1456</v>
      </c>
      <c r="CW101" s="198" t="s">
        <v>1453</v>
      </c>
      <c r="CX101" s="198" t="s">
        <v>1453</v>
      </c>
      <c r="CY101" s="198" t="s">
        <v>1484</v>
      </c>
      <c r="CZ101" s="198" t="s">
        <v>1453</v>
      </c>
      <c r="DA101" s="198" t="s">
        <v>1457</v>
      </c>
      <c r="DB101" s="198" t="s">
        <v>1485</v>
      </c>
      <c r="DC101" s="198" t="s">
        <v>1453</v>
      </c>
      <c r="DD101" s="198" t="s">
        <v>1458</v>
      </c>
      <c r="DE101" s="198" t="s">
        <v>1459</v>
      </c>
      <c r="DF101" s="198" t="s">
        <v>1498</v>
      </c>
      <c r="DG101" s="198" t="s">
        <v>1499</v>
      </c>
      <c r="DH101" s="198" t="s">
        <v>1500</v>
      </c>
      <c r="DI101" s="198" t="s">
        <v>1501</v>
      </c>
      <c r="DJ101" s="198" t="s">
        <v>1460</v>
      </c>
      <c r="DK101" s="198" t="s">
        <v>1453</v>
      </c>
      <c r="DL101" s="198" t="s">
        <v>1461</v>
      </c>
      <c r="DM101" s="198" t="s">
        <v>1462</v>
      </c>
      <c r="DN101" s="198" t="s">
        <v>1463</v>
      </c>
      <c r="DO101" s="198" t="s">
        <v>1464</v>
      </c>
      <c r="DP101" s="198" t="s">
        <v>1465</v>
      </c>
      <c r="DQ101" s="198" t="s">
        <v>1466</v>
      </c>
      <c r="DR101" s="198" t="s">
        <v>1467</v>
      </c>
      <c r="DS101" s="198" t="s">
        <v>1515</v>
      </c>
      <c r="DT101" s="198" t="s">
        <v>1468</v>
      </c>
      <c r="DU101" s="198" t="s">
        <v>1453</v>
      </c>
      <c r="DV101" s="198" t="s">
        <v>1469</v>
      </c>
      <c r="DW101" s="198" t="s">
        <v>1502</v>
      </c>
      <c r="DX101" s="198" t="s">
        <v>1503</v>
      </c>
      <c r="DY101" s="198" t="s">
        <v>1453</v>
      </c>
      <c r="DZ101" s="198" t="s">
        <v>1453</v>
      </c>
      <c r="EA101" s="198" t="s">
        <v>1453</v>
      </c>
      <c r="EB101" s="198" t="s">
        <v>1504</v>
      </c>
      <c r="EC101" s="198" t="s">
        <v>1483</v>
      </c>
      <c r="ED101" s="198" t="s">
        <v>1453</v>
      </c>
      <c r="EE101" s="198" t="s">
        <v>1470</v>
      </c>
      <c r="EF101" s="198" t="s">
        <v>1453</v>
      </c>
      <c r="EG101" s="198" t="s">
        <v>1471</v>
      </c>
      <c r="EH101" s="198" t="s">
        <v>1453</v>
      </c>
      <c r="EI101" s="198" t="s">
        <v>1453</v>
      </c>
      <c r="EJ101" s="198" t="s">
        <v>1472</v>
      </c>
      <c r="EK101" s="198" t="s">
        <v>1487</v>
      </c>
      <c r="EL101" s="198" t="s">
        <v>1473</v>
      </c>
      <c r="EM101" s="198" t="s">
        <v>1453</v>
      </c>
      <c r="EN101" s="198" t="s">
        <v>1474</v>
      </c>
      <c r="EO101" s="198" t="s">
        <v>1475</v>
      </c>
      <c r="EP101" s="198" t="s">
        <v>1524</v>
      </c>
      <c r="EQ101" s="198" t="s">
        <v>1453</v>
      </c>
      <c r="ER101" s="198" t="s">
        <v>1453</v>
      </c>
      <c r="ES101" s="198" t="s">
        <v>1505</v>
      </c>
      <c r="ET101" s="198" t="s">
        <v>1453</v>
      </c>
      <c r="EU101" s="198" t="s">
        <v>1453</v>
      </c>
      <c r="EV101" s="198" t="s">
        <v>1476</v>
      </c>
      <c r="EW101" s="198" t="s">
        <v>1453</v>
      </c>
      <c r="EX101" s="198" t="s">
        <v>1453</v>
      </c>
      <c r="EY101" s="198" t="s">
        <v>1453</v>
      </c>
      <c r="EZ101" s="198" t="s">
        <v>1477</v>
      </c>
      <c r="FA101" s="198" t="s">
        <v>1453</v>
      </c>
      <c r="FB101" s="198" t="s">
        <v>1453</v>
      </c>
      <c r="FC101" s="198" t="s">
        <v>1478</v>
      </c>
      <c r="FD101" s="198" t="s">
        <v>1453</v>
      </c>
      <c r="FE101" s="198" t="s">
        <v>1453</v>
      </c>
      <c r="FF101" s="198" t="s">
        <v>1453</v>
      </c>
      <c r="FG101" s="198" t="s">
        <v>1517</v>
      </c>
      <c r="FH101" s="198" t="s">
        <v>1479</v>
      </c>
      <c r="FI101" s="198" t="s">
        <v>1453</v>
      </c>
      <c r="FJ101" s="198" t="s">
        <v>1453</v>
      </c>
      <c r="FK101" s="198" t="s">
        <v>1481</v>
      </c>
      <c r="FL101" s="198" t="s">
        <v>1482</v>
      </c>
      <c r="FM101" s="198" t="s">
        <v>1453</v>
      </c>
    </row>
    <row r="102" ht="15.75" customHeight="1">
      <c r="A102" s="198"/>
      <c r="B102" s="198"/>
      <c r="C102" s="234"/>
      <c r="D102" s="232" t="s">
        <v>770</v>
      </c>
      <c r="E102" s="232" t="s">
        <v>1448</v>
      </c>
      <c r="F102" s="232" t="s">
        <v>1449</v>
      </c>
      <c r="G102" s="232" t="s">
        <v>1450</v>
      </c>
      <c r="H102" s="232" t="s">
        <v>876</v>
      </c>
      <c r="I102" s="232" t="s">
        <v>987</v>
      </c>
      <c r="J102" s="232" t="s">
        <v>1497</v>
      </c>
      <c r="K102" s="232" t="s">
        <v>1012</v>
      </c>
      <c r="L102" s="188" t="s">
        <v>378</v>
      </c>
      <c r="M102" s="236" t="str">
        <f>IFERROR(__xludf.DUMMYFUNCTION("regexreplace(N102,"" "","", "")"),"J0, J1, J2, J3, J5, J6, J7, JA, JC, JD, JF, K0, K1, K2, K3, K4, K5, K7, K9, KA, KB, KC, KD, KE, KF, L1, L2, L3, L7, L8, LA, LC, LF, M0, M1, M3, M4, M5, M8, MB, MF, N2, N6, N7, NA, ")</f>
        <v>J0, J1, J2, J3, J5, J6, J7, JA, JC, JD, JF, K0, K1, K2, K3, K4, K5, K7, K9, KA, KB, KC, KD, KE, KF, L1, L2, L3, L7, L8, LA, LC, LF, M0, M1, M3, M4, M5, M8, MB, MF, N2, N6, N7, NA, </v>
      </c>
      <c r="N102" s="236" t="str">
        <f t="shared" si="2"/>
        <v>J0 J1 J2 J3 J5 J6 J7 JA JC JD JF K0 K1 K2 K3 K4 K5 K7 K9 KA KB KC KD KE KF L1 L2 L3 L7 L8 LA LC LF M0 M1 M3 M4 M5 M8 MB MF N2 N6 N7 NA </v>
      </c>
      <c r="O102" s="236" t="str">
        <f>IFERROR(__xludf.DUMMYFUNCTION("if(countif(ecn.list,CO102),OFFSET(INDIRECT(CONCAT(""A"",to_text(match(CO102,ecn.list,0)))),0,1),"""")"),"J0 ")</f>
        <v>J0 </v>
      </c>
      <c r="P102" s="236" t="str">
        <f>IFERROR(__xludf.DUMMYFUNCTION("if(countif(ecn.list,CP102),OFFSET(INDIRECT(CONCAT(""A"",to_text(match(CP102,ecn.list,0)))),0,1),"""")"),"J1 ")</f>
        <v>J1 </v>
      </c>
      <c r="Q102" s="236" t="str">
        <f>IFERROR(__xludf.DUMMYFUNCTION("if(countif(ecn.list,CQ102),OFFSET(INDIRECT(CONCAT(""A"",to_text(match(CQ102,ecn.list,0)))),0,1),"""")"),"J2 ")</f>
        <v>J2 </v>
      </c>
      <c r="R102" s="236" t="str">
        <f>IFERROR(__xludf.DUMMYFUNCTION("if(countif(ecn.list,CR102),OFFSET(INDIRECT(CONCAT(""A"",to_text(match(CR102,ecn.list,0)))),0,1),"""")"),"J3 ")</f>
        <v>J3 </v>
      </c>
      <c r="S102" s="236" t="str">
        <f>IFERROR(__xludf.DUMMYFUNCTION("if(countif(ecn.list,CS102),OFFSET(INDIRECT(CONCAT(""A"",to_text(match(CS102,ecn.list,0)))),0,1),"""")"),"")</f>
        <v/>
      </c>
      <c r="T102" s="236" t="str">
        <f>IFERROR(__xludf.DUMMYFUNCTION("if(countif(ecn.list,CT102),OFFSET(INDIRECT(CONCAT(""A"",to_text(match(CT102,ecn.list,0)))),0,1),"""")"),"J5 ")</f>
        <v>J5 </v>
      </c>
      <c r="U102" s="236" t="str">
        <f>IFERROR(__xludf.DUMMYFUNCTION("if(countif(ecn.list,CU102),OFFSET(INDIRECT(CONCAT(""A"",to_text(match(CU102,ecn.list,0)))),0,1),"""")"),"J6 ")</f>
        <v>J6 </v>
      </c>
      <c r="V102" s="236" t="str">
        <f>IFERROR(__xludf.DUMMYFUNCTION("if(countif(ecn.list,CV102),OFFSET(INDIRECT(CONCAT(""A"",to_text(match(CV102,ecn.list,0)))),0,1),"""")"),"J7 ")</f>
        <v>J7 </v>
      </c>
      <c r="W102" s="236" t="str">
        <f>IFERROR(__xludf.DUMMYFUNCTION("if(countif(ecn.list,CW102),OFFSET(INDIRECT(CONCAT(""A"",to_text(match(CW102,ecn.list,0)))),0,1),"""")"),"")</f>
        <v/>
      </c>
      <c r="X102" s="236" t="str">
        <f>IFERROR(__xludf.DUMMYFUNCTION("if(countif(ecn.list,CX102),OFFSET(INDIRECT(CONCAT(""A"",to_text(match(CX102,ecn.list,0)))),0,1),"""")"),"")</f>
        <v/>
      </c>
      <c r="Y102" s="236" t="str">
        <f>IFERROR(__xludf.DUMMYFUNCTION("if(countif(ecn.list,CY102),OFFSET(INDIRECT(CONCAT(""A"",to_text(match(CY102,ecn.list,0)))),0,1),"""")"),"JA ")</f>
        <v>JA </v>
      </c>
      <c r="Z102" s="236" t="str">
        <f>IFERROR(__xludf.DUMMYFUNCTION("if(countif(ecn.list,CZ102),OFFSET(INDIRECT(CONCAT(""A"",to_text(match(CZ102,ecn.list,0)))),0,1),"""")"),"")</f>
        <v/>
      </c>
      <c r="AA102" s="236" t="str">
        <f>IFERROR(__xludf.DUMMYFUNCTION("if(countif(ecn.list,DA102),OFFSET(INDIRECT(CONCAT(""A"",to_text(match(DA102,ecn.list,0)))),0,1),"""")"),"JC ")</f>
        <v>JC </v>
      </c>
      <c r="AB102" s="236" t="str">
        <f>IFERROR(__xludf.DUMMYFUNCTION("if(countif(ecn.list,DB102),OFFSET(INDIRECT(CONCAT(""A"",to_text(match(DB102,ecn.list,0)))),0,1),"""")"),"JD ")</f>
        <v>JD </v>
      </c>
      <c r="AC102" s="236" t="str">
        <f>IFERROR(__xludf.DUMMYFUNCTION("if(countif(ecn.list,DC102),OFFSET(INDIRECT(CONCAT(""A"",to_text(match(DC102,ecn.list,0)))),0,1),"""")"),"")</f>
        <v/>
      </c>
      <c r="AD102" s="236" t="str">
        <f>IFERROR(__xludf.DUMMYFUNCTION("if(countif(ecn.list,DD102),OFFSET(INDIRECT(CONCAT(""A"",to_text(match(DD102,ecn.list,0)))),0,1),"""")"),"JF ")</f>
        <v>JF </v>
      </c>
      <c r="AE102" s="236" t="str">
        <f>IFERROR(__xludf.DUMMYFUNCTION("if(countif(ecn.list,DE102),OFFSET(INDIRECT(CONCAT(""A"",to_text(match(DE102,ecn.list,0)))),0,1),"""")"),"K0 ")</f>
        <v>K0 </v>
      </c>
      <c r="AF102" s="236" t="str">
        <f>IFERROR(__xludf.DUMMYFUNCTION("if(countif(ecn.list,DF102),OFFSET(INDIRECT(CONCAT(""A"",to_text(match(DF102,ecn.list,0)))),0,1),"""")"),"K1 ")</f>
        <v>K1 </v>
      </c>
      <c r="AG102" s="236" t="str">
        <f>IFERROR(__xludf.DUMMYFUNCTION("if(countif(ecn.list,DG102),OFFSET(INDIRECT(CONCAT(""A"",to_text(match(DG102,ecn.list,0)))),0,1),"""")"),"K2 ")</f>
        <v>K2 </v>
      </c>
      <c r="AH102" s="236" t="str">
        <f>IFERROR(__xludf.DUMMYFUNCTION("if(countif(ecn.list,DH102),OFFSET(INDIRECT(CONCAT(""A"",to_text(match(DH102,ecn.list,0)))),0,1),"""")"),"K3 ")</f>
        <v>K3 </v>
      </c>
      <c r="AI102" s="236" t="str">
        <f>IFERROR(__xludf.DUMMYFUNCTION("if(countif(ecn.list,DI102),OFFSET(INDIRECT(CONCAT(""A"",to_text(match(DI102,ecn.list,0)))),0,1),"""")"),"K4 ")</f>
        <v>K4 </v>
      </c>
      <c r="AJ102" s="236" t="str">
        <f>IFERROR(__xludf.DUMMYFUNCTION("if(countif(ecn.list,DJ102),OFFSET(INDIRECT(CONCAT(""A"",to_text(match(DJ102,ecn.list,0)))),0,1),"""")"),"K5 ")</f>
        <v>K5 </v>
      </c>
      <c r="AK102" s="236" t="str">
        <f>IFERROR(__xludf.DUMMYFUNCTION("if(countif(ecn.list,DK102),OFFSET(INDIRECT(CONCAT(""A"",to_text(match(DK102,ecn.list,0)))),0,1),"""")"),"")</f>
        <v/>
      </c>
      <c r="AL102" s="236" t="str">
        <f>IFERROR(__xludf.DUMMYFUNCTION("if(countif(ecn.list,DL102),OFFSET(INDIRECT(CONCAT(""A"",to_text(match(DL102,ecn.list,0)))),0,1),"""")"),"K7 ")</f>
        <v>K7 </v>
      </c>
      <c r="AM102" s="236" t="str">
        <f>IFERROR(__xludf.DUMMYFUNCTION("if(countif(ecn.list,DM102),OFFSET(INDIRECT(CONCAT(""A"",to_text(match(DM102,ecn.list,0)))),0,1),"""")"),"")</f>
        <v/>
      </c>
      <c r="AN102" s="236" t="str">
        <f>IFERROR(__xludf.DUMMYFUNCTION("if(countif(ecn.list,DN102),OFFSET(INDIRECT(CONCAT(""A"",to_text(match(DN102,ecn.list,0)))),0,1),"""")"),"K9 ")</f>
        <v>K9 </v>
      </c>
      <c r="AO102" s="236" t="str">
        <f>IFERROR(__xludf.DUMMYFUNCTION("if(countif(ecn.list,DO102),OFFSET(INDIRECT(CONCAT(""A"",to_text(match(DO102,ecn.list,0)))),0,1),"""")"),"KA ")</f>
        <v>KA </v>
      </c>
      <c r="AP102" s="236" t="str">
        <f>IFERROR(__xludf.DUMMYFUNCTION("if(countif(ecn.list,DP102),OFFSET(INDIRECT(CONCAT(""A"",to_text(match(DP102,ecn.list,0)))),0,1),"""")"),"KB ")</f>
        <v>KB </v>
      </c>
      <c r="AQ102" s="236" t="str">
        <f>IFERROR(__xludf.DUMMYFUNCTION("if(countif(ecn.list,DQ102),OFFSET(INDIRECT(CONCAT(""A"",to_text(match(DQ102,ecn.list,0)))),0,1),"""")"),"KC ")</f>
        <v>KC </v>
      </c>
      <c r="AR102" s="236" t="str">
        <f>IFERROR(__xludf.DUMMYFUNCTION("if(countif(ecn.list,DR102),OFFSET(INDIRECT(CONCAT(""A"",to_text(match(DR102,ecn.list,0)))),0,1),"""")"),"KD ")</f>
        <v>KD </v>
      </c>
      <c r="AS102" s="236" t="str">
        <f>IFERROR(__xludf.DUMMYFUNCTION("if(countif(ecn.list,DS102),OFFSET(INDIRECT(CONCAT(""A"",to_text(match(DS102,ecn.list,0)))),0,1),"""")"),"KE ")</f>
        <v>KE </v>
      </c>
      <c r="AT102" s="236" t="str">
        <f>IFERROR(__xludf.DUMMYFUNCTION("if(countif(ecn.list,DT102),OFFSET(INDIRECT(CONCAT(""A"",to_text(match(DT102,ecn.list,0)))),0,1),"""")"),"KF ")</f>
        <v>KF </v>
      </c>
      <c r="AU102" s="236" t="str">
        <f>IFERROR(__xludf.DUMMYFUNCTION("if(countif(ecn.list,DU102),OFFSET(INDIRECT(CONCAT(""A"",to_text(match(DU102,ecn.list,0)))),0,1),"""")"),"")</f>
        <v/>
      </c>
      <c r="AV102" s="236" t="str">
        <f>IFERROR(__xludf.DUMMYFUNCTION("if(countif(ecn.list,DV102),OFFSET(INDIRECT(CONCAT(""A"",to_text(match(DV102,ecn.list,0)))),0,1),"""")"),"L1 ")</f>
        <v>L1 </v>
      </c>
      <c r="AW102" s="236" t="str">
        <f>IFERROR(__xludf.DUMMYFUNCTION("if(countif(ecn.list,DW102),OFFSET(INDIRECT(CONCAT(""A"",to_text(match(DW102,ecn.list,0)))),0,1),"""")"),"L2 ")</f>
        <v>L2 </v>
      </c>
      <c r="AX102" s="236" t="str">
        <f>IFERROR(__xludf.DUMMYFUNCTION("if(countif(ecn.list,DX102),OFFSET(INDIRECT(CONCAT(""A"",to_text(match(DX102,ecn.list,0)))),0,1),"""")"),"L3 ")</f>
        <v>L3 </v>
      </c>
      <c r="AY102" s="236" t="str">
        <f>IFERROR(__xludf.DUMMYFUNCTION("if(countif(ecn.list,DY102),OFFSET(INDIRECT(CONCAT(""A"",to_text(match(DY102,ecn.list,0)))),0,1),"""")"),"")</f>
        <v/>
      </c>
      <c r="AZ102" s="236" t="str">
        <f>IFERROR(__xludf.DUMMYFUNCTION("if(countif(ecn.list,DZ102),OFFSET(INDIRECT(CONCAT(""A"",to_text(match(DZ102,ecn.list,0)))),0,1),"""")"),"")</f>
        <v/>
      </c>
      <c r="BA102" s="236" t="str">
        <f>IFERROR(__xludf.DUMMYFUNCTION("if(countif(ecn.list,EA102),OFFSET(INDIRECT(CONCAT(""A"",to_text(match(EA102,ecn.list,0)))),0,1),"""")"),"")</f>
        <v/>
      </c>
      <c r="BB102" s="236" t="str">
        <f>IFERROR(__xludf.DUMMYFUNCTION("if(countif(ecn.list,EB102),OFFSET(INDIRECT(CONCAT(""A"",to_text(match(EB102,ecn.list,0)))),0,1),"""")"),"L7 ")</f>
        <v>L7 </v>
      </c>
      <c r="BC102" s="236" t="str">
        <f>IFERROR(__xludf.DUMMYFUNCTION("if(countif(ecn.list,EC102),OFFSET(INDIRECT(CONCAT(""A"",to_text(match(EC102,ecn.list,0)))),0,1),"""")"),"L8 ")</f>
        <v>L8 </v>
      </c>
      <c r="BD102" s="236" t="str">
        <f>IFERROR(__xludf.DUMMYFUNCTION("if(countif(ecn.list,ED102),OFFSET(INDIRECT(CONCAT(""A"",to_text(match(ED102,ecn.list,0)))),0,1),"""")"),"")</f>
        <v/>
      </c>
      <c r="BE102" s="236" t="str">
        <f>IFERROR(__xludf.DUMMYFUNCTION("if(countif(ecn.list,EE102),OFFSET(INDIRECT(CONCAT(""A"",to_text(match(EE102,ecn.list,0)))),0,1),"""")"),"LA ")</f>
        <v>LA </v>
      </c>
      <c r="BF102" s="236" t="str">
        <f>IFERROR(__xludf.DUMMYFUNCTION("if(countif(ecn.list,EF102),OFFSET(INDIRECT(CONCAT(""A"",to_text(match(EF102,ecn.list,0)))),0,1),"""")"),"")</f>
        <v/>
      </c>
      <c r="BG102" s="236" t="str">
        <f>IFERROR(__xludf.DUMMYFUNCTION("if(countif(ecn.list,EG102),OFFSET(INDIRECT(CONCAT(""A"",to_text(match(EG102,ecn.list,0)))),0,1),"""")"),"LC ")</f>
        <v>LC </v>
      </c>
      <c r="BH102" s="236" t="str">
        <f>IFERROR(__xludf.DUMMYFUNCTION("if(countif(ecn.list,EH102),OFFSET(INDIRECT(CONCAT(""A"",to_text(match(EH102,ecn.list,0)))),0,1),"""")"),"")</f>
        <v/>
      </c>
      <c r="BI102" s="236" t="str">
        <f>IFERROR(__xludf.DUMMYFUNCTION("if(countif(ecn.list,EI102),OFFSET(INDIRECT(CONCAT(""A"",to_text(match(EI102,ecn.list,0)))),0,1),"""")"),"")</f>
        <v/>
      </c>
      <c r="BJ102" s="236" t="str">
        <f>IFERROR(__xludf.DUMMYFUNCTION("if(countif(ecn.list,EJ102),OFFSET(INDIRECT(CONCAT(""A"",to_text(match(EJ102,ecn.list,0)))),0,1),"""")"),"LF ")</f>
        <v>LF </v>
      </c>
      <c r="BK102" s="236" t="str">
        <f>IFERROR(__xludf.DUMMYFUNCTION("if(countif(ecn.list,EK102),OFFSET(INDIRECT(CONCAT(""A"",to_text(match(EK102,ecn.list,0)))),0,1),"""")"),"M0 ")</f>
        <v>M0 </v>
      </c>
      <c r="BL102" s="236" t="str">
        <f>IFERROR(__xludf.DUMMYFUNCTION("if(countif(ecn.list,EL102),OFFSET(INDIRECT(CONCAT(""A"",to_text(match(EL102,ecn.list,0)))),0,1),"""")"),"M1 ")</f>
        <v>M1 </v>
      </c>
      <c r="BM102" s="236" t="str">
        <f>IFERROR(__xludf.DUMMYFUNCTION("if(countif(ecn.list,EM102),OFFSET(INDIRECT(CONCAT(""A"",to_text(match(EM102,ecn.list,0)))),0,1),"""")"),"")</f>
        <v/>
      </c>
      <c r="BN102" s="236" t="str">
        <f>IFERROR(__xludf.DUMMYFUNCTION("if(countif(ecn.list,EN102),OFFSET(INDIRECT(CONCAT(""A"",to_text(match(EN102,ecn.list,0)))),0,1),"""")"),"M3 ")</f>
        <v>M3 </v>
      </c>
      <c r="BO102" s="236" t="str">
        <f>IFERROR(__xludf.DUMMYFUNCTION("if(countif(ecn.list,EO102),OFFSET(INDIRECT(CONCAT(""A"",to_text(match(EO102,ecn.list,0)))),0,1),"""")"),"M4 ")</f>
        <v>M4 </v>
      </c>
      <c r="BP102" s="236" t="str">
        <f>IFERROR(__xludf.DUMMYFUNCTION("if(countif(ecn.list,EP102),OFFSET(INDIRECT(CONCAT(""A"",to_text(match(EP102,ecn.list,0)))),0,1),"""")"),"M5 ")</f>
        <v>M5 </v>
      </c>
      <c r="BQ102" s="236" t="str">
        <f>IFERROR(__xludf.DUMMYFUNCTION("if(countif(ecn.list,EQ102),OFFSET(INDIRECT(CONCAT(""A"",to_text(match(EQ102,ecn.list,0)))),0,1),"""")"),"")</f>
        <v/>
      </c>
      <c r="BR102" s="236" t="str">
        <f>IFERROR(__xludf.DUMMYFUNCTION("if(countif(ecn.list,ER102),OFFSET(INDIRECT(CONCAT(""A"",to_text(match(ER102,ecn.list,0)))),0,1),"""")"),"")</f>
        <v/>
      </c>
      <c r="BS102" s="236" t="str">
        <f>IFERROR(__xludf.DUMMYFUNCTION("if(countif(ecn.list,ES102),OFFSET(INDIRECT(CONCAT(""A"",to_text(match(ES102,ecn.list,0)))),0,1),"""")"),"M8 ")</f>
        <v>M8 </v>
      </c>
      <c r="BT102" s="236" t="str">
        <f>IFERROR(__xludf.DUMMYFUNCTION("if(countif(ecn.list,ET102),OFFSET(INDIRECT(CONCAT(""A"",to_text(match(ET102,ecn.list,0)))),0,1),"""")"),"")</f>
        <v/>
      </c>
      <c r="BU102" s="236" t="str">
        <f>IFERROR(__xludf.DUMMYFUNCTION("if(countif(ecn.list,EU102),OFFSET(INDIRECT(CONCAT(""A"",to_text(match(EU102,ecn.list,0)))),0,1),"""")"),"")</f>
        <v/>
      </c>
      <c r="BV102" s="236" t="str">
        <f>IFERROR(__xludf.DUMMYFUNCTION("if(countif(ecn.list,EV102),OFFSET(INDIRECT(CONCAT(""A"",to_text(match(EV102,ecn.list,0)))),0,1),"""")"),"MB ")</f>
        <v>MB </v>
      </c>
      <c r="BW102" s="236" t="str">
        <f>IFERROR(__xludf.DUMMYFUNCTION("if(countif(ecn.list,EW102),OFFSET(INDIRECT(CONCAT(""A"",to_text(match(EW102,ecn.list,0)))),0,1),"""")"),"")</f>
        <v/>
      </c>
      <c r="BX102" s="236" t="str">
        <f>IFERROR(__xludf.DUMMYFUNCTION("if(countif(ecn.list,EX102),OFFSET(INDIRECT(CONCAT(""A"",to_text(match(EX102,ecn.list,0)))),0,1),"""")"),"")</f>
        <v/>
      </c>
      <c r="BY102" s="236" t="str">
        <f>IFERROR(__xludf.DUMMYFUNCTION("if(countif(ecn.list,EY102),OFFSET(INDIRECT(CONCAT(""A"",to_text(match(EY102,ecn.list,0)))),0,1),"""")"),"")</f>
        <v/>
      </c>
      <c r="BZ102" s="236" t="str">
        <f>IFERROR(__xludf.DUMMYFUNCTION("if(countif(ecn.list,EZ102),OFFSET(INDIRECT(CONCAT(""A"",to_text(match(EZ102,ecn.list,0)))),0,1),"""")"),"MF ")</f>
        <v>MF </v>
      </c>
      <c r="CA102" s="236" t="str">
        <f>IFERROR(__xludf.DUMMYFUNCTION("if(countif(ecn.list,FA102),OFFSET(INDIRECT(CONCAT(""A"",to_text(match(FA102,ecn.list,0)))),0,1),"""")"),"")</f>
        <v/>
      </c>
      <c r="CB102" s="236" t="str">
        <f>IFERROR(__xludf.DUMMYFUNCTION("if(countif(ecn.list,FB102),OFFSET(INDIRECT(CONCAT(""A"",to_text(match(FB102,ecn.list,0)))),0,1),"""")"),"")</f>
        <v/>
      </c>
      <c r="CC102" s="236" t="str">
        <f>IFERROR(__xludf.DUMMYFUNCTION("if(countif(ecn.list,FC102),OFFSET(INDIRECT(CONCAT(""A"",to_text(match(FC102,ecn.list,0)))),0,1),"""")"),"N2 ")</f>
        <v>N2 </v>
      </c>
      <c r="CD102" s="236" t="str">
        <f>IFERROR(__xludf.DUMMYFUNCTION("if(countif(ecn.list,FD102),OFFSET(INDIRECT(CONCAT(""A"",to_text(match(FD102,ecn.list,0)))),0,1),"""")"),"")</f>
        <v/>
      </c>
      <c r="CE102" s="236" t="str">
        <f>IFERROR(__xludf.DUMMYFUNCTION("if(countif(ecn.list,FE102),OFFSET(INDIRECT(CONCAT(""A"",to_text(match(FE102,ecn.list,0)))),0,1),"""")"),"")</f>
        <v/>
      </c>
      <c r="CF102" s="236" t="str">
        <f>IFERROR(__xludf.DUMMYFUNCTION("if(countif(ecn.list,FF102),OFFSET(INDIRECT(CONCAT(""A"",to_text(match(FF102,ecn.list,0)))),0,1),"""")"),"")</f>
        <v/>
      </c>
      <c r="CG102" s="236" t="str">
        <f>IFERROR(__xludf.DUMMYFUNCTION("if(countif(ecn.list,FG102),OFFSET(INDIRECT(CONCAT(""A"",to_text(match(FG102,ecn.list,0)))),0,1),"""")"),"N6 ")</f>
        <v>N6 </v>
      </c>
      <c r="CH102" s="236" t="str">
        <f>IFERROR(__xludf.DUMMYFUNCTION("if(countif(ecn.list,FH102),OFFSET(INDIRECT(CONCAT(""A"",to_text(match(FH102,ecn.list,0)))),0,1),"""")"),"N7 ")</f>
        <v>N7 </v>
      </c>
      <c r="CI102" s="236" t="str">
        <f>IFERROR(__xludf.DUMMYFUNCTION("if(countif(ecn.list,FI102),OFFSET(INDIRECT(CONCAT(""A"",to_text(match(FI102,ecn.list,0)))),0,1),"""")"),"")</f>
        <v/>
      </c>
      <c r="CJ102" s="236" t="str">
        <f>IFERROR(__xludf.DUMMYFUNCTION("if(countif(ecn.list,FJ102),OFFSET(INDIRECT(CONCAT(""A"",to_text(match(FJ102,ecn.list,0)))),0,1),"""")"),"")</f>
        <v/>
      </c>
      <c r="CK102" s="236" t="str">
        <f>IFERROR(__xludf.DUMMYFUNCTION("if(countif(ecn.list,FK102),OFFSET(INDIRECT(CONCAT(""A"",to_text(match(FK102,ecn.list,0)))),0,1),"""")"),"NA ")</f>
        <v>NA </v>
      </c>
      <c r="CL102" s="236" t="str">
        <f>IFERROR(__xludf.DUMMYFUNCTION("if(countif(ecn.list,FL102),OFFSET(INDIRECT(CONCAT(""A"",to_text(match(FL102,ecn.list,0)))),0,1),"""")"),"")</f>
        <v/>
      </c>
      <c r="CM102" s="236" t="str">
        <f>IFERROR(__xludf.DUMMYFUNCTION("if(countif(ecn.list,FM102),OFFSET(INDIRECT(CONCAT(""A"",to_text(match(FM102,ecn.list,0)))),0,1),"""")"),"")</f>
        <v/>
      </c>
      <c r="CN102" s="198" t="s">
        <v>378</v>
      </c>
      <c r="CO102" s="198" t="s">
        <v>1447</v>
      </c>
      <c r="CP102" s="198" t="s">
        <v>1451</v>
      </c>
      <c r="CQ102" s="198" t="s">
        <v>1452</v>
      </c>
      <c r="CR102" s="198" t="s">
        <v>1490</v>
      </c>
      <c r="CS102" s="198" t="s">
        <v>1453</v>
      </c>
      <c r="CT102" s="198" t="s">
        <v>1454</v>
      </c>
      <c r="CU102" s="198" t="s">
        <v>1455</v>
      </c>
      <c r="CV102" s="198" t="s">
        <v>1456</v>
      </c>
      <c r="CW102" s="198" t="s">
        <v>1453</v>
      </c>
      <c r="CX102" s="198" t="s">
        <v>1453</v>
      </c>
      <c r="CY102" s="198" t="s">
        <v>1484</v>
      </c>
      <c r="CZ102" s="198" t="s">
        <v>1453</v>
      </c>
      <c r="DA102" s="198" t="s">
        <v>1457</v>
      </c>
      <c r="DB102" s="198" t="s">
        <v>1485</v>
      </c>
      <c r="DC102" s="198" t="s">
        <v>1453</v>
      </c>
      <c r="DD102" s="198" t="s">
        <v>1458</v>
      </c>
      <c r="DE102" s="198" t="s">
        <v>1459</v>
      </c>
      <c r="DF102" s="198" t="s">
        <v>1498</v>
      </c>
      <c r="DG102" s="198" t="s">
        <v>1499</v>
      </c>
      <c r="DH102" s="198" t="s">
        <v>1500</v>
      </c>
      <c r="DI102" s="198" t="s">
        <v>1501</v>
      </c>
      <c r="DJ102" s="198" t="s">
        <v>1460</v>
      </c>
      <c r="DK102" s="198" t="s">
        <v>1453</v>
      </c>
      <c r="DL102" s="198" t="s">
        <v>1461</v>
      </c>
      <c r="DM102" s="198" t="s">
        <v>1453</v>
      </c>
      <c r="DN102" s="198" t="s">
        <v>1463</v>
      </c>
      <c r="DO102" s="198" t="s">
        <v>1464</v>
      </c>
      <c r="DP102" s="198" t="s">
        <v>1465</v>
      </c>
      <c r="DQ102" s="198" t="s">
        <v>1466</v>
      </c>
      <c r="DR102" s="198" t="s">
        <v>1467</v>
      </c>
      <c r="DS102" s="198" t="s">
        <v>1515</v>
      </c>
      <c r="DT102" s="198" t="s">
        <v>1468</v>
      </c>
      <c r="DU102" s="198" t="s">
        <v>1453</v>
      </c>
      <c r="DV102" s="198" t="s">
        <v>1469</v>
      </c>
      <c r="DW102" s="198" t="s">
        <v>1502</v>
      </c>
      <c r="DX102" s="198" t="s">
        <v>1503</v>
      </c>
      <c r="DY102" s="198" t="s">
        <v>1453</v>
      </c>
      <c r="DZ102" s="198" t="s">
        <v>1453</v>
      </c>
      <c r="EA102" s="198" t="s">
        <v>1453</v>
      </c>
      <c r="EB102" s="198" t="s">
        <v>1504</v>
      </c>
      <c r="EC102" s="198" t="s">
        <v>1483</v>
      </c>
      <c r="ED102" s="198" t="s">
        <v>1453</v>
      </c>
      <c r="EE102" s="198" t="s">
        <v>1470</v>
      </c>
      <c r="EF102" s="198" t="s">
        <v>1453</v>
      </c>
      <c r="EG102" s="198" t="s">
        <v>1471</v>
      </c>
      <c r="EH102" s="198" t="s">
        <v>1453</v>
      </c>
      <c r="EI102" s="198" t="s">
        <v>1453</v>
      </c>
      <c r="EJ102" s="198" t="s">
        <v>1472</v>
      </c>
      <c r="EK102" s="198" t="s">
        <v>1487</v>
      </c>
      <c r="EL102" s="198" t="s">
        <v>1473</v>
      </c>
      <c r="EM102" s="198" t="s">
        <v>1453</v>
      </c>
      <c r="EN102" s="198" t="s">
        <v>1474</v>
      </c>
      <c r="EO102" s="198" t="s">
        <v>1475</v>
      </c>
      <c r="EP102" s="198" t="s">
        <v>1524</v>
      </c>
      <c r="EQ102" s="198" t="s">
        <v>1453</v>
      </c>
      <c r="ER102" s="198" t="s">
        <v>1453</v>
      </c>
      <c r="ES102" s="198" t="s">
        <v>1505</v>
      </c>
      <c r="ET102" s="198" t="s">
        <v>1453</v>
      </c>
      <c r="EU102" s="198" t="s">
        <v>1453</v>
      </c>
      <c r="EV102" s="198" t="s">
        <v>1476</v>
      </c>
      <c r="EW102" s="198" t="s">
        <v>1453</v>
      </c>
      <c r="EX102" s="198" t="s">
        <v>1453</v>
      </c>
      <c r="EY102" s="198" t="s">
        <v>1453</v>
      </c>
      <c r="EZ102" s="198" t="s">
        <v>1477</v>
      </c>
      <c r="FA102" s="198" t="s">
        <v>1453</v>
      </c>
      <c r="FB102" s="198" t="s">
        <v>1453</v>
      </c>
      <c r="FC102" s="198" t="s">
        <v>1478</v>
      </c>
      <c r="FD102" s="198" t="s">
        <v>1453</v>
      </c>
      <c r="FE102" s="198" t="s">
        <v>1453</v>
      </c>
      <c r="FF102" s="198" t="s">
        <v>1453</v>
      </c>
      <c r="FG102" s="198" t="s">
        <v>1517</v>
      </c>
      <c r="FH102" s="198" t="s">
        <v>1479</v>
      </c>
      <c r="FI102" s="198" t="s">
        <v>1453</v>
      </c>
      <c r="FJ102" s="198" t="s">
        <v>1453</v>
      </c>
      <c r="FK102" s="198" t="s">
        <v>1481</v>
      </c>
      <c r="FL102" s="198" t="s">
        <v>1482</v>
      </c>
      <c r="FM102" s="198" t="s">
        <v>1453</v>
      </c>
    </row>
    <row r="103" ht="15.75" customHeight="1">
      <c r="A103" s="198"/>
      <c r="B103" s="198"/>
      <c r="C103" s="234"/>
      <c r="D103" s="232" t="s">
        <v>770</v>
      </c>
      <c r="E103" s="232" t="s">
        <v>1448</v>
      </c>
      <c r="F103" s="232" t="s">
        <v>1449</v>
      </c>
      <c r="G103" s="232" t="s">
        <v>1450</v>
      </c>
      <c r="H103" s="232" t="s">
        <v>876</v>
      </c>
      <c r="I103" s="232" t="s">
        <v>987</v>
      </c>
      <c r="J103" s="232" t="s">
        <v>1497</v>
      </c>
      <c r="K103" s="232" t="s">
        <v>1012</v>
      </c>
      <c r="L103" s="188" t="s">
        <v>381</v>
      </c>
      <c r="M103" s="236" t="str">
        <f>IFERROR(__xludf.DUMMYFUNCTION("regexreplace(N103,"" "","", "")"),"J0, J1, J2, J3, J5, J6, J7, JA, JC, JD, JF, K0, K1, K2, K3, K4, K5, K7, K8, K9, KA, KB, KC, KD, KE, KF, L1, L2, L3, L7, L8, LA, LC, LF, M0, M1, M3, M4, M5, M8, MB, MF, N2, N6, N7, NA, ")</f>
        <v>J0, J1, J2, J3, J5, J6, J7, JA, JC, JD, JF, K0, K1, K2, K3, K4, K5, K7, K8, K9, KA, KB, KC, KD, KE, KF, L1, L2, L3, L7, L8, LA, LC, LF, M0, M1, M3, M4, M5, M8, MB, MF, N2, N6, N7, NA, </v>
      </c>
      <c r="N103" s="236" t="str">
        <f t="shared" si="2"/>
        <v>J0 J1 J2 J3 J5 J6 J7 JA JC JD JF K0 K1 K2 K3 K4 K5 K7 K8 K9 KA KB KC KD KE KF L1 L2 L3 L7 L8 LA LC LF M0 M1 M3 M4 M5 M8 MB MF N2 N6 N7 NA </v>
      </c>
      <c r="O103" s="236" t="str">
        <f>IFERROR(__xludf.DUMMYFUNCTION("if(countif(ecn.list,CO103),OFFSET(INDIRECT(CONCAT(""A"",to_text(match(CO103,ecn.list,0)))),0,1),"""")"),"J0 ")</f>
        <v>J0 </v>
      </c>
      <c r="P103" s="236" t="str">
        <f>IFERROR(__xludf.DUMMYFUNCTION("if(countif(ecn.list,CP103),OFFSET(INDIRECT(CONCAT(""A"",to_text(match(CP103,ecn.list,0)))),0,1),"""")"),"J1 ")</f>
        <v>J1 </v>
      </c>
      <c r="Q103" s="236" t="str">
        <f>IFERROR(__xludf.DUMMYFUNCTION("if(countif(ecn.list,CQ103),OFFSET(INDIRECT(CONCAT(""A"",to_text(match(CQ103,ecn.list,0)))),0,1),"""")"),"J2 ")</f>
        <v>J2 </v>
      </c>
      <c r="R103" s="236" t="str">
        <f>IFERROR(__xludf.DUMMYFUNCTION("if(countif(ecn.list,CR103),OFFSET(INDIRECT(CONCAT(""A"",to_text(match(CR103,ecn.list,0)))),0,1),"""")"),"J3 ")</f>
        <v>J3 </v>
      </c>
      <c r="S103" s="236" t="str">
        <f>IFERROR(__xludf.DUMMYFUNCTION("if(countif(ecn.list,CS103),OFFSET(INDIRECT(CONCAT(""A"",to_text(match(CS103,ecn.list,0)))),0,1),"""")"),"")</f>
        <v/>
      </c>
      <c r="T103" s="236" t="str">
        <f>IFERROR(__xludf.DUMMYFUNCTION("if(countif(ecn.list,CT103),OFFSET(INDIRECT(CONCAT(""A"",to_text(match(CT103,ecn.list,0)))),0,1),"""")"),"J5 ")</f>
        <v>J5 </v>
      </c>
      <c r="U103" s="236" t="str">
        <f>IFERROR(__xludf.DUMMYFUNCTION("if(countif(ecn.list,CU103),OFFSET(INDIRECT(CONCAT(""A"",to_text(match(CU103,ecn.list,0)))),0,1),"""")"),"J6 ")</f>
        <v>J6 </v>
      </c>
      <c r="V103" s="236" t="str">
        <f>IFERROR(__xludf.DUMMYFUNCTION("if(countif(ecn.list,CV103),OFFSET(INDIRECT(CONCAT(""A"",to_text(match(CV103,ecn.list,0)))),0,1),"""")"),"J7 ")</f>
        <v>J7 </v>
      </c>
      <c r="W103" s="236" t="str">
        <f>IFERROR(__xludf.DUMMYFUNCTION("if(countif(ecn.list,CW103),OFFSET(INDIRECT(CONCAT(""A"",to_text(match(CW103,ecn.list,0)))),0,1),"""")"),"")</f>
        <v/>
      </c>
      <c r="X103" s="236" t="str">
        <f>IFERROR(__xludf.DUMMYFUNCTION("if(countif(ecn.list,CX103),OFFSET(INDIRECT(CONCAT(""A"",to_text(match(CX103,ecn.list,0)))),0,1),"""")"),"")</f>
        <v/>
      </c>
      <c r="Y103" s="236" t="str">
        <f>IFERROR(__xludf.DUMMYFUNCTION("if(countif(ecn.list,CY103),OFFSET(INDIRECT(CONCAT(""A"",to_text(match(CY103,ecn.list,0)))),0,1),"""")"),"JA ")</f>
        <v>JA </v>
      </c>
      <c r="Z103" s="236" t="str">
        <f>IFERROR(__xludf.DUMMYFUNCTION("if(countif(ecn.list,CZ103),OFFSET(INDIRECT(CONCAT(""A"",to_text(match(CZ103,ecn.list,0)))),0,1),"""")"),"")</f>
        <v/>
      </c>
      <c r="AA103" s="236" t="str">
        <f>IFERROR(__xludf.DUMMYFUNCTION("if(countif(ecn.list,DA103),OFFSET(INDIRECT(CONCAT(""A"",to_text(match(DA103,ecn.list,0)))),0,1),"""")"),"JC ")</f>
        <v>JC </v>
      </c>
      <c r="AB103" s="236" t="str">
        <f>IFERROR(__xludf.DUMMYFUNCTION("if(countif(ecn.list,DB103),OFFSET(INDIRECT(CONCAT(""A"",to_text(match(DB103,ecn.list,0)))),0,1),"""")"),"JD ")</f>
        <v>JD </v>
      </c>
      <c r="AC103" s="236" t="str">
        <f>IFERROR(__xludf.DUMMYFUNCTION("if(countif(ecn.list,DC103),OFFSET(INDIRECT(CONCAT(""A"",to_text(match(DC103,ecn.list,0)))),0,1),"""")"),"")</f>
        <v/>
      </c>
      <c r="AD103" s="236" t="str">
        <f>IFERROR(__xludf.DUMMYFUNCTION("if(countif(ecn.list,DD103),OFFSET(INDIRECT(CONCAT(""A"",to_text(match(DD103,ecn.list,0)))),0,1),"""")"),"JF ")</f>
        <v>JF </v>
      </c>
      <c r="AE103" s="236" t="str">
        <f>IFERROR(__xludf.DUMMYFUNCTION("if(countif(ecn.list,DE103),OFFSET(INDIRECT(CONCAT(""A"",to_text(match(DE103,ecn.list,0)))),0,1),"""")"),"K0 ")</f>
        <v>K0 </v>
      </c>
      <c r="AF103" s="236" t="str">
        <f>IFERROR(__xludf.DUMMYFUNCTION("if(countif(ecn.list,DF103),OFFSET(INDIRECT(CONCAT(""A"",to_text(match(DF103,ecn.list,0)))),0,1),"""")"),"K1 ")</f>
        <v>K1 </v>
      </c>
      <c r="AG103" s="236" t="str">
        <f>IFERROR(__xludf.DUMMYFUNCTION("if(countif(ecn.list,DG103),OFFSET(INDIRECT(CONCAT(""A"",to_text(match(DG103,ecn.list,0)))),0,1),"""")"),"K2 ")</f>
        <v>K2 </v>
      </c>
      <c r="AH103" s="236" t="str">
        <f>IFERROR(__xludf.DUMMYFUNCTION("if(countif(ecn.list,DH103),OFFSET(INDIRECT(CONCAT(""A"",to_text(match(DH103,ecn.list,0)))),0,1),"""")"),"K3 ")</f>
        <v>K3 </v>
      </c>
      <c r="AI103" s="236" t="str">
        <f>IFERROR(__xludf.DUMMYFUNCTION("if(countif(ecn.list,DI103),OFFSET(INDIRECT(CONCAT(""A"",to_text(match(DI103,ecn.list,0)))),0,1),"""")"),"K4 ")</f>
        <v>K4 </v>
      </c>
      <c r="AJ103" s="236" t="str">
        <f>IFERROR(__xludf.DUMMYFUNCTION("if(countif(ecn.list,DJ103),OFFSET(INDIRECT(CONCAT(""A"",to_text(match(DJ103,ecn.list,0)))),0,1),"""")"),"K5 ")</f>
        <v>K5 </v>
      </c>
      <c r="AK103" s="236" t="str">
        <f>IFERROR(__xludf.DUMMYFUNCTION("if(countif(ecn.list,DK103),OFFSET(INDIRECT(CONCAT(""A"",to_text(match(DK103,ecn.list,0)))),0,1),"""")"),"")</f>
        <v/>
      </c>
      <c r="AL103" s="236" t="str">
        <f>IFERROR(__xludf.DUMMYFUNCTION("if(countif(ecn.list,DL103),OFFSET(INDIRECT(CONCAT(""A"",to_text(match(DL103,ecn.list,0)))),0,1),"""")"),"K7 ")</f>
        <v>K7 </v>
      </c>
      <c r="AM103" s="236" t="str">
        <f>IFERROR(__xludf.DUMMYFUNCTION("if(countif(ecn.list,DM103),OFFSET(INDIRECT(CONCAT(""A"",to_text(match(DM103,ecn.list,0)))),0,1),"""")"),"K8 ")</f>
        <v>K8 </v>
      </c>
      <c r="AN103" s="236" t="str">
        <f>IFERROR(__xludf.DUMMYFUNCTION("if(countif(ecn.list,DN103),OFFSET(INDIRECT(CONCAT(""A"",to_text(match(DN103,ecn.list,0)))),0,1),"""")"),"K9 ")</f>
        <v>K9 </v>
      </c>
      <c r="AO103" s="236" t="str">
        <f>IFERROR(__xludf.DUMMYFUNCTION("if(countif(ecn.list,DO103),OFFSET(INDIRECT(CONCAT(""A"",to_text(match(DO103,ecn.list,0)))),0,1),"""")"),"KA ")</f>
        <v>KA </v>
      </c>
      <c r="AP103" s="236" t="str">
        <f>IFERROR(__xludf.DUMMYFUNCTION("if(countif(ecn.list,DP103),OFFSET(INDIRECT(CONCAT(""A"",to_text(match(DP103,ecn.list,0)))),0,1),"""")"),"KB ")</f>
        <v>KB </v>
      </c>
      <c r="AQ103" s="236" t="str">
        <f>IFERROR(__xludf.DUMMYFUNCTION("if(countif(ecn.list,DQ103),OFFSET(INDIRECT(CONCAT(""A"",to_text(match(DQ103,ecn.list,0)))),0,1),"""")"),"KC ")</f>
        <v>KC </v>
      </c>
      <c r="AR103" s="236" t="str">
        <f>IFERROR(__xludf.DUMMYFUNCTION("if(countif(ecn.list,DR103),OFFSET(INDIRECT(CONCAT(""A"",to_text(match(DR103,ecn.list,0)))),0,1),"""")"),"KD ")</f>
        <v>KD </v>
      </c>
      <c r="AS103" s="236" t="str">
        <f>IFERROR(__xludf.DUMMYFUNCTION("if(countif(ecn.list,DS103),OFFSET(INDIRECT(CONCAT(""A"",to_text(match(DS103,ecn.list,0)))),0,1),"""")"),"KE ")</f>
        <v>KE </v>
      </c>
      <c r="AT103" s="236" t="str">
        <f>IFERROR(__xludf.DUMMYFUNCTION("if(countif(ecn.list,DT103),OFFSET(INDIRECT(CONCAT(""A"",to_text(match(DT103,ecn.list,0)))),0,1),"""")"),"KF ")</f>
        <v>KF </v>
      </c>
      <c r="AU103" s="236" t="str">
        <f>IFERROR(__xludf.DUMMYFUNCTION("if(countif(ecn.list,DU103),OFFSET(INDIRECT(CONCAT(""A"",to_text(match(DU103,ecn.list,0)))),0,1),"""")"),"")</f>
        <v/>
      </c>
      <c r="AV103" s="236" t="str">
        <f>IFERROR(__xludf.DUMMYFUNCTION("if(countif(ecn.list,DV103),OFFSET(INDIRECT(CONCAT(""A"",to_text(match(DV103,ecn.list,0)))),0,1),"""")"),"L1 ")</f>
        <v>L1 </v>
      </c>
      <c r="AW103" s="236" t="str">
        <f>IFERROR(__xludf.DUMMYFUNCTION("if(countif(ecn.list,DW103),OFFSET(INDIRECT(CONCAT(""A"",to_text(match(DW103,ecn.list,0)))),0,1),"""")"),"L2 ")</f>
        <v>L2 </v>
      </c>
      <c r="AX103" s="236" t="str">
        <f>IFERROR(__xludf.DUMMYFUNCTION("if(countif(ecn.list,DX103),OFFSET(INDIRECT(CONCAT(""A"",to_text(match(DX103,ecn.list,0)))),0,1),"""")"),"L3 ")</f>
        <v>L3 </v>
      </c>
      <c r="AY103" s="236" t="str">
        <f>IFERROR(__xludf.DUMMYFUNCTION("if(countif(ecn.list,DY103),OFFSET(INDIRECT(CONCAT(""A"",to_text(match(DY103,ecn.list,0)))),0,1),"""")"),"")</f>
        <v/>
      </c>
      <c r="AZ103" s="236" t="str">
        <f>IFERROR(__xludf.DUMMYFUNCTION("if(countif(ecn.list,DZ103),OFFSET(INDIRECT(CONCAT(""A"",to_text(match(DZ103,ecn.list,0)))),0,1),"""")"),"")</f>
        <v/>
      </c>
      <c r="BA103" s="236" t="str">
        <f>IFERROR(__xludf.DUMMYFUNCTION("if(countif(ecn.list,EA103),OFFSET(INDIRECT(CONCAT(""A"",to_text(match(EA103,ecn.list,0)))),0,1),"""")"),"")</f>
        <v/>
      </c>
      <c r="BB103" s="236" t="str">
        <f>IFERROR(__xludf.DUMMYFUNCTION("if(countif(ecn.list,EB103),OFFSET(INDIRECT(CONCAT(""A"",to_text(match(EB103,ecn.list,0)))),0,1),"""")"),"L7 ")</f>
        <v>L7 </v>
      </c>
      <c r="BC103" s="236" t="str">
        <f>IFERROR(__xludf.DUMMYFUNCTION("if(countif(ecn.list,EC103),OFFSET(INDIRECT(CONCAT(""A"",to_text(match(EC103,ecn.list,0)))),0,1),"""")"),"L8 ")</f>
        <v>L8 </v>
      </c>
      <c r="BD103" s="236" t="str">
        <f>IFERROR(__xludf.DUMMYFUNCTION("if(countif(ecn.list,ED103),OFFSET(INDIRECT(CONCAT(""A"",to_text(match(ED103,ecn.list,0)))),0,1),"""")"),"")</f>
        <v/>
      </c>
      <c r="BE103" s="236" t="str">
        <f>IFERROR(__xludf.DUMMYFUNCTION("if(countif(ecn.list,EE103),OFFSET(INDIRECT(CONCAT(""A"",to_text(match(EE103,ecn.list,0)))),0,1),"""")"),"LA ")</f>
        <v>LA </v>
      </c>
      <c r="BF103" s="236" t="str">
        <f>IFERROR(__xludf.DUMMYFUNCTION("if(countif(ecn.list,EF103),OFFSET(INDIRECT(CONCAT(""A"",to_text(match(EF103,ecn.list,0)))),0,1),"""")"),"")</f>
        <v/>
      </c>
      <c r="BG103" s="236" t="str">
        <f>IFERROR(__xludf.DUMMYFUNCTION("if(countif(ecn.list,EG103),OFFSET(INDIRECT(CONCAT(""A"",to_text(match(EG103,ecn.list,0)))),0,1),"""")"),"LC ")</f>
        <v>LC </v>
      </c>
      <c r="BH103" s="236" t="str">
        <f>IFERROR(__xludf.DUMMYFUNCTION("if(countif(ecn.list,EH103),OFFSET(INDIRECT(CONCAT(""A"",to_text(match(EH103,ecn.list,0)))),0,1),"""")"),"")</f>
        <v/>
      </c>
      <c r="BI103" s="236" t="str">
        <f>IFERROR(__xludf.DUMMYFUNCTION("if(countif(ecn.list,EI103),OFFSET(INDIRECT(CONCAT(""A"",to_text(match(EI103,ecn.list,0)))),0,1),"""")"),"")</f>
        <v/>
      </c>
      <c r="BJ103" s="236" t="str">
        <f>IFERROR(__xludf.DUMMYFUNCTION("if(countif(ecn.list,EJ103),OFFSET(INDIRECT(CONCAT(""A"",to_text(match(EJ103,ecn.list,0)))),0,1),"""")"),"LF ")</f>
        <v>LF </v>
      </c>
      <c r="BK103" s="236" t="str">
        <f>IFERROR(__xludf.DUMMYFUNCTION("if(countif(ecn.list,EK103),OFFSET(INDIRECT(CONCAT(""A"",to_text(match(EK103,ecn.list,0)))),0,1),"""")"),"M0 ")</f>
        <v>M0 </v>
      </c>
      <c r="BL103" s="236" t="str">
        <f>IFERROR(__xludf.DUMMYFUNCTION("if(countif(ecn.list,EL103),OFFSET(INDIRECT(CONCAT(""A"",to_text(match(EL103,ecn.list,0)))),0,1),"""")"),"M1 ")</f>
        <v>M1 </v>
      </c>
      <c r="BM103" s="236" t="str">
        <f>IFERROR(__xludf.DUMMYFUNCTION("if(countif(ecn.list,EM103),OFFSET(INDIRECT(CONCAT(""A"",to_text(match(EM103,ecn.list,0)))),0,1),"""")"),"")</f>
        <v/>
      </c>
      <c r="BN103" s="236" t="str">
        <f>IFERROR(__xludf.DUMMYFUNCTION("if(countif(ecn.list,EN103),OFFSET(INDIRECT(CONCAT(""A"",to_text(match(EN103,ecn.list,0)))),0,1),"""")"),"M3 ")</f>
        <v>M3 </v>
      </c>
      <c r="BO103" s="236" t="str">
        <f>IFERROR(__xludf.DUMMYFUNCTION("if(countif(ecn.list,EO103),OFFSET(INDIRECT(CONCAT(""A"",to_text(match(EO103,ecn.list,0)))),0,1),"""")"),"M4 ")</f>
        <v>M4 </v>
      </c>
      <c r="BP103" s="236" t="str">
        <f>IFERROR(__xludf.DUMMYFUNCTION("if(countif(ecn.list,EP103),OFFSET(INDIRECT(CONCAT(""A"",to_text(match(EP103,ecn.list,0)))),0,1),"""")"),"M5 ")</f>
        <v>M5 </v>
      </c>
      <c r="BQ103" s="236" t="str">
        <f>IFERROR(__xludf.DUMMYFUNCTION("if(countif(ecn.list,EQ103),OFFSET(INDIRECT(CONCAT(""A"",to_text(match(EQ103,ecn.list,0)))),0,1),"""")"),"")</f>
        <v/>
      </c>
      <c r="BR103" s="236" t="str">
        <f>IFERROR(__xludf.DUMMYFUNCTION("if(countif(ecn.list,ER103),OFFSET(INDIRECT(CONCAT(""A"",to_text(match(ER103,ecn.list,0)))),0,1),"""")"),"")</f>
        <v/>
      </c>
      <c r="BS103" s="236" t="str">
        <f>IFERROR(__xludf.DUMMYFUNCTION("if(countif(ecn.list,ES103),OFFSET(INDIRECT(CONCAT(""A"",to_text(match(ES103,ecn.list,0)))),0,1),"""")"),"M8 ")</f>
        <v>M8 </v>
      </c>
      <c r="BT103" s="236" t="str">
        <f>IFERROR(__xludf.DUMMYFUNCTION("if(countif(ecn.list,ET103),OFFSET(INDIRECT(CONCAT(""A"",to_text(match(ET103,ecn.list,0)))),0,1),"""")"),"")</f>
        <v/>
      </c>
      <c r="BU103" s="236" t="str">
        <f>IFERROR(__xludf.DUMMYFUNCTION("if(countif(ecn.list,EU103),OFFSET(INDIRECT(CONCAT(""A"",to_text(match(EU103,ecn.list,0)))),0,1),"""")"),"")</f>
        <v/>
      </c>
      <c r="BV103" s="236" t="str">
        <f>IFERROR(__xludf.DUMMYFUNCTION("if(countif(ecn.list,EV103),OFFSET(INDIRECT(CONCAT(""A"",to_text(match(EV103,ecn.list,0)))),0,1),"""")"),"MB ")</f>
        <v>MB </v>
      </c>
      <c r="BW103" s="236" t="str">
        <f>IFERROR(__xludf.DUMMYFUNCTION("if(countif(ecn.list,EW103),OFFSET(INDIRECT(CONCAT(""A"",to_text(match(EW103,ecn.list,0)))),0,1),"""")"),"")</f>
        <v/>
      </c>
      <c r="BX103" s="236" t="str">
        <f>IFERROR(__xludf.DUMMYFUNCTION("if(countif(ecn.list,EX103),OFFSET(INDIRECT(CONCAT(""A"",to_text(match(EX103,ecn.list,0)))),0,1),"""")"),"")</f>
        <v/>
      </c>
      <c r="BY103" s="236" t="str">
        <f>IFERROR(__xludf.DUMMYFUNCTION("if(countif(ecn.list,EY103),OFFSET(INDIRECT(CONCAT(""A"",to_text(match(EY103,ecn.list,0)))),0,1),"""")"),"")</f>
        <v/>
      </c>
      <c r="BZ103" s="236" t="str">
        <f>IFERROR(__xludf.DUMMYFUNCTION("if(countif(ecn.list,EZ103),OFFSET(INDIRECT(CONCAT(""A"",to_text(match(EZ103,ecn.list,0)))),0,1),"""")"),"MF ")</f>
        <v>MF </v>
      </c>
      <c r="CA103" s="236" t="str">
        <f>IFERROR(__xludf.DUMMYFUNCTION("if(countif(ecn.list,FA103),OFFSET(INDIRECT(CONCAT(""A"",to_text(match(FA103,ecn.list,0)))),0,1),"""")"),"")</f>
        <v/>
      </c>
      <c r="CB103" s="236" t="str">
        <f>IFERROR(__xludf.DUMMYFUNCTION("if(countif(ecn.list,FB103),OFFSET(INDIRECT(CONCAT(""A"",to_text(match(FB103,ecn.list,0)))),0,1),"""")"),"")</f>
        <v/>
      </c>
      <c r="CC103" s="236" t="str">
        <f>IFERROR(__xludf.DUMMYFUNCTION("if(countif(ecn.list,FC103),OFFSET(INDIRECT(CONCAT(""A"",to_text(match(FC103,ecn.list,0)))),0,1),"""")"),"N2 ")</f>
        <v>N2 </v>
      </c>
      <c r="CD103" s="236" t="str">
        <f>IFERROR(__xludf.DUMMYFUNCTION("if(countif(ecn.list,FD103),OFFSET(INDIRECT(CONCAT(""A"",to_text(match(FD103,ecn.list,0)))),0,1),"""")"),"")</f>
        <v/>
      </c>
      <c r="CE103" s="236" t="str">
        <f>IFERROR(__xludf.DUMMYFUNCTION("if(countif(ecn.list,FE103),OFFSET(INDIRECT(CONCAT(""A"",to_text(match(FE103,ecn.list,0)))),0,1),"""")"),"")</f>
        <v/>
      </c>
      <c r="CF103" s="236" t="str">
        <f>IFERROR(__xludf.DUMMYFUNCTION("if(countif(ecn.list,FF103),OFFSET(INDIRECT(CONCAT(""A"",to_text(match(FF103,ecn.list,0)))),0,1),"""")"),"")</f>
        <v/>
      </c>
      <c r="CG103" s="236" t="str">
        <f>IFERROR(__xludf.DUMMYFUNCTION("if(countif(ecn.list,FG103),OFFSET(INDIRECT(CONCAT(""A"",to_text(match(FG103,ecn.list,0)))),0,1),"""")"),"N6 ")</f>
        <v>N6 </v>
      </c>
      <c r="CH103" s="236" t="str">
        <f>IFERROR(__xludf.DUMMYFUNCTION("if(countif(ecn.list,FH103),OFFSET(INDIRECT(CONCAT(""A"",to_text(match(FH103,ecn.list,0)))),0,1),"""")"),"N7 ")</f>
        <v>N7 </v>
      </c>
      <c r="CI103" s="236" t="str">
        <f>IFERROR(__xludf.DUMMYFUNCTION("if(countif(ecn.list,FI103),OFFSET(INDIRECT(CONCAT(""A"",to_text(match(FI103,ecn.list,0)))),0,1),"""")"),"")</f>
        <v/>
      </c>
      <c r="CJ103" s="236" t="str">
        <f>IFERROR(__xludf.DUMMYFUNCTION("if(countif(ecn.list,FJ103),OFFSET(INDIRECT(CONCAT(""A"",to_text(match(FJ103,ecn.list,0)))),0,1),"""")"),"")</f>
        <v/>
      </c>
      <c r="CK103" s="236" t="str">
        <f>IFERROR(__xludf.DUMMYFUNCTION("if(countif(ecn.list,FK103),OFFSET(INDIRECT(CONCAT(""A"",to_text(match(FK103,ecn.list,0)))),0,1),"""")"),"NA ")</f>
        <v>NA </v>
      </c>
      <c r="CL103" s="236" t="str">
        <f>IFERROR(__xludf.DUMMYFUNCTION("if(countif(ecn.list,FL103),OFFSET(INDIRECT(CONCAT(""A"",to_text(match(FL103,ecn.list,0)))),0,1),"""")"),"")</f>
        <v/>
      </c>
      <c r="CM103" s="236" t="str">
        <f>IFERROR(__xludf.DUMMYFUNCTION("if(countif(ecn.list,FM103),OFFSET(INDIRECT(CONCAT(""A"",to_text(match(FM103,ecn.list,0)))),0,1),"""")"),"")</f>
        <v/>
      </c>
      <c r="CN103" s="198" t="s">
        <v>381</v>
      </c>
      <c r="CO103" s="198" t="s">
        <v>1447</v>
      </c>
      <c r="CP103" s="198" t="s">
        <v>1451</v>
      </c>
      <c r="CQ103" s="198" t="s">
        <v>1452</v>
      </c>
      <c r="CR103" s="198" t="s">
        <v>1490</v>
      </c>
      <c r="CS103" s="198" t="s">
        <v>1453</v>
      </c>
      <c r="CT103" s="198" t="s">
        <v>1454</v>
      </c>
      <c r="CU103" s="198" t="s">
        <v>1455</v>
      </c>
      <c r="CV103" s="198" t="s">
        <v>1456</v>
      </c>
      <c r="CW103" s="198" t="s">
        <v>1453</v>
      </c>
      <c r="CX103" s="198" t="s">
        <v>1453</v>
      </c>
      <c r="CY103" s="198" t="s">
        <v>1484</v>
      </c>
      <c r="CZ103" s="198" t="s">
        <v>1453</v>
      </c>
      <c r="DA103" s="198" t="s">
        <v>1457</v>
      </c>
      <c r="DB103" s="198" t="s">
        <v>1485</v>
      </c>
      <c r="DC103" s="198" t="s">
        <v>1453</v>
      </c>
      <c r="DD103" s="198" t="s">
        <v>1458</v>
      </c>
      <c r="DE103" s="198" t="s">
        <v>1459</v>
      </c>
      <c r="DF103" s="198" t="s">
        <v>1498</v>
      </c>
      <c r="DG103" s="198" t="s">
        <v>1499</v>
      </c>
      <c r="DH103" s="198" t="s">
        <v>1500</v>
      </c>
      <c r="DI103" s="198" t="s">
        <v>1501</v>
      </c>
      <c r="DJ103" s="198" t="s">
        <v>1460</v>
      </c>
      <c r="DK103" s="198" t="s">
        <v>1453</v>
      </c>
      <c r="DL103" s="198" t="s">
        <v>1461</v>
      </c>
      <c r="DM103" s="198" t="s">
        <v>1462</v>
      </c>
      <c r="DN103" s="198" t="s">
        <v>1463</v>
      </c>
      <c r="DO103" s="198" t="s">
        <v>1464</v>
      </c>
      <c r="DP103" s="198" t="s">
        <v>1465</v>
      </c>
      <c r="DQ103" s="198" t="s">
        <v>1466</v>
      </c>
      <c r="DR103" s="198" t="s">
        <v>1467</v>
      </c>
      <c r="DS103" s="198" t="s">
        <v>1515</v>
      </c>
      <c r="DT103" s="198" t="s">
        <v>1468</v>
      </c>
      <c r="DU103" s="198" t="s">
        <v>1453</v>
      </c>
      <c r="DV103" s="198" t="s">
        <v>1469</v>
      </c>
      <c r="DW103" s="198" t="s">
        <v>1502</v>
      </c>
      <c r="DX103" s="198" t="s">
        <v>1503</v>
      </c>
      <c r="DY103" s="198" t="s">
        <v>1453</v>
      </c>
      <c r="DZ103" s="198" t="s">
        <v>1453</v>
      </c>
      <c r="EA103" s="198" t="s">
        <v>1453</v>
      </c>
      <c r="EB103" s="198" t="s">
        <v>1504</v>
      </c>
      <c r="EC103" s="198" t="s">
        <v>1483</v>
      </c>
      <c r="ED103" s="198" t="s">
        <v>1453</v>
      </c>
      <c r="EE103" s="198" t="s">
        <v>1470</v>
      </c>
      <c r="EF103" s="198" t="s">
        <v>1453</v>
      </c>
      <c r="EG103" s="198" t="s">
        <v>1471</v>
      </c>
      <c r="EH103" s="198" t="s">
        <v>1453</v>
      </c>
      <c r="EI103" s="198" t="s">
        <v>1453</v>
      </c>
      <c r="EJ103" s="198" t="s">
        <v>1472</v>
      </c>
      <c r="EK103" s="198" t="s">
        <v>1487</v>
      </c>
      <c r="EL103" s="198" t="s">
        <v>1473</v>
      </c>
      <c r="EM103" s="198" t="s">
        <v>1453</v>
      </c>
      <c r="EN103" s="198" t="s">
        <v>1474</v>
      </c>
      <c r="EO103" s="198" t="s">
        <v>1475</v>
      </c>
      <c r="EP103" s="198" t="s">
        <v>1524</v>
      </c>
      <c r="EQ103" s="198" t="s">
        <v>1453</v>
      </c>
      <c r="ER103" s="198" t="s">
        <v>1453</v>
      </c>
      <c r="ES103" s="198" t="s">
        <v>1505</v>
      </c>
      <c r="ET103" s="198" t="s">
        <v>1453</v>
      </c>
      <c r="EU103" s="198" t="s">
        <v>1453</v>
      </c>
      <c r="EV103" s="198" t="s">
        <v>1476</v>
      </c>
      <c r="EW103" s="198" t="s">
        <v>1453</v>
      </c>
      <c r="EX103" s="198" t="s">
        <v>1453</v>
      </c>
      <c r="EY103" s="198" t="s">
        <v>1453</v>
      </c>
      <c r="EZ103" s="198" t="s">
        <v>1477</v>
      </c>
      <c r="FA103" s="198" t="s">
        <v>1453</v>
      </c>
      <c r="FB103" s="198" t="s">
        <v>1453</v>
      </c>
      <c r="FC103" s="198" t="s">
        <v>1478</v>
      </c>
      <c r="FD103" s="198" t="s">
        <v>1453</v>
      </c>
      <c r="FE103" s="198" t="s">
        <v>1453</v>
      </c>
      <c r="FF103" s="198" t="s">
        <v>1453</v>
      </c>
      <c r="FG103" s="198" t="s">
        <v>1517</v>
      </c>
      <c r="FH103" s="198" t="s">
        <v>1479</v>
      </c>
      <c r="FI103" s="198" t="s">
        <v>1453</v>
      </c>
      <c r="FJ103" s="198" t="s">
        <v>1453</v>
      </c>
      <c r="FK103" s="198" t="s">
        <v>1481</v>
      </c>
      <c r="FL103" s="198" t="s">
        <v>1482</v>
      </c>
      <c r="FM103" s="198" t="s">
        <v>1453</v>
      </c>
    </row>
    <row r="104" ht="15.75" customHeight="1">
      <c r="A104" s="198"/>
      <c r="B104" s="198"/>
      <c r="C104" s="234"/>
      <c r="D104" s="232" t="s">
        <v>770</v>
      </c>
      <c r="E104" s="232" t="s">
        <v>1448</v>
      </c>
      <c r="F104" s="232" t="s">
        <v>1449</v>
      </c>
      <c r="G104" s="232" t="s">
        <v>1450</v>
      </c>
      <c r="H104" s="232" t="s">
        <v>788</v>
      </c>
      <c r="I104" s="232" t="s">
        <v>1043</v>
      </c>
      <c r="J104" s="232" t="s">
        <v>901</v>
      </c>
      <c r="K104" s="232" t="s">
        <v>1151</v>
      </c>
      <c r="L104" s="188" t="s">
        <v>384</v>
      </c>
      <c r="M104" s="236" t="str">
        <f>IFERROR(__xludf.DUMMYFUNCTION("regexreplace(N104,"" "","", "")"),"J0, J1, J2, J5, J6, J7, JA, JC, JF, K0, K3, K4, K5, K7, K9, KA, KB, KC, L1, L6, L8, LA, LC, M0, M1, M3, M7, MB, MF, N2, N7, NA, ")</f>
        <v>J0, J1, J2, J5, J6, J7, JA, JC, JF, K0, K3, K4, K5, K7, K9, KA, KB, KC, L1, L6, L8, LA, LC, M0, M1, M3, M7, MB, MF, N2, N7, NA, </v>
      </c>
      <c r="N104" s="236" t="str">
        <f t="shared" si="2"/>
        <v>J0 J1 J2 J5 J6 J7 JA JC JF K0 K3 K4 K5 K7 K9 KA KB KC L1 L6 L8 LA LC M0 M1 M3 M7 MB MF N2 N7 NA </v>
      </c>
      <c r="O104" s="236" t="str">
        <f>IFERROR(__xludf.DUMMYFUNCTION("if(countif(ecn.list,CO104),OFFSET(INDIRECT(CONCAT(""A"",to_text(match(CO104,ecn.list,0)))),0,1),"""")"),"J0 ")</f>
        <v>J0 </v>
      </c>
      <c r="P104" s="236" t="str">
        <f>IFERROR(__xludf.DUMMYFUNCTION("if(countif(ecn.list,CP104),OFFSET(INDIRECT(CONCAT(""A"",to_text(match(CP104,ecn.list,0)))),0,1),"""")"),"J1 ")</f>
        <v>J1 </v>
      </c>
      <c r="Q104" s="236" t="str">
        <f>IFERROR(__xludf.DUMMYFUNCTION("if(countif(ecn.list,CQ104),OFFSET(INDIRECT(CONCAT(""A"",to_text(match(CQ104,ecn.list,0)))),0,1),"""")"),"J2 ")</f>
        <v>J2 </v>
      </c>
      <c r="R104" s="236" t="str">
        <f>IFERROR(__xludf.DUMMYFUNCTION("if(countif(ecn.list,CR104),OFFSET(INDIRECT(CONCAT(""A"",to_text(match(CR104,ecn.list,0)))),0,1),"""")"),"")</f>
        <v/>
      </c>
      <c r="S104" s="236" t="str">
        <f>IFERROR(__xludf.DUMMYFUNCTION("if(countif(ecn.list,CS104),OFFSET(INDIRECT(CONCAT(""A"",to_text(match(CS104,ecn.list,0)))),0,1),"""")"),"")</f>
        <v/>
      </c>
      <c r="T104" s="236" t="str">
        <f>IFERROR(__xludf.DUMMYFUNCTION("if(countif(ecn.list,CT104),OFFSET(INDIRECT(CONCAT(""A"",to_text(match(CT104,ecn.list,0)))),0,1),"""")"),"J5 ")</f>
        <v>J5 </v>
      </c>
      <c r="U104" s="236" t="str">
        <f>IFERROR(__xludf.DUMMYFUNCTION("if(countif(ecn.list,CU104),OFFSET(INDIRECT(CONCAT(""A"",to_text(match(CU104,ecn.list,0)))),0,1),"""")"),"J6 ")</f>
        <v>J6 </v>
      </c>
      <c r="V104" s="236" t="str">
        <f>IFERROR(__xludf.DUMMYFUNCTION("if(countif(ecn.list,CV104),OFFSET(INDIRECT(CONCAT(""A"",to_text(match(CV104,ecn.list,0)))),0,1),"""")"),"J7 ")</f>
        <v>J7 </v>
      </c>
      <c r="W104" s="236" t="str">
        <f>IFERROR(__xludf.DUMMYFUNCTION("if(countif(ecn.list,CW104),OFFSET(INDIRECT(CONCAT(""A"",to_text(match(CW104,ecn.list,0)))),0,1),"""")"),"")</f>
        <v/>
      </c>
      <c r="X104" s="236" t="str">
        <f>IFERROR(__xludf.DUMMYFUNCTION("if(countif(ecn.list,CX104),OFFSET(INDIRECT(CONCAT(""A"",to_text(match(CX104,ecn.list,0)))),0,1),"""")"),"")</f>
        <v/>
      </c>
      <c r="Y104" s="236" t="str">
        <f>IFERROR(__xludf.DUMMYFUNCTION("if(countif(ecn.list,CY104),OFFSET(INDIRECT(CONCAT(""A"",to_text(match(CY104,ecn.list,0)))),0,1),"""")"),"JA ")</f>
        <v>JA </v>
      </c>
      <c r="Z104" s="236" t="str">
        <f>IFERROR(__xludf.DUMMYFUNCTION("if(countif(ecn.list,CZ104),OFFSET(INDIRECT(CONCAT(""A"",to_text(match(CZ104,ecn.list,0)))),0,1),"""")"),"")</f>
        <v/>
      </c>
      <c r="AA104" s="236" t="str">
        <f>IFERROR(__xludf.DUMMYFUNCTION("if(countif(ecn.list,DA104),OFFSET(INDIRECT(CONCAT(""A"",to_text(match(DA104,ecn.list,0)))),0,1),"""")"),"JC ")</f>
        <v>JC </v>
      </c>
      <c r="AB104" s="236" t="str">
        <f>IFERROR(__xludf.DUMMYFUNCTION("if(countif(ecn.list,DB104),OFFSET(INDIRECT(CONCAT(""A"",to_text(match(DB104,ecn.list,0)))),0,1),"""")"),"")</f>
        <v/>
      </c>
      <c r="AC104" s="236" t="str">
        <f>IFERROR(__xludf.DUMMYFUNCTION("if(countif(ecn.list,DC104),OFFSET(INDIRECT(CONCAT(""A"",to_text(match(DC104,ecn.list,0)))),0,1),"""")"),"")</f>
        <v/>
      </c>
      <c r="AD104" s="236" t="str">
        <f>IFERROR(__xludf.DUMMYFUNCTION("if(countif(ecn.list,DD104),OFFSET(INDIRECT(CONCAT(""A"",to_text(match(DD104,ecn.list,0)))),0,1),"""")"),"JF ")</f>
        <v>JF </v>
      </c>
      <c r="AE104" s="236" t="str">
        <f>IFERROR(__xludf.DUMMYFUNCTION("if(countif(ecn.list,DE104),OFFSET(INDIRECT(CONCAT(""A"",to_text(match(DE104,ecn.list,0)))),0,1),"""")"),"K0 ")</f>
        <v>K0 </v>
      </c>
      <c r="AF104" s="236" t="str">
        <f>IFERROR(__xludf.DUMMYFUNCTION("if(countif(ecn.list,DF104),OFFSET(INDIRECT(CONCAT(""A"",to_text(match(DF104,ecn.list,0)))),0,1),"""")"),"")</f>
        <v/>
      </c>
      <c r="AG104" s="236" t="str">
        <f>IFERROR(__xludf.DUMMYFUNCTION("if(countif(ecn.list,DG104),OFFSET(INDIRECT(CONCAT(""A"",to_text(match(DG104,ecn.list,0)))),0,1),"""")"),"")</f>
        <v/>
      </c>
      <c r="AH104" s="236" t="str">
        <f>IFERROR(__xludf.DUMMYFUNCTION("if(countif(ecn.list,DH104),OFFSET(INDIRECT(CONCAT(""A"",to_text(match(DH104,ecn.list,0)))),0,1),"""")"),"K3 ")</f>
        <v>K3 </v>
      </c>
      <c r="AI104" s="236" t="str">
        <f>IFERROR(__xludf.DUMMYFUNCTION("if(countif(ecn.list,DI104),OFFSET(INDIRECT(CONCAT(""A"",to_text(match(DI104,ecn.list,0)))),0,1),"""")"),"K4 ")</f>
        <v>K4 </v>
      </c>
      <c r="AJ104" s="236" t="str">
        <f>IFERROR(__xludf.DUMMYFUNCTION("if(countif(ecn.list,DJ104),OFFSET(INDIRECT(CONCAT(""A"",to_text(match(DJ104,ecn.list,0)))),0,1),"""")"),"K5 ")</f>
        <v>K5 </v>
      </c>
      <c r="AK104" s="236" t="str">
        <f>IFERROR(__xludf.DUMMYFUNCTION("if(countif(ecn.list,DK104),OFFSET(INDIRECT(CONCAT(""A"",to_text(match(DK104,ecn.list,0)))),0,1),"""")"),"")</f>
        <v/>
      </c>
      <c r="AL104" s="236" t="str">
        <f>IFERROR(__xludf.DUMMYFUNCTION("if(countif(ecn.list,DL104),OFFSET(INDIRECT(CONCAT(""A"",to_text(match(DL104,ecn.list,0)))),0,1),"""")"),"K7 ")</f>
        <v>K7 </v>
      </c>
      <c r="AM104" s="236" t="str">
        <f>IFERROR(__xludf.DUMMYFUNCTION("if(countif(ecn.list,DM104),OFFSET(INDIRECT(CONCAT(""A"",to_text(match(DM104,ecn.list,0)))),0,1),"""")"),"")</f>
        <v/>
      </c>
      <c r="AN104" s="236" t="str">
        <f>IFERROR(__xludf.DUMMYFUNCTION("if(countif(ecn.list,DN104),OFFSET(INDIRECT(CONCAT(""A"",to_text(match(DN104,ecn.list,0)))),0,1),"""")"),"K9 ")</f>
        <v>K9 </v>
      </c>
      <c r="AO104" s="236" t="str">
        <f>IFERROR(__xludf.DUMMYFUNCTION("if(countif(ecn.list,DO104),OFFSET(INDIRECT(CONCAT(""A"",to_text(match(DO104,ecn.list,0)))),0,1),"""")"),"KA ")</f>
        <v>KA </v>
      </c>
      <c r="AP104" s="236" t="str">
        <f>IFERROR(__xludf.DUMMYFUNCTION("if(countif(ecn.list,DP104),OFFSET(INDIRECT(CONCAT(""A"",to_text(match(DP104,ecn.list,0)))),0,1),"""")"),"KB ")</f>
        <v>KB </v>
      </c>
      <c r="AQ104" s="236" t="str">
        <f>IFERROR(__xludf.DUMMYFUNCTION("if(countif(ecn.list,DQ104),OFFSET(INDIRECT(CONCAT(""A"",to_text(match(DQ104,ecn.list,0)))),0,1),"""")"),"KC ")</f>
        <v>KC </v>
      </c>
      <c r="AR104" s="236" t="str">
        <f>IFERROR(__xludf.DUMMYFUNCTION("if(countif(ecn.list,DR104),OFFSET(INDIRECT(CONCAT(""A"",to_text(match(DR104,ecn.list,0)))),0,1),"""")"),"")</f>
        <v/>
      </c>
      <c r="AS104" s="236" t="str">
        <f>IFERROR(__xludf.DUMMYFUNCTION("if(countif(ecn.list,DS104),OFFSET(INDIRECT(CONCAT(""A"",to_text(match(DS104,ecn.list,0)))),0,1),"""")"),"")</f>
        <v/>
      </c>
      <c r="AT104" s="236" t="str">
        <f>IFERROR(__xludf.DUMMYFUNCTION("if(countif(ecn.list,DT104),OFFSET(INDIRECT(CONCAT(""A"",to_text(match(DT104,ecn.list,0)))),0,1),"""")"),"")</f>
        <v/>
      </c>
      <c r="AU104" s="236" t="str">
        <f>IFERROR(__xludf.DUMMYFUNCTION("if(countif(ecn.list,DU104),OFFSET(INDIRECT(CONCAT(""A"",to_text(match(DU104,ecn.list,0)))),0,1),"""")"),"")</f>
        <v/>
      </c>
      <c r="AV104" s="236" t="str">
        <f>IFERROR(__xludf.DUMMYFUNCTION("if(countif(ecn.list,DV104),OFFSET(INDIRECT(CONCAT(""A"",to_text(match(DV104,ecn.list,0)))),0,1),"""")"),"L1 ")</f>
        <v>L1 </v>
      </c>
      <c r="AW104" s="236" t="str">
        <f>IFERROR(__xludf.DUMMYFUNCTION("if(countif(ecn.list,DW104),OFFSET(INDIRECT(CONCAT(""A"",to_text(match(DW104,ecn.list,0)))),0,1),"""")"),"")</f>
        <v/>
      </c>
      <c r="AX104" s="236" t="str">
        <f>IFERROR(__xludf.DUMMYFUNCTION("if(countif(ecn.list,DX104),OFFSET(INDIRECT(CONCAT(""A"",to_text(match(DX104,ecn.list,0)))),0,1),"""")"),"")</f>
        <v/>
      </c>
      <c r="AY104" s="236" t="str">
        <f>IFERROR(__xludf.DUMMYFUNCTION("if(countif(ecn.list,DY104),OFFSET(INDIRECT(CONCAT(""A"",to_text(match(DY104,ecn.list,0)))),0,1),"""")"),"")</f>
        <v/>
      </c>
      <c r="AZ104" s="236" t="str">
        <f>IFERROR(__xludf.DUMMYFUNCTION("if(countif(ecn.list,DZ104),OFFSET(INDIRECT(CONCAT(""A"",to_text(match(DZ104,ecn.list,0)))),0,1),"""")"),"")</f>
        <v/>
      </c>
      <c r="BA104" s="236" t="str">
        <f>IFERROR(__xludf.DUMMYFUNCTION("if(countif(ecn.list,EA104),OFFSET(INDIRECT(CONCAT(""A"",to_text(match(EA104,ecn.list,0)))),0,1),"""")"),"L6 ")</f>
        <v>L6 </v>
      </c>
      <c r="BB104" s="236" t="str">
        <f>IFERROR(__xludf.DUMMYFUNCTION("if(countif(ecn.list,EB104),OFFSET(INDIRECT(CONCAT(""A"",to_text(match(EB104,ecn.list,0)))),0,1),"""")"),"")</f>
        <v/>
      </c>
      <c r="BC104" s="236" t="str">
        <f>IFERROR(__xludf.DUMMYFUNCTION("if(countif(ecn.list,EC104),OFFSET(INDIRECT(CONCAT(""A"",to_text(match(EC104,ecn.list,0)))),0,1),"""")"),"L8 ")</f>
        <v>L8 </v>
      </c>
      <c r="BD104" s="236" t="str">
        <f>IFERROR(__xludf.DUMMYFUNCTION("if(countif(ecn.list,ED104),OFFSET(INDIRECT(CONCAT(""A"",to_text(match(ED104,ecn.list,0)))),0,1),"""")"),"")</f>
        <v/>
      </c>
      <c r="BE104" s="236" t="str">
        <f>IFERROR(__xludf.DUMMYFUNCTION("if(countif(ecn.list,EE104),OFFSET(INDIRECT(CONCAT(""A"",to_text(match(EE104,ecn.list,0)))),0,1),"""")"),"LA ")</f>
        <v>LA </v>
      </c>
      <c r="BF104" s="236" t="str">
        <f>IFERROR(__xludf.DUMMYFUNCTION("if(countif(ecn.list,EF104),OFFSET(INDIRECT(CONCAT(""A"",to_text(match(EF104,ecn.list,0)))),0,1),"""")"),"")</f>
        <v/>
      </c>
      <c r="BG104" s="236" t="str">
        <f>IFERROR(__xludf.DUMMYFUNCTION("if(countif(ecn.list,EG104),OFFSET(INDIRECT(CONCAT(""A"",to_text(match(EG104,ecn.list,0)))),0,1),"""")"),"LC ")</f>
        <v>LC </v>
      </c>
      <c r="BH104" s="236" t="str">
        <f>IFERROR(__xludf.DUMMYFUNCTION("if(countif(ecn.list,EH104),OFFSET(INDIRECT(CONCAT(""A"",to_text(match(EH104,ecn.list,0)))),0,1),"""")"),"")</f>
        <v/>
      </c>
      <c r="BI104" s="236" t="str">
        <f>IFERROR(__xludf.DUMMYFUNCTION("if(countif(ecn.list,EI104),OFFSET(INDIRECT(CONCAT(""A"",to_text(match(EI104,ecn.list,0)))),0,1),"""")"),"")</f>
        <v/>
      </c>
      <c r="BJ104" s="236" t="str">
        <f>IFERROR(__xludf.DUMMYFUNCTION("if(countif(ecn.list,EJ104),OFFSET(INDIRECT(CONCAT(""A"",to_text(match(EJ104,ecn.list,0)))),0,1),"""")"),"")</f>
        <v/>
      </c>
      <c r="BK104" s="236" t="str">
        <f>IFERROR(__xludf.DUMMYFUNCTION("if(countif(ecn.list,EK104),OFFSET(INDIRECT(CONCAT(""A"",to_text(match(EK104,ecn.list,0)))),0,1),"""")"),"M0 ")</f>
        <v>M0 </v>
      </c>
      <c r="BL104" s="236" t="str">
        <f>IFERROR(__xludf.DUMMYFUNCTION("if(countif(ecn.list,EL104),OFFSET(INDIRECT(CONCAT(""A"",to_text(match(EL104,ecn.list,0)))),0,1),"""")"),"M1 ")</f>
        <v>M1 </v>
      </c>
      <c r="BM104" s="236" t="str">
        <f>IFERROR(__xludf.DUMMYFUNCTION("if(countif(ecn.list,EM104),OFFSET(INDIRECT(CONCAT(""A"",to_text(match(EM104,ecn.list,0)))),0,1),"""")"),"")</f>
        <v/>
      </c>
      <c r="BN104" s="236" t="str">
        <f>IFERROR(__xludf.DUMMYFUNCTION("if(countif(ecn.list,EN104),OFFSET(INDIRECT(CONCAT(""A"",to_text(match(EN104,ecn.list,0)))),0,1),"""")"),"M3 ")</f>
        <v>M3 </v>
      </c>
      <c r="BO104" s="236" t="str">
        <f>IFERROR(__xludf.DUMMYFUNCTION("if(countif(ecn.list,EO104),OFFSET(INDIRECT(CONCAT(""A"",to_text(match(EO104,ecn.list,0)))),0,1),"""")"),"")</f>
        <v/>
      </c>
      <c r="BP104" s="236" t="str">
        <f>IFERROR(__xludf.DUMMYFUNCTION("if(countif(ecn.list,EP104),OFFSET(INDIRECT(CONCAT(""A"",to_text(match(EP104,ecn.list,0)))),0,1),"""")"),"")</f>
        <v/>
      </c>
      <c r="BQ104" s="236" t="str">
        <f>IFERROR(__xludf.DUMMYFUNCTION("if(countif(ecn.list,EQ104),OFFSET(INDIRECT(CONCAT(""A"",to_text(match(EQ104,ecn.list,0)))),0,1),"""")"),"")</f>
        <v/>
      </c>
      <c r="BR104" s="236" t="str">
        <f>IFERROR(__xludf.DUMMYFUNCTION("if(countif(ecn.list,ER104),OFFSET(INDIRECT(CONCAT(""A"",to_text(match(ER104,ecn.list,0)))),0,1),"""")"),"M7 ")</f>
        <v>M7 </v>
      </c>
      <c r="BS104" s="236" t="str">
        <f>IFERROR(__xludf.DUMMYFUNCTION("if(countif(ecn.list,ES104),OFFSET(INDIRECT(CONCAT(""A"",to_text(match(ES104,ecn.list,0)))),0,1),"""")"),"")</f>
        <v/>
      </c>
      <c r="BT104" s="236" t="str">
        <f>IFERROR(__xludf.DUMMYFUNCTION("if(countif(ecn.list,ET104),OFFSET(INDIRECT(CONCAT(""A"",to_text(match(ET104,ecn.list,0)))),0,1),"""")"),"")</f>
        <v/>
      </c>
      <c r="BU104" s="236" t="str">
        <f>IFERROR(__xludf.DUMMYFUNCTION("if(countif(ecn.list,EU104),OFFSET(INDIRECT(CONCAT(""A"",to_text(match(EU104,ecn.list,0)))),0,1),"""")"),"")</f>
        <v/>
      </c>
      <c r="BV104" s="236" t="str">
        <f>IFERROR(__xludf.DUMMYFUNCTION("if(countif(ecn.list,EV104),OFFSET(INDIRECT(CONCAT(""A"",to_text(match(EV104,ecn.list,0)))),0,1),"""")"),"MB ")</f>
        <v>MB </v>
      </c>
      <c r="BW104" s="236" t="str">
        <f>IFERROR(__xludf.DUMMYFUNCTION("if(countif(ecn.list,EW104),OFFSET(INDIRECT(CONCAT(""A"",to_text(match(EW104,ecn.list,0)))),0,1),"""")"),"")</f>
        <v/>
      </c>
      <c r="BX104" s="236" t="str">
        <f>IFERROR(__xludf.DUMMYFUNCTION("if(countif(ecn.list,EX104),OFFSET(INDIRECT(CONCAT(""A"",to_text(match(EX104,ecn.list,0)))),0,1),"""")"),"")</f>
        <v/>
      </c>
      <c r="BY104" s="236" t="str">
        <f>IFERROR(__xludf.DUMMYFUNCTION("if(countif(ecn.list,EY104),OFFSET(INDIRECT(CONCAT(""A"",to_text(match(EY104,ecn.list,0)))),0,1),"""")"),"")</f>
        <v/>
      </c>
      <c r="BZ104" s="236" t="str">
        <f>IFERROR(__xludf.DUMMYFUNCTION("if(countif(ecn.list,EZ104),OFFSET(INDIRECT(CONCAT(""A"",to_text(match(EZ104,ecn.list,0)))),0,1),"""")"),"MF ")</f>
        <v>MF </v>
      </c>
      <c r="CA104" s="236" t="str">
        <f>IFERROR(__xludf.DUMMYFUNCTION("if(countif(ecn.list,FA104),OFFSET(INDIRECT(CONCAT(""A"",to_text(match(FA104,ecn.list,0)))),0,1),"""")"),"")</f>
        <v/>
      </c>
      <c r="CB104" s="236" t="str">
        <f>IFERROR(__xludf.DUMMYFUNCTION("if(countif(ecn.list,FB104),OFFSET(INDIRECT(CONCAT(""A"",to_text(match(FB104,ecn.list,0)))),0,1),"""")"),"")</f>
        <v/>
      </c>
      <c r="CC104" s="236" t="str">
        <f>IFERROR(__xludf.DUMMYFUNCTION("if(countif(ecn.list,FC104),OFFSET(INDIRECT(CONCAT(""A"",to_text(match(FC104,ecn.list,0)))),0,1),"""")"),"N2 ")</f>
        <v>N2 </v>
      </c>
      <c r="CD104" s="236" t="str">
        <f>IFERROR(__xludf.DUMMYFUNCTION("if(countif(ecn.list,FD104),OFFSET(INDIRECT(CONCAT(""A"",to_text(match(FD104,ecn.list,0)))),0,1),"""")"),"")</f>
        <v/>
      </c>
      <c r="CE104" s="236" t="str">
        <f>IFERROR(__xludf.DUMMYFUNCTION("if(countif(ecn.list,FE104),OFFSET(INDIRECT(CONCAT(""A"",to_text(match(FE104,ecn.list,0)))),0,1),"""")"),"")</f>
        <v/>
      </c>
      <c r="CF104" s="236" t="str">
        <f>IFERROR(__xludf.DUMMYFUNCTION("if(countif(ecn.list,FF104),OFFSET(INDIRECT(CONCAT(""A"",to_text(match(FF104,ecn.list,0)))),0,1),"""")"),"")</f>
        <v/>
      </c>
      <c r="CG104" s="236" t="str">
        <f>IFERROR(__xludf.DUMMYFUNCTION("if(countif(ecn.list,FG104),OFFSET(INDIRECT(CONCAT(""A"",to_text(match(FG104,ecn.list,0)))),0,1),"""")"),"")</f>
        <v/>
      </c>
      <c r="CH104" s="236" t="str">
        <f>IFERROR(__xludf.DUMMYFUNCTION("if(countif(ecn.list,FH104),OFFSET(INDIRECT(CONCAT(""A"",to_text(match(FH104,ecn.list,0)))),0,1),"""")"),"N7 ")</f>
        <v>N7 </v>
      </c>
      <c r="CI104" s="236" t="str">
        <f>IFERROR(__xludf.DUMMYFUNCTION("if(countif(ecn.list,FI104),OFFSET(INDIRECT(CONCAT(""A"",to_text(match(FI104,ecn.list,0)))),0,1),"""")"),"")</f>
        <v/>
      </c>
      <c r="CJ104" s="236" t="str">
        <f>IFERROR(__xludf.DUMMYFUNCTION("if(countif(ecn.list,FJ104),OFFSET(INDIRECT(CONCAT(""A"",to_text(match(FJ104,ecn.list,0)))),0,1),"""")"),"")</f>
        <v/>
      </c>
      <c r="CK104" s="236" t="str">
        <f>IFERROR(__xludf.DUMMYFUNCTION("if(countif(ecn.list,FK104),OFFSET(INDIRECT(CONCAT(""A"",to_text(match(FK104,ecn.list,0)))),0,1),"""")"),"NA ")</f>
        <v>NA </v>
      </c>
      <c r="CL104" s="236" t="str">
        <f>IFERROR(__xludf.DUMMYFUNCTION("if(countif(ecn.list,FL104),OFFSET(INDIRECT(CONCAT(""A"",to_text(match(FL104,ecn.list,0)))),0,1),"""")"),"")</f>
        <v/>
      </c>
      <c r="CM104" s="236" t="str">
        <f>IFERROR(__xludf.DUMMYFUNCTION("if(countif(ecn.list,FM104),OFFSET(INDIRECT(CONCAT(""A"",to_text(match(FM104,ecn.list,0)))),0,1),"""")"),"")</f>
        <v/>
      </c>
      <c r="CN104" s="198" t="s">
        <v>384</v>
      </c>
      <c r="CO104" s="198" t="s">
        <v>1447</v>
      </c>
      <c r="CP104" s="198" t="s">
        <v>1451</v>
      </c>
      <c r="CQ104" s="198" t="s">
        <v>1452</v>
      </c>
      <c r="CR104" s="198" t="s">
        <v>1453</v>
      </c>
      <c r="CS104" s="198" t="s">
        <v>1453</v>
      </c>
      <c r="CT104" s="198" t="s">
        <v>1454</v>
      </c>
      <c r="CU104" s="198" t="s">
        <v>1455</v>
      </c>
      <c r="CV104" s="198" t="s">
        <v>1456</v>
      </c>
      <c r="CW104" s="198" t="s">
        <v>1453</v>
      </c>
      <c r="CX104" s="198" t="s">
        <v>1453</v>
      </c>
      <c r="CY104" s="198" t="s">
        <v>1484</v>
      </c>
      <c r="CZ104" s="198" t="s">
        <v>1453</v>
      </c>
      <c r="DA104" s="198" t="s">
        <v>1457</v>
      </c>
      <c r="DB104" s="198" t="s">
        <v>1453</v>
      </c>
      <c r="DC104" s="198" t="s">
        <v>1453</v>
      </c>
      <c r="DD104" s="198" t="s">
        <v>1458</v>
      </c>
      <c r="DE104" s="198" t="s">
        <v>1459</v>
      </c>
      <c r="DF104" s="198" t="s">
        <v>1453</v>
      </c>
      <c r="DG104" s="198" t="s">
        <v>1453</v>
      </c>
      <c r="DH104" s="198" t="s">
        <v>1500</v>
      </c>
      <c r="DI104" s="198" t="s">
        <v>1501</v>
      </c>
      <c r="DJ104" s="198" t="s">
        <v>1460</v>
      </c>
      <c r="DK104" s="198" t="s">
        <v>1453</v>
      </c>
      <c r="DL104" s="198" t="s">
        <v>1461</v>
      </c>
      <c r="DM104" s="198" t="s">
        <v>1453</v>
      </c>
      <c r="DN104" s="198" t="s">
        <v>1463</v>
      </c>
      <c r="DO104" s="198" t="s">
        <v>1464</v>
      </c>
      <c r="DP104" s="198" t="s">
        <v>1465</v>
      </c>
      <c r="DQ104" s="198" t="s">
        <v>1466</v>
      </c>
      <c r="DR104" s="198" t="s">
        <v>1453</v>
      </c>
      <c r="DS104" s="198" t="s">
        <v>1453</v>
      </c>
      <c r="DT104" s="198" t="s">
        <v>1453</v>
      </c>
      <c r="DU104" s="198" t="s">
        <v>1453</v>
      </c>
      <c r="DV104" s="198" t="s">
        <v>1469</v>
      </c>
      <c r="DW104" s="198" t="s">
        <v>1453</v>
      </c>
      <c r="DX104" s="198" t="s">
        <v>1453</v>
      </c>
      <c r="DY104" s="198" t="s">
        <v>1453</v>
      </c>
      <c r="DZ104" s="198" t="s">
        <v>1453</v>
      </c>
      <c r="EA104" s="198" t="s">
        <v>1523</v>
      </c>
      <c r="EB104" s="198" t="s">
        <v>1453</v>
      </c>
      <c r="EC104" s="198" t="s">
        <v>1483</v>
      </c>
      <c r="ED104" s="198" t="s">
        <v>1453</v>
      </c>
      <c r="EE104" s="198" t="s">
        <v>1470</v>
      </c>
      <c r="EF104" s="198" t="s">
        <v>1453</v>
      </c>
      <c r="EG104" s="198" t="s">
        <v>1471</v>
      </c>
      <c r="EH104" s="198" t="s">
        <v>1453</v>
      </c>
      <c r="EI104" s="198" t="s">
        <v>1453</v>
      </c>
      <c r="EJ104" s="198" t="s">
        <v>1453</v>
      </c>
      <c r="EK104" s="198" t="s">
        <v>1487</v>
      </c>
      <c r="EL104" s="198" t="s">
        <v>1473</v>
      </c>
      <c r="EM104" s="198" t="s">
        <v>1453</v>
      </c>
      <c r="EN104" s="198" t="s">
        <v>1474</v>
      </c>
      <c r="EO104" s="198" t="s">
        <v>1453</v>
      </c>
      <c r="EP104" s="198" t="s">
        <v>1453</v>
      </c>
      <c r="EQ104" s="198" t="s">
        <v>1453</v>
      </c>
      <c r="ER104" s="198" t="s">
        <v>1520</v>
      </c>
      <c r="ES104" s="198" t="s">
        <v>1453</v>
      </c>
      <c r="ET104" s="198" t="s">
        <v>1453</v>
      </c>
      <c r="EU104" s="198" t="s">
        <v>1453</v>
      </c>
      <c r="EV104" s="198" t="s">
        <v>1476</v>
      </c>
      <c r="EW104" s="198" t="s">
        <v>1453</v>
      </c>
      <c r="EX104" s="198" t="s">
        <v>1453</v>
      </c>
      <c r="EY104" s="198" t="s">
        <v>1453</v>
      </c>
      <c r="EZ104" s="198" t="s">
        <v>1477</v>
      </c>
      <c r="FA104" s="198" t="s">
        <v>1453</v>
      </c>
      <c r="FB104" s="198" t="s">
        <v>1453</v>
      </c>
      <c r="FC104" s="198" t="s">
        <v>1478</v>
      </c>
      <c r="FD104" s="198" t="s">
        <v>1453</v>
      </c>
      <c r="FE104" s="198" t="s">
        <v>1453</v>
      </c>
      <c r="FF104" s="198" t="s">
        <v>1453</v>
      </c>
      <c r="FG104" s="198" t="s">
        <v>1453</v>
      </c>
      <c r="FH104" s="198" t="s">
        <v>1479</v>
      </c>
      <c r="FI104" s="198" t="s">
        <v>1453</v>
      </c>
      <c r="FJ104" s="198" t="s">
        <v>1453</v>
      </c>
      <c r="FK104" s="198" t="s">
        <v>1481</v>
      </c>
      <c r="FL104" s="198" t="s">
        <v>1482</v>
      </c>
      <c r="FM104" s="198" t="s">
        <v>1453</v>
      </c>
    </row>
    <row r="105" ht="15.75" customHeight="1">
      <c r="A105" s="198"/>
      <c r="B105" s="198"/>
      <c r="C105" s="234"/>
      <c r="D105" s="232" t="s">
        <v>860</v>
      </c>
      <c r="E105" s="232" t="s">
        <v>785</v>
      </c>
      <c r="F105" s="232" t="s">
        <v>786</v>
      </c>
      <c r="G105" s="232" t="s">
        <v>921</v>
      </c>
      <c r="H105" s="232" t="s">
        <v>775</v>
      </c>
      <c r="I105" s="232" t="s">
        <v>922</v>
      </c>
      <c r="J105" s="232" t="s">
        <v>906</v>
      </c>
      <c r="K105" s="232" t="s">
        <v>1154</v>
      </c>
      <c r="L105" s="188" t="s">
        <v>387</v>
      </c>
      <c r="M105" s="236" t="str">
        <f>IFERROR(__xludf.DUMMYFUNCTION("regexreplace(N105,"" "","", "")"),"")</f>
        <v/>
      </c>
      <c r="N105" s="236" t="str">
        <f t="shared" si="2"/>
        <v/>
      </c>
      <c r="O105" s="236" t="str">
        <f>IFERROR(__xludf.DUMMYFUNCTION("if(countif(ecn.list,CO105),OFFSET(INDIRECT(CONCAT(""A"",to_text(match(CO105,ecn.list,0)))),0,1),"""")"),"")</f>
        <v/>
      </c>
      <c r="P105" s="236" t="str">
        <f>IFERROR(__xludf.DUMMYFUNCTION("if(countif(ecn.list,CP105),OFFSET(INDIRECT(CONCAT(""A"",to_text(match(CP105,ecn.list,0)))),0,1),"""")"),"")</f>
        <v/>
      </c>
      <c r="Q105" s="236" t="str">
        <f>IFERROR(__xludf.DUMMYFUNCTION("if(countif(ecn.list,CQ105),OFFSET(INDIRECT(CONCAT(""A"",to_text(match(CQ105,ecn.list,0)))),0,1),"""")"),"")</f>
        <v/>
      </c>
      <c r="R105" s="236" t="str">
        <f>IFERROR(__xludf.DUMMYFUNCTION("if(countif(ecn.list,CR105),OFFSET(INDIRECT(CONCAT(""A"",to_text(match(CR105,ecn.list,0)))),0,1),"""")"),"")</f>
        <v/>
      </c>
      <c r="S105" s="236" t="str">
        <f>IFERROR(__xludf.DUMMYFUNCTION("if(countif(ecn.list,CS105),OFFSET(INDIRECT(CONCAT(""A"",to_text(match(CS105,ecn.list,0)))),0,1),"""")"),"")</f>
        <v/>
      </c>
      <c r="T105" s="236" t="str">
        <f>IFERROR(__xludf.DUMMYFUNCTION("if(countif(ecn.list,CT105),OFFSET(INDIRECT(CONCAT(""A"",to_text(match(CT105,ecn.list,0)))),0,1),"""")"),"")</f>
        <v/>
      </c>
      <c r="U105" s="236" t="str">
        <f>IFERROR(__xludf.DUMMYFUNCTION("if(countif(ecn.list,CU105),OFFSET(INDIRECT(CONCAT(""A"",to_text(match(CU105,ecn.list,0)))),0,1),"""")"),"")</f>
        <v/>
      </c>
      <c r="V105" s="236" t="str">
        <f>IFERROR(__xludf.DUMMYFUNCTION("if(countif(ecn.list,CV105),OFFSET(INDIRECT(CONCAT(""A"",to_text(match(CV105,ecn.list,0)))),0,1),"""")"),"")</f>
        <v/>
      </c>
      <c r="W105" s="236" t="str">
        <f>IFERROR(__xludf.DUMMYFUNCTION("if(countif(ecn.list,CW105),OFFSET(INDIRECT(CONCAT(""A"",to_text(match(CW105,ecn.list,0)))),0,1),"""")"),"")</f>
        <v/>
      </c>
      <c r="X105" s="236" t="str">
        <f>IFERROR(__xludf.DUMMYFUNCTION("if(countif(ecn.list,CX105),OFFSET(INDIRECT(CONCAT(""A"",to_text(match(CX105,ecn.list,0)))),0,1),"""")"),"")</f>
        <v/>
      </c>
      <c r="Y105" s="236" t="str">
        <f>IFERROR(__xludf.DUMMYFUNCTION("if(countif(ecn.list,CY105),OFFSET(INDIRECT(CONCAT(""A"",to_text(match(CY105,ecn.list,0)))),0,1),"""")"),"")</f>
        <v/>
      </c>
      <c r="Z105" s="236" t="str">
        <f>IFERROR(__xludf.DUMMYFUNCTION("if(countif(ecn.list,CZ105),OFFSET(INDIRECT(CONCAT(""A"",to_text(match(CZ105,ecn.list,0)))),0,1),"""")"),"")</f>
        <v/>
      </c>
      <c r="AA105" s="236" t="str">
        <f>IFERROR(__xludf.DUMMYFUNCTION("if(countif(ecn.list,DA105),OFFSET(INDIRECT(CONCAT(""A"",to_text(match(DA105,ecn.list,0)))),0,1),"""")"),"")</f>
        <v/>
      </c>
      <c r="AB105" s="236" t="str">
        <f>IFERROR(__xludf.DUMMYFUNCTION("if(countif(ecn.list,DB105),OFFSET(INDIRECT(CONCAT(""A"",to_text(match(DB105,ecn.list,0)))),0,1),"""")"),"")</f>
        <v/>
      </c>
      <c r="AC105" s="236" t="str">
        <f>IFERROR(__xludf.DUMMYFUNCTION("if(countif(ecn.list,DC105),OFFSET(INDIRECT(CONCAT(""A"",to_text(match(DC105,ecn.list,0)))),0,1),"""")"),"")</f>
        <v/>
      </c>
      <c r="AD105" s="236" t="str">
        <f>IFERROR(__xludf.DUMMYFUNCTION("if(countif(ecn.list,DD105),OFFSET(INDIRECT(CONCAT(""A"",to_text(match(DD105,ecn.list,0)))),0,1),"""")"),"")</f>
        <v/>
      </c>
      <c r="AE105" s="236" t="str">
        <f>IFERROR(__xludf.DUMMYFUNCTION("if(countif(ecn.list,DE105),OFFSET(INDIRECT(CONCAT(""A"",to_text(match(DE105,ecn.list,0)))),0,1),"""")"),"")</f>
        <v/>
      </c>
      <c r="AF105" s="236" t="str">
        <f>IFERROR(__xludf.DUMMYFUNCTION("if(countif(ecn.list,DF105),OFFSET(INDIRECT(CONCAT(""A"",to_text(match(DF105,ecn.list,0)))),0,1),"""")"),"")</f>
        <v/>
      </c>
      <c r="AG105" s="236" t="str">
        <f>IFERROR(__xludf.DUMMYFUNCTION("if(countif(ecn.list,DG105),OFFSET(INDIRECT(CONCAT(""A"",to_text(match(DG105,ecn.list,0)))),0,1),"""")"),"")</f>
        <v/>
      </c>
      <c r="AH105" s="236" t="str">
        <f>IFERROR(__xludf.DUMMYFUNCTION("if(countif(ecn.list,DH105),OFFSET(INDIRECT(CONCAT(""A"",to_text(match(DH105,ecn.list,0)))),0,1),"""")"),"")</f>
        <v/>
      </c>
      <c r="AI105" s="236" t="str">
        <f>IFERROR(__xludf.DUMMYFUNCTION("if(countif(ecn.list,DI105),OFFSET(INDIRECT(CONCAT(""A"",to_text(match(DI105,ecn.list,0)))),0,1),"""")"),"")</f>
        <v/>
      </c>
      <c r="AJ105" s="236" t="str">
        <f>IFERROR(__xludf.DUMMYFUNCTION("if(countif(ecn.list,DJ105),OFFSET(INDIRECT(CONCAT(""A"",to_text(match(DJ105,ecn.list,0)))),0,1),"""")"),"")</f>
        <v/>
      </c>
      <c r="AK105" s="236" t="str">
        <f>IFERROR(__xludf.DUMMYFUNCTION("if(countif(ecn.list,DK105),OFFSET(INDIRECT(CONCAT(""A"",to_text(match(DK105,ecn.list,0)))),0,1),"""")"),"")</f>
        <v/>
      </c>
      <c r="AL105" s="236" t="str">
        <f>IFERROR(__xludf.DUMMYFUNCTION("if(countif(ecn.list,DL105),OFFSET(INDIRECT(CONCAT(""A"",to_text(match(DL105,ecn.list,0)))),0,1),"""")"),"")</f>
        <v/>
      </c>
      <c r="AM105" s="236" t="str">
        <f>IFERROR(__xludf.DUMMYFUNCTION("if(countif(ecn.list,DM105),OFFSET(INDIRECT(CONCAT(""A"",to_text(match(DM105,ecn.list,0)))),0,1),"""")"),"")</f>
        <v/>
      </c>
      <c r="AN105" s="236" t="str">
        <f>IFERROR(__xludf.DUMMYFUNCTION("if(countif(ecn.list,DN105),OFFSET(INDIRECT(CONCAT(""A"",to_text(match(DN105,ecn.list,0)))),0,1),"""")"),"")</f>
        <v/>
      </c>
      <c r="AO105" s="236" t="str">
        <f>IFERROR(__xludf.DUMMYFUNCTION("if(countif(ecn.list,DO105),OFFSET(INDIRECT(CONCAT(""A"",to_text(match(DO105,ecn.list,0)))),0,1),"""")"),"")</f>
        <v/>
      </c>
      <c r="AP105" s="236" t="str">
        <f>IFERROR(__xludf.DUMMYFUNCTION("if(countif(ecn.list,DP105),OFFSET(INDIRECT(CONCAT(""A"",to_text(match(DP105,ecn.list,0)))),0,1),"""")"),"")</f>
        <v/>
      </c>
      <c r="AQ105" s="236" t="str">
        <f>IFERROR(__xludf.DUMMYFUNCTION("if(countif(ecn.list,DQ105),OFFSET(INDIRECT(CONCAT(""A"",to_text(match(DQ105,ecn.list,0)))),0,1),"""")"),"")</f>
        <v/>
      </c>
      <c r="AR105" s="236" t="str">
        <f>IFERROR(__xludf.DUMMYFUNCTION("if(countif(ecn.list,DR105),OFFSET(INDIRECT(CONCAT(""A"",to_text(match(DR105,ecn.list,0)))),0,1),"""")"),"")</f>
        <v/>
      </c>
      <c r="AS105" s="236" t="str">
        <f>IFERROR(__xludf.DUMMYFUNCTION("if(countif(ecn.list,DS105),OFFSET(INDIRECT(CONCAT(""A"",to_text(match(DS105,ecn.list,0)))),0,1),"""")"),"")</f>
        <v/>
      </c>
      <c r="AT105" s="236" t="str">
        <f>IFERROR(__xludf.DUMMYFUNCTION("if(countif(ecn.list,DT105),OFFSET(INDIRECT(CONCAT(""A"",to_text(match(DT105,ecn.list,0)))),0,1),"""")"),"")</f>
        <v/>
      </c>
      <c r="AU105" s="236" t="str">
        <f>IFERROR(__xludf.DUMMYFUNCTION("if(countif(ecn.list,DU105),OFFSET(INDIRECT(CONCAT(""A"",to_text(match(DU105,ecn.list,0)))),0,1),"""")"),"")</f>
        <v/>
      </c>
      <c r="AV105" s="236" t="str">
        <f>IFERROR(__xludf.DUMMYFUNCTION("if(countif(ecn.list,DV105),OFFSET(INDIRECT(CONCAT(""A"",to_text(match(DV105,ecn.list,0)))),0,1),"""")"),"")</f>
        <v/>
      </c>
      <c r="AW105" s="236" t="str">
        <f>IFERROR(__xludf.DUMMYFUNCTION("if(countif(ecn.list,DW105),OFFSET(INDIRECT(CONCAT(""A"",to_text(match(DW105,ecn.list,0)))),0,1),"""")"),"")</f>
        <v/>
      </c>
      <c r="AX105" s="236" t="str">
        <f>IFERROR(__xludf.DUMMYFUNCTION("if(countif(ecn.list,DX105),OFFSET(INDIRECT(CONCAT(""A"",to_text(match(DX105,ecn.list,0)))),0,1),"""")"),"")</f>
        <v/>
      </c>
      <c r="AY105" s="236" t="str">
        <f>IFERROR(__xludf.DUMMYFUNCTION("if(countif(ecn.list,DY105),OFFSET(INDIRECT(CONCAT(""A"",to_text(match(DY105,ecn.list,0)))),0,1),"""")"),"")</f>
        <v/>
      </c>
      <c r="AZ105" s="236" t="str">
        <f>IFERROR(__xludf.DUMMYFUNCTION("if(countif(ecn.list,DZ105),OFFSET(INDIRECT(CONCAT(""A"",to_text(match(DZ105,ecn.list,0)))),0,1),"""")"),"")</f>
        <v/>
      </c>
      <c r="BA105" s="236" t="str">
        <f>IFERROR(__xludf.DUMMYFUNCTION("if(countif(ecn.list,EA105),OFFSET(INDIRECT(CONCAT(""A"",to_text(match(EA105,ecn.list,0)))),0,1),"""")"),"")</f>
        <v/>
      </c>
      <c r="BB105" s="236" t="str">
        <f>IFERROR(__xludf.DUMMYFUNCTION("if(countif(ecn.list,EB105),OFFSET(INDIRECT(CONCAT(""A"",to_text(match(EB105,ecn.list,0)))),0,1),"""")"),"")</f>
        <v/>
      </c>
      <c r="BC105" s="236" t="str">
        <f>IFERROR(__xludf.DUMMYFUNCTION("if(countif(ecn.list,EC105),OFFSET(INDIRECT(CONCAT(""A"",to_text(match(EC105,ecn.list,0)))),0,1),"""")"),"")</f>
        <v/>
      </c>
      <c r="BD105" s="236" t="str">
        <f>IFERROR(__xludf.DUMMYFUNCTION("if(countif(ecn.list,ED105),OFFSET(INDIRECT(CONCAT(""A"",to_text(match(ED105,ecn.list,0)))),0,1),"""")"),"")</f>
        <v/>
      </c>
      <c r="BE105" s="236" t="str">
        <f>IFERROR(__xludf.DUMMYFUNCTION("if(countif(ecn.list,EE105),OFFSET(INDIRECT(CONCAT(""A"",to_text(match(EE105,ecn.list,0)))),0,1),"""")"),"")</f>
        <v/>
      </c>
      <c r="BF105" s="236" t="str">
        <f>IFERROR(__xludf.DUMMYFUNCTION("if(countif(ecn.list,EF105),OFFSET(INDIRECT(CONCAT(""A"",to_text(match(EF105,ecn.list,0)))),0,1),"""")"),"")</f>
        <v/>
      </c>
      <c r="BG105" s="236" t="str">
        <f>IFERROR(__xludf.DUMMYFUNCTION("if(countif(ecn.list,EG105),OFFSET(INDIRECT(CONCAT(""A"",to_text(match(EG105,ecn.list,0)))),0,1),"""")"),"")</f>
        <v/>
      </c>
      <c r="BH105" s="236" t="str">
        <f>IFERROR(__xludf.DUMMYFUNCTION("if(countif(ecn.list,EH105),OFFSET(INDIRECT(CONCAT(""A"",to_text(match(EH105,ecn.list,0)))),0,1),"""")"),"")</f>
        <v/>
      </c>
      <c r="BI105" s="236" t="str">
        <f>IFERROR(__xludf.DUMMYFUNCTION("if(countif(ecn.list,EI105),OFFSET(INDIRECT(CONCAT(""A"",to_text(match(EI105,ecn.list,0)))),0,1),"""")"),"")</f>
        <v/>
      </c>
      <c r="BJ105" s="236" t="str">
        <f>IFERROR(__xludf.DUMMYFUNCTION("if(countif(ecn.list,EJ105),OFFSET(INDIRECT(CONCAT(""A"",to_text(match(EJ105,ecn.list,0)))),0,1),"""")"),"")</f>
        <v/>
      </c>
      <c r="BK105" s="236" t="str">
        <f>IFERROR(__xludf.DUMMYFUNCTION("if(countif(ecn.list,EK105),OFFSET(INDIRECT(CONCAT(""A"",to_text(match(EK105,ecn.list,0)))),0,1),"""")"),"")</f>
        <v/>
      </c>
      <c r="BL105" s="236" t="str">
        <f>IFERROR(__xludf.DUMMYFUNCTION("if(countif(ecn.list,EL105),OFFSET(INDIRECT(CONCAT(""A"",to_text(match(EL105,ecn.list,0)))),0,1),"""")"),"")</f>
        <v/>
      </c>
      <c r="BM105" s="236" t="str">
        <f>IFERROR(__xludf.DUMMYFUNCTION("if(countif(ecn.list,EM105),OFFSET(INDIRECT(CONCAT(""A"",to_text(match(EM105,ecn.list,0)))),0,1),"""")"),"")</f>
        <v/>
      </c>
      <c r="BN105" s="236" t="str">
        <f>IFERROR(__xludf.DUMMYFUNCTION("if(countif(ecn.list,EN105),OFFSET(INDIRECT(CONCAT(""A"",to_text(match(EN105,ecn.list,0)))),0,1),"""")"),"")</f>
        <v/>
      </c>
      <c r="BO105" s="236" t="str">
        <f>IFERROR(__xludf.DUMMYFUNCTION("if(countif(ecn.list,EO105),OFFSET(INDIRECT(CONCAT(""A"",to_text(match(EO105,ecn.list,0)))),0,1),"""")"),"")</f>
        <v/>
      </c>
      <c r="BP105" s="236" t="str">
        <f>IFERROR(__xludf.DUMMYFUNCTION("if(countif(ecn.list,EP105),OFFSET(INDIRECT(CONCAT(""A"",to_text(match(EP105,ecn.list,0)))),0,1),"""")"),"")</f>
        <v/>
      </c>
      <c r="BQ105" s="236" t="str">
        <f>IFERROR(__xludf.DUMMYFUNCTION("if(countif(ecn.list,EQ105),OFFSET(INDIRECT(CONCAT(""A"",to_text(match(EQ105,ecn.list,0)))),0,1),"""")"),"")</f>
        <v/>
      </c>
      <c r="BR105" s="236" t="str">
        <f>IFERROR(__xludf.DUMMYFUNCTION("if(countif(ecn.list,ER105),OFFSET(INDIRECT(CONCAT(""A"",to_text(match(ER105,ecn.list,0)))),0,1),"""")"),"")</f>
        <v/>
      </c>
      <c r="BS105" s="236" t="str">
        <f>IFERROR(__xludf.DUMMYFUNCTION("if(countif(ecn.list,ES105),OFFSET(INDIRECT(CONCAT(""A"",to_text(match(ES105,ecn.list,0)))),0,1),"""")"),"")</f>
        <v/>
      </c>
      <c r="BT105" s="236" t="str">
        <f>IFERROR(__xludf.DUMMYFUNCTION("if(countif(ecn.list,ET105),OFFSET(INDIRECT(CONCAT(""A"",to_text(match(ET105,ecn.list,0)))),0,1),"""")"),"")</f>
        <v/>
      </c>
      <c r="BU105" s="236" t="str">
        <f>IFERROR(__xludf.DUMMYFUNCTION("if(countif(ecn.list,EU105),OFFSET(INDIRECT(CONCAT(""A"",to_text(match(EU105,ecn.list,0)))),0,1),"""")"),"")</f>
        <v/>
      </c>
      <c r="BV105" s="236" t="str">
        <f>IFERROR(__xludf.DUMMYFUNCTION("if(countif(ecn.list,EV105),OFFSET(INDIRECT(CONCAT(""A"",to_text(match(EV105,ecn.list,0)))),0,1),"""")"),"")</f>
        <v/>
      </c>
      <c r="BW105" s="236" t="str">
        <f>IFERROR(__xludf.DUMMYFUNCTION("if(countif(ecn.list,EW105),OFFSET(INDIRECT(CONCAT(""A"",to_text(match(EW105,ecn.list,0)))),0,1),"""")"),"")</f>
        <v/>
      </c>
      <c r="BX105" s="236" t="str">
        <f>IFERROR(__xludf.DUMMYFUNCTION("if(countif(ecn.list,EX105),OFFSET(INDIRECT(CONCAT(""A"",to_text(match(EX105,ecn.list,0)))),0,1),"""")"),"")</f>
        <v/>
      </c>
      <c r="BY105" s="236" t="str">
        <f>IFERROR(__xludf.DUMMYFUNCTION("if(countif(ecn.list,EY105),OFFSET(INDIRECT(CONCAT(""A"",to_text(match(EY105,ecn.list,0)))),0,1),"""")"),"")</f>
        <v/>
      </c>
      <c r="BZ105" s="236" t="str">
        <f>IFERROR(__xludf.DUMMYFUNCTION("if(countif(ecn.list,EZ105),OFFSET(INDIRECT(CONCAT(""A"",to_text(match(EZ105,ecn.list,0)))),0,1),"""")"),"")</f>
        <v/>
      </c>
      <c r="CA105" s="236" t="str">
        <f>IFERROR(__xludf.DUMMYFUNCTION("if(countif(ecn.list,FA105),OFFSET(INDIRECT(CONCAT(""A"",to_text(match(FA105,ecn.list,0)))),0,1),"""")"),"")</f>
        <v/>
      </c>
      <c r="CB105" s="236" t="str">
        <f>IFERROR(__xludf.DUMMYFUNCTION("if(countif(ecn.list,FB105),OFFSET(INDIRECT(CONCAT(""A"",to_text(match(FB105,ecn.list,0)))),0,1),"""")"),"")</f>
        <v/>
      </c>
      <c r="CC105" s="236" t="str">
        <f>IFERROR(__xludf.DUMMYFUNCTION("if(countif(ecn.list,FC105),OFFSET(INDIRECT(CONCAT(""A"",to_text(match(FC105,ecn.list,0)))),0,1),"""")"),"")</f>
        <v/>
      </c>
      <c r="CD105" s="236" t="str">
        <f>IFERROR(__xludf.DUMMYFUNCTION("if(countif(ecn.list,FD105),OFFSET(INDIRECT(CONCAT(""A"",to_text(match(FD105,ecn.list,0)))),0,1),"""")"),"")</f>
        <v/>
      </c>
      <c r="CE105" s="236" t="str">
        <f>IFERROR(__xludf.DUMMYFUNCTION("if(countif(ecn.list,FE105),OFFSET(INDIRECT(CONCAT(""A"",to_text(match(FE105,ecn.list,0)))),0,1),"""")"),"")</f>
        <v/>
      </c>
      <c r="CF105" s="236" t="str">
        <f>IFERROR(__xludf.DUMMYFUNCTION("if(countif(ecn.list,FF105),OFFSET(INDIRECT(CONCAT(""A"",to_text(match(FF105,ecn.list,0)))),0,1),"""")"),"")</f>
        <v/>
      </c>
      <c r="CG105" s="236" t="str">
        <f>IFERROR(__xludf.DUMMYFUNCTION("if(countif(ecn.list,FG105),OFFSET(INDIRECT(CONCAT(""A"",to_text(match(FG105,ecn.list,0)))),0,1),"""")"),"")</f>
        <v/>
      </c>
      <c r="CH105" s="236" t="str">
        <f>IFERROR(__xludf.DUMMYFUNCTION("if(countif(ecn.list,FH105),OFFSET(INDIRECT(CONCAT(""A"",to_text(match(FH105,ecn.list,0)))),0,1),"""")"),"")</f>
        <v/>
      </c>
      <c r="CI105" s="236" t="str">
        <f>IFERROR(__xludf.DUMMYFUNCTION("if(countif(ecn.list,FI105),OFFSET(INDIRECT(CONCAT(""A"",to_text(match(FI105,ecn.list,0)))),0,1),"""")"),"")</f>
        <v/>
      </c>
      <c r="CJ105" s="236" t="str">
        <f>IFERROR(__xludf.DUMMYFUNCTION("if(countif(ecn.list,FJ105),OFFSET(INDIRECT(CONCAT(""A"",to_text(match(FJ105,ecn.list,0)))),0,1),"""")"),"")</f>
        <v/>
      </c>
      <c r="CK105" s="236" t="str">
        <f>IFERROR(__xludf.DUMMYFUNCTION("if(countif(ecn.list,FK105),OFFSET(INDIRECT(CONCAT(""A"",to_text(match(FK105,ecn.list,0)))),0,1),"""")"),"")</f>
        <v/>
      </c>
      <c r="CL105" s="236" t="str">
        <f>IFERROR(__xludf.DUMMYFUNCTION("if(countif(ecn.list,FL105),OFFSET(INDIRECT(CONCAT(""A"",to_text(match(FL105,ecn.list,0)))),0,1),"""")"),"")</f>
        <v/>
      </c>
      <c r="CM105" s="236" t="str">
        <f>IFERROR(__xludf.DUMMYFUNCTION("if(countif(ecn.list,FM105),OFFSET(INDIRECT(CONCAT(""A"",to_text(match(FM105,ecn.list,0)))),0,1),"""")"),"")</f>
        <v/>
      </c>
      <c r="CN105" s="198" t="s">
        <v>387</v>
      </c>
      <c r="CO105" s="198" t="s">
        <v>1453</v>
      </c>
      <c r="CP105" s="198" t="s">
        <v>1453</v>
      </c>
      <c r="CQ105" s="198" t="s">
        <v>1453</v>
      </c>
      <c r="CR105" s="198" t="s">
        <v>1453</v>
      </c>
      <c r="CS105" s="198" t="s">
        <v>1453</v>
      </c>
      <c r="CT105" s="198" t="s">
        <v>1453</v>
      </c>
      <c r="CU105" s="198" t="s">
        <v>1453</v>
      </c>
      <c r="CV105" s="198" t="s">
        <v>1453</v>
      </c>
      <c r="CW105" s="198" t="s">
        <v>1453</v>
      </c>
      <c r="CX105" s="198" t="s">
        <v>1453</v>
      </c>
      <c r="CY105" s="198" t="s">
        <v>1453</v>
      </c>
      <c r="CZ105" s="198" t="s">
        <v>1453</v>
      </c>
      <c r="DA105" s="198" t="s">
        <v>1453</v>
      </c>
      <c r="DB105" s="198" t="s">
        <v>1453</v>
      </c>
      <c r="DC105" s="198" t="s">
        <v>1453</v>
      </c>
      <c r="DD105" s="198" t="s">
        <v>1453</v>
      </c>
      <c r="DE105" s="198" t="s">
        <v>1453</v>
      </c>
      <c r="DF105" s="198" t="s">
        <v>1453</v>
      </c>
      <c r="DG105" s="198" t="s">
        <v>1453</v>
      </c>
      <c r="DH105" s="198" t="s">
        <v>1453</v>
      </c>
      <c r="DI105" s="198" t="s">
        <v>1453</v>
      </c>
      <c r="DJ105" s="198" t="s">
        <v>1453</v>
      </c>
      <c r="DK105" s="198" t="s">
        <v>1453</v>
      </c>
      <c r="DL105" s="198" t="s">
        <v>1453</v>
      </c>
      <c r="DM105" s="198" t="s">
        <v>1453</v>
      </c>
      <c r="DN105" s="198" t="s">
        <v>1453</v>
      </c>
      <c r="DO105" s="198" t="s">
        <v>1453</v>
      </c>
      <c r="DP105" s="198" t="s">
        <v>1453</v>
      </c>
      <c r="DQ105" s="198" t="s">
        <v>1453</v>
      </c>
      <c r="DR105" s="198" t="s">
        <v>1453</v>
      </c>
      <c r="DS105" s="198" t="s">
        <v>1453</v>
      </c>
      <c r="DT105" s="198" t="s">
        <v>1453</v>
      </c>
      <c r="DU105" s="198" t="s">
        <v>1453</v>
      </c>
      <c r="DV105" s="198" t="s">
        <v>1453</v>
      </c>
      <c r="DW105" s="198" t="s">
        <v>1453</v>
      </c>
      <c r="DX105" s="198" t="s">
        <v>1453</v>
      </c>
      <c r="DY105" s="198" t="s">
        <v>1453</v>
      </c>
      <c r="DZ105" s="198" t="s">
        <v>1453</v>
      </c>
      <c r="EA105" s="198" t="s">
        <v>1453</v>
      </c>
      <c r="EB105" s="198" t="s">
        <v>1453</v>
      </c>
      <c r="EC105" s="198" t="s">
        <v>1453</v>
      </c>
      <c r="ED105" s="198" t="s">
        <v>1453</v>
      </c>
      <c r="EE105" s="198" t="s">
        <v>1453</v>
      </c>
      <c r="EF105" s="198" t="s">
        <v>1453</v>
      </c>
      <c r="EG105" s="198" t="s">
        <v>1453</v>
      </c>
      <c r="EH105" s="198" t="s">
        <v>1453</v>
      </c>
      <c r="EI105" s="198" t="s">
        <v>1453</v>
      </c>
      <c r="EJ105" s="198" t="s">
        <v>1453</v>
      </c>
      <c r="EK105" s="198" t="s">
        <v>1453</v>
      </c>
      <c r="EL105" s="198" t="s">
        <v>1453</v>
      </c>
      <c r="EM105" s="198" t="s">
        <v>1453</v>
      </c>
      <c r="EN105" s="198" t="s">
        <v>1453</v>
      </c>
      <c r="EO105" s="198" t="s">
        <v>1453</v>
      </c>
      <c r="EP105" s="198" t="s">
        <v>1453</v>
      </c>
      <c r="EQ105" s="198" t="s">
        <v>1453</v>
      </c>
      <c r="ER105" s="198" t="s">
        <v>1453</v>
      </c>
      <c r="ES105" s="198" t="s">
        <v>1453</v>
      </c>
      <c r="ET105" s="198" t="s">
        <v>1453</v>
      </c>
      <c r="EU105" s="198" t="s">
        <v>1453</v>
      </c>
      <c r="EV105" s="198" t="s">
        <v>1453</v>
      </c>
      <c r="EW105" s="198" t="s">
        <v>1453</v>
      </c>
      <c r="EX105" s="198" t="s">
        <v>1453</v>
      </c>
      <c r="EY105" s="198" t="s">
        <v>1453</v>
      </c>
      <c r="EZ105" s="198" t="s">
        <v>1453</v>
      </c>
      <c r="FA105" s="198" t="s">
        <v>1453</v>
      </c>
      <c r="FB105" s="198" t="s">
        <v>1453</v>
      </c>
      <c r="FC105" s="198" t="s">
        <v>1453</v>
      </c>
      <c r="FD105" s="198" t="s">
        <v>1453</v>
      </c>
      <c r="FE105" s="198" t="s">
        <v>1453</v>
      </c>
      <c r="FF105" s="198" t="s">
        <v>1453</v>
      </c>
      <c r="FG105" s="198" t="s">
        <v>1453</v>
      </c>
      <c r="FH105" s="198" t="s">
        <v>1453</v>
      </c>
      <c r="FI105" s="198" t="s">
        <v>1453</v>
      </c>
      <c r="FJ105" s="198" t="s">
        <v>1453</v>
      </c>
      <c r="FK105" s="198" t="s">
        <v>1453</v>
      </c>
      <c r="FL105" s="198" t="s">
        <v>1453</v>
      </c>
      <c r="FM105" s="198" t="s">
        <v>1453</v>
      </c>
    </row>
    <row r="106" ht="15.75" customHeight="1">
      <c r="A106" s="198"/>
      <c r="B106" s="198"/>
      <c r="C106" s="234"/>
      <c r="D106" s="232" t="s">
        <v>770</v>
      </c>
      <c r="E106" s="232" t="s">
        <v>1448</v>
      </c>
      <c r="F106" s="232" t="s">
        <v>1449</v>
      </c>
      <c r="G106" s="232" t="s">
        <v>1450</v>
      </c>
      <c r="H106" s="232" t="s">
        <v>788</v>
      </c>
      <c r="I106" s="232" t="s">
        <v>980</v>
      </c>
      <c r="J106" s="232" t="s">
        <v>847</v>
      </c>
      <c r="K106" s="232" t="s">
        <v>1110</v>
      </c>
      <c r="L106" s="188" t="s">
        <v>390</v>
      </c>
      <c r="M106" s="236" t="str">
        <f>IFERROR(__xludf.DUMMYFUNCTION("regexreplace(N106,"" "","", "")"),"J0, J1, J2, J5, J6, J7, JC, JF, K0, K5, K7, K8, K9, KA, KC, KD, KF, L1, L5, LA, LC, LF, M1, M4, MB, MF, N2, N7, N8, NA, ")</f>
        <v>J0, J1, J2, J5, J6, J7, JC, JF, K0, K5, K7, K8, K9, KA, KC, KD, KF, L1, L5, LA, LC, LF, M1, M4, MB, MF, N2, N7, N8, NA, </v>
      </c>
      <c r="N106" s="236" t="str">
        <f t="shared" si="2"/>
        <v>J0 J1 J2 J5 J6 J7 JC JF K0 K5 K7 K8 K9 KA KC KD KF L1 L5 LA LC LF M1 M4 MB MF N2 N7 N8 NA </v>
      </c>
      <c r="O106" s="236" t="str">
        <f>IFERROR(__xludf.DUMMYFUNCTION("if(countif(ecn.list,CO106),OFFSET(INDIRECT(CONCAT(""A"",to_text(match(CO106,ecn.list,0)))),0,1),"""")"),"J0 ")</f>
        <v>J0 </v>
      </c>
      <c r="P106" s="236" t="str">
        <f>IFERROR(__xludf.DUMMYFUNCTION("if(countif(ecn.list,CP106),OFFSET(INDIRECT(CONCAT(""A"",to_text(match(CP106,ecn.list,0)))),0,1),"""")"),"J1 ")</f>
        <v>J1 </v>
      </c>
      <c r="Q106" s="236" t="str">
        <f>IFERROR(__xludf.DUMMYFUNCTION("if(countif(ecn.list,CQ106),OFFSET(INDIRECT(CONCAT(""A"",to_text(match(CQ106,ecn.list,0)))),0,1),"""")"),"J2 ")</f>
        <v>J2 </v>
      </c>
      <c r="R106" s="236" t="str">
        <f>IFERROR(__xludf.DUMMYFUNCTION("if(countif(ecn.list,CR106),OFFSET(INDIRECT(CONCAT(""A"",to_text(match(CR106,ecn.list,0)))),0,1),"""")"),"")</f>
        <v/>
      </c>
      <c r="S106" s="236" t="str">
        <f>IFERROR(__xludf.DUMMYFUNCTION("if(countif(ecn.list,CS106),OFFSET(INDIRECT(CONCAT(""A"",to_text(match(CS106,ecn.list,0)))),0,1),"""")"),"")</f>
        <v/>
      </c>
      <c r="T106" s="236" t="str">
        <f>IFERROR(__xludf.DUMMYFUNCTION("if(countif(ecn.list,CT106),OFFSET(INDIRECT(CONCAT(""A"",to_text(match(CT106,ecn.list,0)))),0,1),"""")"),"J5 ")</f>
        <v>J5 </v>
      </c>
      <c r="U106" s="236" t="str">
        <f>IFERROR(__xludf.DUMMYFUNCTION("if(countif(ecn.list,CU106),OFFSET(INDIRECT(CONCAT(""A"",to_text(match(CU106,ecn.list,0)))),0,1),"""")"),"J6 ")</f>
        <v>J6 </v>
      </c>
      <c r="V106" s="236" t="str">
        <f>IFERROR(__xludf.DUMMYFUNCTION("if(countif(ecn.list,CV106),OFFSET(INDIRECT(CONCAT(""A"",to_text(match(CV106,ecn.list,0)))),0,1),"""")"),"J7 ")</f>
        <v>J7 </v>
      </c>
      <c r="W106" s="236" t="str">
        <f>IFERROR(__xludf.DUMMYFUNCTION("if(countif(ecn.list,CW106),OFFSET(INDIRECT(CONCAT(""A"",to_text(match(CW106,ecn.list,0)))),0,1),"""")"),"")</f>
        <v/>
      </c>
      <c r="X106" s="236" t="str">
        <f>IFERROR(__xludf.DUMMYFUNCTION("if(countif(ecn.list,CX106),OFFSET(INDIRECT(CONCAT(""A"",to_text(match(CX106,ecn.list,0)))),0,1),"""")"),"")</f>
        <v/>
      </c>
      <c r="Y106" s="236" t="str">
        <f>IFERROR(__xludf.DUMMYFUNCTION("if(countif(ecn.list,CY106),OFFSET(INDIRECT(CONCAT(""A"",to_text(match(CY106,ecn.list,0)))),0,1),"""")"),"")</f>
        <v/>
      </c>
      <c r="Z106" s="236" t="str">
        <f>IFERROR(__xludf.DUMMYFUNCTION("if(countif(ecn.list,CZ106),OFFSET(INDIRECT(CONCAT(""A"",to_text(match(CZ106,ecn.list,0)))),0,1),"""")"),"")</f>
        <v/>
      </c>
      <c r="AA106" s="236" t="str">
        <f>IFERROR(__xludf.DUMMYFUNCTION("if(countif(ecn.list,DA106),OFFSET(INDIRECT(CONCAT(""A"",to_text(match(DA106,ecn.list,0)))),0,1),"""")"),"JC ")</f>
        <v>JC </v>
      </c>
      <c r="AB106" s="236" t="str">
        <f>IFERROR(__xludf.DUMMYFUNCTION("if(countif(ecn.list,DB106),OFFSET(INDIRECT(CONCAT(""A"",to_text(match(DB106,ecn.list,0)))),0,1),"""")"),"")</f>
        <v/>
      </c>
      <c r="AC106" s="236" t="str">
        <f>IFERROR(__xludf.DUMMYFUNCTION("if(countif(ecn.list,DC106),OFFSET(INDIRECT(CONCAT(""A"",to_text(match(DC106,ecn.list,0)))),0,1),"""")"),"")</f>
        <v/>
      </c>
      <c r="AD106" s="236" t="str">
        <f>IFERROR(__xludf.DUMMYFUNCTION("if(countif(ecn.list,DD106),OFFSET(INDIRECT(CONCAT(""A"",to_text(match(DD106,ecn.list,0)))),0,1),"""")"),"JF ")</f>
        <v>JF </v>
      </c>
      <c r="AE106" s="236" t="str">
        <f>IFERROR(__xludf.DUMMYFUNCTION("if(countif(ecn.list,DE106),OFFSET(INDIRECT(CONCAT(""A"",to_text(match(DE106,ecn.list,0)))),0,1),"""")"),"K0 ")</f>
        <v>K0 </v>
      </c>
      <c r="AF106" s="236" t="str">
        <f>IFERROR(__xludf.DUMMYFUNCTION("if(countif(ecn.list,DF106),OFFSET(INDIRECT(CONCAT(""A"",to_text(match(DF106,ecn.list,0)))),0,1),"""")"),"")</f>
        <v/>
      </c>
      <c r="AG106" s="236" t="str">
        <f>IFERROR(__xludf.DUMMYFUNCTION("if(countif(ecn.list,DG106),OFFSET(INDIRECT(CONCAT(""A"",to_text(match(DG106,ecn.list,0)))),0,1),"""")"),"")</f>
        <v/>
      </c>
      <c r="AH106" s="236" t="str">
        <f>IFERROR(__xludf.DUMMYFUNCTION("if(countif(ecn.list,DH106),OFFSET(INDIRECT(CONCAT(""A"",to_text(match(DH106,ecn.list,0)))),0,1),"""")"),"")</f>
        <v/>
      </c>
      <c r="AI106" s="236" t="str">
        <f>IFERROR(__xludf.DUMMYFUNCTION("if(countif(ecn.list,DI106),OFFSET(INDIRECT(CONCAT(""A"",to_text(match(DI106,ecn.list,0)))),0,1),"""")"),"")</f>
        <v/>
      </c>
      <c r="AJ106" s="236" t="str">
        <f>IFERROR(__xludf.DUMMYFUNCTION("if(countif(ecn.list,DJ106),OFFSET(INDIRECT(CONCAT(""A"",to_text(match(DJ106,ecn.list,0)))),0,1),"""")"),"K5 ")</f>
        <v>K5 </v>
      </c>
      <c r="AK106" s="236" t="str">
        <f>IFERROR(__xludf.DUMMYFUNCTION("if(countif(ecn.list,DK106),OFFSET(INDIRECT(CONCAT(""A"",to_text(match(DK106,ecn.list,0)))),0,1),"""")"),"")</f>
        <v/>
      </c>
      <c r="AL106" s="236" t="str">
        <f>IFERROR(__xludf.DUMMYFUNCTION("if(countif(ecn.list,DL106),OFFSET(INDIRECT(CONCAT(""A"",to_text(match(DL106,ecn.list,0)))),0,1),"""")"),"K7 ")</f>
        <v>K7 </v>
      </c>
      <c r="AM106" s="236" t="str">
        <f>IFERROR(__xludf.DUMMYFUNCTION("if(countif(ecn.list,DM106),OFFSET(INDIRECT(CONCAT(""A"",to_text(match(DM106,ecn.list,0)))),0,1),"""")"),"K8 ")</f>
        <v>K8 </v>
      </c>
      <c r="AN106" s="236" t="str">
        <f>IFERROR(__xludf.DUMMYFUNCTION("if(countif(ecn.list,DN106),OFFSET(INDIRECT(CONCAT(""A"",to_text(match(DN106,ecn.list,0)))),0,1),"""")"),"K9 ")</f>
        <v>K9 </v>
      </c>
      <c r="AO106" s="236" t="str">
        <f>IFERROR(__xludf.DUMMYFUNCTION("if(countif(ecn.list,DO106),OFFSET(INDIRECT(CONCAT(""A"",to_text(match(DO106,ecn.list,0)))),0,1),"""")"),"KA ")</f>
        <v>KA </v>
      </c>
      <c r="AP106" s="236" t="str">
        <f>IFERROR(__xludf.DUMMYFUNCTION("if(countif(ecn.list,DP106),OFFSET(INDIRECT(CONCAT(""A"",to_text(match(DP106,ecn.list,0)))),0,1),"""")"),"")</f>
        <v/>
      </c>
      <c r="AQ106" s="236" t="str">
        <f>IFERROR(__xludf.DUMMYFUNCTION("if(countif(ecn.list,DQ106),OFFSET(INDIRECT(CONCAT(""A"",to_text(match(DQ106,ecn.list,0)))),0,1),"""")"),"KC ")</f>
        <v>KC </v>
      </c>
      <c r="AR106" s="236" t="str">
        <f>IFERROR(__xludf.DUMMYFUNCTION("if(countif(ecn.list,DR106),OFFSET(INDIRECT(CONCAT(""A"",to_text(match(DR106,ecn.list,0)))),0,1),"""")"),"KD ")</f>
        <v>KD </v>
      </c>
      <c r="AS106" s="236" t="str">
        <f>IFERROR(__xludf.DUMMYFUNCTION("if(countif(ecn.list,DS106),OFFSET(INDIRECT(CONCAT(""A"",to_text(match(DS106,ecn.list,0)))),0,1),"""")"),"")</f>
        <v/>
      </c>
      <c r="AT106" s="236" t="str">
        <f>IFERROR(__xludf.DUMMYFUNCTION("if(countif(ecn.list,DT106),OFFSET(INDIRECT(CONCAT(""A"",to_text(match(DT106,ecn.list,0)))),0,1),"""")"),"KF ")</f>
        <v>KF </v>
      </c>
      <c r="AU106" s="236" t="str">
        <f>IFERROR(__xludf.DUMMYFUNCTION("if(countif(ecn.list,DU106),OFFSET(INDIRECT(CONCAT(""A"",to_text(match(DU106,ecn.list,0)))),0,1),"""")"),"")</f>
        <v/>
      </c>
      <c r="AV106" s="236" t="str">
        <f>IFERROR(__xludf.DUMMYFUNCTION("if(countif(ecn.list,DV106),OFFSET(INDIRECT(CONCAT(""A"",to_text(match(DV106,ecn.list,0)))),0,1),"""")"),"L1 ")</f>
        <v>L1 </v>
      </c>
      <c r="AW106" s="236" t="str">
        <f>IFERROR(__xludf.DUMMYFUNCTION("if(countif(ecn.list,DW106),OFFSET(INDIRECT(CONCAT(""A"",to_text(match(DW106,ecn.list,0)))),0,1),"""")"),"")</f>
        <v/>
      </c>
      <c r="AX106" s="236" t="str">
        <f>IFERROR(__xludf.DUMMYFUNCTION("if(countif(ecn.list,DX106),OFFSET(INDIRECT(CONCAT(""A"",to_text(match(DX106,ecn.list,0)))),0,1),"""")"),"")</f>
        <v/>
      </c>
      <c r="AY106" s="236" t="str">
        <f>IFERROR(__xludf.DUMMYFUNCTION("if(countif(ecn.list,DY106),OFFSET(INDIRECT(CONCAT(""A"",to_text(match(DY106,ecn.list,0)))),0,1),"""")"),"")</f>
        <v/>
      </c>
      <c r="AZ106" s="236" t="str">
        <f>IFERROR(__xludf.DUMMYFUNCTION("if(countif(ecn.list,DZ106),OFFSET(INDIRECT(CONCAT(""A"",to_text(match(DZ106,ecn.list,0)))),0,1),"""")"),"L5 ")</f>
        <v>L5 </v>
      </c>
      <c r="BA106" s="236" t="str">
        <f>IFERROR(__xludf.DUMMYFUNCTION("if(countif(ecn.list,EA106),OFFSET(INDIRECT(CONCAT(""A"",to_text(match(EA106,ecn.list,0)))),0,1),"""")"),"")</f>
        <v/>
      </c>
      <c r="BB106" s="236" t="str">
        <f>IFERROR(__xludf.DUMMYFUNCTION("if(countif(ecn.list,EB106),OFFSET(INDIRECT(CONCAT(""A"",to_text(match(EB106,ecn.list,0)))),0,1),"""")"),"")</f>
        <v/>
      </c>
      <c r="BC106" s="236" t="str">
        <f>IFERROR(__xludf.DUMMYFUNCTION("if(countif(ecn.list,EC106),OFFSET(INDIRECT(CONCAT(""A"",to_text(match(EC106,ecn.list,0)))),0,1),"""")"),"")</f>
        <v/>
      </c>
      <c r="BD106" s="236" t="str">
        <f>IFERROR(__xludf.DUMMYFUNCTION("if(countif(ecn.list,ED106),OFFSET(INDIRECT(CONCAT(""A"",to_text(match(ED106,ecn.list,0)))),0,1),"""")"),"")</f>
        <v/>
      </c>
      <c r="BE106" s="236" t="str">
        <f>IFERROR(__xludf.DUMMYFUNCTION("if(countif(ecn.list,EE106),OFFSET(INDIRECT(CONCAT(""A"",to_text(match(EE106,ecn.list,0)))),0,1),"""")"),"LA ")</f>
        <v>LA </v>
      </c>
      <c r="BF106" s="236" t="str">
        <f>IFERROR(__xludf.DUMMYFUNCTION("if(countif(ecn.list,EF106),OFFSET(INDIRECT(CONCAT(""A"",to_text(match(EF106,ecn.list,0)))),0,1),"""")"),"")</f>
        <v/>
      </c>
      <c r="BG106" s="236" t="str">
        <f>IFERROR(__xludf.DUMMYFUNCTION("if(countif(ecn.list,EG106),OFFSET(INDIRECT(CONCAT(""A"",to_text(match(EG106,ecn.list,0)))),0,1),"""")"),"LC ")</f>
        <v>LC </v>
      </c>
      <c r="BH106" s="236" t="str">
        <f>IFERROR(__xludf.DUMMYFUNCTION("if(countif(ecn.list,EH106),OFFSET(INDIRECT(CONCAT(""A"",to_text(match(EH106,ecn.list,0)))),0,1),"""")"),"")</f>
        <v/>
      </c>
      <c r="BI106" s="236" t="str">
        <f>IFERROR(__xludf.DUMMYFUNCTION("if(countif(ecn.list,EI106),OFFSET(INDIRECT(CONCAT(""A"",to_text(match(EI106,ecn.list,0)))),0,1),"""")"),"")</f>
        <v/>
      </c>
      <c r="BJ106" s="236" t="str">
        <f>IFERROR(__xludf.DUMMYFUNCTION("if(countif(ecn.list,EJ106),OFFSET(INDIRECT(CONCAT(""A"",to_text(match(EJ106,ecn.list,0)))),0,1),"""")"),"LF ")</f>
        <v>LF </v>
      </c>
      <c r="BK106" s="236" t="str">
        <f>IFERROR(__xludf.DUMMYFUNCTION("if(countif(ecn.list,EK106),OFFSET(INDIRECT(CONCAT(""A"",to_text(match(EK106,ecn.list,0)))),0,1),"""")"),"")</f>
        <v/>
      </c>
      <c r="BL106" s="236" t="str">
        <f>IFERROR(__xludf.DUMMYFUNCTION("if(countif(ecn.list,EL106),OFFSET(INDIRECT(CONCAT(""A"",to_text(match(EL106,ecn.list,0)))),0,1),"""")"),"M1 ")</f>
        <v>M1 </v>
      </c>
      <c r="BM106" s="236" t="str">
        <f>IFERROR(__xludf.DUMMYFUNCTION("if(countif(ecn.list,EM106),OFFSET(INDIRECT(CONCAT(""A"",to_text(match(EM106,ecn.list,0)))),0,1),"""")"),"")</f>
        <v/>
      </c>
      <c r="BN106" s="236" t="str">
        <f>IFERROR(__xludf.DUMMYFUNCTION("if(countif(ecn.list,EN106),OFFSET(INDIRECT(CONCAT(""A"",to_text(match(EN106,ecn.list,0)))),0,1),"""")"),"")</f>
        <v/>
      </c>
      <c r="BO106" s="236" t="str">
        <f>IFERROR(__xludf.DUMMYFUNCTION("if(countif(ecn.list,EO106),OFFSET(INDIRECT(CONCAT(""A"",to_text(match(EO106,ecn.list,0)))),0,1),"""")"),"M4 ")</f>
        <v>M4 </v>
      </c>
      <c r="BP106" s="236" t="str">
        <f>IFERROR(__xludf.DUMMYFUNCTION("if(countif(ecn.list,EP106),OFFSET(INDIRECT(CONCAT(""A"",to_text(match(EP106,ecn.list,0)))),0,1),"""")"),"")</f>
        <v/>
      </c>
      <c r="BQ106" s="236" t="str">
        <f>IFERROR(__xludf.DUMMYFUNCTION("if(countif(ecn.list,EQ106),OFFSET(INDIRECT(CONCAT(""A"",to_text(match(EQ106,ecn.list,0)))),0,1),"""")"),"")</f>
        <v/>
      </c>
      <c r="BR106" s="236" t="str">
        <f>IFERROR(__xludf.DUMMYFUNCTION("if(countif(ecn.list,ER106),OFFSET(INDIRECT(CONCAT(""A"",to_text(match(ER106,ecn.list,0)))),0,1),"""")"),"")</f>
        <v/>
      </c>
      <c r="BS106" s="236" t="str">
        <f>IFERROR(__xludf.DUMMYFUNCTION("if(countif(ecn.list,ES106),OFFSET(INDIRECT(CONCAT(""A"",to_text(match(ES106,ecn.list,0)))),0,1),"""")"),"")</f>
        <v/>
      </c>
      <c r="BT106" s="236" t="str">
        <f>IFERROR(__xludf.DUMMYFUNCTION("if(countif(ecn.list,ET106),OFFSET(INDIRECT(CONCAT(""A"",to_text(match(ET106,ecn.list,0)))),0,1),"""")"),"")</f>
        <v/>
      </c>
      <c r="BU106" s="236" t="str">
        <f>IFERROR(__xludf.DUMMYFUNCTION("if(countif(ecn.list,EU106),OFFSET(INDIRECT(CONCAT(""A"",to_text(match(EU106,ecn.list,0)))),0,1),"""")"),"")</f>
        <v/>
      </c>
      <c r="BV106" s="236" t="str">
        <f>IFERROR(__xludf.DUMMYFUNCTION("if(countif(ecn.list,EV106),OFFSET(INDIRECT(CONCAT(""A"",to_text(match(EV106,ecn.list,0)))),0,1),"""")"),"MB ")</f>
        <v>MB </v>
      </c>
      <c r="BW106" s="236" t="str">
        <f>IFERROR(__xludf.DUMMYFUNCTION("if(countif(ecn.list,EW106),OFFSET(INDIRECT(CONCAT(""A"",to_text(match(EW106,ecn.list,0)))),0,1),"""")"),"")</f>
        <v/>
      </c>
      <c r="BX106" s="236" t="str">
        <f>IFERROR(__xludf.DUMMYFUNCTION("if(countif(ecn.list,EX106),OFFSET(INDIRECT(CONCAT(""A"",to_text(match(EX106,ecn.list,0)))),0,1),"""")"),"")</f>
        <v/>
      </c>
      <c r="BY106" s="236" t="str">
        <f>IFERROR(__xludf.DUMMYFUNCTION("if(countif(ecn.list,EY106),OFFSET(INDIRECT(CONCAT(""A"",to_text(match(EY106,ecn.list,0)))),0,1),"""")"),"")</f>
        <v/>
      </c>
      <c r="BZ106" s="236" t="str">
        <f>IFERROR(__xludf.DUMMYFUNCTION("if(countif(ecn.list,EZ106),OFFSET(INDIRECT(CONCAT(""A"",to_text(match(EZ106,ecn.list,0)))),0,1),"""")"),"MF ")</f>
        <v>MF </v>
      </c>
      <c r="CA106" s="236" t="str">
        <f>IFERROR(__xludf.DUMMYFUNCTION("if(countif(ecn.list,FA106),OFFSET(INDIRECT(CONCAT(""A"",to_text(match(FA106,ecn.list,0)))),0,1),"""")"),"")</f>
        <v/>
      </c>
      <c r="CB106" s="236" t="str">
        <f>IFERROR(__xludf.DUMMYFUNCTION("if(countif(ecn.list,FB106),OFFSET(INDIRECT(CONCAT(""A"",to_text(match(FB106,ecn.list,0)))),0,1),"""")"),"")</f>
        <v/>
      </c>
      <c r="CC106" s="236" t="str">
        <f>IFERROR(__xludf.DUMMYFUNCTION("if(countif(ecn.list,FC106),OFFSET(INDIRECT(CONCAT(""A"",to_text(match(FC106,ecn.list,0)))),0,1),"""")"),"N2 ")</f>
        <v>N2 </v>
      </c>
      <c r="CD106" s="236" t="str">
        <f>IFERROR(__xludf.DUMMYFUNCTION("if(countif(ecn.list,FD106),OFFSET(INDIRECT(CONCAT(""A"",to_text(match(FD106,ecn.list,0)))),0,1),"""")"),"")</f>
        <v/>
      </c>
      <c r="CE106" s="236" t="str">
        <f>IFERROR(__xludf.DUMMYFUNCTION("if(countif(ecn.list,FE106),OFFSET(INDIRECT(CONCAT(""A"",to_text(match(FE106,ecn.list,0)))),0,1),"""")"),"")</f>
        <v/>
      </c>
      <c r="CF106" s="236" t="str">
        <f>IFERROR(__xludf.DUMMYFUNCTION("if(countif(ecn.list,FF106),OFFSET(INDIRECT(CONCAT(""A"",to_text(match(FF106,ecn.list,0)))),0,1),"""")"),"")</f>
        <v/>
      </c>
      <c r="CG106" s="236" t="str">
        <f>IFERROR(__xludf.DUMMYFUNCTION("if(countif(ecn.list,FG106),OFFSET(INDIRECT(CONCAT(""A"",to_text(match(FG106,ecn.list,0)))),0,1),"""")"),"")</f>
        <v/>
      </c>
      <c r="CH106" s="236" t="str">
        <f>IFERROR(__xludf.DUMMYFUNCTION("if(countif(ecn.list,FH106),OFFSET(INDIRECT(CONCAT(""A"",to_text(match(FH106,ecn.list,0)))),0,1),"""")"),"N7 ")</f>
        <v>N7 </v>
      </c>
      <c r="CI106" s="236" t="str">
        <f>IFERROR(__xludf.DUMMYFUNCTION("if(countif(ecn.list,FI106),OFFSET(INDIRECT(CONCAT(""A"",to_text(match(FI106,ecn.list,0)))),0,1),"""")"),"N8 ")</f>
        <v>N8 </v>
      </c>
      <c r="CJ106" s="236" t="str">
        <f>IFERROR(__xludf.DUMMYFUNCTION("if(countif(ecn.list,FJ106),OFFSET(INDIRECT(CONCAT(""A"",to_text(match(FJ106,ecn.list,0)))),0,1),"""")"),"")</f>
        <v/>
      </c>
      <c r="CK106" s="236" t="str">
        <f>IFERROR(__xludf.DUMMYFUNCTION("if(countif(ecn.list,FK106),OFFSET(INDIRECT(CONCAT(""A"",to_text(match(FK106,ecn.list,0)))),0,1),"""")"),"NA ")</f>
        <v>NA </v>
      </c>
      <c r="CL106" s="236" t="str">
        <f>IFERROR(__xludf.DUMMYFUNCTION("if(countif(ecn.list,FL106),OFFSET(INDIRECT(CONCAT(""A"",to_text(match(FL106,ecn.list,0)))),0,1),"""")"),"")</f>
        <v/>
      </c>
      <c r="CM106" s="236" t="str">
        <f>IFERROR(__xludf.DUMMYFUNCTION("if(countif(ecn.list,FM106),OFFSET(INDIRECT(CONCAT(""A"",to_text(match(FM106,ecn.list,0)))),0,1),"""")"),"")</f>
        <v/>
      </c>
      <c r="CN106" s="198" t="s">
        <v>390</v>
      </c>
      <c r="CO106" s="198" t="s">
        <v>1447</v>
      </c>
      <c r="CP106" s="198" t="s">
        <v>1451</v>
      </c>
      <c r="CQ106" s="198" t="s">
        <v>1452</v>
      </c>
      <c r="CR106" s="198" t="s">
        <v>1453</v>
      </c>
      <c r="CS106" s="198" t="s">
        <v>1453</v>
      </c>
      <c r="CT106" s="198" t="s">
        <v>1454</v>
      </c>
      <c r="CU106" s="198" t="s">
        <v>1455</v>
      </c>
      <c r="CV106" s="198" t="s">
        <v>1456</v>
      </c>
      <c r="CW106" s="198" t="s">
        <v>1453</v>
      </c>
      <c r="CX106" s="198" t="s">
        <v>1453</v>
      </c>
      <c r="CY106" s="198" t="s">
        <v>1453</v>
      </c>
      <c r="CZ106" s="198" t="s">
        <v>1453</v>
      </c>
      <c r="DA106" s="198" t="s">
        <v>1457</v>
      </c>
      <c r="DB106" s="198" t="s">
        <v>1453</v>
      </c>
      <c r="DC106" s="198" t="s">
        <v>1453</v>
      </c>
      <c r="DD106" s="198" t="s">
        <v>1458</v>
      </c>
      <c r="DE106" s="198" t="s">
        <v>1459</v>
      </c>
      <c r="DF106" s="198" t="s">
        <v>1453</v>
      </c>
      <c r="DG106" s="198" t="s">
        <v>1453</v>
      </c>
      <c r="DH106" s="198" t="s">
        <v>1453</v>
      </c>
      <c r="DI106" s="198" t="s">
        <v>1453</v>
      </c>
      <c r="DJ106" s="198" t="s">
        <v>1460</v>
      </c>
      <c r="DK106" s="198" t="s">
        <v>1453</v>
      </c>
      <c r="DL106" s="198" t="s">
        <v>1461</v>
      </c>
      <c r="DM106" s="198" t="s">
        <v>1462</v>
      </c>
      <c r="DN106" s="198" t="s">
        <v>1463</v>
      </c>
      <c r="DO106" s="198" t="s">
        <v>1464</v>
      </c>
      <c r="DP106" s="198" t="s">
        <v>1453</v>
      </c>
      <c r="DQ106" s="198" t="s">
        <v>1466</v>
      </c>
      <c r="DR106" s="198" t="s">
        <v>1467</v>
      </c>
      <c r="DS106" s="198" t="s">
        <v>1453</v>
      </c>
      <c r="DT106" s="198" t="s">
        <v>1468</v>
      </c>
      <c r="DU106" s="198" t="s">
        <v>1453</v>
      </c>
      <c r="DV106" s="198" t="s">
        <v>1469</v>
      </c>
      <c r="DW106" s="198" t="s">
        <v>1453</v>
      </c>
      <c r="DX106" s="198" t="s">
        <v>1453</v>
      </c>
      <c r="DY106" s="198" t="s">
        <v>1453</v>
      </c>
      <c r="DZ106" s="198" t="s">
        <v>1522</v>
      </c>
      <c r="EA106" s="198" t="s">
        <v>1453</v>
      </c>
      <c r="EB106" s="198" t="s">
        <v>1453</v>
      </c>
      <c r="EC106" s="198" t="s">
        <v>1453</v>
      </c>
      <c r="ED106" s="198" t="s">
        <v>1453</v>
      </c>
      <c r="EE106" s="198" t="s">
        <v>1470</v>
      </c>
      <c r="EF106" s="198" t="s">
        <v>1453</v>
      </c>
      <c r="EG106" s="198" t="s">
        <v>1471</v>
      </c>
      <c r="EH106" s="198" t="s">
        <v>1453</v>
      </c>
      <c r="EI106" s="198" t="s">
        <v>1453</v>
      </c>
      <c r="EJ106" s="198" t="s">
        <v>1472</v>
      </c>
      <c r="EK106" s="198" t="s">
        <v>1453</v>
      </c>
      <c r="EL106" s="198" t="s">
        <v>1473</v>
      </c>
      <c r="EM106" s="198" t="s">
        <v>1453</v>
      </c>
      <c r="EN106" s="198" t="s">
        <v>1453</v>
      </c>
      <c r="EO106" s="198" t="s">
        <v>1475</v>
      </c>
      <c r="EP106" s="198" t="s">
        <v>1453</v>
      </c>
      <c r="EQ106" s="198" t="s">
        <v>1453</v>
      </c>
      <c r="ER106" s="198" t="s">
        <v>1453</v>
      </c>
      <c r="ES106" s="198" t="s">
        <v>1453</v>
      </c>
      <c r="ET106" s="198" t="s">
        <v>1453</v>
      </c>
      <c r="EU106" s="198" t="s">
        <v>1453</v>
      </c>
      <c r="EV106" s="198" t="s">
        <v>1476</v>
      </c>
      <c r="EW106" s="198" t="s">
        <v>1453</v>
      </c>
      <c r="EX106" s="198" t="s">
        <v>1453</v>
      </c>
      <c r="EY106" s="198" t="s">
        <v>1453</v>
      </c>
      <c r="EZ106" s="198" t="s">
        <v>1477</v>
      </c>
      <c r="FA106" s="198" t="s">
        <v>1453</v>
      </c>
      <c r="FB106" s="198" t="s">
        <v>1453</v>
      </c>
      <c r="FC106" s="198" t="s">
        <v>1478</v>
      </c>
      <c r="FD106" s="198" t="s">
        <v>1453</v>
      </c>
      <c r="FE106" s="198" t="s">
        <v>1453</v>
      </c>
      <c r="FF106" s="198" t="s">
        <v>1453</v>
      </c>
      <c r="FG106" s="198" t="s">
        <v>1453</v>
      </c>
      <c r="FH106" s="198" t="s">
        <v>1479</v>
      </c>
      <c r="FI106" s="198" t="s">
        <v>1480</v>
      </c>
      <c r="FJ106" s="198" t="s">
        <v>1453</v>
      </c>
      <c r="FK106" s="198" t="s">
        <v>1481</v>
      </c>
      <c r="FL106" s="198" t="s">
        <v>1482</v>
      </c>
      <c r="FM106" s="198" t="s">
        <v>1453</v>
      </c>
    </row>
    <row r="107" ht="15.75" customHeight="1">
      <c r="A107" s="198"/>
      <c r="B107" s="198"/>
      <c r="C107" s="234"/>
      <c r="D107" s="232" t="s">
        <v>770</v>
      </c>
      <c r="E107" s="232" t="s">
        <v>1448</v>
      </c>
      <c r="F107" s="232" t="s">
        <v>1449</v>
      </c>
      <c r="G107" s="232" t="s">
        <v>1450</v>
      </c>
      <c r="H107" s="232" t="s">
        <v>876</v>
      </c>
      <c r="I107" s="232" t="s">
        <v>812</v>
      </c>
      <c r="J107" s="232" t="s">
        <v>1541</v>
      </c>
      <c r="K107" s="232" t="s">
        <v>1112</v>
      </c>
      <c r="L107" s="188" t="s">
        <v>393</v>
      </c>
      <c r="M107" s="236" t="str">
        <f>IFERROR(__xludf.DUMMYFUNCTION("regexreplace(N107,"" "","", "")"),"J0, J1, J2, J5, J6, J7, JA, JC, JF, K0, K3, K4, K5, K7, K9, KA, KB, KC, KD, KF, L1, L8, LA, LC, LF, M0, M1, M3, M4, M8, MB, MF, N2, N7, NA, ")</f>
        <v>J0, J1, J2, J5, J6, J7, JA, JC, JF, K0, K3, K4, K5, K7, K9, KA, KB, KC, KD, KF, L1, L8, LA, LC, LF, M0, M1, M3, M4, M8, MB, MF, N2, N7, NA, </v>
      </c>
      <c r="N107" s="236" t="str">
        <f t="shared" si="2"/>
        <v>J0 J1 J2 J5 J6 J7 JA JC JF K0 K3 K4 K5 K7 K9 KA KB KC KD KF L1 L8 LA LC LF M0 M1 M3 M4 M8 MB MF N2 N7 NA </v>
      </c>
      <c r="O107" s="236" t="str">
        <f>IFERROR(__xludf.DUMMYFUNCTION("if(countif(ecn.list,CO107),OFFSET(INDIRECT(CONCAT(""A"",to_text(match(CO107,ecn.list,0)))),0,1),"""")"),"J0 ")</f>
        <v>J0 </v>
      </c>
      <c r="P107" s="236" t="str">
        <f>IFERROR(__xludf.DUMMYFUNCTION("if(countif(ecn.list,CP107),OFFSET(INDIRECT(CONCAT(""A"",to_text(match(CP107,ecn.list,0)))),0,1),"""")"),"J1 ")</f>
        <v>J1 </v>
      </c>
      <c r="Q107" s="236" t="str">
        <f>IFERROR(__xludf.DUMMYFUNCTION("if(countif(ecn.list,CQ107),OFFSET(INDIRECT(CONCAT(""A"",to_text(match(CQ107,ecn.list,0)))),0,1),"""")"),"J2 ")</f>
        <v>J2 </v>
      </c>
      <c r="R107" s="236" t="str">
        <f>IFERROR(__xludf.DUMMYFUNCTION("if(countif(ecn.list,CR107),OFFSET(INDIRECT(CONCAT(""A"",to_text(match(CR107,ecn.list,0)))),0,1),"""")"),"")</f>
        <v/>
      </c>
      <c r="S107" s="236" t="str">
        <f>IFERROR(__xludf.DUMMYFUNCTION("if(countif(ecn.list,CS107),OFFSET(INDIRECT(CONCAT(""A"",to_text(match(CS107,ecn.list,0)))),0,1),"""")"),"")</f>
        <v/>
      </c>
      <c r="T107" s="236" t="str">
        <f>IFERROR(__xludf.DUMMYFUNCTION("if(countif(ecn.list,CT107),OFFSET(INDIRECT(CONCAT(""A"",to_text(match(CT107,ecn.list,0)))),0,1),"""")"),"J5 ")</f>
        <v>J5 </v>
      </c>
      <c r="U107" s="236" t="str">
        <f>IFERROR(__xludf.DUMMYFUNCTION("if(countif(ecn.list,CU107),OFFSET(INDIRECT(CONCAT(""A"",to_text(match(CU107,ecn.list,0)))),0,1),"""")"),"J6 ")</f>
        <v>J6 </v>
      </c>
      <c r="V107" s="236" t="str">
        <f>IFERROR(__xludf.DUMMYFUNCTION("if(countif(ecn.list,CV107),OFFSET(INDIRECT(CONCAT(""A"",to_text(match(CV107,ecn.list,0)))),0,1),"""")"),"J7 ")</f>
        <v>J7 </v>
      </c>
      <c r="W107" s="236" t="str">
        <f>IFERROR(__xludf.DUMMYFUNCTION("if(countif(ecn.list,CW107),OFFSET(INDIRECT(CONCAT(""A"",to_text(match(CW107,ecn.list,0)))),0,1),"""")"),"")</f>
        <v/>
      </c>
      <c r="X107" s="236" t="str">
        <f>IFERROR(__xludf.DUMMYFUNCTION("if(countif(ecn.list,CX107),OFFSET(INDIRECT(CONCAT(""A"",to_text(match(CX107,ecn.list,0)))),0,1),"""")"),"")</f>
        <v/>
      </c>
      <c r="Y107" s="236" t="str">
        <f>IFERROR(__xludf.DUMMYFUNCTION("if(countif(ecn.list,CY107),OFFSET(INDIRECT(CONCAT(""A"",to_text(match(CY107,ecn.list,0)))),0,1),"""")"),"JA ")</f>
        <v>JA </v>
      </c>
      <c r="Z107" s="236" t="str">
        <f>IFERROR(__xludf.DUMMYFUNCTION("if(countif(ecn.list,CZ107),OFFSET(INDIRECT(CONCAT(""A"",to_text(match(CZ107,ecn.list,0)))),0,1),"""")"),"")</f>
        <v/>
      </c>
      <c r="AA107" s="236" t="str">
        <f>IFERROR(__xludf.DUMMYFUNCTION("if(countif(ecn.list,DA107),OFFSET(INDIRECT(CONCAT(""A"",to_text(match(DA107,ecn.list,0)))),0,1),"""")"),"JC ")</f>
        <v>JC </v>
      </c>
      <c r="AB107" s="236" t="str">
        <f>IFERROR(__xludf.DUMMYFUNCTION("if(countif(ecn.list,DB107),OFFSET(INDIRECT(CONCAT(""A"",to_text(match(DB107,ecn.list,0)))),0,1),"""")"),"")</f>
        <v/>
      </c>
      <c r="AC107" s="236" t="str">
        <f>IFERROR(__xludf.DUMMYFUNCTION("if(countif(ecn.list,DC107),OFFSET(INDIRECT(CONCAT(""A"",to_text(match(DC107,ecn.list,0)))),0,1),"""")"),"")</f>
        <v/>
      </c>
      <c r="AD107" s="236" t="str">
        <f>IFERROR(__xludf.DUMMYFUNCTION("if(countif(ecn.list,DD107),OFFSET(INDIRECT(CONCAT(""A"",to_text(match(DD107,ecn.list,0)))),0,1),"""")"),"JF ")</f>
        <v>JF </v>
      </c>
      <c r="AE107" s="236" t="str">
        <f>IFERROR(__xludf.DUMMYFUNCTION("if(countif(ecn.list,DE107),OFFSET(INDIRECT(CONCAT(""A"",to_text(match(DE107,ecn.list,0)))),0,1),"""")"),"K0 ")</f>
        <v>K0 </v>
      </c>
      <c r="AF107" s="236" t="str">
        <f>IFERROR(__xludf.DUMMYFUNCTION("if(countif(ecn.list,DF107),OFFSET(INDIRECT(CONCAT(""A"",to_text(match(DF107,ecn.list,0)))),0,1),"""")"),"")</f>
        <v/>
      </c>
      <c r="AG107" s="236" t="str">
        <f>IFERROR(__xludf.DUMMYFUNCTION("if(countif(ecn.list,DG107),OFFSET(INDIRECT(CONCAT(""A"",to_text(match(DG107,ecn.list,0)))),0,1),"""")"),"")</f>
        <v/>
      </c>
      <c r="AH107" s="236" t="str">
        <f>IFERROR(__xludf.DUMMYFUNCTION("if(countif(ecn.list,DH107),OFFSET(INDIRECT(CONCAT(""A"",to_text(match(DH107,ecn.list,0)))),0,1),"""")"),"K3 ")</f>
        <v>K3 </v>
      </c>
      <c r="AI107" s="236" t="str">
        <f>IFERROR(__xludf.DUMMYFUNCTION("if(countif(ecn.list,DI107),OFFSET(INDIRECT(CONCAT(""A"",to_text(match(DI107,ecn.list,0)))),0,1),"""")"),"K4 ")</f>
        <v>K4 </v>
      </c>
      <c r="AJ107" s="236" t="str">
        <f>IFERROR(__xludf.DUMMYFUNCTION("if(countif(ecn.list,DJ107),OFFSET(INDIRECT(CONCAT(""A"",to_text(match(DJ107,ecn.list,0)))),0,1),"""")"),"K5 ")</f>
        <v>K5 </v>
      </c>
      <c r="AK107" s="236" t="str">
        <f>IFERROR(__xludf.DUMMYFUNCTION("if(countif(ecn.list,DK107),OFFSET(INDIRECT(CONCAT(""A"",to_text(match(DK107,ecn.list,0)))),0,1),"""")"),"")</f>
        <v/>
      </c>
      <c r="AL107" s="236" t="str">
        <f>IFERROR(__xludf.DUMMYFUNCTION("if(countif(ecn.list,DL107),OFFSET(INDIRECT(CONCAT(""A"",to_text(match(DL107,ecn.list,0)))),0,1),"""")"),"K7 ")</f>
        <v>K7 </v>
      </c>
      <c r="AM107" s="236" t="str">
        <f>IFERROR(__xludf.DUMMYFUNCTION("if(countif(ecn.list,DM107),OFFSET(INDIRECT(CONCAT(""A"",to_text(match(DM107,ecn.list,0)))),0,1),"""")"),"")</f>
        <v/>
      </c>
      <c r="AN107" s="236" t="str">
        <f>IFERROR(__xludf.DUMMYFUNCTION("if(countif(ecn.list,DN107),OFFSET(INDIRECT(CONCAT(""A"",to_text(match(DN107,ecn.list,0)))),0,1),"""")"),"K9 ")</f>
        <v>K9 </v>
      </c>
      <c r="AO107" s="236" t="str">
        <f>IFERROR(__xludf.DUMMYFUNCTION("if(countif(ecn.list,DO107),OFFSET(INDIRECT(CONCAT(""A"",to_text(match(DO107,ecn.list,0)))),0,1),"""")"),"KA ")</f>
        <v>KA </v>
      </c>
      <c r="AP107" s="236" t="str">
        <f>IFERROR(__xludf.DUMMYFUNCTION("if(countif(ecn.list,DP107),OFFSET(INDIRECT(CONCAT(""A"",to_text(match(DP107,ecn.list,0)))),0,1),"""")"),"KB ")</f>
        <v>KB </v>
      </c>
      <c r="AQ107" s="236" t="str">
        <f>IFERROR(__xludf.DUMMYFUNCTION("if(countif(ecn.list,DQ107),OFFSET(INDIRECT(CONCAT(""A"",to_text(match(DQ107,ecn.list,0)))),0,1),"""")"),"KC ")</f>
        <v>KC </v>
      </c>
      <c r="AR107" s="236" t="str">
        <f>IFERROR(__xludf.DUMMYFUNCTION("if(countif(ecn.list,DR107),OFFSET(INDIRECT(CONCAT(""A"",to_text(match(DR107,ecn.list,0)))),0,1),"""")"),"KD ")</f>
        <v>KD </v>
      </c>
      <c r="AS107" s="236" t="str">
        <f>IFERROR(__xludf.DUMMYFUNCTION("if(countif(ecn.list,DS107),OFFSET(INDIRECT(CONCAT(""A"",to_text(match(DS107,ecn.list,0)))),0,1),"""")"),"")</f>
        <v/>
      </c>
      <c r="AT107" s="236" t="str">
        <f>IFERROR(__xludf.DUMMYFUNCTION("if(countif(ecn.list,DT107),OFFSET(INDIRECT(CONCAT(""A"",to_text(match(DT107,ecn.list,0)))),0,1),"""")"),"KF ")</f>
        <v>KF </v>
      </c>
      <c r="AU107" s="236" t="str">
        <f>IFERROR(__xludf.DUMMYFUNCTION("if(countif(ecn.list,DU107),OFFSET(INDIRECT(CONCAT(""A"",to_text(match(DU107,ecn.list,0)))),0,1),"""")"),"")</f>
        <v/>
      </c>
      <c r="AV107" s="236" t="str">
        <f>IFERROR(__xludf.DUMMYFUNCTION("if(countif(ecn.list,DV107),OFFSET(INDIRECT(CONCAT(""A"",to_text(match(DV107,ecn.list,0)))),0,1),"""")"),"L1 ")</f>
        <v>L1 </v>
      </c>
      <c r="AW107" s="236" t="str">
        <f>IFERROR(__xludf.DUMMYFUNCTION("if(countif(ecn.list,DW107),OFFSET(INDIRECT(CONCAT(""A"",to_text(match(DW107,ecn.list,0)))),0,1),"""")"),"")</f>
        <v/>
      </c>
      <c r="AX107" s="236" t="str">
        <f>IFERROR(__xludf.DUMMYFUNCTION("if(countif(ecn.list,DX107),OFFSET(INDIRECT(CONCAT(""A"",to_text(match(DX107,ecn.list,0)))),0,1),"""")"),"")</f>
        <v/>
      </c>
      <c r="AY107" s="236" t="str">
        <f>IFERROR(__xludf.DUMMYFUNCTION("if(countif(ecn.list,DY107),OFFSET(INDIRECT(CONCAT(""A"",to_text(match(DY107,ecn.list,0)))),0,1),"""")"),"")</f>
        <v/>
      </c>
      <c r="AZ107" s="236" t="str">
        <f>IFERROR(__xludf.DUMMYFUNCTION("if(countif(ecn.list,DZ107),OFFSET(INDIRECT(CONCAT(""A"",to_text(match(DZ107,ecn.list,0)))),0,1),"""")"),"")</f>
        <v/>
      </c>
      <c r="BA107" s="236" t="str">
        <f>IFERROR(__xludf.DUMMYFUNCTION("if(countif(ecn.list,EA107),OFFSET(INDIRECT(CONCAT(""A"",to_text(match(EA107,ecn.list,0)))),0,1),"""")"),"")</f>
        <v/>
      </c>
      <c r="BB107" s="236" t="str">
        <f>IFERROR(__xludf.DUMMYFUNCTION("if(countif(ecn.list,EB107),OFFSET(INDIRECT(CONCAT(""A"",to_text(match(EB107,ecn.list,0)))),0,1),"""")"),"")</f>
        <v/>
      </c>
      <c r="BC107" s="236" t="str">
        <f>IFERROR(__xludf.DUMMYFUNCTION("if(countif(ecn.list,EC107),OFFSET(INDIRECT(CONCAT(""A"",to_text(match(EC107,ecn.list,0)))),0,1),"""")"),"L8 ")</f>
        <v>L8 </v>
      </c>
      <c r="BD107" s="236" t="str">
        <f>IFERROR(__xludf.DUMMYFUNCTION("if(countif(ecn.list,ED107),OFFSET(INDIRECT(CONCAT(""A"",to_text(match(ED107,ecn.list,0)))),0,1),"""")"),"")</f>
        <v/>
      </c>
      <c r="BE107" s="236" t="str">
        <f>IFERROR(__xludf.DUMMYFUNCTION("if(countif(ecn.list,EE107),OFFSET(INDIRECT(CONCAT(""A"",to_text(match(EE107,ecn.list,0)))),0,1),"""")"),"LA ")</f>
        <v>LA </v>
      </c>
      <c r="BF107" s="236" t="str">
        <f>IFERROR(__xludf.DUMMYFUNCTION("if(countif(ecn.list,EF107),OFFSET(INDIRECT(CONCAT(""A"",to_text(match(EF107,ecn.list,0)))),0,1),"""")"),"")</f>
        <v/>
      </c>
      <c r="BG107" s="236" t="str">
        <f>IFERROR(__xludf.DUMMYFUNCTION("if(countif(ecn.list,EG107),OFFSET(INDIRECT(CONCAT(""A"",to_text(match(EG107,ecn.list,0)))),0,1),"""")"),"LC ")</f>
        <v>LC </v>
      </c>
      <c r="BH107" s="236" t="str">
        <f>IFERROR(__xludf.DUMMYFUNCTION("if(countif(ecn.list,EH107),OFFSET(INDIRECT(CONCAT(""A"",to_text(match(EH107,ecn.list,0)))),0,1),"""")"),"")</f>
        <v/>
      </c>
      <c r="BI107" s="236" t="str">
        <f>IFERROR(__xludf.DUMMYFUNCTION("if(countif(ecn.list,EI107),OFFSET(INDIRECT(CONCAT(""A"",to_text(match(EI107,ecn.list,0)))),0,1),"""")"),"")</f>
        <v/>
      </c>
      <c r="BJ107" s="236" t="str">
        <f>IFERROR(__xludf.DUMMYFUNCTION("if(countif(ecn.list,EJ107),OFFSET(INDIRECT(CONCAT(""A"",to_text(match(EJ107,ecn.list,0)))),0,1),"""")"),"LF ")</f>
        <v>LF </v>
      </c>
      <c r="BK107" s="236" t="str">
        <f>IFERROR(__xludf.DUMMYFUNCTION("if(countif(ecn.list,EK107),OFFSET(INDIRECT(CONCAT(""A"",to_text(match(EK107,ecn.list,0)))),0,1),"""")"),"M0 ")</f>
        <v>M0 </v>
      </c>
      <c r="BL107" s="236" t="str">
        <f>IFERROR(__xludf.DUMMYFUNCTION("if(countif(ecn.list,EL107),OFFSET(INDIRECT(CONCAT(""A"",to_text(match(EL107,ecn.list,0)))),0,1),"""")"),"M1 ")</f>
        <v>M1 </v>
      </c>
      <c r="BM107" s="236" t="str">
        <f>IFERROR(__xludf.DUMMYFUNCTION("if(countif(ecn.list,EM107),OFFSET(INDIRECT(CONCAT(""A"",to_text(match(EM107,ecn.list,0)))),0,1),"""")"),"")</f>
        <v/>
      </c>
      <c r="BN107" s="236" t="str">
        <f>IFERROR(__xludf.DUMMYFUNCTION("if(countif(ecn.list,EN107),OFFSET(INDIRECT(CONCAT(""A"",to_text(match(EN107,ecn.list,0)))),0,1),"""")"),"M3 ")</f>
        <v>M3 </v>
      </c>
      <c r="BO107" s="236" t="str">
        <f>IFERROR(__xludf.DUMMYFUNCTION("if(countif(ecn.list,EO107),OFFSET(INDIRECT(CONCAT(""A"",to_text(match(EO107,ecn.list,0)))),0,1),"""")"),"M4 ")</f>
        <v>M4 </v>
      </c>
      <c r="BP107" s="236" t="str">
        <f>IFERROR(__xludf.DUMMYFUNCTION("if(countif(ecn.list,EP107),OFFSET(INDIRECT(CONCAT(""A"",to_text(match(EP107,ecn.list,0)))),0,1),"""")"),"")</f>
        <v/>
      </c>
      <c r="BQ107" s="236" t="str">
        <f>IFERROR(__xludf.DUMMYFUNCTION("if(countif(ecn.list,EQ107),OFFSET(INDIRECT(CONCAT(""A"",to_text(match(EQ107,ecn.list,0)))),0,1),"""")"),"")</f>
        <v/>
      </c>
      <c r="BR107" s="236" t="str">
        <f>IFERROR(__xludf.DUMMYFUNCTION("if(countif(ecn.list,ER107),OFFSET(INDIRECT(CONCAT(""A"",to_text(match(ER107,ecn.list,0)))),0,1),"""")"),"")</f>
        <v/>
      </c>
      <c r="BS107" s="236" t="str">
        <f>IFERROR(__xludf.DUMMYFUNCTION("if(countif(ecn.list,ES107),OFFSET(INDIRECT(CONCAT(""A"",to_text(match(ES107,ecn.list,0)))),0,1),"""")"),"M8 ")</f>
        <v>M8 </v>
      </c>
      <c r="BT107" s="236" t="str">
        <f>IFERROR(__xludf.DUMMYFUNCTION("if(countif(ecn.list,ET107),OFFSET(INDIRECT(CONCAT(""A"",to_text(match(ET107,ecn.list,0)))),0,1),"""")"),"")</f>
        <v/>
      </c>
      <c r="BU107" s="236" t="str">
        <f>IFERROR(__xludf.DUMMYFUNCTION("if(countif(ecn.list,EU107),OFFSET(INDIRECT(CONCAT(""A"",to_text(match(EU107,ecn.list,0)))),0,1),"""")"),"")</f>
        <v/>
      </c>
      <c r="BV107" s="236" t="str">
        <f>IFERROR(__xludf.DUMMYFUNCTION("if(countif(ecn.list,EV107),OFFSET(INDIRECT(CONCAT(""A"",to_text(match(EV107,ecn.list,0)))),0,1),"""")"),"MB ")</f>
        <v>MB </v>
      </c>
      <c r="BW107" s="236" t="str">
        <f>IFERROR(__xludf.DUMMYFUNCTION("if(countif(ecn.list,EW107),OFFSET(INDIRECT(CONCAT(""A"",to_text(match(EW107,ecn.list,0)))),0,1),"""")"),"")</f>
        <v/>
      </c>
      <c r="BX107" s="236" t="str">
        <f>IFERROR(__xludf.DUMMYFUNCTION("if(countif(ecn.list,EX107),OFFSET(INDIRECT(CONCAT(""A"",to_text(match(EX107,ecn.list,0)))),0,1),"""")"),"")</f>
        <v/>
      </c>
      <c r="BY107" s="236" t="str">
        <f>IFERROR(__xludf.DUMMYFUNCTION("if(countif(ecn.list,EY107),OFFSET(INDIRECT(CONCAT(""A"",to_text(match(EY107,ecn.list,0)))),0,1),"""")"),"")</f>
        <v/>
      </c>
      <c r="BZ107" s="236" t="str">
        <f>IFERROR(__xludf.DUMMYFUNCTION("if(countif(ecn.list,EZ107),OFFSET(INDIRECT(CONCAT(""A"",to_text(match(EZ107,ecn.list,0)))),0,1),"""")"),"MF ")</f>
        <v>MF </v>
      </c>
      <c r="CA107" s="236" t="str">
        <f>IFERROR(__xludf.DUMMYFUNCTION("if(countif(ecn.list,FA107),OFFSET(INDIRECT(CONCAT(""A"",to_text(match(FA107,ecn.list,0)))),0,1),"""")"),"")</f>
        <v/>
      </c>
      <c r="CB107" s="236" t="str">
        <f>IFERROR(__xludf.DUMMYFUNCTION("if(countif(ecn.list,FB107),OFFSET(INDIRECT(CONCAT(""A"",to_text(match(FB107,ecn.list,0)))),0,1),"""")"),"")</f>
        <v/>
      </c>
      <c r="CC107" s="236" t="str">
        <f>IFERROR(__xludf.DUMMYFUNCTION("if(countif(ecn.list,FC107),OFFSET(INDIRECT(CONCAT(""A"",to_text(match(FC107,ecn.list,0)))),0,1),"""")"),"N2 ")</f>
        <v>N2 </v>
      </c>
      <c r="CD107" s="236" t="str">
        <f>IFERROR(__xludf.DUMMYFUNCTION("if(countif(ecn.list,FD107),OFFSET(INDIRECT(CONCAT(""A"",to_text(match(FD107,ecn.list,0)))),0,1),"""")"),"")</f>
        <v/>
      </c>
      <c r="CE107" s="236" t="str">
        <f>IFERROR(__xludf.DUMMYFUNCTION("if(countif(ecn.list,FE107),OFFSET(INDIRECT(CONCAT(""A"",to_text(match(FE107,ecn.list,0)))),0,1),"""")"),"")</f>
        <v/>
      </c>
      <c r="CF107" s="236" t="str">
        <f>IFERROR(__xludf.DUMMYFUNCTION("if(countif(ecn.list,FF107),OFFSET(INDIRECT(CONCAT(""A"",to_text(match(FF107,ecn.list,0)))),0,1),"""")"),"")</f>
        <v/>
      </c>
      <c r="CG107" s="236" t="str">
        <f>IFERROR(__xludf.DUMMYFUNCTION("if(countif(ecn.list,FG107),OFFSET(INDIRECT(CONCAT(""A"",to_text(match(FG107,ecn.list,0)))),0,1),"""")"),"")</f>
        <v/>
      </c>
      <c r="CH107" s="236" t="str">
        <f>IFERROR(__xludf.DUMMYFUNCTION("if(countif(ecn.list,FH107),OFFSET(INDIRECT(CONCAT(""A"",to_text(match(FH107,ecn.list,0)))),0,1),"""")"),"N7 ")</f>
        <v>N7 </v>
      </c>
      <c r="CI107" s="236" t="str">
        <f>IFERROR(__xludf.DUMMYFUNCTION("if(countif(ecn.list,FI107),OFFSET(INDIRECT(CONCAT(""A"",to_text(match(FI107,ecn.list,0)))),0,1),"""")"),"")</f>
        <v/>
      </c>
      <c r="CJ107" s="236" t="str">
        <f>IFERROR(__xludf.DUMMYFUNCTION("if(countif(ecn.list,FJ107),OFFSET(INDIRECT(CONCAT(""A"",to_text(match(FJ107,ecn.list,0)))),0,1),"""")"),"")</f>
        <v/>
      </c>
      <c r="CK107" s="236" t="str">
        <f>IFERROR(__xludf.DUMMYFUNCTION("if(countif(ecn.list,FK107),OFFSET(INDIRECT(CONCAT(""A"",to_text(match(FK107,ecn.list,0)))),0,1),"""")"),"NA ")</f>
        <v>NA </v>
      </c>
      <c r="CL107" s="236" t="str">
        <f>IFERROR(__xludf.DUMMYFUNCTION("if(countif(ecn.list,FL107),OFFSET(INDIRECT(CONCAT(""A"",to_text(match(FL107,ecn.list,0)))),0,1),"""")"),"")</f>
        <v/>
      </c>
      <c r="CM107" s="236" t="str">
        <f>IFERROR(__xludf.DUMMYFUNCTION("if(countif(ecn.list,FM107),OFFSET(INDIRECT(CONCAT(""A"",to_text(match(FM107,ecn.list,0)))),0,1),"""")"),"")</f>
        <v/>
      </c>
      <c r="CN107" s="198" t="s">
        <v>393</v>
      </c>
      <c r="CO107" s="198" t="s">
        <v>1447</v>
      </c>
      <c r="CP107" s="198" t="s">
        <v>1451</v>
      </c>
      <c r="CQ107" s="198" t="s">
        <v>1452</v>
      </c>
      <c r="CR107" s="198" t="s">
        <v>1453</v>
      </c>
      <c r="CS107" s="198" t="s">
        <v>1453</v>
      </c>
      <c r="CT107" s="198" t="s">
        <v>1454</v>
      </c>
      <c r="CU107" s="198" t="s">
        <v>1455</v>
      </c>
      <c r="CV107" s="198" t="s">
        <v>1456</v>
      </c>
      <c r="CW107" s="198" t="s">
        <v>1453</v>
      </c>
      <c r="CX107" s="198" t="s">
        <v>1453</v>
      </c>
      <c r="CY107" s="198" t="s">
        <v>1484</v>
      </c>
      <c r="CZ107" s="198" t="s">
        <v>1453</v>
      </c>
      <c r="DA107" s="198" t="s">
        <v>1457</v>
      </c>
      <c r="DB107" s="198" t="s">
        <v>1453</v>
      </c>
      <c r="DC107" s="198" t="s">
        <v>1453</v>
      </c>
      <c r="DD107" s="198" t="s">
        <v>1458</v>
      </c>
      <c r="DE107" s="198" t="s">
        <v>1459</v>
      </c>
      <c r="DF107" s="198" t="s">
        <v>1453</v>
      </c>
      <c r="DG107" s="198" t="s">
        <v>1453</v>
      </c>
      <c r="DH107" s="198" t="s">
        <v>1500</v>
      </c>
      <c r="DI107" s="198" t="s">
        <v>1501</v>
      </c>
      <c r="DJ107" s="198" t="s">
        <v>1460</v>
      </c>
      <c r="DK107" s="198" t="s">
        <v>1453</v>
      </c>
      <c r="DL107" s="198" t="s">
        <v>1461</v>
      </c>
      <c r="DM107" s="198" t="s">
        <v>1453</v>
      </c>
      <c r="DN107" s="198" t="s">
        <v>1463</v>
      </c>
      <c r="DO107" s="198" t="s">
        <v>1464</v>
      </c>
      <c r="DP107" s="198" t="s">
        <v>1465</v>
      </c>
      <c r="DQ107" s="198" t="s">
        <v>1466</v>
      </c>
      <c r="DR107" s="198" t="s">
        <v>1467</v>
      </c>
      <c r="DS107" s="198" t="s">
        <v>1453</v>
      </c>
      <c r="DT107" s="198" t="s">
        <v>1468</v>
      </c>
      <c r="DU107" s="198" t="s">
        <v>1453</v>
      </c>
      <c r="DV107" s="198" t="s">
        <v>1469</v>
      </c>
      <c r="DW107" s="198" t="s">
        <v>1453</v>
      </c>
      <c r="DX107" s="198" t="s">
        <v>1453</v>
      </c>
      <c r="DY107" s="198" t="s">
        <v>1453</v>
      </c>
      <c r="DZ107" s="198" t="s">
        <v>1453</v>
      </c>
      <c r="EA107" s="198" t="s">
        <v>1453</v>
      </c>
      <c r="EB107" s="198" t="s">
        <v>1453</v>
      </c>
      <c r="EC107" s="198" t="s">
        <v>1483</v>
      </c>
      <c r="ED107" s="198" t="s">
        <v>1453</v>
      </c>
      <c r="EE107" s="198" t="s">
        <v>1470</v>
      </c>
      <c r="EF107" s="198" t="s">
        <v>1453</v>
      </c>
      <c r="EG107" s="198" t="s">
        <v>1471</v>
      </c>
      <c r="EH107" s="198" t="s">
        <v>1453</v>
      </c>
      <c r="EI107" s="198" t="s">
        <v>1453</v>
      </c>
      <c r="EJ107" s="198" t="s">
        <v>1472</v>
      </c>
      <c r="EK107" s="198" t="s">
        <v>1487</v>
      </c>
      <c r="EL107" s="198" t="s">
        <v>1473</v>
      </c>
      <c r="EM107" s="198" t="s">
        <v>1453</v>
      </c>
      <c r="EN107" s="198" t="s">
        <v>1474</v>
      </c>
      <c r="EO107" s="198" t="s">
        <v>1475</v>
      </c>
      <c r="EP107" s="198" t="s">
        <v>1453</v>
      </c>
      <c r="EQ107" s="198" t="s">
        <v>1453</v>
      </c>
      <c r="ER107" s="198" t="s">
        <v>1453</v>
      </c>
      <c r="ES107" s="198" t="s">
        <v>1505</v>
      </c>
      <c r="ET107" s="198" t="s">
        <v>1453</v>
      </c>
      <c r="EU107" s="198" t="s">
        <v>1453</v>
      </c>
      <c r="EV107" s="198" t="s">
        <v>1476</v>
      </c>
      <c r="EW107" s="198" t="s">
        <v>1453</v>
      </c>
      <c r="EX107" s="198" t="s">
        <v>1453</v>
      </c>
      <c r="EY107" s="198" t="s">
        <v>1453</v>
      </c>
      <c r="EZ107" s="198" t="s">
        <v>1477</v>
      </c>
      <c r="FA107" s="198" t="s">
        <v>1453</v>
      </c>
      <c r="FB107" s="198" t="s">
        <v>1453</v>
      </c>
      <c r="FC107" s="198" t="s">
        <v>1478</v>
      </c>
      <c r="FD107" s="198" t="s">
        <v>1453</v>
      </c>
      <c r="FE107" s="198" t="s">
        <v>1453</v>
      </c>
      <c r="FF107" s="198" t="s">
        <v>1453</v>
      </c>
      <c r="FG107" s="198" t="s">
        <v>1453</v>
      </c>
      <c r="FH107" s="198" t="s">
        <v>1479</v>
      </c>
      <c r="FI107" s="198" t="s">
        <v>1453</v>
      </c>
      <c r="FJ107" s="198" t="s">
        <v>1453</v>
      </c>
      <c r="FK107" s="198" t="s">
        <v>1481</v>
      </c>
      <c r="FL107" s="198" t="s">
        <v>1482</v>
      </c>
      <c r="FM107" s="198" t="s">
        <v>1453</v>
      </c>
    </row>
    <row r="108" ht="15.75" customHeight="1">
      <c r="A108" s="198"/>
      <c r="B108" s="198"/>
      <c r="C108" s="234"/>
      <c r="D108" s="239"/>
      <c r="E108" s="232"/>
      <c r="F108" s="232"/>
      <c r="G108" s="119"/>
      <c r="H108" s="232"/>
      <c r="I108" s="232"/>
      <c r="J108" s="232"/>
      <c r="K108" s="232"/>
      <c r="L108" s="188"/>
      <c r="M108" s="236"/>
      <c r="N108" s="236"/>
      <c r="O108" s="236"/>
      <c r="P108" s="236"/>
      <c r="Q108" s="236"/>
      <c r="R108" s="236"/>
      <c r="S108" s="236"/>
      <c r="T108" s="236"/>
      <c r="U108" s="236"/>
      <c r="V108" s="236"/>
      <c r="W108" s="236"/>
      <c r="X108" s="236"/>
      <c r="Y108" s="236"/>
      <c r="Z108" s="236"/>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c r="BQ108" s="236"/>
      <c r="BR108" s="236"/>
      <c r="BS108" s="236"/>
      <c r="BT108" s="236"/>
      <c r="BU108" s="236"/>
      <c r="BV108" s="236"/>
      <c r="BW108" s="236"/>
      <c r="BX108" s="236"/>
      <c r="BY108" s="236"/>
      <c r="BZ108" s="236"/>
      <c r="CA108" s="236"/>
      <c r="CB108" s="236"/>
      <c r="CC108" s="236"/>
      <c r="CD108" s="236"/>
      <c r="CE108" s="236"/>
      <c r="CF108" s="236"/>
      <c r="CG108" s="236"/>
      <c r="CH108" s="236"/>
      <c r="CI108" s="236"/>
      <c r="CJ108" s="236"/>
      <c r="CK108" s="236"/>
      <c r="CL108" s="236"/>
      <c r="CM108" s="236"/>
      <c r="CN108" s="198"/>
      <c r="CO108" s="198" t="s">
        <v>1453</v>
      </c>
      <c r="CP108" s="198" t="s">
        <v>1453</v>
      </c>
      <c r="CQ108" s="198" t="s">
        <v>1453</v>
      </c>
      <c r="CR108" s="198" t="s">
        <v>1453</v>
      </c>
      <c r="CS108" s="198" t="s">
        <v>1453</v>
      </c>
      <c r="CT108" s="198" t="s">
        <v>1453</v>
      </c>
      <c r="CU108" s="198" t="s">
        <v>1453</v>
      </c>
      <c r="CV108" s="198" t="s">
        <v>1453</v>
      </c>
      <c r="CW108" s="198" t="s">
        <v>1453</v>
      </c>
      <c r="CX108" s="198" t="s">
        <v>1453</v>
      </c>
      <c r="CY108" s="198" t="s">
        <v>1453</v>
      </c>
      <c r="CZ108" s="198" t="s">
        <v>1453</v>
      </c>
      <c r="DA108" s="198" t="s">
        <v>1453</v>
      </c>
      <c r="DB108" s="198" t="s">
        <v>1453</v>
      </c>
      <c r="DC108" s="198" t="s">
        <v>1453</v>
      </c>
      <c r="DD108" s="198" t="s">
        <v>1453</v>
      </c>
      <c r="DE108" s="198" t="s">
        <v>1453</v>
      </c>
      <c r="DF108" s="198" t="s">
        <v>1453</v>
      </c>
      <c r="DG108" s="198" t="s">
        <v>1453</v>
      </c>
      <c r="DH108" s="198" t="s">
        <v>1453</v>
      </c>
      <c r="DI108" s="198" t="s">
        <v>1453</v>
      </c>
      <c r="DJ108" s="198" t="s">
        <v>1453</v>
      </c>
      <c r="DK108" s="198" t="s">
        <v>1453</v>
      </c>
      <c r="DL108" s="198" t="s">
        <v>1453</v>
      </c>
      <c r="DM108" s="198" t="s">
        <v>1453</v>
      </c>
      <c r="DN108" s="198" t="s">
        <v>1453</v>
      </c>
      <c r="DO108" s="198" t="s">
        <v>1453</v>
      </c>
      <c r="DP108" s="198" t="s">
        <v>1453</v>
      </c>
      <c r="DQ108" s="198" t="s">
        <v>1453</v>
      </c>
      <c r="DR108" s="198" t="s">
        <v>1453</v>
      </c>
      <c r="DS108" s="198" t="s">
        <v>1453</v>
      </c>
      <c r="DT108" s="198" t="s">
        <v>1453</v>
      </c>
      <c r="DU108" s="198" t="s">
        <v>1453</v>
      </c>
      <c r="DV108" s="198" t="s">
        <v>1453</v>
      </c>
      <c r="DW108" s="198" t="s">
        <v>1453</v>
      </c>
      <c r="DX108" s="198" t="s">
        <v>1453</v>
      </c>
      <c r="DY108" s="198" t="s">
        <v>1453</v>
      </c>
      <c r="DZ108" s="198" t="s">
        <v>1453</v>
      </c>
      <c r="EA108" s="198" t="s">
        <v>1453</v>
      </c>
      <c r="EB108" s="198" t="s">
        <v>1453</v>
      </c>
      <c r="EC108" s="198" t="s">
        <v>1453</v>
      </c>
      <c r="ED108" s="198" t="s">
        <v>1453</v>
      </c>
      <c r="EE108" s="198" t="s">
        <v>1453</v>
      </c>
      <c r="EF108" s="198" t="s">
        <v>1453</v>
      </c>
      <c r="EG108" s="198" t="s">
        <v>1453</v>
      </c>
      <c r="EH108" s="198" t="s">
        <v>1453</v>
      </c>
      <c r="EI108" s="198" t="s">
        <v>1453</v>
      </c>
      <c r="EJ108" s="198" t="s">
        <v>1453</v>
      </c>
      <c r="EK108" s="198" t="s">
        <v>1453</v>
      </c>
      <c r="EL108" s="198" t="s">
        <v>1453</v>
      </c>
      <c r="EM108" s="198" t="s">
        <v>1453</v>
      </c>
      <c r="EN108" s="198" t="s">
        <v>1453</v>
      </c>
      <c r="EO108" s="198" t="s">
        <v>1453</v>
      </c>
      <c r="EP108" s="198" t="s">
        <v>1453</v>
      </c>
      <c r="EQ108" s="198" t="s">
        <v>1453</v>
      </c>
      <c r="ER108" s="198" t="s">
        <v>1453</v>
      </c>
      <c r="ES108" s="198" t="s">
        <v>1453</v>
      </c>
      <c r="ET108" s="198" t="s">
        <v>1453</v>
      </c>
      <c r="EU108" s="198" t="s">
        <v>1453</v>
      </c>
      <c r="EV108" s="198" t="s">
        <v>1453</v>
      </c>
      <c r="EW108" s="198" t="s">
        <v>1453</v>
      </c>
      <c r="EX108" s="198" t="s">
        <v>1453</v>
      </c>
      <c r="EY108" s="198" t="s">
        <v>1453</v>
      </c>
      <c r="EZ108" s="198" t="s">
        <v>1453</v>
      </c>
      <c r="FA108" s="198" t="s">
        <v>1453</v>
      </c>
      <c r="FB108" s="198" t="s">
        <v>1453</v>
      </c>
      <c r="FC108" s="198" t="s">
        <v>1453</v>
      </c>
      <c r="FD108" s="198" t="s">
        <v>1453</v>
      </c>
      <c r="FE108" s="198" t="s">
        <v>1453</v>
      </c>
      <c r="FF108" s="198" t="s">
        <v>1453</v>
      </c>
      <c r="FG108" s="198" t="s">
        <v>1453</v>
      </c>
      <c r="FH108" s="198" t="s">
        <v>1453</v>
      </c>
      <c r="FI108" s="198" t="s">
        <v>1453</v>
      </c>
      <c r="FJ108" s="198" t="s">
        <v>1453</v>
      </c>
      <c r="FK108" s="198" t="s">
        <v>1453</v>
      </c>
      <c r="FL108" s="198" t="s">
        <v>1453</v>
      </c>
      <c r="FM108" s="198" t="s">
        <v>1453</v>
      </c>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D$1:$K$108"/>
  <mergeCells count="1">
    <mergeCell ref="O1:CL1"/>
  </mergeCells>
  <conditionalFormatting sqref="O2:CM107">
    <cfRule type="notContainsBlanks" dxfId="24" priority="1">
      <formula>LEN(TRIM(O2))&gt;0</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hidden="1" min="1" max="1" width="24.88"/>
    <col customWidth="1" hidden="1" min="2" max="2" width="10.63"/>
    <col customWidth="1" min="3" max="4" width="10.63"/>
    <col customWidth="1" hidden="1" min="5" max="5" width="8.5"/>
    <col customWidth="1" min="6" max="6" width="9.25"/>
    <col customWidth="1" hidden="1" min="7" max="7" width="7.0"/>
    <col customWidth="1" hidden="1" min="8" max="8" width="9.5"/>
    <col customWidth="1" min="9" max="9" width="11.0"/>
    <col customWidth="1" hidden="1" min="10" max="10" width="15.0"/>
    <col customWidth="1" hidden="1" min="11" max="11" width="7.88"/>
    <col customWidth="1" hidden="1" min="12" max="12" width="10.88"/>
    <col customWidth="1" hidden="1" min="13" max="13" width="14.38"/>
    <col customWidth="1" min="14" max="14" width="9.0"/>
    <col customWidth="1" min="15" max="15" width="11.13"/>
    <col customWidth="1" hidden="1" min="16" max="16" width="8.75"/>
    <col customWidth="1" min="17" max="17" width="8.75"/>
    <col customWidth="1" min="18" max="18" width="10.63"/>
    <col customWidth="1" hidden="1" min="19" max="19" width="9.13"/>
    <col customWidth="1" min="20" max="37" width="13.0"/>
  </cols>
  <sheetData>
    <row r="1">
      <c r="A1" s="22"/>
      <c r="B1" s="22"/>
      <c r="C1" s="22"/>
      <c r="D1" s="22"/>
      <c r="E1" s="22"/>
      <c r="F1" s="22"/>
      <c r="G1" s="22"/>
      <c r="H1" s="22"/>
      <c r="I1" s="22"/>
      <c r="J1" s="22"/>
      <c r="K1" s="22"/>
      <c r="L1" s="22"/>
      <c r="M1" s="22"/>
      <c r="N1" s="22"/>
      <c r="O1" s="22"/>
      <c r="P1" s="22"/>
      <c r="Q1" s="22"/>
      <c r="R1" s="22"/>
      <c r="S1" s="22"/>
      <c r="T1" s="22"/>
      <c r="U1" s="117"/>
      <c r="V1" s="22"/>
      <c r="W1" s="22"/>
      <c r="X1" s="22"/>
      <c r="Y1" s="22"/>
      <c r="Z1" s="22"/>
      <c r="AA1" s="22"/>
      <c r="AB1" s="22"/>
      <c r="AC1" s="22"/>
      <c r="AD1" s="22"/>
      <c r="AE1" s="22"/>
      <c r="AF1" s="22"/>
      <c r="AG1" s="22"/>
      <c r="AH1" s="22"/>
      <c r="AI1" s="22"/>
      <c r="AJ1" s="22"/>
      <c r="AK1" s="22"/>
    </row>
    <row r="2">
      <c r="A2" s="22" t="s">
        <v>1542</v>
      </c>
      <c r="B2" s="22" t="s">
        <v>1543</v>
      </c>
      <c r="C2" s="22"/>
      <c r="D2" s="240" t="s">
        <v>1544</v>
      </c>
      <c r="E2" s="240" t="s">
        <v>1545</v>
      </c>
      <c r="F2" s="240" t="s">
        <v>1546</v>
      </c>
      <c r="G2" s="240" t="s">
        <v>397</v>
      </c>
      <c r="H2" s="240" t="s">
        <v>1547</v>
      </c>
      <c r="I2" s="240" t="s">
        <v>1548</v>
      </c>
      <c r="J2" s="240" t="s">
        <v>1549</v>
      </c>
      <c r="K2" s="240" t="s">
        <v>1550</v>
      </c>
      <c r="L2" s="240" t="s">
        <v>1551</v>
      </c>
      <c r="M2" s="240" t="s">
        <v>1552</v>
      </c>
      <c r="N2" s="241" t="s">
        <v>1553</v>
      </c>
      <c r="O2" s="241" t="s">
        <v>1554</v>
      </c>
      <c r="P2" s="240" t="s">
        <v>1555</v>
      </c>
      <c r="Q2" s="241" t="s">
        <v>1556</v>
      </c>
      <c r="R2" s="241" t="s">
        <v>1557</v>
      </c>
      <c r="S2" s="240" t="s">
        <v>1558</v>
      </c>
      <c r="T2" s="22"/>
      <c r="U2" s="117"/>
      <c r="V2" s="22"/>
      <c r="W2" s="22"/>
      <c r="X2" s="22"/>
      <c r="Y2" s="22"/>
      <c r="Z2" s="22"/>
      <c r="AA2" s="22"/>
      <c r="AB2" s="22"/>
      <c r="AC2" s="22"/>
      <c r="AD2" s="22"/>
      <c r="AE2" s="22"/>
      <c r="AF2" s="22"/>
      <c r="AG2" s="22"/>
      <c r="AH2" s="22"/>
      <c r="AI2" s="22"/>
      <c r="AJ2" s="22"/>
      <c r="AK2" s="22"/>
    </row>
    <row r="3">
      <c r="A3" s="242" t="s">
        <v>1559</v>
      </c>
      <c r="B3" s="242" t="s">
        <v>23</v>
      </c>
      <c r="C3" s="242"/>
      <c r="D3" s="243" t="s">
        <v>21</v>
      </c>
      <c r="E3" s="244" t="s">
        <v>1560</v>
      </c>
      <c r="F3" s="245">
        <v>44287.0</v>
      </c>
      <c r="G3" s="243"/>
      <c r="H3" s="243" t="s">
        <v>1561</v>
      </c>
      <c r="I3" s="243" t="s">
        <v>1562</v>
      </c>
      <c r="J3" s="243" t="s">
        <v>1563</v>
      </c>
      <c r="K3" s="243"/>
      <c r="L3" s="246" t="s">
        <v>1518</v>
      </c>
      <c r="M3" s="246" t="s">
        <v>1564</v>
      </c>
      <c r="N3" s="247">
        <f>countif(np.agi,rept("?",6)&amp;"*")+
countif(np.kxn,rept("?",6)&amp;"*")+
countif(np.hwb,rept("?",6)&amp;"*")+
countif(np.ekxn,rept("?",6)&amp;"*")+
countif(np.bun,rept("?",6)&amp;"*")+
countif(np.erd,rept("?",6)&amp;"*")+
countif(np.gkxn,rept("?",6)&amp;"*")+
countif(np.gen,rept("?",6)&amp;"*")+
countif(np.kmp,rept("?",6)&amp;"*")+
countif(np.lu2,rept("?",6)&amp;"*")+
countif(np.myc,rept("?",6)&amp;"*")+
countif(np.nar,rept("?",6)&amp;"*")+
countif(np.que,rept("?",6)&amp;"*")</f>
        <v>45</v>
      </c>
      <c r="O3" s="247">
        <f>
countif(np.kxn.sim,rept("?",6)&amp;"*")+
countif(np.hwb.sim,rept("?",6)&amp;"*")+
countif(np.ekxn.sim,rept("?",6)&amp;"*")+
countif(np.egt.sim,rept("?",6)&amp;"*")+
countif(np.ecg,rept("?",6)&amp;"*")+
countif(np.egcg,rept("?",6)&amp;"*")+
countif(np.kmp.sim,rept("?",6)&amp;"*")+
countif(np.lu2.sim,rept("?",6)&amp;"*")+
countif(np.myc.sim,rept("?",6)&amp;"*")+
countif(np.nar.sim,rept("?",6)&amp;"*")+
countif(np.que.sim,rept("?",6)&amp;"*")</f>
        <v>60</v>
      </c>
      <c r="P3" s="243">
        <f t="shared" ref="P3:P9" si="1">N3+O3</f>
        <v>105</v>
      </c>
      <c r="Q3" s="243">
        <f>counta(np.miss.plant)</f>
        <v>25</v>
      </c>
      <c r="R3" s="248">
        <v>0.0</v>
      </c>
      <c r="S3" s="249"/>
      <c r="T3" s="250"/>
      <c r="U3" s="251"/>
      <c r="V3" s="242"/>
      <c r="W3" s="242"/>
      <c r="X3" s="242"/>
      <c r="Y3" s="242"/>
      <c r="Z3" s="242"/>
      <c r="AA3" s="242"/>
      <c r="AB3" s="242"/>
      <c r="AC3" s="242"/>
      <c r="AD3" s="242"/>
      <c r="AE3" s="242"/>
      <c r="AF3" s="242"/>
      <c r="AG3" s="242"/>
      <c r="AH3" s="242"/>
      <c r="AI3" s="242"/>
      <c r="AJ3" s="242"/>
      <c r="AK3" s="242"/>
    </row>
    <row r="4">
      <c r="A4" s="242" t="s">
        <v>683</v>
      </c>
      <c r="B4" s="242" t="s">
        <v>683</v>
      </c>
      <c r="C4" s="242"/>
      <c r="D4" s="243" t="s">
        <v>683</v>
      </c>
      <c r="E4" s="252"/>
      <c r="F4" s="253">
        <v>44375.0</v>
      </c>
      <c r="G4" s="243"/>
      <c r="H4" s="243" t="s">
        <v>1561</v>
      </c>
      <c r="I4" s="243" t="s">
        <v>1562</v>
      </c>
      <c r="J4" s="243" t="s">
        <v>1563</v>
      </c>
      <c r="K4" s="243"/>
      <c r="L4" s="254" t="s">
        <v>1511</v>
      </c>
      <c r="M4" s="254" t="s">
        <v>1512</v>
      </c>
      <c r="N4" s="247">
        <f>countif(knap.agi,rept("?",6)&amp;"*")+
countif(knap.kxn,rept("?",6)&amp;"*")+
countif(knap.hwb,rept("?",6)&amp;"*")+
countif(knap.ekxn,rept("?",6)&amp;"*")+
countif(knap.egt,rept("?",6)&amp;"*")+
countif(knap.gkxn,rept("?",6)&amp;"*")+
countif(knap.gen,rept("?",6)&amp;"*")+
countif(knap.kmp,rept("?",6)&amp;"*")+
countif(knap.hcc,rept("?",6)&amp;"*")+
countif(knap.lu2,rept("?",6)&amp;"*")+
countif(knap.myc,rept("?",6)&amp;"*")+
countif(knap.nar,rept("?",6)&amp;"*")+
countif(knap.que,rept("?",6)&amp;"*")</f>
        <v>107</v>
      </c>
      <c r="O4" s="247">
        <f>countif(knap.agi.sim,rept("?",6)&amp;"*")
+countif(knap.kxn.sim,rept("?",6)&amp;"*")+
countif(knap.hwb.sim,rept("?",6)&amp;"*")+
countif(knap.ekxn.sim,rept("?",6)&amp;"*")+
countif(knap.ecg,rept("?",6)&amp;"*")+
countif(knap.gen.sim,rept("?",6)&amp;"*")+
countif(knap.kmp.sim,rept("?",6)&amp;"*")+
countif(knap.lu2.sim,rept("?",6)&amp;"*")+
countif(knap.gkxn.sim,rept("?",6)&amp;"*")+
countif(knap.nar.sim,rept("?",6)&amp;"*")+
countif(knap.que.sim,rept("?",6)&amp;"*")</f>
        <v>117</v>
      </c>
      <c r="P4" s="243">
        <f t="shared" si="1"/>
        <v>224</v>
      </c>
      <c r="Q4" s="243">
        <f>counta(knap.miss.plant)</f>
        <v>24</v>
      </c>
      <c r="R4" s="248">
        <v>0.0</v>
      </c>
      <c r="S4" s="249"/>
      <c r="T4" s="250"/>
      <c r="U4" s="251"/>
      <c r="V4" s="242"/>
      <c r="W4" s="242"/>
      <c r="X4" s="242"/>
      <c r="Y4" s="242"/>
      <c r="Z4" s="242"/>
      <c r="AA4" s="242"/>
      <c r="AB4" s="242"/>
      <c r="AC4" s="242"/>
      <c r="AD4" s="242"/>
      <c r="AE4" s="242"/>
      <c r="AF4" s="242"/>
      <c r="AG4" s="242"/>
      <c r="AH4" s="242"/>
      <c r="AI4" s="242"/>
      <c r="AJ4" s="242"/>
      <c r="AK4" s="242"/>
    </row>
    <row r="5">
      <c r="A5" s="242" t="s">
        <v>1565</v>
      </c>
      <c r="B5" s="242" t="s">
        <v>21</v>
      </c>
      <c r="C5" s="242"/>
      <c r="D5" s="243" t="s">
        <v>686</v>
      </c>
      <c r="E5" s="255" t="s">
        <v>1566</v>
      </c>
      <c r="F5" s="253">
        <v>44317.0</v>
      </c>
      <c r="G5" s="256"/>
      <c r="H5" s="256" t="s">
        <v>1567</v>
      </c>
      <c r="I5" s="256" t="s">
        <v>1568</v>
      </c>
      <c r="J5" s="243" t="s">
        <v>1569</v>
      </c>
      <c r="K5" s="256"/>
      <c r="L5" s="257" t="s">
        <v>1561</v>
      </c>
      <c r="M5" s="257" t="s">
        <v>1570</v>
      </c>
      <c r="N5" s="247">
        <f>countif(nap.agi,rept("?",6)&amp;"*")+
countif(nap.kxn,rept("?",6)&amp;"*")+
countif(nap.hwb,rept("?",6)&amp;"*")+
countif(nap.ekxn,rept("?",6)&amp;"*")+
countif(nap.egt,rept("?",6)&amp;"*")+
countif(nap.erd,rept("?",6)&amp;"*")+
countif(nap.gkxn,rept("?",6)&amp;"*")+
countif(nap.gen,rept("?",6)&amp;"*")+
countif(nap.kmp,rept("?",6)&amp;"*")+
countif(nap.lu2,rept("?",6)&amp;"*")+
countif(nap.myc,rept("?",6)&amp;"*")+
countif(nap.nar,rept("?",6)&amp;"*")+
countif(nap.que,rept("?",6)&amp;"*")</f>
        <v>147</v>
      </c>
      <c r="O5" s="247">
        <f>countif(nap.agi.sim,rept("?",6)&amp;"*")+
countif(nap.kxn.sim,rept("?",6)&amp;"*")+
countif(nap.hwb.sim,rept("?",6)&amp;"*")+
countif(nap.ekxn.sim,rept("?",6)&amp;"*")+
countif(nap.egt.sim,rept("?",6)&amp;"*")+
countif(nap.erd.sim,rept("?",6)&amp;"*")+
countif(nap.gkxn.sim,rept("?",6)&amp;"*")+
countif(nap.gen.sim,rept("?",6)&amp;"*")+
countif(nap.kmp.sim,rept("?",6)&amp;"*")+
countif(nap.lu2.sim,rept("?",6)&amp;"*")+
countif(nap.myc.sim,rept("?",6)&amp;"*")+
countif(nap.nar.sim,rept("?",6)&amp;"*")+
countif(nap.que.sim,rept("?",6)&amp;"*")</f>
        <v>91</v>
      </c>
      <c r="P5" s="243">
        <f t="shared" si="1"/>
        <v>238</v>
      </c>
      <c r="Q5" s="258">
        <f>counta(nap.miss.plant)</f>
        <v>27</v>
      </c>
      <c r="R5" s="259">
        <v>0.0</v>
      </c>
      <c r="S5" s="249"/>
      <c r="T5" s="250"/>
      <c r="U5" s="251"/>
      <c r="V5" s="242"/>
      <c r="W5" s="242"/>
      <c r="X5" s="242"/>
      <c r="Y5" s="242"/>
      <c r="Z5" s="242"/>
      <c r="AA5" s="242"/>
      <c r="AB5" s="242"/>
      <c r="AC5" s="242"/>
      <c r="AD5" s="242"/>
      <c r="AE5" s="242"/>
      <c r="AF5" s="242"/>
      <c r="AG5" s="242"/>
      <c r="AH5" s="242"/>
      <c r="AI5" s="242"/>
      <c r="AJ5" s="242"/>
      <c r="AK5" s="242"/>
    </row>
    <row r="6">
      <c r="A6" s="242" t="s">
        <v>1571</v>
      </c>
      <c r="B6" s="242" t="s">
        <v>1572</v>
      </c>
      <c r="C6" s="242"/>
      <c r="D6" s="243" t="s">
        <v>1573</v>
      </c>
      <c r="E6" s="255" t="s">
        <v>1574</v>
      </c>
      <c r="F6" s="253">
        <v>44377.0</v>
      </c>
      <c r="G6" s="256"/>
      <c r="H6" s="243" t="s">
        <v>1561</v>
      </c>
      <c r="I6" s="256" t="s">
        <v>1568</v>
      </c>
      <c r="J6" s="243" t="s">
        <v>1563</v>
      </c>
      <c r="K6" s="256"/>
      <c r="L6" s="260" t="s">
        <v>1023</v>
      </c>
      <c r="M6" s="260" t="s">
        <v>1575</v>
      </c>
      <c r="N6" s="261">
        <f>countif(dd.agi,rept("?",6)&amp;"*")
+countif(dd.kxn,rept("?",6)&amp;"*")+
countif(dd.hwb,rept("?",6)&amp;"*")+
countif(dd.epc,rept("?",6)&amp;"*")+
countif(dd.egt,rept("?",6)&amp;"*")+
countif(dd.gkxn,rept("?",6)&amp;"*")+
countif(dd.gen,rept("?",6)&amp;"*")+
countif(dd.hcc,rept("?",6)&amp;"*")+
countif(dd.kmp,rept("?",6)&amp;"*")+
countif(dd.lu2,rept("?",6)&amp;"*")+
countif(dd.myc,rept("?",6)&amp;"*")+
countif(dd.nar,rept("?",6)&amp;"*")+
countif(dd.que,rept("?",6)&amp;"*")</f>
        <v>94</v>
      </c>
      <c r="O6" s="261">
        <f>countif(dd.agi.sim,rept("?",6)&amp;"*")
+countif(dd.kxn.sim,rept("?",6)&amp;"*")+
countif(dd.cyan.sim,rept("?",6)&amp;"*")+
countif(dd.epc.sim,rept("?",6)&amp;"*")+
countif(dd.ecg,rept("?",6)&amp;"*")+
countif(dd.gen.sim,rept("?",6)&amp;"*")+
countif(dd.kmp.sim,rept("?",6)&amp;"*")+
countif(dd.lu2.sim,rept("?",6)&amp;"*")+
countif(dd.nar.sim,rept("?",6)&amp;"*")+
countif(dd.que.sim,rept("?",6)&amp;"*")</f>
        <v>65</v>
      </c>
      <c r="P6" s="243">
        <f t="shared" si="1"/>
        <v>159</v>
      </c>
      <c r="Q6" s="243">
        <f>counta(dd.miss.plant)</f>
        <v>46</v>
      </c>
      <c r="R6" s="248">
        <v>0.0</v>
      </c>
      <c r="S6" s="249"/>
      <c r="T6" s="242"/>
      <c r="U6" s="251"/>
      <c r="V6" s="242"/>
      <c r="W6" s="242"/>
      <c r="X6" s="242"/>
      <c r="Y6" s="242"/>
      <c r="Z6" s="242"/>
      <c r="AA6" s="242"/>
      <c r="AB6" s="242"/>
      <c r="AC6" s="242"/>
      <c r="AD6" s="242"/>
      <c r="AE6" s="242"/>
      <c r="AF6" s="242"/>
      <c r="AG6" s="242"/>
      <c r="AH6" s="242"/>
      <c r="AI6" s="242"/>
      <c r="AJ6" s="242"/>
      <c r="AK6" s="242"/>
    </row>
    <row r="7">
      <c r="A7" s="242" t="s">
        <v>1576</v>
      </c>
      <c r="B7" s="242" t="s">
        <v>11</v>
      </c>
      <c r="C7" s="242"/>
      <c r="D7" s="243" t="s">
        <v>11</v>
      </c>
      <c r="E7" s="244" t="s">
        <v>1577</v>
      </c>
      <c r="F7" s="253">
        <v>44376.0</v>
      </c>
      <c r="G7" s="243"/>
      <c r="H7" s="243" t="s">
        <v>1561</v>
      </c>
      <c r="I7" s="243" t="s">
        <v>1568</v>
      </c>
      <c r="J7" s="243" t="s">
        <v>1563</v>
      </c>
      <c r="K7" s="243"/>
      <c r="L7" s="262" t="s">
        <v>1578</v>
      </c>
      <c r="M7" s="262" t="s">
        <v>1579</v>
      </c>
      <c r="N7" s="247">
        <f>countif(imp.agi,rept("?",6)&amp;"*")+
countif(imp.hwb,rept("?",6)&amp;"*")+
countif(imp.epc,rept("?",6)&amp;"*")+
countif(imp.gkxn,rept("?",6)&amp;"*")+
countif(imp.gen,rept("?",6)&amp;"*")+
countif(imp.kmp,rept("?",6)&amp;"*")+
countif(imp.lu2,rept("?",6)&amp;"*")+
countif(imp.myc,rept("?",6)&amp;"*")+
countif(imp.nar,rept("?",6)&amp;"*")+
countif(imp.que,rept("?",6)&amp;"*")</f>
        <v>52</v>
      </c>
      <c r="O7" s="247">
        <f>
countif(imp.hwb.sim,rept("?",6)&amp;"*")+
countif(imp.epc.sim,rept("?",6)&amp;"*")+
countif(imp.ecg,rept("?",6)&amp;"*")+
countif(imp.gen.sim,rept("?",6)&amp;"*")+
countif(imp.kmp.sim,rept("?",6)&amp;"*")+
countif(imp.lu2.sim,rept("?",6)&amp;"*")+
countif(imp.myc.sim,rept("?",6)&amp;"*")+
countif(imp.nar.sim,rept("?",6)&amp;"*")+
countif(imp.que.sim,rept("?",6)&amp;"*")</f>
        <v>21</v>
      </c>
      <c r="P7" s="243">
        <f t="shared" si="1"/>
        <v>73</v>
      </c>
      <c r="Q7" s="243">
        <f>counta(imp.miss.plant)</f>
        <v>60</v>
      </c>
      <c r="R7" s="248">
        <v>2.0</v>
      </c>
      <c r="S7" s="249"/>
      <c r="T7" s="242"/>
      <c r="U7" s="251"/>
      <c r="V7" s="242"/>
      <c r="W7" s="242"/>
      <c r="X7" s="242"/>
      <c r="Y7" s="242"/>
      <c r="Z7" s="242"/>
      <c r="AA7" s="242"/>
      <c r="AB7" s="242"/>
      <c r="AC7" s="242"/>
      <c r="AD7" s="242"/>
      <c r="AE7" s="242"/>
      <c r="AF7" s="242"/>
      <c r="AG7" s="242"/>
      <c r="AH7" s="242"/>
      <c r="AI7" s="242"/>
      <c r="AJ7" s="242"/>
      <c r="AK7" s="242"/>
    </row>
    <row r="8">
      <c r="A8" s="263" t="s">
        <v>1580</v>
      </c>
      <c r="B8" s="242" t="s">
        <v>1581</v>
      </c>
      <c r="C8" s="242"/>
      <c r="D8" s="243" t="s">
        <v>23</v>
      </c>
      <c r="E8" s="252"/>
      <c r="F8" s="253">
        <v>44375.0</v>
      </c>
      <c r="G8" s="243"/>
      <c r="H8" s="243" t="s">
        <v>1561</v>
      </c>
      <c r="I8" s="243" t="s">
        <v>1568</v>
      </c>
      <c r="J8" s="243" t="s">
        <v>1563</v>
      </c>
      <c r="K8" s="243"/>
      <c r="L8" s="264" t="s">
        <v>1508</v>
      </c>
      <c r="M8" s="264" t="s">
        <v>1510</v>
      </c>
      <c r="N8" s="247">
        <f>countif(us.agi,rept("?",6)&amp;"*")+
countif(us.kxn,rept("?",6)&amp;"*")+
countif(us.hwb,rept("?",6)&amp;"*")+
countif(us.ekxn,rept("?",6)&amp;"*")+
countif(us.egt,rept("?",6)&amp;"*")+
countif(us.kmp,rept("?",6)&amp;"*")+
countif(us.lu2,rept("?",6)&amp;"*")+
countif(us.myc,rept("?",6)&amp;"*")+
countif(us.nar,rept("?",6)&amp;"*")+
countif(us.que,rept("?",6)&amp;"*")</f>
        <v>98</v>
      </c>
      <c r="O8" s="247">
        <f>
countif(us.ekxn.sim,rept("?",6)&amp;"*")+
countif(us.egt.sim,rept("?",6)&amp;"*")
</f>
        <v>7</v>
      </c>
      <c r="P8" s="243">
        <f t="shared" si="1"/>
        <v>105</v>
      </c>
      <c r="Q8" s="243">
        <f>counta(us.miss.plant)</f>
        <v>70</v>
      </c>
      <c r="R8" s="248">
        <v>4.0</v>
      </c>
      <c r="S8" s="249"/>
      <c r="T8" s="242"/>
      <c r="U8" s="251"/>
      <c r="V8" s="250"/>
      <c r="W8" s="250"/>
      <c r="X8" s="250"/>
      <c r="Y8" s="250"/>
      <c r="Z8" s="250"/>
      <c r="AA8" s="250"/>
      <c r="AB8" s="250"/>
      <c r="AC8" s="250"/>
      <c r="AD8" s="250"/>
      <c r="AE8" s="250"/>
      <c r="AF8" s="250"/>
      <c r="AG8" s="250"/>
      <c r="AH8" s="250"/>
      <c r="AI8" s="250"/>
      <c r="AJ8" s="250"/>
      <c r="AK8" s="250"/>
    </row>
    <row r="9">
      <c r="A9" s="263" t="s">
        <v>1582</v>
      </c>
      <c r="B9" s="242" t="s">
        <v>686</v>
      </c>
      <c r="C9" s="242"/>
      <c r="D9" s="243" t="s">
        <v>1583</v>
      </c>
      <c r="E9" s="244" t="s">
        <v>1584</v>
      </c>
      <c r="F9" s="253">
        <v>44375.0</v>
      </c>
      <c r="G9" s="243"/>
      <c r="H9" s="243" t="s">
        <v>1561</v>
      </c>
      <c r="I9" s="243" t="s">
        <v>1568</v>
      </c>
      <c r="J9" s="243" t="s">
        <v>1563</v>
      </c>
      <c r="K9" s="243"/>
      <c r="L9" s="265" t="s">
        <v>1585</v>
      </c>
      <c r="M9" s="265" t="s">
        <v>1586</v>
      </c>
      <c r="N9" s="247">
        <f>countif(mic.agi,rept("?",6)&amp;"*")+
countif(mic.kxn,rept("?",6)&amp;"*")+
countif(mic.hwb,rept("?",6)&amp;"*")+
countif(mic.ekxn,rept("?",6)&amp;"*")+
countif(mic.egt,rept("?",6)&amp;"*")+
countif(mic.kmp,rept("?",6)&amp;"*")+
countif(mic.lu2,rept("?",6)&amp;"*")+
countif(mic.myc,rept("?",6)&amp;"*")+
countif(mic.que,rept("?",6)&amp;"*")</f>
        <v>76</v>
      </c>
      <c r="O9" s="247">
        <f>
countif(mic.hwb.sim,rept("?",6)&amp;"*")+
countif(mic.ekxn.sim,rept("?",6)&amp;"*")+
countif(mic.ecg,rept("?",6)&amp;"*")+
countif(mic.egcg,rept("?",6)&amp;"*")+
countif(mic.que.sim,rept("?",6)&amp;"*")</f>
        <v>10</v>
      </c>
      <c r="P9" s="243">
        <f t="shared" si="1"/>
        <v>86</v>
      </c>
      <c r="Q9" s="243">
        <f>counta(mic.miss.plant)</f>
        <v>77</v>
      </c>
      <c r="R9" s="248">
        <v>1.0</v>
      </c>
      <c r="S9" s="258"/>
      <c r="T9" s="242"/>
      <c r="U9" s="251"/>
      <c r="V9" s="250"/>
      <c r="W9" s="250"/>
      <c r="X9" s="250"/>
      <c r="Y9" s="250"/>
      <c r="Z9" s="250"/>
      <c r="AA9" s="250"/>
      <c r="AB9" s="250"/>
      <c r="AC9" s="250"/>
      <c r="AD9" s="250"/>
      <c r="AE9" s="250"/>
      <c r="AF9" s="250"/>
      <c r="AG9" s="250"/>
      <c r="AH9" s="250"/>
      <c r="AI9" s="250"/>
      <c r="AJ9" s="250"/>
      <c r="AK9" s="250"/>
    </row>
    <row r="10">
      <c r="A10" s="263"/>
      <c r="B10" s="242"/>
      <c r="C10" s="242"/>
      <c r="D10" s="242"/>
      <c r="E10" s="250"/>
      <c r="F10" s="250"/>
      <c r="G10" s="250"/>
      <c r="H10" s="256"/>
      <c r="I10" s="250"/>
      <c r="J10" s="250"/>
      <c r="K10" s="250"/>
      <c r="L10" s="256"/>
      <c r="M10" s="256"/>
      <c r="N10" s="250"/>
      <c r="O10" s="250"/>
      <c r="P10" s="250"/>
      <c r="Q10" s="250"/>
      <c r="R10" s="250"/>
      <c r="S10" s="250"/>
      <c r="T10" s="250"/>
      <c r="U10" s="251"/>
      <c r="V10" s="250"/>
      <c r="W10" s="250"/>
      <c r="X10" s="250"/>
      <c r="Y10" s="250"/>
      <c r="Z10" s="250"/>
      <c r="AA10" s="250"/>
      <c r="AB10" s="250"/>
      <c r="AC10" s="250"/>
      <c r="AD10" s="250"/>
      <c r="AE10" s="250"/>
      <c r="AF10" s="250"/>
      <c r="AG10" s="250"/>
      <c r="AH10" s="250"/>
      <c r="AI10" s="250"/>
      <c r="AJ10" s="250"/>
      <c r="AK10" s="250"/>
    </row>
    <row r="11">
      <c r="A11" s="263"/>
      <c r="B11" s="242"/>
      <c r="C11" s="242"/>
      <c r="D11" s="242"/>
      <c r="E11" s="250"/>
      <c r="F11" s="250"/>
      <c r="G11" s="250"/>
      <c r="H11" s="256"/>
      <c r="I11" s="250"/>
      <c r="J11" s="250"/>
      <c r="K11" s="250"/>
      <c r="L11" s="256"/>
      <c r="M11" s="256"/>
      <c r="N11" s="250"/>
      <c r="O11" s="250"/>
      <c r="P11" s="250"/>
      <c r="Q11" s="250"/>
      <c r="R11" s="250"/>
      <c r="S11" s="250"/>
      <c r="T11" s="250"/>
      <c r="U11" s="251"/>
      <c r="V11" s="250"/>
      <c r="W11" s="250"/>
      <c r="X11" s="250"/>
      <c r="Y11" s="250"/>
      <c r="Z11" s="250"/>
      <c r="AA11" s="250"/>
      <c r="AB11" s="250"/>
      <c r="AC11" s="250"/>
      <c r="AD11" s="250"/>
      <c r="AE11" s="250"/>
      <c r="AF11" s="250"/>
      <c r="AG11" s="250"/>
      <c r="AH11" s="250"/>
      <c r="AI11" s="250"/>
      <c r="AJ11" s="250"/>
      <c r="AK11" s="250"/>
    </row>
    <row r="12">
      <c r="A12" s="263"/>
      <c r="B12" s="242"/>
      <c r="C12" s="242"/>
      <c r="D12" s="242"/>
      <c r="E12" s="263"/>
      <c r="F12" s="250"/>
      <c r="G12" s="250"/>
      <c r="H12" s="256"/>
      <c r="I12" s="250"/>
      <c r="J12" s="250"/>
      <c r="K12" s="250"/>
      <c r="L12" s="256"/>
      <c r="M12" s="256"/>
      <c r="N12" s="250"/>
      <c r="O12" s="250"/>
      <c r="P12" s="250"/>
      <c r="Q12" s="250"/>
      <c r="R12" s="250"/>
      <c r="S12" s="250"/>
      <c r="T12" s="250"/>
      <c r="U12" s="251"/>
      <c r="V12" s="250"/>
      <c r="W12" s="250"/>
      <c r="X12" s="250"/>
      <c r="Y12" s="250"/>
      <c r="Z12" s="250"/>
      <c r="AA12" s="250"/>
      <c r="AB12" s="250"/>
      <c r="AC12" s="250"/>
      <c r="AD12" s="250"/>
      <c r="AE12" s="250"/>
      <c r="AF12" s="250"/>
      <c r="AG12" s="250"/>
      <c r="AH12" s="250"/>
      <c r="AI12" s="250"/>
      <c r="AJ12" s="250"/>
      <c r="AK12" s="250"/>
    </row>
    <row r="13">
      <c r="A13" s="263"/>
      <c r="B13" s="242"/>
      <c r="C13" s="242"/>
      <c r="D13" s="242"/>
      <c r="E13" s="263"/>
      <c r="F13" s="250"/>
      <c r="G13" s="250"/>
      <c r="H13" s="256"/>
      <c r="I13" s="250"/>
      <c r="J13" s="250"/>
      <c r="K13" s="250"/>
      <c r="L13" s="256"/>
      <c r="M13" s="256"/>
      <c r="N13" s="250"/>
      <c r="O13" s="250"/>
      <c r="P13" s="250"/>
      <c r="Q13" s="250"/>
      <c r="R13" s="250"/>
      <c r="S13" s="250"/>
      <c r="T13" s="250"/>
      <c r="U13" s="251"/>
      <c r="V13" s="250"/>
      <c r="W13" s="250"/>
      <c r="X13" s="250"/>
      <c r="Y13" s="250"/>
      <c r="Z13" s="250"/>
      <c r="AA13" s="250"/>
      <c r="AB13" s="250"/>
      <c r="AC13" s="250"/>
      <c r="AD13" s="250"/>
      <c r="AE13" s="250"/>
      <c r="AF13" s="250"/>
      <c r="AG13" s="250"/>
      <c r="AH13" s="250"/>
      <c r="AI13" s="250"/>
      <c r="AJ13" s="250"/>
      <c r="AK13" s="250"/>
    </row>
    <row r="14">
      <c r="A14" s="263"/>
      <c r="B14" s="242"/>
      <c r="C14" s="242"/>
      <c r="D14" s="242"/>
      <c r="E14" s="263"/>
      <c r="F14" s="250"/>
      <c r="G14" s="250"/>
      <c r="H14" s="256"/>
      <c r="I14" s="250"/>
      <c r="J14" s="250"/>
      <c r="K14" s="250"/>
      <c r="L14" s="256"/>
      <c r="M14" s="256"/>
      <c r="N14" s="250"/>
      <c r="O14" s="250"/>
      <c r="P14" s="250"/>
      <c r="Q14" s="250"/>
      <c r="R14" s="250"/>
      <c r="S14" s="250"/>
      <c r="T14" s="250"/>
      <c r="U14" s="251"/>
      <c r="V14" s="250"/>
      <c r="W14" s="250"/>
      <c r="X14" s="250"/>
      <c r="Y14" s="250"/>
      <c r="Z14" s="250"/>
      <c r="AA14" s="250"/>
      <c r="AB14" s="250"/>
      <c r="AC14" s="250"/>
      <c r="AD14" s="250"/>
      <c r="AE14" s="250"/>
      <c r="AF14" s="250"/>
      <c r="AG14" s="250"/>
      <c r="AH14" s="250"/>
      <c r="AI14" s="250"/>
      <c r="AJ14" s="250"/>
      <c r="AK14" s="250"/>
    </row>
    <row r="15">
      <c r="A15" s="263"/>
      <c r="B15" s="242"/>
      <c r="C15" s="242"/>
      <c r="D15" s="242"/>
      <c r="E15" s="263"/>
      <c r="F15" s="250"/>
      <c r="G15" s="250"/>
      <c r="H15" s="256"/>
      <c r="I15" s="250"/>
      <c r="J15" s="250"/>
      <c r="K15" s="250"/>
      <c r="L15" s="256"/>
      <c r="M15" s="256"/>
      <c r="N15" s="250"/>
      <c r="O15" s="250"/>
      <c r="P15" s="250"/>
      <c r="Q15" s="250"/>
      <c r="R15" s="250"/>
      <c r="S15" s="250"/>
      <c r="T15" s="250"/>
      <c r="U15" s="251"/>
      <c r="V15" s="250"/>
      <c r="W15" s="250"/>
      <c r="X15" s="250"/>
      <c r="Y15" s="250"/>
      <c r="Z15" s="250"/>
      <c r="AA15" s="250"/>
      <c r="AB15" s="250"/>
      <c r="AC15" s="250"/>
      <c r="AD15" s="250"/>
      <c r="AE15" s="250"/>
      <c r="AF15" s="250"/>
      <c r="AG15" s="250"/>
      <c r="AH15" s="250"/>
      <c r="AI15" s="250"/>
      <c r="AJ15" s="250"/>
      <c r="AK15" s="250"/>
    </row>
    <row r="16">
      <c r="A16" s="263"/>
      <c r="B16" s="242"/>
      <c r="C16" s="242"/>
      <c r="D16" s="242"/>
      <c r="E16" s="263"/>
      <c r="F16" s="250"/>
      <c r="G16" s="250"/>
      <c r="H16" s="256"/>
      <c r="I16" s="250"/>
      <c r="J16" s="250"/>
      <c r="K16" s="250"/>
      <c r="L16" s="256"/>
      <c r="M16" s="256"/>
      <c r="N16" s="250"/>
      <c r="O16" s="250"/>
      <c r="P16" s="250"/>
      <c r="Q16" s="250"/>
      <c r="R16" s="250"/>
      <c r="S16" s="250"/>
      <c r="T16" s="250"/>
      <c r="U16" s="251"/>
      <c r="V16" s="250"/>
      <c r="W16" s="250"/>
      <c r="X16" s="250"/>
      <c r="Y16" s="250"/>
      <c r="Z16" s="250"/>
      <c r="AA16" s="250"/>
      <c r="AB16" s="250"/>
      <c r="AC16" s="250"/>
      <c r="AD16" s="250"/>
      <c r="AE16" s="250"/>
      <c r="AF16" s="250"/>
      <c r="AG16" s="250"/>
      <c r="AH16" s="250"/>
      <c r="AI16" s="250"/>
      <c r="AJ16" s="250"/>
      <c r="AK16" s="250"/>
    </row>
    <row r="17">
      <c r="A17" s="263"/>
      <c r="B17" s="242"/>
      <c r="C17" s="242"/>
      <c r="D17" s="242"/>
      <c r="E17" s="263"/>
      <c r="F17" s="250"/>
      <c r="G17" s="250"/>
      <c r="H17" s="256"/>
      <c r="I17" s="250"/>
      <c r="J17" s="250"/>
      <c r="K17" s="250"/>
      <c r="L17" s="256"/>
      <c r="M17" s="256"/>
      <c r="N17" s="250"/>
      <c r="O17" s="250"/>
      <c r="P17" s="250"/>
      <c r="Q17" s="250"/>
      <c r="R17" s="250"/>
      <c r="S17" s="250"/>
      <c r="T17" s="242"/>
      <c r="U17" s="251"/>
      <c r="V17" s="250"/>
      <c r="W17" s="250"/>
      <c r="X17" s="250"/>
      <c r="Y17" s="250"/>
      <c r="Z17" s="250"/>
      <c r="AA17" s="250"/>
      <c r="AB17" s="250"/>
      <c r="AC17" s="250"/>
      <c r="AD17" s="250"/>
      <c r="AE17" s="250"/>
      <c r="AF17" s="250"/>
      <c r="AG17" s="250"/>
      <c r="AH17" s="250"/>
      <c r="AI17" s="250"/>
      <c r="AJ17" s="250"/>
      <c r="AK17" s="250"/>
    </row>
    <row r="18">
      <c r="A18" s="263"/>
      <c r="B18" s="242"/>
      <c r="C18" s="242"/>
      <c r="D18" s="242"/>
      <c r="E18" s="263"/>
      <c r="F18" s="250"/>
      <c r="G18" s="250"/>
      <c r="H18" s="256"/>
      <c r="I18" s="250"/>
      <c r="J18" s="250"/>
      <c r="K18" s="250"/>
      <c r="L18" s="256"/>
      <c r="M18" s="256"/>
      <c r="N18" s="250"/>
      <c r="O18" s="250"/>
      <c r="P18" s="250"/>
      <c r="Q18" s="250"/>
      <c r="R18" s="250"/>
      <c r="S18" s="250"/>
      <c r="T18" s="250"/>
      <c r="U18" s="251"/>
      <c r="V18" s="250"/>
      <c r="W18" s="250"/>
      <c r="X18" s="250"/>
      <c r="Y18" s="250"/>
      <c r="Z18" s="250"/>
      <c r="AA18" s="250"/>
      <c r="AB18" s="250"/>
      <c r="AC18" s="250"/>
      <c r="AD18" s="250"/>
      <c r="AE18" s="250"/>
      <c r="AF18" s="250"/>
      <c r="AG18" s="250"/>
      <c r="AH18" s="250"/>
      <c r="AI18" s="250"/>
      <c r="AJ18" s="250"/>
      <c r="AK18" s="250"/>
    </row>
    <row r="19">
      <c r="A19" s="263"/>
      <c r="B19" s="242"/>
      <c r="C19" s="242"/>
      <c r="D19" s="242"/>
      <c r="E19" s="263"/>
      <c r="F19" s="250"/>
      <c r="G19" s="250"/>
      <c r="H19" s="256"/>
      <c r="I19" s="250"/>
      <c r="J19" s="250"/>
      <c r="K19" s="250"/>
      <c r="L19" s="256"/>
      <c r="M19" s="256"/>
      <c r="N19" s="250"/>
      <c r="O19" s="250"/>
      <c r="P19" s="250"/>
      <c r="Q19" s="250"/>
      <c r="R19" s="250"/>
      <c r="S19" s="250"/>
      <c r="T19" s="250"/>
      <c r="U19" s="251"/>
      <c r="V19" s="250"/>
      <c r="W19" s="250"/>
      <c r="X19" s="250"/>
      <c r="Y19" s="250"/>
      <c r="Z19" s="250"/>
      <c r="AA19" s="250"/>
      <c r="AB19" s="250"/>
      <c r="AC19" s="250"/>
      <c r="AD19" s="250"/>
      <c r="AE19" s="250"/>
      <c r="AF19" s="250"/>
      <c r="AG19" s="250"/>
      <c r="AH19" s="250"/>
      <c r="AI19" s="250"/>
      <c r="AJ19" s="250"/>
      <c r="AK19" s="250"/>
    </row>
    <row r="20">
      <c r="A20" s="263"/>
      <c r="B20" s="242"/>
      <c r="C20" s="242"/>
      <c r="D20" s="242"/>
      <c r="E20" s="263"/>
      <c r="F20" s="250"/>
      <c r="G20" s="250"/>
      <c r="H20" s="256"/>
      <c r="I20" s="250"/>
      <c r="J20" s="250"/>
      <c r="K20" s="250"/>
      <c r="L20" s="256"/>
      <c r="M20" s="256"/>
      <c r="N20" s="250"/>
      <c r="O20" s="250"/>
      <c r="P20" s="250"/>
      <c r="Q20" s="250"/>
      <c r="R20" s="250"/>
      <c r="S20" s="250"/>
      <c r="U20" s="250"/>
      <c r="V20" s="250"/>
      <c r="W20" s="250"/>
      <c r="X20" s="250"/>
      <c r="Y20" s="250"/>
      <c r="Z20" s="250"/>
      <c r="AA20" s="250"/>
      <c r="AB20" s="250"/>
      <c r="AC20" s="250"/>
      <c r="AD20" s="250"/>
      <c r="AE20" s="250"/>
      <c r="AF20" s="250"/>
      <c r="AG20" s="250"/>
      <c r="AH20" s="250"/>
      <c r="AI20" s="250"/>
      <c r="AJ20" s="250"/>
      <c r="AK20" s="250"/>
    </row>
    <row r="21">
      <c r="A21" s="263"/>
      <c r="B21" s="242"/>
      <c r="C21" s="242"/>
      <c r="D21" s="242"/>
      <c r="E21" s="263"/>
      <c r="F21" s="250"/>
      <c r="G21" s="250"/>
      <c r="H21" s="256"/>
      <c r="I21" s="250"/>
      <c r="J21" s="250"/>
      <c r="K21" s="250"/>
      <c r="L21" s="256"/>
      <c r="M21" s="256"/>
      <c r="N21" s="250"/>
      <c r="O21" s="250"/>
      <c r="P21" s="250"/>
      <c r="Q21" s="250"/>
      <c r="R21" s="250"/>
      <c r="S21" s="250"/>
      <c r="U21" s="250"/>
      <c r="V21" s="250"/>
      <c r="W21" s="250"/>
      <c r="X21" s="250"/>
      <c r="Y21" s="250"/>
      <c r="Z21" s="250"/>
      <c r="AA21" s="250"/>
      <c r="AB21" s="250"/>
      <c r="AC21" s="250"/>
      <c r="AD21" s="250"/>
      <c r="AE21" s="250"/>
      <c r="AF21" s="250"/>
      <c r="AG21" s="250"/>
      <c r="AH21" s="250"/>
      <c r="AI21" s="250"/>
      <c r="AJ21" s="250"/>
      <c r="AK21" s="250"/>
    </row>
    <row r="22" ht="15.75" customHeight="1">
      <c r="A22" s="263"/>
      <c r="B22" s="242"/>
      <c r="C22" s="242"/>
      <c r="D22" s="242"/>
      <c r="E22" s="263"/>
      <c r="F22" s="250"/>
      <c r="G22" s="250"/>
      <c r="H22" s="256"/>
      <c r="I22" s="250"/>
      <c r="J22" s="250"/>
      <c r="K22" s="250"/>
      <c r="L22" s="256"/>
      <c r="M22" s="256"/>
      <c r="N22" s="250"/>
      <c r="O22" s="250"/>
      <c r="P22" s="250"/>
      <c r="Q22" s="250"/>
      <c r="R22" s="250"/>
      <c r="S22" s="250"/>
      <c r="U22" s="250"/>
      <c r="V22" s="250"/>
      <c r="W22" s="250"/>
      <c r="X22" s="250"/>
      <c r="Y22" s="250"/>
      <c r="Z22" s="250"/>
      <c r="AA22" s="250"/>
      <c r="AB22" s="250"/>
      <c r="AC22" s="250"/>
      <c r="AD22" s="250"/>
      <c r="AE22" s="250"/>
      <c r="AF22" s="250"/>
      <c r="AG22" s="250"/>
      <c r="AH22" s="250"/>
      <c r="AI22" s="250"/>
      <c r="AJ22" s="250"/>
      <c r="AK22" s="250"/>
    </row>
    <row r="23" ht="15.75" customHeight="1">
      <c r="A23" s="263"/>
      <c r="B23" s="242"/>
      <c r="C23" s="242"/>
      <c r="D23" s="242"/>
      <c r="E23" s="263"/>
      <c r="F23" s="250"/>
      <c r="G23" s="250"/>
      <c r="H23" s="256"/>
      <c r="I23" s="250"/>
      <c r="J23" s="250"/>
      <c r="K23" s="250"/>
      <c r="L23" s="256"/>
      <c r="M23" s="256"/>
      <c r="N23" s="250"/>
      <c r="O23" s="250"/>
      <c r="P23" s="250"/>
      <c r="Q23" s="250"/>
      <c r="R23" s="250"/>
      <c r="S23" s="250"/>
      <c r="U23" s="250"/>
      <c r="V23" s="250"/>
      <c r="W23" s="250"/>
      <c r="X23" s="250"/>
      <c r="Y23" s="250"/>
      <c r="Z23" s="250"/>
      <c r="AA23" s="250"/>
      <c r="AB23" s="250"/>
      <c r="AC23" s="250"/>
      <c r="AD23" s="250"/>
      <c r="AE23" s="250"/>
      <c r="AF23" s="250"/>
      <c r="AG23" s="250"/>
      <c r="AH23" s="250"/>
      <c r="AI23" s="250"/>
      <c r="AJ23" s="250"/>
      <c r="AK23" s="250"/>
    </row>
    <row r="24" ht="15.75" customHeight="1">
      <c r="A24" s="263"/>
      <c r="B24" s="242"/>
      <c r="C24" s="242"/>
      <c r="D24" s="242"/>
      <c r="E24" s="263"/>
      <c r="F24" s="250"/>
      <c r="G24" s="250"/>
      <c r="H24" s="256"/>
      <c r="I24" s="250"/>
      <c r="J24" s="250"/>
      <c r="K24" s="250"/>
      <c r="L24" s="256"/>
      <c r="M24" s="256"/>
      <c r="N24" s="250"/>
      <c r="O24" s="250"/>
      <c r="P24" s="250"/>
      <c r="Q24" s="250"/>
      <c r="R24" s="250"/>
      <c r="S24" s="250"/>
      <c r="U24" s="250"/>
      <c r="V24" s="250"/>
      <c r="W24" s="250"/>
      <c r="X24" s="250"/>
      <c r="Y24" s="250"/>
      <c r="Z24" s="250"/>
      <c r="AA24" s="250"/>
      <c r="AB24" s="250"/>
      <c r="AC24" s="250"/>
      <c r="AD24" s="250"/>
      <c r="AE24" s="250"/>
      <c r="AF24" s="250"/>
      <c r="AG24" s="250"/>
      <c r="AH24" s="250"/>
      <c r="AI24" s="250"/>
      <c r="AJ24" s="250"/>
      <c r="AK24" s="250"/>
    </row>
    <row r="25" ht="15.75" customHeight="1">
      <c r="A25" s="263"/>
      <c r="B25" s="242"/>
      <c r="C25" s="242"/>
      <c r="D25" s="242"/>
      <c r="E25" s="263"/>
      <c r="F25" s="250"/>
      <c r="G25" s="250"/>
      <c r="H25" s="256"/>
      <c r="I25" s="250"/>
      <c r="J25" s="250"/>
      <c r="K25" s="250"/>
      <c r="L25" s="256"/>
      <c r="M25" s="256"/>
      <c r="N25" s="250"/>
      <c r="O25" s="250"/>
      <c r="P25" s="250"/>
      <c r="Q25" s="250"/>
      <c r="R25" s="250"/>
      <c r="S25" s="250"/>
      <c r="U25" s="250"/>
      <c r="V25" s="250"/>
      <c r="W25" s="250"/>
      <c r="X25" s="250"/>
      <c r="Y25" s="250"/>
      <c r="Z25" s="250"/>
      <c r="AA25" s="250"/>
      <c r="AB25" s="250"/>
      <c r="AC25" s="250"/>
      <c r="AD25" s="250"/>
      <c r="AE25" s="250"/>
      <c r="AF25" s="250"/>
      <c r="AG25" s="250"/>
      <c r="AH25" s="250"/>
      <c r="AI25" s="250"/>
      <c r="AJ25" s="250"/>
      <c r="AK25" s="250"/>
    </row>
    <row r="26" ht="15.75" customHeight="1">
      <c r="A26" s="263"/>
      <c r="B26" s="242"/>
      <c r="C26" s="242"/>
      <c r="D26" s="242"/>
      <c r="E26" s="263"/>
      <c r="F26" s="250"/>
      <c r="G26" s="250"/>
      <c r="H26" s="256"/>
      <c r="I26" s="250"/>
      <c r="J26" s="250"/>
      <c r="K26" s="250"/>
      <c r="L26" s="256"/>
      <c r="M26" s="256"/>
      <c r="N26" s="250"/>
      <c r="O26" s="250"/>
      <c r="P26" s="250"/>
      <c r="Q26" s="250"/>
      <c r="R26" s="250"/>
      <c r="S26" s="250"/>
      <c r="U26" s="250"/>
      <c r="V26" s="250"/>
      <c r="W26" s="250"/>
      <c r="X26" s="250"/>
      <c r="Y26" s="250"/>
      <c r="Z26" s="250"/>
      <c r="AA26" s="250"/>
      <c r="AB26" s="250"/>
      <c r="AC26" s="250"/>
      <c r="AD26" s="250"/>
      <c r="AE26" s="250"/>
      <c r="AF26" s="250"/>
      <c r="AG26" s="250"/>
      <c r="AH26" s="250"/>
      <c r="AI26" s="250"/>
      <c r="AJ26" s="250"/>
      <c r="AK26" s="250"/>
    </row>
    <row r="27" ht="15.75" customHeight="1">
      <c r="A27" s="263"/>
      <c r="B27" s="242"/>
      <c r="C27" s="242"/>
      <c r="D27" s="242"/>
      <c r="E27" s="263"/>
      <c r="F27" s="250"/>
      <c r="G27" s="250"/>
      <c r="H27" s="256"/>
      <c r="I27" s="250"/>
      <c r="J27" s="250"/>
      <c r="K27" s="250"/>
      <c r="L27" s="256"/>
      <c r="M27" s="256"/>
      <c r="N27" s="250"/>
      <c r="O27" s="250"/>
      <c r="P27" s="250"/>
      <c r="Q27" s="250"/>
      <c r="R27" s="250"/>
      <c r="S27" s="250"/>
      <c r="U27" s="250"/>
      <c r="V27" s="250"/>
      <c r="W27" s="250"/>
      <c r="X27" s="250"/>
      <c r="Y27" s="250"/>
      <c r="Z27" s="250"/>
      <c r="AA27" s="250"/>
      <c r="AB27" s="250"/>
      <c r="AC27" s="250"/>
      <c r="AD27" s="250"/>
      <c r="AE27" s="250"/>
      <c r="AF27" s="250"/>
      <c r="AG27" s="250"/>
      <c r="AH27" s="250"/>
      <c r="AI27" s="250"/>
      <c r="AJ27" s="250"/>
      <c r="AK27" s="250"/>
    </row>
    <row r="28" ht="15.75" customHeight="1">
      <c r="A28" s="263"/>
      <c r="B28" s="242"/>
      <c r="C28" s="242"/>
      <c r="D28" s="242"/>
      <c r="E28" s="263"/>
      <c r="F28" s="250"/>
      <c r="G28" s="250"/>
      <c r="H28" s="256"/>
      <c r="I28" s="250"/>
      <c r="J28" s="250"/>
      <c r="K28" s="250"/>
      <c r="L28" s="256"/>
      <c r="M28" s="256"/>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row>
    <row r="29" ht="15.75" customHeight="1">
      <c r="A29" s="263"/>
      <c r="B29" s="242"/>
      <c r="C29" s="242"/>
      <c r="D29" s="242"/>
      <c r="E29" s="263"/>
      <c r="F29" s="250"/>
      <c r="G29" s="250"/>
      <c r="H29" s="256"/>
      <c r="I29" s="250"/>
      <c r="J29" s="250"/>
      <c r="K29" s="250"/>
      <c r="L29" s="256"/>
      <c r="M29" s="256"/>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row>
    <row r="30" ht="15.75" customHeight="1">
      <c r="A30" s="263"/>
      <c r="B30" s="242"/>
      <c r="C30" s="242"/>
      <c r="D30" s="242"/>
      <c r="E30" s="263"/>
      <c r="F30" s="250"/>
      <c r="G30" s="250"/>
      <c r="H30" s="256"/>
      <c r="I30" s="250"/>
      <c r="J30" s="250"/>
      <c r="K30" s="250"/>
      <c r="L30" s="256"/>
      <c r="M30" s="256"/>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row>
    <row r="31" ht="15.75" customHeight="1">
      <c r="A31" s="263"/>
      <c r="B31" s="242"/>
      <c r="C31" s="242"/>
      <c r="D31" s="242"/>
      <c r="E31" s="263"/>
      <c r="F31" s="250"/>
      <c r="G31" s="250"/>
      <c r="H31" s="256"/>
      <c r="I31" s="250"/>
      <c r="J31" s="250"/>
      <c r="K31" s="250"/>
      <c r="L31" s="256"/>
      <c r="M31" s="256"/>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row>
    <row r="32" ht="15.75" customHeight="1">
      <c r="A32" s="263"/>
      <c r="B32" s="242"/>
      <c r="C32" s="242"/>
      <c r="D32" s="242"/>
      <c r="E32" s="263"/>
      <c r="F32" s="250"/>
      <c r="G32" s="250"/>
      <c r="H32" s="256"/>
      <c r="I32" s="250"/>
      <c r="J32" s="250"/>
      <c r="K32" s="250"/>
      <c r="L32" s="256"/>
      <c r="M32" s="256"/>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row>
    <row r="33" ht="15.75" customHeight="1">
      <c r="A33" s="263"/>
      <c r="B33" s="242"/>
      <c r="C33" s="242"/>
      <c r="D33" s="242"/>
      <c r="E33" s="263"/>
      <c r="F33" s="250"/>
      <c r="G33" s="250"/>
      <c r="H33" s="256"/>
      <c r="I33" s="250"/>
      <c r="J33" s="250"/>
      <c r="K33" s="250"/>
      <c r="L33" s="256"/>
      <c r="M33" s="256"/>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row>
    <row r="34" ht="15.75" customHeight="1">
      <c r="A34" s="263"/>
      <c r="B34" s="242"/>
      <c r="C34" s="242"/>
      <c r="D34" s="242"/>
      <c r="E34" s="263"/>
      <c r="F34" s="250"/>
      <c r="G34" s="250"/>
      <c r="H34" s="256"/>
      <c r="I34" s="250"/>
      <c r="J34" s="250"/>
      <c r="K34" s="250"/>
      <c r="L34" s="256"/>
      <c r="M34" s="256"/>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row>
    <row r="35" ht="15.75" customHeight="1">
      <c r="A35" s="263"/>
      <c r="B35" s="242"/>
      <c r="C35" s="242"/>
      <c r="D35" s="242"/>
      <c r="E35" s="263"/>
      <c r="F35" s="250"/>
      <c r="G35" s="250"/>
      <c r="H35" s="256"/>
      <c r="I35" s="250"/>
      <c r="J35" s="250"/>
      <c r="K35" s="250"/>
      <c r="L35" s="256"/>
      <c r="M35" s="256"/>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row>
    <row r="36" ht="15.75" customHeight="1">
      <c r="A36" s="263"/>
      <c r="B36" s="242"/>
      <c r="C36" s="242"/>
      <c r="D36" s="242"/>
      <c r="E36" s="263"/>
      <c r="F36" s="250"/>
      <c r="G36" s="250"/>
      <c r="H36" s="256"/>
      <c r="I36" s="250"/>
      <c r="J36" s="250"/>
      <c r="K36" s="250"/>
      <c r="L36" s="256"/>
      <c r="M36" s="256"/>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row>
    <row r="37" ht="15.75" customHeight="1">
      <c r="A37" s="263"/>
      <c r="B37" s="242"/>
      <c r="C37" s="242"/>
      <c r="D37" s="242"/>
      <c r="E37" s="263"/>
      <c r="F37" s="250"/>
      <c r="G37" s="250"/>
      <c r="H37" s="256"/>
      <c r="I37" s="250"/>
      <c r="J37" s="250"/>
      <c r="K37" s="250"/>
      <c r="L37" s="256"/>
      <c r="M37" s="256"/>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row>
    <row r="38" ht="15.75" customHeight="1">
      <c r="A38" s="263"/>
      <c r="B38" s="242"/>
      <c r="C38" s="242"/>
      <c r="D38" s="242"/>
      <c r="E38" s="263"/>
      <c r="F38" s="250"/>
      <c r="G38" s="250"/>
      <c r="H38" s="256"/>
      <c r="I38" s="250"/>
      <c r="J38" s="250"/>
      <c r="K38" s="250"/>
      <c r="L38" s="256"/>
      <c r="M38" s="256"/>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row>
    <row r="39" ht="15.75" customHeight="1">
      <c r="A39" s="263"/>
      <c r="B39" s="242"/>
      <c r="C39" s="242"/>
      <c r="D39" s="242"/>
      <c r="E39" s="263"/>
      <c r="F39" s="250"/>
      <c r="G39" s="250"/>
      <c r="H39" s="256"/>
      <c r="I39" s="250"/>
      <c r="J39" s="250"/>
      <c r="K39" s="250"/>
      <c r="L39" s="256"/>
      <c r="M39" s="256"/>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row>
    <row r="40" ht="15.75" customHeight="1">
      <c r="A40" s="263"/>
      <c r="B40" s="242"/>
      <c r="C40" s="242"/>
      <c r="D40" s="242"/>
      <c r="E40" s="263"/>
      <c r="F40" s="250"/>
      <c r="G40" s="250"/>
      <c r="H40" s="256"/>
      <c r="I40" s="250"/>
      <c r="J40" s="250"/>
      <c r="K40" s="250"/>
      <c r="L40" s="256"/>
      <c r="M40" s="256"/>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row>
    <row r="41" ht="15.75" customHeight="1">
      <c r="A41" s="263"/>
      <c r="B41" s="242"/>
      <c r="C41" s="242"/>
      <c r="D41" s="242"/>
      <c r="E41" s="263"/>
      <c r="F41" s="250"/>
      <c r="G41" s="250"/>
      <c r="H41" s="256"/>
      <c r="I41" s="250"/>
      <c r="J41" s="250"/>
      <c r="K41" s="250"/>
      <c r="L41" s="256"/>
      <c r="M41" s="256"/>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row>
    <row r="42" ht="15.75" customHeight="1">
      <c r="A42" s="263"/>
      <c r="B42" s="242"/>
      <c r="C42" s="242"/>
      <c r="D42" s="242"/>
      <c r="E42" s="263"/>
      <c r="F42" s="250"/>
      <c r="G42" s="250"/>
      <c r="H42" s="256"/>
      <c r="I42" s="250"/>
      <c r="J42" s="250"/>
      <c r="K42" s="250"/>
      <c r="L42" s="256"/>
      <c r="M42" s="256"/>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row>
    <row r="43" ht="15.75" customHeight="1">
      <c r="A43" s="263"/>
      <c r="B43" s="242"/>
      <c r="C43" s="242"/>
      <c r="D43" s="242"/>
      <c r="E43" s="263"/>
      <c r="F43" s="250"/>
      <c r="G43" s="250"/>
      <c r="H43" s="256"/>
      <c r="I43" s="250"/>
      <c r="J43" s="250"/>
      <c r="K43" s="250"/>
      <c r="L43" s="256"/>
      <c r="M43" s="256"/>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row>
    <row r="44" ht="15.75" customHeight="1">
      <c r="A44" s="263"/>
      <c r="B44" s="242"/>
      <c r="C44" s="242"/>
      <c r="D44" s="242"/>
      <c r="E44" s="263"/>
      <c r="F44" s="250"/>
      <c r="G44" s="250"/>
      <c r="H44" s="256"/>
      <c r="I44" s="250"/>
      <c r="J44" s="250"/>
      <c r="K44" s="250"/>
      <c r="L44" s="256"/>
      <c r="M44" s="256"/>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row>
    <row r="45" ht="15.75" customHeight="1">
      <c r="A45" s="263"/>
      <c r="B45" s="242"/>
      <c r="C45" s="242"/>
      <c r="D45" s="242"/>
      <c r="E45" s="263"/>
      <c r="F45" s="250"/>
      <c r="G45" s="250"/>
      <c r="H45" s="256"/>
      <c r="I45" s="250"/>
      <c r="J45" s="250"/>
      <c r="K45" s="250"/>
      <c r="L45" s="256"/>
      <c r="M45" s="256"/>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row>
    <row r="46" ht="15.75" customHeight="1">
      <c r="A46" s="263"/>
      <c r="B46" s="242"/>
      <c r="C46" s="242"/>
      <c r="D46" s="242"/>
      <c r="E46" s="263"/>
      <c r="F46" s="250"/>
      <c r="G46" s="250"/>
      <c r="H46" s="256"/>
      <c r="I46" s="250"/>
      <c r="J46" s="250"/>
      <c r="K46" s="250"/>
      <c r="L46" s="256"/>
      <c r="M46" s="256"/>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row>
    <row r="47" ht="15.75" customHeight="1">
      <c r="A47" s="263"/>
      <c r="B47" s="242"/>
      <c r="C47" s="242"/>
      <c r="D47" s="242"/>
      <c r="E47" s="263"/>
      <c r="F47" s="250"/>
      <c r="G47" s="250"/>
      <c r="H47" s="256"/>
      <c r="I47" s="250"/>
      <c r="J47" s="250"/>
      <c r="K47" s="250"/>
      <c r="L47" s="256"/>
      <c r="M47" s="256"/>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hyperlinks>
    <hyperlink r:id="rId2" ref="E3"/>
    <hyperlink r:id="rId3" ref="E5"/>
    <hyperlink r:id="rId4" ref="E6"/>
    <hyperlink r:id="rId5" ref="E7"/>
    <hyperlink r:id="rId6" ref="E9"/>
  </hyperlinks>
  <drawing r:id="rId7"/>
  <legacy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hidden="1" min="1" max="1" width="12.63"/>
    <col customWidth="1" hidden="1" min="2" max="2" width="5.75"/>
    <col customWidth="1" min="3" max="25" width="11.0"/>
    <col customWidth="1" min="26" max="26" width="17.0"/>
    <col customWidth="1" min="27" max="27" width="6.38"/>
    <col customWidth="1" min="28" max="28" width="6.13"/>
    <col customWidth="1" min="29" max="29" width="6.0"/>
    <col customWidth="1" min="30" max="30" width="6.5"/>
    <col customWidth="1" min="31" max="31" width="4.75"/>
    <col customWidth="1" min="32" max="32" width="5.25"/>
    <col customWidth="1" min="33" max="33" width="6.75"/>
  </cols>
  <sheetData>
    <row r="1">
      <c r="A1" s="266" t="s">
        <v>1587</v>
      </c>
      <c r="B1" s="266"/>
      <c r="C1" s="267" t="s">
        <v>1588</v>
      </c>
      <c r="D1" s="267"/>
      <c r="E1" s="267"/>
      <c r="F1" s="267" t="s">
        <v>686</v>
      </c>
      <c r="G1" s="267" t="s">
        <v>21</v>
      </c>
      <c r="H1" s="267" t="s">
        <v>1589</v>
      </c>
      <c r="I1" s="267" t="s">
        <v>1590</v>
      </c>
      <c r="J1" s="267" t="s">
        <v>1591</v>
      </c>
      <c r="K1" s="268" t="s">
        <v>1592</v>
      </c>
      <c r="L1" s="267" t="s">
        <v>1593</v>
      </c>
      <c r="M1" s="267" t="s">
        <v>1594</v>
      </c>
      <c r="N1" s="267" t="s">
        <v>1595</v>
      </c>
      <c r="O1" s="267" t="s">
        <v>1596</v>
      </c>
      <c r="P1" s="267" t="s">
        <v>1597</v>
      </c>
      <c r="Q1" s="267" t="s">
        <v>1598</v>
      </c>
      <c r="R1" s="267" t="s">
        <v>1599</v>
      </c>
      <c r="S1" s="267" t="s">
        <v>1600</v>
      </c>
      <c r="T1" s="267" t="s">
        <v>1601</v>
      </c>
      <c r="U1" s="267" t="s">
        <v>1602</v>
      </c>
      <c r="V1" s="267" t="s">
        <v>1603</v>
      </c>
      <c r="W1" s="267"/>
      <c r="X1" s="267"/>
      <c r="Y1" s="267"/>
      <c r="Z1" s="179"/>
      <c r="AA1" s="179" t="s">
        <v>23</v>
      </c>
      <c r="AB1" s="179" t="s">
        <v>683</v>
      </c>
      <c r="AC1" s="179" t="s">
        <v>21</v>
      </c>
      <c r="AD1" s="179" t="s">
        <v>1583</v>
      </c>
      <c r="AE1" s="179" t="s">
        <v>11</v>
      </c>
      <c r="AF1" s="179" t="s">
        <v>1604</v>
      </c>
      <c r="AG1" s="179" t="s">
        <v>686</v>
      </c>
      <c r="AH1" s="266"/>
    </row>
    <row r="2">
      <c r="A2" s="269" t="s">
        <v>72</v>
      </c>
      <c r="B2" s="270" t="s">
        <v>1605</v>
      </c>
      <c r="C2" s="269" t="s">
        <v>72</v>
      </c>
      <c r="D2" s="269" t="s">
        <v>159</v>
      </c>
      <c r="E2" s="269" t="s">
        <v>294</v>
      </c>
      <c r="F2" s="269" t="s">
        <v>76</v>
      </c>
      <c r="G2" s="269" t="s">
        <v>80</v>
      </c>
      <c r="H2" s="269" t="s">
        <v>103</v>
      </c>
      <c r="I2" s="269" t="s">
        <v>210</v>
      </c>
      <c r="J2" s="269" t="s">
        <v>315</v>
      </c>
      <c r="K2" s="269" t="s">
        <v>147</v>
      </c>
      <c r="L2" s="269" t="s">
        <v>126</v>
      </c>
      <c r="M2" s="269" t="s">
        <v>180</v>
      </c>
      <c r="N2" s="269" t="s">
        <v>243</v>
      </c>
      <c r="O2" s="269" t="s">
        <v>114</v>
      </c>
      <c r="P2" s="269" t="s">
        <v>120</v>
      </c>
      <c r="Q2" s="269" t="s">
        <v>84</v>
      </c>
      <c r="R2" s="269" t="s">
        <v>283</v>
      </c>
      <c r="S2" s="269" t="s">
        <v>246</v>
      </c>
      <c r="T2" s="269" t="s">
        <v>309</v>
      </c>
      <c r="U2" s="269" t="s">
        <v>237</v>
      </c>
      <c r="V2" s="269" t="s">
        <v>95</v>
      </c>
      <c r="W2" s="269" t="s">
        <v>156</v>
      </c>
      <c r="X2" s="269" t="s">
        <v>234</v>
      </c>
      <c r="Y2" s="269" t="s">
        <v>336</v>
      </c>
      <c r="Z2" s="271" t="s">
        <v>72</v>
      </c>
      <c r="AA2" s="91">
        <v>0.0</v>
      </c>
      <c r="AB2" s="91">
        <v>0.0</v>
      </c>
      <c r="AC2" s="91">
        <v>0.0</v>
      </c>
      <c r="AD2" s="91">
        <v>0.0</v>
      </c>
      <c r="AE2" s="91">
        <v>0.0</v>
      </c>
      <c r="AF2" s="91">
        <v>0.0</v>
      </c>
      <c r="AG2" s="91">
        <v>0.0</v>
      </c>
      <c r="AH2" s="269"/>
    </row>
    <row r="3">
      <c r="A3" s="269" t="s">
        <v>76</v>
      </c>
      <c r="B3" s="270" t="s">
        <v>1606</v>
      </c>
      <c r="C3" s="269" t="s">
        <v>88</v>
      </c>
      <c r="D3" s="269" t="s">
        <v>177</v>
      </c>
      <c r="E3" s="269" t="s">
        <v>297</v>
      </c>
      <c r="F3" s="269" t="s">
        <v>219</v>
      </c>
      <c r="G3" s="269" t="s">
        <v>99</v>
      </c>
      <c r="H3" s="269" t="s">
        <v>153</v>
      </c>
      <c r="I3" s="269" t="s">
        <v>240</v>
      </c>
      <c r="J3" s="269"/>
      <c r="K3" s="272"/>
      <c r="L3" s="269" t="s">
        <v>138</v>
      </c>
      <c r="M3" s="272"/>
      <c r="N3" s="272"/>
      <c r="O3" s="269" t="s">
        <v>265</v>
      </c>
      <c r="P3" s="269"/>
      <c r="Q3" s="269" t="s">
        <v>123</v>
      </c>
      <c r="R3" s="272"/>
      <c r="S3" s="269" t="s">
        <v>393</v>
      </c>
      <c r="T3" s="272"/>
      <c r="U3" s="269"/>
      <c r="V3" s="269" t="s">
        <v>107</v>
      </c>
      <c r="W3" s="269" t="s">
        <v>162</v>
      </c>
      <c r="X3" s="269" t="s">
        <v>268</v>
      </c>
      <c r="Y3" s="269" t="s">
        <v>360</v>
      </c>
      <c r="Z3" s="271" t="s">
        <v>76</v>
      </c>
      <c r="AA3" s="91">
        <v>0.0</v>
      </c>
      <c r="AB3" s="91">
        <v>0.0</v>
      </c>
      <c r="AC3" s="91">
        <v>0.0</v>
      </c>
      <c r="AD3" s="91">
        <v>0.0</v>
      </c>
      <c r="AE3" s="91">
        <v>0.0</v>
      </c>
      <c r="AF3" s="91">
        <v>0.0</v>
      </c>
      <c r="AG3" s="273">
        <v>1.0</v>
      </c>
      <c r="AH3" s="269"/>
    </row>
    <row r="4">
      <c r="A4" s="269" t="s">
        <v>80</v>
      </c>
      <c r="B4" s="270" t="s">
        <v>1607</v>
      </c>
      <c r="C4" s="269" t="s">
        <v>92</v>
      </c>
      <c r="D4" s="269" t="s">
        <v>255</v>
      </c>
      <c r="E4" s="95" t="s">
        <v>312</v>
      </c>
      <c r="F4" s="269" t="s">
        <v>286</v>
      </c>
      <c r="G4" s="269" t="s">
        <v>111</v>
      </c>
      <c r="H4" s="269" t="s">
        <v>174</v>
      </c>
      <c r="I4" s="269" t="s">
        <v>274</v>
      </c>
      <c r="J4" s="269"/>
      <c r="K4" s="272"/>
      <c r="L4" s="269" t="s">
        <v>141</v>
      </c>
      <c r="M4" s="272"/>
      <c r="N4" s="272"/>
      <c r="O4" s="272"/>
      <c r="P4" s="269"/>
      <c r="Q4" s="269" t="s">
        <v>168</v>
      </c>
      <c r="R4" s="272"/>
      <c r="S4" s="272"/>
      <c r="T4" s="272"/>
      <c r="U4" s="269"/>
      <c r="V4" s="269" t="s">
        <v>117</v>
      </c>
      <c r="W4" s="269" t="s">
        <v>165</v>
      </c>
      <c r="X4" s="269" t="s">
        <v>306</v>
      </c>
      <c r="Y4" s="269" t="s">
        <v>366</v>
      </c>
      <c r="Z4" s="271" t="s">
        <v>80</v>
      </c>
      <c r="AA4" s="91">
        <v>0.0</v>
      </c>
      <c r="AB4" s="91">
        <v>0.0</v>
      </c>
      <c r="AC4" s="273">
        <v>1.0</v>
      </c>
      <c r="AD4" s="91">
        <v>0.0</v>
      </c>
      <c r="AE4" s="91">
        <v>0.0</v>
      </c>
      <c r="AF4" s="91">
        <v>0.0</v>
      </c>
      <c r="AG4" s="91">
        <v>0.0</v>
      </c>
      <c r="AH4" s="269"/>
    </row>
    <row r="5">
      <c r="A5" s="269" t="s">
        <v>84</v>
      </c>
      <c r="B5" s="270" t="s">
        <v>1608</v>
      </c>
      <c r="C5" s="269" t="s">
        <v>129</v>
      </c>
      <c r="D5" s="269" t="s">
        <v>263</v>
      </c>
      <c r="E5" s="269" t="s">
        <v>369</v>
      </c>
      <c r="F5" s="272"/>
      <c r="G5" s="269" t="s">
        <v>186</v>
      </c>
      <c r="H5" s="269" t="s">
        <v>195</v>
      </c>
      <c r="I5" s="269" t="s">
        <v>345</v>
      </c>
      <c r="J5" s="269"/>
      <c r="K5" s="272"/>
      <c r="L5" s="269" t="s">
        <v>192</v>
      </c>
      <c r="M5" s="272"/>
      <c r="N5" s="272"/>
      <c r="O5" s="272"/>
      <c r="P5" s="269"/>
      <c r="Q5" s="269" t="s">
        <v>171</v>
      </c>
      <c r="R5" s="272"/>
      <c r="S5" s="272"/>
      <c r="T5" s="272"/>
      <c r="U5" s="269"/>
      <c r="V5" s="269" t="s">
        <v>132</v>
      </c>
      <c r="W5" s="269" t="s">
        <v>183</v>
      </c>
      <c r="X5" s="269" t="s">
        <v>321</v>
      </c>
      <c r="Y5" s="269" t="s">
        <v>378</v>
      </c>
      <c r="Z5" s="271" t="s">
        <v>84</v>
      </c>
      <c r="AA5" s="91">
        <v>0.0</v>
      </c>
      <c r="AB5" s="273">
        <v>1.0</v>
      </c>
      <c r="AC5" s="273">
        <v>1.0</v>
      </c>
      <c r="AD5" s="91">
        <v>0.0</v>
      </c>
      <c r="AE5" s="273">
        <v>1.0</v>
      </c>
      <c r="AF5" s="91">
        <v>0.0</v>
      </c>
      <c r="AG5" s="273">
        <v>1.0</v>
      </c>
      <c r="AH5" s="269"/>
    </row>
    <row r="6">
      <c r="A6" s="269" t="s">
        <v>88</v>
      </c>
      <c r="B6" s="270" t="s">
        <v>1605</v>
      </c>
      <c r="C6" s="269" t="s">
        <v>144</v>
      </c>
      <c r="E6" s="269" t="s">
        <v>387</v>
      </c>
      <c r="F6" s="272"/>
      <c r="G6" s="269" t="s">
        <v>198</v>
      </c>
      <c r="H6" s="269" t="s">
        <v>280</v>
      </c>
      <c r="I6" s="269" t="s">
        <v>354</v>
      </c>
      <c r="J6" s="269"/>
      <c r="K6" s="272"/>
      <c r="L6" s="269" t="s">
        <v>201</v>
      </c>
      <c r="M6" s="272"/>
      <c r="N6" s="272"/>
      <c r="O6" s="272"/>
      <c r="P6" s="269"/>
      <c r="Q6" s="269" t="s">
        <v>213</v>
      </c>
      <c r="R6" s="270"/>
      <c r="S6" s="272"/>
      <c r="T6" s="272"/>
      <c r="U6" s="269"/>
      <c r="V6" s="269" t="s">
        <v>135</v>
      </c>
      <c r="W6" s="269" t="s">
        <v>207</v>
      </c>
      <c r="X6" s="269" t="s">
        <v>327</v>
      </c>
      <c r="Y6" s="269" t="s">
        <v>381</v>
      </c>
      <c r="Z6" s="271" t="s">
        <v>88</v>
      </c>
      <c r="AA6" s="91">
        <v>0.0</v>
      </c>
      <c r="AB6" s="91">
        <v>0.0</v>
      </c>
      <c r="AC6" s="91">
        <v>0.0</v>
      </c>
      <c r="AD6" s="91">
        <v>0.0</v>
      </c>
      <c r="AE6" s="91">
        <v>0.0</v>
      </c>
      <c r="AF6" s="91">
        <v>0.0</v>
      </c>
      <c r="AG6" s="91">
        <v>0.0</v>
      </c>
      <c r="AH6" s="269"/>
    </row>
    <row r="7">
      <c r="A7" s="269" t="s">
        <v>92</v>
      </c>
      <c r="B7" s="270" t="s">
        <v>1605</v>
      </c>
      <c r="D7" s="269"/>
      <c r="E7" s="269"/>
      <c r="F7" s="272"/>
      <c r="G7" s="269" t="s">
        <v>204</v>
      </c>
      <c r="H7" s="269" t="s">
        <v>289</v>
      </c>
      <c r="I7" s="269" t="s">
        <v>357</v>
      </c>
      <c r="J7" s="269"/>
      <c r="K7" s="272"/>
      <c r="L7" s="269" t="s">
        <v>216</v>
      </c>
      <c r="M7" s="272"/>
      <c r="N7" s="272"/>
      <c r="O7" s="272"/>
      <c r="P7" s="269"/>
      <c r="Q7" s="269" t="s">
        <v>222</v>
      </c>
      <c r="R7" s="272"/>
      <c r="S7" s="272"/>
      <c r="T7" s="272"/>
      <c r="U7" s="269"/>
      <c r="V7" s="269" t="s">
        <v>150</v>
      </c>
      <c r="W7" s="269"/>
      <c r="X7" s="269"/>
      <c r="Y7" s="269" t="s">
        <v>384</v>
      </c>
      <c r="Z7" s="271" t="s">
        <v>92</v>
      </c>
      <c r="AA7" s="91">
        <v>0.0</v>
      </c>
      <c r="AB7" s="91">
        <v>0.0</v>
      </c>
      <c r="AC7" s="91">
        <v>0.0</v>
      </c>
      <c r="AD7" s="91">
        <v>0.0</v>
      </c>
      <c r="AE7" s="91">
        <v>0.0</v>
      </c>
      <c r="AF7" s="91">
        <v>0.0</v>
      </c>
      <c r="AG7" s="91">
        <v>0.0</v>
      </c>
      <c r="AH7" s="269"/>
    </row>
    <row r="8">
      <c r="A8" s="269" t="s">
        <v>95</v>
      </c>
      <c r="B8" s="95" t="s">
        <v>1609</v>
      </c>
      <c r="D8" s="269"/>
      <c r="E8" s="269"/>
      <c r="F8" s="183"/>
      <c r="G8" s="183"/>
      <c r="H8" s="183"/>
      <c r="I8" s="183"/>
      <c r="J8" s="183"/>
      <c r="K8" s="183"/>
      <c r="L8" s="269" t="s">
        <v>225</v>
      </c>
      <c r="M8" s="183"/>
      <c r="N8" s="183"/>
      <c r="O8" s="183"/>
      <c r="P8" s="183"/>
      <c r="Q8" s="269" t="s">
        <v>228</v>
      </c>
      <c r="R8" s="183"/>
      <c r="S8" s="183"/>
      <c r="T8" s="183"/>
      <c r="U8" s="95"/>
      <c r="W8" s="269"/>
      <c r="X8" s="269"/>
      <c r="Y8" s="269"/>
      <c r="Z8" s="274" t="s">
        <v>95</v>
      </c>
      <c r="AA8" s="273">
        <v>1.0</v>
      </c>
      <c r="AB8" s="273">
        <v>1.0</v>
      </c>
      <c r="AC8" s="273">
        <v>1.0</v>
      </c>
      <c r="AD8" s="273">
        <v>1.0</v>
      </c>
      <c r="AE8" s="273">
        <v>1.0</v>
      </c>
      <c r="AF8" s="273">
        <v>1.0</v>
      </c>
      <c r="AG8" s="273">
        <v>1.0</v>
      </c>
      <c r="AH8" s="269"/>
    </row>
    <row r="9">
      <c r="A9" s="269" t="s">
        <v>99</v>
      </c>
      <c r="B9" s="270" t="s">
        <v>1607</v>
      </c>
      <c r="D9" s="269"/>
      <c r="E9" s="269"/>
      <c r="F9" s="272"/>
      <c r="G9" s="272"/>
      <c r="H9" s="272"/>
      <c r="I9" s="272"/>
      <c r="J9" s="272"/>
      <c r="K9" s="272"/>
      <c r="L9" s="269" t="s">
        <v>252</v>
      </c>
      <c r="M9" s="272"/>
      <c r="N9" s="272"/>
      <c r="O9" s="272"/>
      <c r="P9" s="272"/>
      <c r="Q9" s="269" t="s">
        <v>231</v>
      </c>
      <c r="R9" s="272"/>
      <c r="S9" s="272"/>
      <c r="T9" s="272"/>
      <c r="U9" s="272"/>
      <c r="W9" s="269"/>
      <c r="X9" s="269"/>
      <c r="Y9" s="269"/>
      <c r="Z9" s="271" t="s">
        <v>99</v>
      </c>
      <c r="AA9" s="91">
        <v>0.0</v>
      </c>
      <c r="AB9" s="91">
        <v>0.0</v>
      </c>
      <c r="AC9" s="273">
        <v>1.0</v>
      </c>
      <c r="AD9" s="91">
        <v>0.0</v>
      </c>
      <c r="AE9" s="91">
        <v>0.0</v>
      </c>
      <c r="AF9" s="91">
        <v>0.0</v>
      </c>
      <c r="AG9" s="91">
        <v>0.0</v>
      </c>
      <c r="AH9" s="269"/>
    </row>
    <row r="10">
      <c r="A10" s="269" t="s">
        <v>103</v>
      </c>
      <c r="B10" s="270" t="s">
        <v>1610</v>
      </c>
      <c r="D10" s="269"/>
      <c r="E10" s="269"/>
      <c r="F10" s="272"/>
      <c r="G10" s="272"/>
      <c r="H10" s="272"/>
      <c r="I10" s="272"/>
      <c r="J10" s="272"/>
      <c r="K10" s="272"/>
      <c r="L10" s="269" t="s">
        <v>258</v>
      </c>
      <c r="M10" s="272"/>
      <c r="N10" s="272"/>
      <c r="O10" s="272"/>
      <c r="P10" s="272"/>
      <c r="Q10" s="269" t="s">
        <v>249</v>
      </c>
      <c r="R10" s="272"/>
      <c r="S10" s="272"/>
      <c r="T10" s="272"/>
      <c r="U10" s="272"/>
      <c r="W10" s="269"/>
      <c r="X10" s="269"/>
      <c r="Y10" s="269"/>
      <c r="Z10" s="271" t="s">
        <v>103</v>
      </c>
      <c r="AA10" s="91">
        <v>0.0</v>
      </c>
      <c r="AB10" s="273">
        <v>1.0</v>
      </c>
      <c r="AC10" s="91">
        <v>0.0</v>
      </c>
      <c r="AD10" s="91">
        <v>0.0</v>
      </c>
      <c r="AE10" s="91">
        <v>0.0</v>
      </c>
      <c r="AF10" s="91">
        <v>0.0</v>
      </c>
      <c r="AG10" s="273">
        <v>1.0</v>
      </c>
      <c r="AH10" s="269"/>
    </row>
    <row r="11">
      <c r="A11" s="269" t="s">
        <v>107</v>
      </c>
      <c r="B11" s="95" t="s">
        <v>1609</v>
      </c>
      <c r="D11" s="269"/>
      <c r="E11" s="269"/>
      <c r="F11" s="183"/>
      <c r="G11" s="183"/>
      <c r="H11" s="183"/>
      <c r="I11" s="183"/>
      <c r="J11" s="183"/>
      <c r="K11" s="183"/>
      <c r="L11" s="269" t="s">
        <v>271</v>
      </c>
      <c r="M11" s="183"/>
      <c r="N11" s="183"/>
      <c r="O11" s="183"/>
      <c r="P11" s="183"/>
      <c r="Q11" s="269" t="s">
        <v>260</v>
      </c>
      <c r="R11" s="183"/>
      <c r="S11" s="183"/>
      <c r="T11" s="183"/>
      <c r="U11" s="183"/>
      <c r="W11" s="269"/>
      <c r="X11" s="269"/>
      <c r="Y11" s="269"/>
      <c r="Z11" s="274" t="s">
        <v>107</v>
      </c>
      <c r="AA11" s="273">
        <v>1.0</v>
      </c>
      <c r="AB11" s="273">
        <v>1.0</v>
      </c>
      <c r="AC11" s="273">
        <v>1.0</v>
      </c>
      <c r="AD11" s="273">
        <v>1.0</v>
      </c>
      <c r="AE11" s="273">
        <v>1.0</v>
      </c>
      <c r="AF11" s="273">
        <v>1.0</v>
      </c>
      <c r="AG11" s="273">
        <v>1.0</v>
      </c>
      <c r="AH11" s="269"/>
    </row>
    <row r="12">
      <c r="A12" s="269" t="s">
        <v>111</v>
      </c>
      <c r="B12" s="270" t="s">
        <v>1607</v>
      </c>
      <c r="D12" s="269"/>
      <c r="E12" s="269"/>
      <c r="F12" s="272"/>
      <c r="G12" s="272"/>
      <c r="H12" s="272"/>
      <c r="I12" s="272"/>
      <c r="J12" s="272"/>
      <c r="K12" s="272"/>
      <c r="L12" s="269" t="s">
        <v>303</v>
      </c>
      <c r="M12" s="272"/>
      <c r="N12" s="272"/>
      <c r="O12" s="272"/>
      <c r="P12" s="272"/>
      <c r="Q12" s="269" t="s">
        <v>277</v>
      </c>
      <c r="R12" s="272"/>
      <c r="S12" s="272"/>
      <c r="T12" s="272"/>
      <c r="U12" s="270"/>
      <c r="W12" s="269"/>
      <c r="X12" s="269"/>
      <c r="Y12" s="269"/>
      <c r="Z12" s="271" t="s">
        <v>111</v>
      </c>
      <c r="AA12" s="91">
        <v>0.0</v>
      </c>
      <c r="AB12" s="91">
        <v>0.0</v>
      </c>
      <c r="AC12" s="273">
        <v>1.0</v>
      </c>
      <c r="AD12" s="91">
        <v>0.0</v>
      </c>
      <c r="AE12" s="91">
        <v>0.0</v>
      </c>
      <c r="AF12" s="91">
        <v>0.0</v>
      </c>
      <c r="AG12" s="91">
        <v>0.0</v>
      </c>
      <c r="AH12" s="269"/>
    </row>
    <row r="13">
      <c r="A13" s="269" t="s">
        <v>114</v>
      </c>
      <c r="B13" s="270" t="s">
        <v>1611</v>
      </c>
      <c r="D13" s="269"/>
      <c r="E13" s="269"/>
      <c r="F13" s="272"/>
      <c r="G13" s="272"/>
      <c r="H13" s="272"/>
      <c r="I13" s="272"/>
      <c r="J13" s="272"/>
      <c r="K13" s="272"/>
      <c r="L13" s="269" t="s">
        <v>318</v>
      </c>
      <c r="M13" s="272"/>
      <c r="N13" s="272"/>
      <c r="O13" s="272"/>
      <c r="P13" s="272"/>
      <c r="Q13" s="269" t="s">
        <v>300</v>
      </c>
      <c r="R13" s="272"/>
      <c r="S13" s="272"/>
      <c r="T13" s="272"/>
      <c r="U13" s="272"/>
      <c r="W13" s="269"/>
      <c r="X13" s="269"/>
      <c r="Y13" s="269"/>
      <c r="Z13" s="274" t="s">
        <v>114</v>
      </c>
      <c r="AA13" s="273">
        <v>1.0</v>
      </c>
      <c r="AB13" s="273">
        <v>1.0</v>
      </c>
      <c r="AC13" s="273">
        <v>1.0</v>
      </c>
      <c r="AD13" s="273">
        <v>1.0</v>
      </c>
      <c r="AE13" s="91">
        <v>0.0</v>
      </c>
      <c r="AF13" s="273">
        <v>1.0</v>
      </c>
      <c r="AG13" s="273">
        <v>1.0</v>
      </c>
      <c r="AH13" s="269"/>
    </row>
    <row r="14">
      <c r="A14" s="269" t="s">
        <v>117</v>
      </c>
      <c r="B14" s="95" t="s">
        <v>1609</v>
      </c>
      <c r="D14" s="269"/>
      <c r="E14" s="269"/>
      <c r="F14" s="183"/>
      <c r="G14" s="183"/>
      <c r="H14" s="183"/>
      <c r="I14" s="183"/>
      <c r="J14" s="183"/>
      <c r="K14" s="183"/>
      <c r="L14" s="269" t="s">
        <v>324</v>
      </c>
      <c r="M14" s="183"/>
      <c r="N14" s="183"/>
      <c r="O14" s="183"/>
      <c r="P14" s="183"/>
      <c r="Q14" s="269" t="s">
        <v>339</v>
      </c>
      <c r="R14" s="183"/>
      <c r="S14" s="183"/>
      <c r="T14" s="183"/>
      <c r="U14" s="183"/>
      <c r="W14" s="269"/>
      <c r="X14" s="269"/>
      <c r="Y14" s="269"/>
      <c r="Z14" s="274" t="s">
        <v>117</v>
      </c>
      <c r="AA14" s="273">
        <v>1.0</v>
      </c>
      <c r="AB14" s="273">
        <v>1.0</v>
      </c>
      <c r="AC14" s="273">
        <v>1.0</v>
      </c>
      <c r="AD14" s="273">
        <v>1.0</v>
      </c>
      <c r="AE14" s="273">
        <v>1.0</v>
      </c>
      <c r="AF14" s="273">
        <v>1.0</v>
      </c>
      <c r="AG14" s="273">
        <v>1.0</v>
      </c>
      <c r="AH14" s="269"/>
    </row>
    <row r="15">
      <c r="A15" s="269" t="s">
        <v>120</v>
      </c>
      <c r="B15" s="95" t="s">
        <v>1612</v>
      </c>
      <c r="D15" s="269"/>
      <c r="E15" s="269"/>
      <c r="F15" s="183"/>
      <c r="G15" s="183"/>
      <c r="H15" s="183"/>
      <c r="I15" s="183"/>
      <c r="J15" s="183"/>
      <c r="K15" s="183"/>
      <c r="L15" s="269" t="s">
        <v>330</v>
      </c>
      <c r="M15" s="183"/>
      <c r="N15" s="183"/>
      <c r="O15" s="183"/>
      <c r="P15" s="183"/>
      <c r="Q15" s="269" t="s">
        <v>342</v>
      </c>
      <c r="R15" s="183"/>
      <c r="S15" s="183"/>
      <c r="T15" s="183"/>
      <c r="U15" s="183"/>
      <c r="W15" s="269"/>
      <c r="X15" s="269"/>
      <c r="Y15" s="269"/>
      <c r="Z15" s="274" t="s">
        <v>120</v>
      </c>
      <c r="AA15" s="273">
        <v>1.0</v>
      </c>
      <c r="AB15" s="273">
        <v>1.0</v>
      </c>
      <c r="AC15" s="273">
        <v>1.0</v>
      </c>
      <c r="AD15" s="91">
        <v>0.0</v>
      </c>
      <c r="AE15" s="91">
        <v>0.0</v>
      </c>
      <c r="AF15" s="273">
        <v>1.0</v>
      </c>
      <c r="AG15" s="273">
        <v>1.0</v>
      </c>
      <c r="AH15" s="269"/>
    </row>
    <row r="16">
      <c r="A16" s="269" t="s">
        <v>123</v>
      </c>
      <c r="B16" s="270" t="s">
        <v>1608</v>
      </c>
      <c r="D16" s="269"/>
      <c r="E16" s="269"/>
      <c r="F16" s="272"/>
      <c r="G16" s="272"/>
      <c r="H16" s="272"/>
      <c r="I16" s="272"/>
      <c r="J16" s="272"/>
      <c r="K16" s="272"/>
      <c r="L16" s="269" t="s">
        <v>333</v>
      </c>
      <c r="M16" s="272"/>
      <c r="N16" s="272"/>
      <c r="O16" s="272"/>
      <c r="P16" s="272"/>
      <c r="Q16" s="269" t="s">
        <v>351</v>
      </c>
      <c r="R16" s="272"/>
      <c r="S16" s="272"/>
      <c r="T16" s="272"/>
      <c r="U16" s="272"/>
      <c r="W16" s="269"/>
      <c r="X16" s="269"/>
      <c r="Y16" s="269"/>
      <c r="Z16" s="271" t="s">
        <v>123</v>
      </c>
      <c r="AA16" s="91">
        <v>0.0</v>
      </c>
      <c r="AB16" s="273">
        <v>1.0</v>
      </c>
      <c r="AC16" s="273">
        <v>1.0</v>
      </c>
      <c r="AD16" s="91">
        <v>0.0</v>
      </c>
      <c r="AE16" s="273">
        <v>1.0</v>
      </c>
      <c r="AF16" s="273">
        <v>1.0</v>
      </c>
      <c r="AG16" s="273">
        <v>1.0</v>
      </c>
      <c r="AH16" s="269"/>
    </row>
    <row r="17">
      <c r="A17" s="269" t="s">
        <v>126</v>
      </c>
      <c r="B17" s="270" t="s">
        <v>1613</v>
      </c>
      <c r="C17" s="272"/>
      <c r="D17" s="272"/>
      <c r="E17" s="272"/>
      <c r="F17" s="272"/>
      <c r="G17" s="272"/>
      <c r="H17" s="272"/>
      <c r="I17" s="272"/>
      <c r="J17" s="272"/>
      <c r="K17" s="272"/>
      <c r="L17" s="269" t="s">
        <v>348</v>
      </c>
      <c r="M17" s="272"/>
      <c r="N17" s="272"/>
      <c r="O17" s="272"/>
      <c r="P17" s="272"/>
      <c r="Q17" s="269" t="s">
        <v>372</v>
      </c>
      <c r="R17" s="272"/>
      <c r="S17" s="272"/>
      <c r="T17" s="272"/>
      <c r="U17" s="272"/>
      <c r="W17" s="269"/>
      <c r="X17" s="269"/>
      <c r="Y17" s="269"/>
      <c r="Z17" s="271" t="s">
        <v>126</v>
      </c>
      <c r="AA17" s="91">
        <v>0.0</v>
      </c>
      <c r="AB17" s="273">
        <v>1.0</v>
      </c>
      <c r="AC17" s="273">
        <v>1.0</v>
      </c>
      <c r="AD17" s="91">
        <v>0.0</v>
      </c>
      <c r="AE17" s="91">
        <v>0.0</v>
      </c>
      <c r="AF17" s="91">
        <v>0.0</v>
      </c>
      <c r="AG17" s="273">
        <v>1.0</v>
      </c>
      <c r="AH17" s="269"/>
    </row>
    <row r="18">
      <c r="A18" s="269" t="s">
        <v>129</v>
      </c>
      <c r="B18" s="270" t="s">
        <v>1605</v>
      </c>
      <c r="C18" s="272"/>
      <c r="D18" s="272"/>
      <c r="E18" s="272"/>
      <c r="F18" s="272"/>
      <c r="G18" s="272"/>
      <c r="H18" s="272"/>
      <c r="I18" s="272"/>
      <c r="J18" s="272"/>
      <c r="K18" s="272"/>
      <c r="L18" s="269" t="s">
        <v>363</v>
      </c>
      <c r="M18" s="272"/>
      <c r="N18" s="272"/>
      <c r="O18" s="272"/>
      <c r="P18" s="272"/>
      <c r="Q18" s="269" t="s">
        <v>390</v>
      </c>
      <c r="R18" s="272"/>
      <c r="S18" s="272"/>
      <c r="T18" s="272"/>
      <c r="U18" s="272"/>
      <c r="W18" s="269"/>
      <c r="X18" s="269"/>
      <c r="Y18" s="269"/>
      <c r="Z18" s="271" t="s">
        <v>129</v>
      </c>
      <c r="AA18" s="91">
        <v>0.0</v>
      </c>
      <c r="AB18" s="91">
        <v>0.0</v>
      </c>
      <c r="AC18" s="91">
        <v>0.0</v>
      </c>
      <c r="AD18" s="91">
        <v>0.0</v>
      </c>
      <c r="AE18" s="91">
        <v>0.0</v>
      </c>
      <c r="AF18" s="91">
        <v>0.0</v>
      </c>
      <c r="AG18" s="91">
        <v>0.0</v>
      </c>
      <c r="AH18" s="269"/>
    </row>
    <row r="19">
      <c r="A19" s="269" t="s">
        <v>132</v>
      </c>
      <c r="B19" s="95" t="s">
        <v>1609</v>
      </c>
      <c r="C19" s="183"/>
      <c r="D19" s="183"/>
      <c r="E19" s="183"/>
      <c r="F19" s="183"/>
      <c r="G19" s="183"/>
      <c r="H19" s="183"/>
      <c r="I19" s="183"/>
      <c r="J19" s="183"/>
      <c r="K19" s="183"/>
      <c r="L19" s="269" t="s">
        <v>375</v>
      </c>
      <c r="M19" s="183"/>
      <c r="N19" s="183"/>
      <c r="O19" s="183"/>
      <c r="P19" s="183"/>
      <c r="Q19" s="269" t="s">
        <v>189</v>
      </c>
      <c r="R19" s="183"/>
      <c r="S19" s="183"/>
      <c r="T19" s="183"/>
      <c r="U19" s="183"/>
      <c r="W19" s="269"/>
      <c r="X19" s="269"/>
      <c r="Y19" s="269"/>
      <c r="Z19" s="274" t="s">
        <v>132</v>
      </c>
      <c r="AA19" s="273">
        <v>1.0</v>
      </c>
      <c r="AB19" s="273">
        <v>1.0</v>
      </c>
      <c r="AC19" s="273">
        <v>1.0</v>
      </c>
      <c r="AD19" s="273">
        <v>1.0</v>
      </c>
      <c r="AE19" s="273">
        <v>1.0</v>
      </c>
      <c r="AF19" s="273">
        <v>1.0</v>
      </c>
      <c r="AG19" s="273">
        <v>1.0</v>
      </c>
      <c r="AH19" s="269"/>
    </row>
    <row r="20">
      <c r="A20" s="269" t="s">
        <v>135</v>
      </c>
      <c r="B20" s="95" t="s">
        <v>1605</v>
      </c>
      <c r="C20" s="183"/>
      <c r="D20" s="183"/>
      <c r="E20" s="183"/>
      <c r="F20" s="183"/>
      <c r="G20" s="183"/>
      <c r="H20" s="183"/>
      <c r="I20" s="183"/>
      <c r="J20" s="183"/>
      <c r="K20" s="183"/>
      <c r="L20" s="183"/>
      <c r="M20" s="183"/>
      <c r="N20" s="183"/>
      <c r="O20" s="183"/>
      <c r="P20" s="183"/>
      <c r="Q20" s="183"/>
      <c r="R20" s="183"/>
      <c r="S20" s="183"/>
      <c r="T20" s="183"/>
      <c r="U20" s="183"/>
      <c r="W20" s="269"/>
      <c r="X20" s="269"/>
      <c r="Y20" s="269"/>
      <c r="Z20" s="274" t="s">
        <v>135</v>
      </c>
      <c r="AA20" s="273">
        <v>1.0</v>
      </c>
      <c r="AB20" s="273">
        <v>1.0</v>
      </c>
      <c r="AC20" s="273">
        <v>1.0</v>
      </c>
      <c r="AD20" s="273">
        <v>1.0</v>
      </c>
      <c r="AE20" s="273">
        <v>1.0</v>
      </c>
      <c r="AF20" s="273">
        <v>1.0</v>
      </c>
      <c r="AG20" s="273">
        <v>1.0</v>
      </c>
      <c r="AH20" s="269"/>
    </row>
    <row r="21">
      <c r="A21" s="269" t="s">
        <v>138</v>
      </c>
      <c r="B21" s="270" t="s">
        <v>1613</v>
      </c>
      <c r="C21" s="272"/>
      <c r="D21" s="272"/>
      <c r="E21" s="272"/>
      <c r="F21" s="272"/>
      <c r="G21" s="272"/>
      <c r="H21" s="272"/>
      <c r="I21" s="272"/>
      <c r="J21" s="272"/>
      <c r="K21" s="272"/>
      <c r="L21" s="272"/>
      <c r="M21" s="272"/>
      <c r="N21" s="272"/>
      <c r="O21" s="272"/>
      <c r="P21" s="272"/>
      <c r="Q21" s="272"/>
      <c r="R21" s="272"/>
      <c r="S21" s="272"/>
      <c r="T21" s="272"/>
      <c r="U21" s="272"/>
      <c r="W21" s="269"/>
      <c r="X21" s="269"/>
      <c r="Y21" s="269"/>
      <c r="Z21" s="271" t="s">
        <v>138</v>
      </c>
      <c r="AA21" s="91">
        <v>0.0</v>
      </c>
      <c r="AB21" s="273">
        <v>1.0</v>
      </c>
      <c r="AC21" s="273">
        <v>1.0</v>
      </c>
      <c r="AD21" s="91">
        <v>0.0</v>
      </c>
      <c r="AE21" s="91">
        <v>0.0</v>
      </c>
      <c r="AF21" s="273">
        <v>1.0</v>
      </c>
      <c r="AG21" s="273">
        <v>1.0</v>
      </c>
      <c r="AH21" s="269"/>
    </row>
    <row r="22">
      <c r="A22" s="269" t="s">
        <v>141</v>
      </c>
      <c r="B22" s="270" t="s">
        <v>1613</v>
      </c>
      <c r="C22" s="272"/>
      <c r="D22" s="272"/>
      <c r="E22" s="272"/>
      <c r="F22" s="272"/>
      <c r="G22" s="272"/>
      <c r="H22" s="272"/>
      <c r="I22" s="272"/>
      <c r="J22" s="272"/>
      <c r="K22" s="272"/>
      <c r="L22" s="272"/>
      <c r="M22" s="272"/>
      <c r="N22" s="272"/>
      <c r="O22" s="272"/>
      <c r="P22" s="272"/>
      <c r="Q22" s="272"/>
      <c r="R22" s="272"/>
      <c r="S22" s="272"/>
      <c r="T22" s="272"/>
      <c r="U22" s="272"/>
      <c r="W22" s="269"/>
      <c r="X22" s="269"/>
      <c r="Y22" s="269"/>
      <c r="Z22" s="271" t="s">
        <v>141</v>
      </c>
      <c r="AA22" s="91">
        <v>0.0</v>
      </c>
      <c r="AB22" s="273">
        <v>1.0</v>
      </c>
      <c r="AC22" s="273">
        <v>1.0</v>
      </c>
      <c r="AD22" s="91">
        <v>0.0</v>
      </c>
      <c r="AE22" s="91">
        <v>0.0</v>
      </c>
      <c r="AF22" s="273">
        <v>1.0</v>
      </c>
      <c r="AG22" s="273">
        <v>1.0</v>
      </c>
      <c r="AH22" s="269"/>
    </row>
    <row r="23">
      <c r="A23" s="269" t="s">
        <v>144</v>
      </c>
      <c r="B23" s="270" t="s">
        <v>1605</v>
      </c>
      <c r="C23" s="272"/>
      <c r="D23" s="272"/>
      <c r="E23" s="272"/>
      <c r="F23" s="272"/>
      <c r="G23" s="272"/>
      <c r="H23" s="272"/>
      <c r="I23" s="272"/>
      <c r="J23" s="272"/>
      <c r="K23" s="272"/>
      <c r="L23" s="272"/>
      <c r="M23" s="272"/>
      <c r="N23" s="272"/>
      <c r="O23" s="272"/>
      <c r="P23" s="272"/>
      <c r="Q23" s="272"/>
      <c r="R23" s="272"/>
      <c r="S23" s="272"/>
      <c r="T23" s="272"/>
      <c r="U23" s="272"/>
      <c r="W23" s="269"/>
      <c r="X23" s="269"/>
      <c r="Y23" s="269"/>
      <c r="Z23" s="271" t="s">
        <v>144</v>
      </c>
      <c r="AA23" s="91">
        <v>0.0</v>
      </c>
      <c r="AB23" s="91">
        <v>0.0</v>
      </c>
      <c r="AC23" s="91">
        <v>0.0</v>
      </c>
      <c r="AD23" s="91">
        <v>0.0</v>
      </c>
      <c r="AE23" s="91">
        <v>0.0</v>
      </c>
      <c r="AF23" s="273">
        <v>1.0</v>
      </c>
      <c r="AG23" s="91">
        <v>0.0</v>
      </c>
      <c r="AH23" s="269"/>
    </row>
    <row r="24">
      <c r="A24" s="269" t="s">
        <v>147</v>
      </c>
      <c r="B24" s="270" t="s">
        <v>1614</v>
      </c>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1" t="s">
        <v>147</v>
      </c>
      <c r="AA24" s="91">
        <v>0.0</v>
      </c>
      <c r="AB24" s="273">
        <v>1.0</v>
      </c>
      <c r="AC24" s="91">
        <v>0.0</v>
      </c>
      <c r="AD24" s="91">
        <v>0.0</v>
      </c>
      <c r="AE24" s="273">
        <v>1.0</v>
      </c>
      <c r="AF24" s="273">
        <v>1.0</v>
      </c>
      <c r="AG24" s="91">
        <v>0.0</v>
      </c>
      <c r="AH24" s="269"/>
    </row>
    <row r="25">
      <c r="A25" s="269"/>
      <c r="B25" s="95"/>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274" t="s">
        <v>150</v>
      </c>
      <c r="AA25" s="273">
        <v>1.0</v>
      </c>
      <c r="AB25" s="273">
        <v>1.0</v>
      </c>
      <c r="AC25" s="273">
        <v>1.0</v>
      </c>
      <c r="AD25" s="273">
        <v>1.0</v>
      </c>
      <c r="AE25" s="273">
        <v>1.0</v>
      </c>
      <c r="AF25" s="273">
        <v>1.0</v>
      </c>
      <c r="AG25" s="273">
        <v>1.0</v>
      </c>
      <c r="AH25" s="189"/>
    </row>
    <row r="26">
      <c r="A26" s="269"/>
      <c r="B26" s="270"/>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1" t="s">
        <v>153</v>
      </c>
      <c r="AA26" s="91">
        <v>0.0</v>
      </c>
      <c r="AB26" s="273">
        <v>1.0</v>
      </c>
      <c r="AC26" s="91">
        <v>0.0</v>
      </c>
      <c r="AD26" s="91">
        <v>0.0</v>
      </c>
      <c r="AE26" s="91">
        <v>0.0</v>
      </c>
      <c r="AF26" s="91">
        <v>0.0</v>
      </c>
      <c r="AG26" s="273">
        <v>1.0</v>
      </c>
      <c r="AH26" s="269"/>
    </row>
    <row r="27">
      <c r="A27" s="269" t="s">
        <v>156</v>
      </c>
      <c r="B27" s="95" t="s">
        <v>1609</v>
      </c>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274" t="s">
        <v>156</v>
      </c>
      <c r="AA27" s="273">
        <v>1.0</v>
      </c>
      <c r="AB27" s="273">
        <v>1.0</v>
      </c>
      <c r="AC27" s="273">
        <v>1.0</v>
      </c>
      <c r="AD27" s="273">
        <v>1.0</v>
      </c>
      <c r="AE27" s="273">
        <v>1.0</v>
      </c>
      <c r="AF27" s="273">
        <v>1.0</v>
      </c>
      <c r="AG27" s="273">
        <v>1.0</v>
      </c>
      <c r="AH27" s="269"/>
    </row>
    <row r="28">
      <c r="A28" s="269" t="s">
        <v>159</v>
      </c>
      <c r="B28" s="270" t="s">
        <v>1605</v>
      </c>
      <c r="C28" s="276" t="s">
        <v>1615</v>
      </c>
      <c r="D28" s="276"/>
      <c r="E28" s="276"/>
      <c r="F28" s="276" t="s">
        <v>1616</v>
      </c>
      <c r="G28" s="277" t="s">
        <v>1615</v>
      </c>
      <c r="H28" s="276" t="s">
        <v>1616</v>
      </c>
      <c r="I28" s="277" t="s">
        <v>1615</v>
      </c>
      <c r="J28" s="276" t="s">
        <v>1616</v>
      </c>
      <c r="K28" s="275"/>
      <c r="L28" s="275"/>
      <c r="M28" s="275"/>
      <c r="N28" s="275"/>
      <c r="O28" s="275"/>
      <c r="P28" s="275"/>
      <c r="Q28" s="275"/>
      <c r="R28" s="275"/>
      <c r="S28" s="275"/>
      <c r="T28" s="275"/>
      <c r="U28" s="275"/>
      <c r="V28" s="275"/>
      <c r="W28" s="275"/>
      <c r="X28" s="275"/>
      <c r="Y28" s="275"/>
      <c r="Z28" s="271" t="s">
        <v>159</v>
      </c>
      <c r="AA28" s="91">
        <v>0.0</v>
      </c>
      <c r="AB28" s="91">
        <v>0.0</v>
      </c>
      <c r="AC28" s="91">
        <v>0.0</v>
      </c>
      <c r="AD28" s="91">
        <v>0.0</v>
      </c>
      <c r="AE28" s="91">
        <v>0.0</v>
      </c>
      <c r="AF28" s="273">
        <v>1.0</v>
      </c>
      <c r="AG28" s="91">
        <v>0.0</v>
      </c>
      <c r="AH28" s="269"/>
    </row>
    <row r="29">
      <c r="A29" s="269" t="s">
        <v>162</v>
      </c>
      <c r="B29" s="95" t="s">
        <v>1609</v>
      </c>
      <c r="C29" s="267" t="s">
        <v>1588</v>
      </c>
      <c r="D29" s="267"/>
      <c r="E29" s="267"/>
      <c r="F29" s="276">
        <v>14.0</v>
      </c>
      <c r="G29" s="278" t="s">
        <v>686</v>
      </c>
      <c r="H29" s="275">
        <v>3.0</v>
      </c>
      <c r="I29" s="278" t="s">
        <v>21</v>
      </c>
      <c r="J29" s="275">
        <v>6.0</v>
      </c>
      <c r="K29" s="189"/>
      <c r="L29" s="189"/>
      <c r="M29" s="189"/>
      <c r="N29" s="189"/>
      <c r="O29" s="189"/>
      <c r="P29" s="189"/>
      <c r="Q29" s="189"/>
      <c r="R29" s="189"/>
      <c r="S29" s="189"/>
      <c r="T29" s="189"/>
      <c r="U29" s="189"/>
      <c r="V29" s="189"/>
      <c r="W29" s="189"/>
      <c r="X29" s="189"/>
      <c r="Y29" s="189"/>
      <c r="Z29" s="274" t="s">
        <v>162</v>
      </c>
      <c r="AA29" s="273">
        <v>1.0</v>
      </c>
      <c r="AB29" s="273">
        <v>1.0</v>
      </c>
      <c r="AC29" s="273">
        <v>1.0</v>
      </c>
      <c r="AD29" s="273">
        <v>1.0</v>
      </c>
      <c r="AE29" s="273">
        <v>1.0</v>
      </c>
      <c r="AF29" s="273">
        <v>1.0</v>
      </c>
      <c r="AG29" s="273">
        <v>1.0</v>
      </c>
      <c r="AH29" s="269"/>
    </row>
    <row r="30">
      <c r="A30" s="269" t="s">
        <v>165</v>
      </c>
      <c r="B30" s="95" t="s">
        <v>1609</v>
      </c>
      <c r="C30" s="267" t="s">
        <v>1589</v>
      </c>
      <c r="D30" s="267"/>
      <c r="E30" s="267"/>
      <c r="F30" s="275">
        <v>6.0</v>
      </c>
      <c r="G30" s="278" t="s">
        <v>1590</v>
      </c>
      <c r="H30" s="275">
        <v>6.0</v>
      </c>
      <c r="I30" s="278" t="s">
        <v>1617</v>
      </c>
      <c r="J30" s="275">
        <v>1.0</v>
      </c>
      <c r="K30" s="189"/>
      <c r="L30" s="189"/>
      <c r="M30" s="189"/>
      <c r="N30" s="189"/>
      <c r="O30" s="189"/>
      <c r="P30" s="189"/>
      <c r="Q30" s="189"/>
      <c r="R30" s="189"/>
      <c r="S30" s="189"/>
      <c r="T30" s="189"/>
      <c r="U30" s="189"/>
      <c r="V30" s="189"/>
      <c r="W30" s="189"/>
      <c r="X30" s="189"/>
      <c r="Y30" s="189"/>
      <c r="Z30" s="274" t="s">
        <v>165</v>
      </c>
      <c r="AA30" s="273">
        <v>1.0</v>
      </c>
      <c r="AB30" s="273">
        <v>1.0</v>
      </c>
      <c r="AC30" s="273">
        <v>1.0</v>
      </c>
      <c r="AD30" s="273">
        <v>1.0</v>
      </c>
      <c r="AE30" s="273">
        <v>1.0</v>
      </c>
      <c r="AF30" s="273">
        <v>1.0</v>
      </c>
      <c r="AG30" s="273">
        <v>1.0</v>
      </c>
      <c r="AH30" s="269"/>
    </row>
    <row r="31">
      <c r="A31" s="269" t="s">
        <v>168</v>
      </c>
      <c r="B31" s="270" t="s">
        <v>1608</v>
      </c>
      <c r="C31" s="268" t="s">
        <v>1592</v>
      </c>
      <c r="D31" s="268"/>
      <c r="E31" s="268"/>
      <c r="F31" s="275">
        <v>1.0</v>
      </c>
      <c r="G31" s="278" t="s">
        <v>1593</v>
      </c>
      <c r="H31" s="275">
        <v>18.0</v>
      </c>
      <c r="I31" s="278" t="s">
        <v>1594</v>
      </c>
      <c r="J31" s="275">
        <v>1.0</v>
      </c>
      <c r="K31" s="275"/>
      <c r="L31" s="275"/>
      <c r="M31" s="275"/>
      <c r="N31" s="275"/>
      <c r="O31" s="275"/>
      <c r="P31" s="275"/>
      <c r="Q31" s="275"/>
      <c r="R31" s="275"/>
      <c r="S31" s="275"/>
      <c r="T31" s="275"/>
      <c r="U31" s="275"/>
      <c r="V31" s="275"/>
      <c r="W31" s="275"/>
      <c r="X31" s="275"/>
      <c r="Y31" s="275"/>
      <c r="Z31" s="274" t="s">
        <v>168</v>
      </c>
      <c r="AA31" s="273">
        <v>1.0</v>
      </c>
      <c r="AB31" s="273">
        <v>1.0</v>
      </c>
      <c r="AC31" s="273">
        <v>1.0</v>
      </c>
      <c r="AD31" s="91">
        <v>0.0</v>
      </c>
      <c r="AE31" s="273">
        <v>1.0</v>
      </c>
      <c r="AF31" s="273">
        <v>1.0</v>
      </c>
      <c r="AG31" s="273">
        <v>1.0</v>
      </c>
      <c r="AH31" s="269"/>
    </row>
    <row r="32">
      <c r="A32" s="269" t="s">
        <v>171</v>
      </c>
      <c r="B32" s="270" t="s">
        <v>1608</v>
      </c>
      <c r="C32" s="267" t="s">
        <v>1595</v>
      </c>
      <c r="D32" s="267"/>
      <c r="E32" s="267"/>
      <c r="F32" s="275">
        <v>1.0</v>
      </c>
      <c r="G32" s="278" t="s">
        <v>1596</v>
      </c>
      <c r="H32" s="275">
        <v>2.0</v>
      </c>
      <c r="I32" s="278" t="s">
        <v>1597</v>
      </c>
      <c r="J32" s="275">
        <v>1.0</v>
      </c>
      <c r="K32" s="275"/>
      <c r="L32" s="275"/>
      <c r="M32" s="275"/>
      <c r="N32" s="275"/>
      <c r="O32" s="275"/>
      <c r="P32" s="275"/>
      <c r="Q32" s="275"/>
      <c r="R32" s="275"/>
      <c r="S32" s="275"/>
      <c r="T32" s="275"/>
      <c r="U32" s="275"/>
      <c r="V32" s="275"/>
      <c r="W32" s="275"/>
      <c r="X32" s="275"/>
      <c r="Y32" s="275"/>
      <c r="Z32" s="274" t="s">
        <v>171</v>
      </c>
      <c r="AA32" s="273">
        <v>1.0</v>
      </c>
      <c r="AB32" s="273">
        <v>1.0</v>
      </c>
      <c r="AC32" s="273">
        <v>1.0</v>
      </c>
      <c r="AD32" s="91">
        <v>0.0</v>
      </c>
      <c r="AE32" s="273">
        <v>1.0</v>
      </c>
      <c r="AF32" s="91">
        <v>0.0</v>
      </c>
      <c r="AG32" s="273">
        <v>1.0</v>
      </c>
      <c r="AH32" s="269"/>
    </row>
    <row r="33">
      <c r="A33" s="269" t="s">
        <v>174</v>
      </c>
      <c r="B33" s="270" t="s">
        <v>1610</v>
      </c>
      <c r="C33" s="267" t="s">
        <v>1598</v>
      </c>
      <c r="D33" s="267"/>
      <c r="E33" s="267"/>
      <c r="F33" s="275">
        <v>18.0</v>
      </c>
      <c r="G33" s="278" t="s">
        <v>1599</v>
      </c>
      <c r="H33" s="275">
        <v>1.0</v>
      </c>
      <c r="I33" s="278" t="s">
        <v>1600</v>
      </c>
      <c r="J33" s="275">
        <v>2.0</v>
      </c>
      <c r="K33" s="275"/>
      <c r="L33" s="275"/>
      <c r="M33" s="275"/>
      <c r="N33" s="275"/>
      <c r="O33" s="275"/>
      <c r="P33" s="275"/>
      <c r="Q33" s="275"/>
      <c r="R33" s="275"/>
      <c r="S33" s="275"/>
      <c r="T33" s="275"/>
      <c r="U33" s="275"/>
      <c r="V33" s="275"/>
      <c r="W33" s="275"/>
      <c r="X33" s="275"/>
      <c r="Y33" s="275"/>
      <c r="Z33" s="274" t="s">
        <v>174</v>
      </c>
      <c r="AA33" s="273">
        <v>1.0</v>
      </c>
      <c r="AB33" s="273">
        <v>1.0</v>
      </c>
      <c r="AC33" s="91">
        <v>0.0</v>
      </c>
      <c r="AD33" s="91">
        <v>0.0</v>
      </c>
      <c r="AE33" s="91">
        <v>0.0</v>
      </c>
      <c r="AF33" s="273">
        <v>1.0</v>
      </c>
      <c r="AG33" s="273">
        <v>1.0</v>
      </c>
      <c r="AH33" s="269"/>
    </row>
    <row r="34">
      <c r="A34" s="269" t="s">
        <v>177</v>
      </c>
      <c r="B34" s="270" t="s">
        <v>1605</v>
      </c>
      <c r="C34" s="267" t="s">
        <v>1601</v>
      </c>
      <c r="D34" s="267"/>
      <c r="E34" s="267"/>
      <c r="F34" s="275">
        <v>1.0</v>
      </c>
      <c r="G34" s="278" t="s">
        <v>1602</v>
      </c>
      <c r="H34" s="275">
        <v>1.0</v>
      </c>
      <c r="I34" s="278" t="s">
        <v>1603</v>
      </c>
      <c r="J34" s="276">
        <v>22.0</v>
      </c>
      <c r="K34" s="275"/>
      <c r="L34" s="275"/>
      <c r="M34" s="275"/>
      <c r="N34" s="275"/>
      <c r="O34" s="275"/>
      <c r="P34" s="275"/>
      <c r="Q34" s="275"/>
      <c r="R34" s="275"/>
      <c r="S34" s="275"/>
      <c r="T34" s="275"/>
      <c r="U34" s="275"/>
      <c r="V34" s="275"/>
      <c r="W34" s="275"/>
      <c r="X34" s="275"/>
      <c r="Y34" s="275"/>
      <c r="Z34" s="271" t="s">
        <v>177</v>
      </c>
      <c r="AA34" s="91">
        <v>0.0</v>
      </c>
      <c r="AB34" s="91">
        <v>0.0</v>
      </c>
      <c r="AC34" s="91">
        <v>0.0</v>
      </c>
      <c r="AD34" s="91">
        <v>0.0</v>
      </c>
      <c r="AE34" s="91">
        <v>0.0</v>
      </c>
      <c r="AF34" s="273">
        <v>1.0</v>
      </c>
      <c r="AG34" s="91">
        <v>0.0</v>
      </c>
      <c r="AH34" s="269"/>
    </row>
    <row r="35">
      <c r="A35" s="269" t="s">
        <v>180</v>
      </c>
      <c r="B35" s="95" t="s">
        <v>1618</v>
      </c>
      <c r="G35" s="189"/>
      <c r="H35" s="189"/>
      <c r="I35" s="189"/>
      <c r="J35" s="189"/>
      <c r="K35" s="189"/>
      <c r="L35" s="189"/>
      <c r="M35" s="189"/>
      <c r="N35" s="189"/>
      <c r="O35" s="189"/>
      <c r="P35" s="189"/>
      <c r="Q35" s="189"/>
      <c r="R35" s="189"/>
      <c r="S35" s="189"/>
      <c r="T35" s="189"/>
      <c r="U35" s="189"/>
      <c r="V35" s="189"/>
      <c r="W35" s="189"/>
      <c r="X35" s="189"/>
      <c r="Y35" s="189"/>
      <c r="Z35" s="274" t="s">
        <v>180</v>
      </c>
      <c r="AA35" s="273">
        <v>1.0</v>
      </c>
      <c r="AB35" s="273">
        <v>1.0</v>
      </c>
      <c r="AC35" s="273">
        <v>1.0</v>
      </c>
      <c r="AD35" s="91">
        <v>0.0</v>
      </c>
      <c r="AE35" s="91">
        <v>0.0</v>
      </c>
      <c r="AF35" s="273">
        <v>1.0</v>
      </c>
      <c r="AG35" s="273">
        <v>1.0</v>
      </c>
      <c r="AH35" s="269"/>
    </row>
    <row r="36">
      <c r="A36" s="269" t="s">
        <v>183</v>
      </c>
      <c r="B36" s="95" t="s">
        <v>1609</v>
      </c>
      <c r="G36" s="189"/>
      <c r="H36" s="189"/>
      <c r="I36" s="189"/>
      <c r="J36" s="189"/>
      <c r="K36" s="189"/>
      <c r="L36" s="189"/>
      <c r="M36" s="189"/>
      <c r="N36" s="189"/>
      <c r="O36" s="189"/>
      <c r="P36" s="189"/>
      <c r="Q36" s="189"/>
      <c r="R36" s="189"/>
      <c r="S36" s="189"/>
      <c r="T36" s="189"/>
      <c r="U36" s="189"/>
      <c r="V36" s="189"/>
      <c r="W36" s="189"/>
      <c r="X36" s="189"/>
      <c r="Y36" s="189"/>
      <c r="Z36" s="274" t="s">
        <v>183</v>
      </c>
      <c r="AA36" s="273">
        <v>1.0</v>
      </c>
      <c r="AB36" s="273">
        <v>1.0</v>
      </c>
      <c r="AC36" s="273">
        <v>1.0</v>
      </c>
      <c r="AD36" s="273">
        <v>1.0</v>
      </c>
      <c r="AE36" s="273">
        <v>1.0</v>
      </c>
      <c r="AF36" s="273">
        <v>1.0</v>
      </c>
      <c r="AG36" s="273">
        <v>1.0</v>
      </c>
      <c r="AH36" s="269"/>
    </row>
    <row r="37">
      <c r="A37" s="269" t="s">
        <v>186</v>
      </c>
      <c r="B37" s="270" t="s">
        <v>1607</v>
      </c>
      <c r="G37" s="275"/>
      <c r="H37" s="275"/>
      <c r="I37" s="275"/>
      <c r="J37" s="275"/>
      <c r="K37" s="275"/>
      <c r="L37" s="275"/>
      <c r="M37" s="275"/>
      <c r="N37" s="275"/>
      <c r="O37" s="275"/>
      <c r="P37" s="275"/>
      <c r="Q37" s="275"/>
      <c r="R37" s="275"/>
      <c r="S37" s="275"/>
      <c r="T37" s="275"/>
      <c r="U37" s="275"/>
      <c r="V37" s="275"/>
      <c r="W37" s="275"/>
      <c r="X37" s="275"/>
      <c r="Y37" s="275"/>
      <c r="Z37" s="271" t="s">
        <v>186</v>
      </c>
      <c r="AA37" s="91">
        <v>0.0</v>
      </c>
      <c r="AB37" s="91">
        <v>0.0</v>
      </c>
      <c r="AC37" s="273">
        <v>1.0</v>
      </c>
      <c r="AD37" s="91">
        <v>0.0</v>
      </c>
      <c r="AE37" s="91">
        <v>0.0</v>
      </c>
      <c r="AF37" s="91">
        <v>0.0</v>
      </c>
      <c r="AG37" s="91">
        <v>0.0</v>
      </c>
      <c r="AH37" s="269"/>
    </row>
    <row r="38">
      <c r="A38" s="269" t="s">
        <v>189</v>
      </c>
      <c r="B38" s="270" t="s">
        <v>1608</v>
      </c>
      <c r="G38" s="275"/>
      <c r="H38" s="275"/>
      <c r="I38" s="275"/>
      <c r="J38" s="275"/>
      <c r="K38" s="275"/>
      <c r="L38" s="275"/>
      <c r="M38" s="275"/>
      <c r="N38" s="275"/>
      <c r="O38" s="275"/>
      <c r="P38" s="275"/>
      <c r="Q38" s="275"/>
      <c r="R38" s="275"/>
      <c r="S38" s="275"/>
      <c r="T38" s="275"/>
      <c r="U38" s="275"/>
      <c r="V38" s="275"/>
      <c r="W38" s="275"/>
      <c r="X38" s="275"/>
      <c r="Y38" s="275"/>
      <c r="Z38" s="271" t="s">
        <v>189</v>
      </c>
      <c r="AA38" s="91">
        <v>0.0</v>
      </c>
      <c r="AB38" s="273">
        <v>1.0</v>
      </c>
      <c r="AC38" s="273">
        <v>1.0</v>
      </c>
      <c r="AD38" s="91">
        <v>0.0</v>
      </c>
      <c r="AE38" s="273">
        <v>1.0</v>
      </c>
      <c r="AF38" s="273">
        <v>1.0</v>
      </c>
      <c r="AG38" s="273">
        <v>1.0</v>
      </c>
      <c r="AH38" s="269"/>
    </row>
    <row r="39">
      <c r="A39" s="269" t="s">
        <v>192</v>
      </c>
      <c r="B39" s="270" t="s">
        <v>1613</v>
      </c>
      <c r="G39" s="275"/>
      <c r="H39" s="275"/>
      <c r="I39" s="275"/>
      <c r="J39" s="275"/>
      <c r="K39" s="275"/>
      <c r="L39" s="275"/>
      <c r="M39" s="275"/>
      <c r="N39" s="275"/>
      <c r="O39" s="275"/>
      <c r="P39" s="275"/>
      <c r="Q39" s="275"/>
      <c r="R39" s="275"/>
      <c r="S39" s="275"/>
      <c r="T39" s="275"/>
      <c r="U39" s="275"/>
      <c r="V39" s="275"/>
      <c r="W39" s="275"/>
      <c r="X39" s="275"/>
      <c r="Y39" s="275"/>
      <c r="Z39" s="271" t="s">
        <v>192</v>
      </c>
      <c r="AA39" s="91">
        <v>0.0</v>
      </c>
      <c r="AB39" s="273">
        <v>1.0</v>
      </c>
      <c r="AC39" s="273">
        <v>1.0</v>
      </c>
      <c r="AD39" s="91">
        <v>0.0</v>
      </c>
      <c r="AE39" s="91">
        <v>0.0</v>
      </c>
      <c r="AF39" s="273">
        <v>1.0</v>
      </c>
      <c r="AG39" s="273">
        <v>1.0</v>
      </c>
      <c r="AH39" s="269"/>
    </row>
    <row r="40">
      <c r="A40" s="269" t="s">
        <v>195</v>
      </c>
      <c r="B40" s="270" t="s">
        <v>1610</v>
      </c>
      <c r="G40" s="275"/>
      <c r="H40" s="275"/>
      <c r="I40" s="275"/>
      <c r="J40" s="275"/>
      <c r="K40" s="275"/>
      <c r="L40" s="275"/>
      <c r="M40" s="275"/>
      <c r="N40" s="275"/>
      <c r="O40" s="275"/>
      <c r="P40" s="275"/>
      <c r="Q40" s="275"/>
      <c r="R40" s="275"/>
      <c r="S40" s="275"/>
      <c r="T40" s="275"/>
      <c r="U40" s="275"/>
      <c r="V40" s="275"/>
      <c r="W40" s="275"/>
      <c r="X40" s="275"/>
      <c r="Y40" s="275"/>
      <c r="Z40" s="271" t="s">
        <v>195</v>
      </c>
      <c r="AA40" s="91">
        <v>0.0</v>
      </c>
      <c r="AB40" s="273">
        <v>1.0</v>
      </c>
      <c r="AC40" s="91">
        <v>0.0</v>
      </c>
      <c r="AD40" s="91">
        <v>0.0</v>
      </c>
      <c r="AE40" s="91">
        <v>0.0</v>
      </c>
      <c r="AF40" s="273">
        <v>1.0</v>
      </c>
      <c r="AG40" s="273">
        <v>1.0</v>
      </c>
      <c r="AH40" s="269"/>
    </row>
    <row r="41">
      <c r="A41" s="269" t="s">
        <v>198</v>
      </c>
      <c r="B41" s="270" t="s">
        <v>1607</v>
      </c>
      <c r="G41" s="275"/>
      <c r="H41" s="275"/>
      <c r="I41" s="275"/>
      <c r="J41" s="275"/>
      <c r="K41" s="275"/>
      <c r="L41" s="275"/>
      <c r="M41" s="275"/>
      <c r="N41" s="275"/>
      <c r="O41" s="275"/>
      <c r="P41" s="275"/>
      <c r="Q41" s="275"/>
      <c r="R41" s="275"/>
      <c r="S41" s="275"/>
      <c r="T41" s="275"/>
      <c r="U41" s="275"/>
      <c r="V41" s="275"/>
      <c r="W41" s="275"/>
      <c r="X41" s="275"/>
      <c r="Y41" s="275"/>
      <c r="Z41" s="271" t="s">
        <v>198</v>
      </c>
      <c r="AA41" s="91">
        <v>0.0</v>
      </c>
      <c r="AB41" s="91">
        <v>0.0</v>
      </c>
      <c r="AC41" s="273">
        <v>1.0</v>
      </c>
      <c r="AD41" s="91">
        <v>0.0</v>
      </c>
      <c r="AE41" s="91">
        <v>0.0</v>
      </c>
      <c r="AF41" s="91">
        <v>0.0</v>
      </c>
      <c r="AG41" s="91">
        <v>0.0</v>
      </c>
      <c r="AH41" s="269"/>
    </row>
    <row r="42">
      <c r="A42" s="269" t="s">
        <v>201</v>
      </c>
      <c r="B42" s="270" t="s">
        <v>1613</v>
      </c>
      <c r="G42" s="275"/>
      <c r="H42" s="275"/>
      <c r="I42" s="275"/>
      <c r="J42" s="275"/>
      <c r="K42" s="275"/>
      <c r="L42" s="275"/>
      <c r="M42" s="275"/>
      <c r="N42" s="275"/>
      <c r="O42" s="275"/>
      <c r="P42" s="275"/>
      <c r="Q42" s="275"/>
      <c r="R42" s="275"/>
      <c r="S42" s="275"/>
      <c r="T42" s="275"/>
      <c r="U42" s="275"/>
      <c r="V42" s="275"/>
      <c r="W42" s="275"/>
      <c r="X42" s="275"/>
      <c r="Y42" s="275"/>
      <c r="Z42" s="271" t="s">
        <v>201</v>
      </c>
      <c r="AA42" s="91">
        <v>0.0</v>
      </c>
      <c r="AB42" s="273">
        <v>1.0</v>
      </c>
      <c r="AC42" s="273">
        <v>1.0</v>
      </c>
      <c r="AD42" s="91">
        <v>0.0</v>
      </c>
      <c r="AE42" s="91">
        <v>0.0</v>
      </c>
      <c r="AF42" s="273">
        <v>1.0</v>
      </c>
      <c r="AG42" s="273">
        <v>1.0</v>
      </c>
      <c r="AH42" s="269"/>
    </row>
    <row r="43">
      <c r="A43" s="269" t="s">
        <v>204</v>
      </c>
      <c r="B43" s="270" t="s">
        <v>1607</v>
      </c>
      <c r="G43" s="275"/>
      <c r="H43" s="275"/>
      <c r="I43" s="275"/>
      <c r="J43" s="275"/>
      <c r="K43" s="275"/>
      <c r="L43" s="275"/>
      <c r="M43" s="275"/>
      <c r="N43" s="275"/>
      <c r="O43" s="275"/>
      <c r="P43" s="275"/>
      <c r="Q43" s="275"/>
      <c r="R43" s="275"/>
      <c r="S43" s="275"/>
      <c r="T43" s="275"/>
      <c r="U43" s="275"/>
      <c r="V43" s="275"/>
      <c r="W43" s="275"/>
      <c r="X43" s="275"/>
      <c r="Y43" s="275"/>
      <c r="Z43" s="271" t="s">
        <v>204</v>
      </c>
      <c r="AA43" s="91">
        <v>0.0</v>
      </c>
      <c r="AB43" s="91">
        <v>0.0</v>
      </c>
      <c r="AC43" s="273">
        <v>1.0</v>
      </c>
      <c r="AD43" s="91">
        <v>0.0</v>
      </c>
      <c r="AE43" s="91">
        <v>0.0</v>
      </c>
      <c r="AF43" s="91">
        <v>0.0</v>
      </c>
      <c r="AG43" s="91">
        <v>0.0</v>
      </c>
      <c r="AH43" s="269"/>
    </row>
    <row r="44">
      <c r="A44" s="269" t="s">
        <v>207</v>
      </c>
      <c r="B44" s="95" t="s">
        <v>1609</v>
      </c>
      <c r="G44" s="189"/>
      <c r="H44" s="189"/>
      <c r="I44" s="189"/>
      <c r="J44" s="189"/>
      <c r="K44" s="189"/>
      <c r="L44" s="189"/>
      <c r="M44" s="189"/>
      <c r="N44" s="189"/>
      <c r="O44" s="189"/>
      <c r="P44" s="189"/>
      <c r="Q44" s="189"/>
      <c r="R44" s="189"/>
      <c r="S44" s="189"/>
      <c r="T44" s="189"/>
      <c r="U44" s="189"/>
      <c r="V44" s="189"/>
      <c r="W44" s="189"/>
      <c r="X44" s="189"/>
      <c r="Y44" s="189"/>
      <c r="Z44" s="279" t="s">
        <v>207</v>
      </c>
      <c r="AA44" s="273">
        <v>1.0</v>
      </c>
      <c r="AB44" s="273">
        <v>1.0</v>
      </c>
      <c r="AC44" s="273">
        <v>1.0</v>
      </c>
      <c r="AD44" s="273">
        <v>1.0</v>
      </c>
      <c r="AE44" s="273">
        <v>1.0</v>
      </c>
      <c r="AF44" s="273">
        <v>1.0</v>
      </c>
      <c r="AG44" s="273">
        <v>1.0</v>
      </c>
      <c r="AH44" s="269"/>
    </row>
    <row r="45">
      <c r="A45" s="269" t="s">
        <v>210</v>
      </c>
      <c r="B45" s="270" t="s">
        <v>1619</v>
      </c>
      <c r="G45" s="275"/>
      <c r="H45" s="275"/>
      <c r="I45" s="275"/>
      <c r="J45" s="275"/>
      <c r="K45" s="275"/>
      <c r="L45" s="275"/>
      <c r="M45" s="275"/>
      <c r="N45" s="275"/>
      <c r="O45" s="275"/>
      <c r="P45" s="275"/>
      <c r="Q45" s="275"/>
      <c r="R45" s="275"/>
      <c r="S45" s="275"/>
      <c r="T45" s="275"/>
      <c r="U45" s="275"/>
      <c r="V45" s="275"/>
      <c r="W45" s="275"/>
      <c r="X45" s="275"/>
      <c r="Y45" s="275"/>
      <c r="Z45" s="271" t="s">
        <v>210</v>
      </c>
      <c r="AA45" s="91">
        <v>0.0</v>
      </c>
      <c r="AB45" s="273">
        <v>1.0</v>
      </c>
      <c r="AC45" s="273">
        <v>1.0</v>
      </c>
      <c r="AD45" s="91">
        <v>0.0</v>
      </c>
      <c r="AE45" s="91">
        <v>0.0</v>
      </c>
      <c r="AF45" s="91">
        <v>0.0</v>
      </c>
      <c r="AG45" s="91">
        <v>0.0</v>
      </c>
      <c r="AH45" s="269"/>
    </row>
    <row r="46">
      <c r="A46" s="269" t="s">
        <v>213</v>
      </c>
      <c r="B46" s="270" t="s">
        <v>1608</v>
      </c>
      <c r="G46" s="275"/>
      <c r="H46" s="275"/>
      <c r="I46" s="275"/>
      <c r="J46" s="275"/>
      <c r="K46" s="275"/>
      <c r="L46" s="275"/>
      <c r="M46" s="275"/>
      <c r="N46" s="275"/>
      <c r="O46" s="275"/>
      <c r="P46" s="275"/>
      <c r="Q46" s="275"/>
      <c r="R46" s="275"/>
      <c r="S46" s="275"/>
      <c r="T46" s="275"/>
      <c r="U46" s="275"/>
      <c r="V46" s="275"/>
      <c r="W46" s="275"/>
      <c r="X46" s="275"/>
      <c r="Y46" s="275"/>
      <c r="Z46" s="271" t="s">
        <v>213</v>
      </c>
      <c r="AA46" s="91">
        <v>0.0</v>
      </c>
      <c r="AB46" s="273">
        <v>1.0</v>
      </c>
      <c r="AC46" s="273">
        <v>1.0</v>
      </c>
      <c r="AD46" s="91">
        <v>0.0</v>
      </c>
      <c r="AE46" s="273">
        <v>1.0</v>
      </c>
      <c r="AF46" s="91">
        <v>0.0</v>
      </c>
      <c r="AG46" s="273">
        <v>1.0</v>
      </c>
      <c r="AH46" s="269"/>
    </row>
    <row r="47">
      <c r="A47" s="269" t="s">
        <v>240</v>
      </c>
      <c r="B47" s="270" t="s">
        <v>1619</v>
      </c>
      <c r="F47" s="275"/>
      <c r="G47" s="275"/>
      <c r="H47" s="275"/>
      <c r="I47" s="275"/>
      <c r="J47" s="275"/>
      <c r="K47" s="275"/>
      <c r="L47" s="275"/>
      <c r="M47" s="275"/>
      <c r="N47" s="275"/>
      <c r="O47" s="275"/>
      <c r="P47" s="275"/>
      <c r="Q47" s="275"/>
      <c r="R47" s="275"/>
      <c r="S47" s="275"/>
      <c r="T47" s="275"/>
      <c r="U47" s="275"/>
      <c r="V47" s="275"/>
      <c r="W47" s="275"/>
      <c r="X47" s="275"/>
      <c r="Y47" s="275"/>
      <c r="Z47" s="271" t="s">
        <v>216</v>
      </c>
      <c r="AA47" s="91">
        <v>0.0</v>
      </c>
      <c r="AB47" s="273">
        <v>1.0</v>
      </c>
      <c r="AC47" s="273">
        <v>1.0</v>
      </c>
      <c r="AD47" s="91">
        <v>0.0</v>
      </c>
      <c r="AE47" s="91">
        <v>0.0</v>
      </c>
      <c r="AF47" s="91">
        <v>0.0</v>
      </c>
      <c r="AG47" s="273">
        <v>1.0</v>
      </c>
      <c r="AH47" s="269"/>
    </row>
    <row r="48">
      <c r="A48" s="269" t="s">
        <v>243</v>
      </c>
      <c r="B48" s="270" t="s">
        <v>1620</v>
      </c>
      <c r="F48" s="275"/>
      <c r="G48" s="275"/>
      <c r="H48" s="275"/>
      <c r="I48" s="275"/>
      <c r="J48" s="275"/>
      <c r="K48" s="275"/>
      <c r="L48" s="275"/>
      <c r="M48" s="275"/>
      <c r="N48" s="275"/>
      <c r="O48" s="275"/>
      <c r="P48" s="275"/>
      <c r="Q48" s="275"/>
      <c r="R48" s="275"/>
      <c r="S48" s="275"/>
      <c r="T48" s="275"/>
      <c r="U48" s="275"/>
      <c r="V48" s="275"/>
      <c r="W48" s="275"/>
      <c r="X48" s="275"/>
      <c r="Y48" s="275"/>
      <c r="Z48" s="271" t="s">
        <v>219</v>
      </c>
      <c r="AA48" s="91">
        <v>0.0</v>
      </c>
      <c r="AB48" s="91">
        <v>0.0</v>
      </c>
      <c r="AC48" s="91">
        <v>0.0</v>
      </c>
      <c r="AD48" s="91">
        <v>0.0</v>
      </c>
      <c r="AE48" s="91">
        <v>0.0</v>
      </c>
      <c r="AF48" s="91">
        <v>0.0</v>
      </c>
      <c r="AG48" s="273">
        <v>1.0</v>
      </c>
      <c r="AH48" s="269"/>
    </row>
    <row r="49">
      <c r="A49" s="269" t="s">
        <v>246</v>
      </c>
      <c r="B49" s="95" t="s">
        <v>1621</v>
      </c>
      <c r="F49" s="189"/>
      <c r="G49" s="189"/>
      <c r="H49" s="189"/>
      <c r="I49" s="189"/>
      <c r="J49" s="189"/>
      <c r="K49" s="189"/>
      <c r="L49" s="189"/>
      <c r="M49" s="189"/>
      <c r="N49" s="189"/>
      <c r="O49" s="189"/>
      <c r="P49" s="189"/>
      <c r="Q49" s="189"/>
      <c r="R49" s="189"/>
      <c r="S49" s="189"/>
      <c r="T49" s="189"/>
      <c r="U49" s="189"/>
      <c r="V49" s="189"/>
      <c r="W49" s="189"/>
      <c r="X49" s="189"/>
      <c r="Y49" s="189"/>
      <c r="Z49" s="271" t="s">
        <v>222</v>
      </c>
      <c r="AA49" s="91">
        <v>0.0</v>
      </c>
      <c r="AB49" s="273">
        <v>1.0</v>
      </c>
      <c r="AC49" s="273">
        <v>1.0</v>
      </c>
      <c r="AD49" s="91">
        <v>0.0</v>
      </c>
      <c r="AE49" s="273">
        <v>1.0</v>
      </c>
      <c r="AF49" s="273">
        <v>1.0</v>
      </c>
      <c r="AG49" s="273">
        <v>1.0</v>
      </c>
      <c r="AH49" s="269"/>
    </row>
    <row r="50">
      <c r="A50" s="269" t="s">
        <v>249</v>
      </c>
      <c r="B50" s="270" t="s">
        <v>1608</v>
      </c>
      <c r="F50" s="275"/>
      <c r="G50" s="275"/>
      <c r="H50" s="275"/>
      <c r="I50" s="275"/>
      <c r="J50" s="275"/>
      <c r="K50" s="275"/>
      <c r="L50" s="275"/>
      <c r="M50" s="275"/>
      <c r="N50" s="275"/>
      <c r="O50" s="275"/>
      <c r="P50" s="275"/>
      <c r="Q50" s="275"/>
      <c r="R50" s="275"/>
      <c r="S50" s="275"/>
      <c r="T50" s="275"/>
      <c r="U50" s="275"/>
      <c r="V50" s="275"/>
      <c r="W50" s="275"/>
      <c r="X50" s="275"/>
      <c r="Y50" s="275"/>
      <c r="Z50" s="271" t="s">
        <v>225</v>
      </c>
      <c r="AA50" s="91">
        <v>0.0</v>
      </c>
      <c r="AB50" s="273">
        <v>1.0</v>
      </c>
      <c r="AC50" s="273">
        <v>1.0</v>
      </c>
      <c r="AD50" s="91">
        <v>0.0</v>
      </c>
      <c r="AE50" s="91">
        <v>0.0</v>
      </c>
      <c r="AF50" s="91">
        <v>0.0</v>
      </c>
      <c r="AG50" s="273">
        <v>1.0</v>
      </c>
      <c r="AH50" s="269"/>
    </row>
    <row r="51">
      <c r="A51" s="269" t="s">
        <v>252</v>
      </c>
      <c r="B51" s="270" t="s">
        <v>1613</v>
      </c>
      <c r="F51" s="275"/>
      <c r="G51" s="275"/>
      <c r="H51" s="275"/>
      <c r="I51" s="275"/>
      <c r="J51" s="275"/>
      <c r="K51" s="275"/>
      <c r="L51" s="275"/>
      <c r="M51" s="275"/>
      <c r="N51" s="275"/>
      <c r="O51" s="275"/>
      <c r="P51" s="275"/>
      <c r="Q51" s="275"/>
      <c r="R51" s="275"/>
      <c r="S51" s="275"/>
      <c r="T51" s="275"/>
      <c r="U51" s="275"/>
      <c r="V51" s="275"/>
      <c r="W51" s="275"/>
      <c r="X51" s="275"/>
      <c r="Y51" s="275"/>
      <c r="Z51" s="271" t="s">
        <v>228</v>
      </c>
      <c r="AA51" s="91">
        <v>0.0</v>
      </c>
      <c r="AB51" s="273">
        <v>1.0</v>
      </c>
      <c r="AC51" s="273">
        <v>1.0</v>
      </c>
      <c r="AD51" s="91">
        <v>0.0</v>
      </c>
      <c r="AE51" s="273">
        <v>1.0</v>
      </c>
      <c r="AF51" s="91">
        <v>0.0</v>
      </c>
      <c r="AG51" s="273">
        <v>1.0</v>
      </c>
      <c r="AH51" s="269"/>
    </row>
    <row r="52">
      <c r="A52" s="269" t="s">
        <v>255</v>
      </c>
      <c r="B52" s="270" t="s">
        <v>1605</v>
      </c>
      <c r="F52" s="275"/>
      <c r="G52" s="275"/>
      <c r="H52" s="275"/>
      <c r="I52" s="275"/>
      <c r="J52" s="275"/>
      <c r="K52" s="275"/>
      <c r="L52" s="275"/>
      <c r="M52" s="275"/>
      <c r="N52" s="275"/>
      <c r="O52" s="275"/>
      <c r="P52" s="275"/>
      <c r="Q52" s="275"/>
      <c r="R52" s="275"/>
      <c r="S52" s="275"/>
      <c r="T52" s="275"/>
      <c r="U52" s="275"/>
      <c r="V52" s="275"/>
      <c r="W52" s="275"/>
      <c r="X52" s="275"/>
      <c r="Y52" s="275"/>
      <c r="Z52" s="271" t="s">
        <v>231</v>
      </c>
      <c r="AA52" s="91">
        <v>0.0</v>
      </c>
      <c r="AB52" s="273">
        <v>1.0</v>
      </c>
      <c r="AC52" s="273">
        <v>1.0</v>
      </c>
      <c r="AD52" s="91">
        <v>0.0</v>
      </c>
      <c r="AE52" s="273">
        <v>1.0</v>
      </c>
      <c r="AF52" s="273">
        <v>1.0</v>
      </c>
      <c r="AG52" s="273">
        <v>1.0</v>
      </c>
      <c r="AH52" s="269"/>
    </row>
    <row r="53">
      <c r="A53" s="269" t="s">
        <v>258</v>
      </c>
      <c r="B53" s="270" t="s">
        <v>1613</v>
      </c>
      <c r="F53" s="275"/>
      <c r="G53" s="275"/>
      <c r="H53" s="275"/>
      <c r="I53" s="275"/>
      <c r="J53" s="275"/>
      <c r="K53" s="275"/>
      <c r="L53" s="275"/>
      <c r="M53" s="275"/>
      <c r="N53" s="275"/>
      <c r="O53" s="275"/>
      <c r="P53" s="275"/>
      <c r="Q53" s="275"/>
      <c r="R53" s="275"/>
      <c r="S53" s="275"/>
      <c r="T53" s="275"/>
      <c r="U53" s="275"/>
      <c r="V53" s="275"/>
      <c r="W53" s="275"/>
      <c r="X53" s="275"/>
      <c r="Y53" s="275"/>
      <c r="Z53" s="279" t="s">
        <v>234</v>
      </c>
      <c r="AA53" s="273">
        <v>1.0</v>
      </c>
      <c r="AB53" s="273">
        <v>1.0</v>
      </c>
      <c r="AC53" s="273">
        <v>1.0</v>
      </c>
      <c r="AD53" s="273">
        <v>1.0</v>
      </c>
      <c r="AE53" s="273">
        <v>1.0</v>
      </c>
      <c r="AF53" s="273">
        <v>1.0</v>
      </c>
      <c r="AG53" s="273">
        <v>1.0</v>
      </c>
      <c r="AH53" s="269"/>
    </row>
    <row r="54">
      <c r="A54" s="269" t="s">
        <v>260</v>
      </c>
      <c r="B54" s="270" t="s">
        <v>1608</v>
      </c>
      <c r="F54" s="275"/>
      <c r="G54" s="275"/>
      <c r="H54" s="275"/>
      <c r="I54" s="275"/>
      <c r="J54" s="275"/>
      <c r="K54" s="275"/>
      <c r="L54" s="275"/>
      <c r="M54" s="275"/>
      <c r="N54" s="275"/>
      <c r="O54" s="275"/>
      <c r="P54" s="275"/>
      <c r="Q54" s="275"/>
      <c r="R54" s="275"/>
      <c r="S54" s="275"/>
      <c r="T54" s="275"/>
      <c r="U54" s="275"/>
      <c r="V54" s="275"/>
      <c r="W54" s="275"/>
      <c r="X54" s="275"/>
      <c r="Y54" s="275"/>
      <c r="Z54" s="279" t="s">
        <v>237</v>
      </c>
      <c r="AA54" s="273">
        <v>1.0</v>
      </c>
      <c r="AB54" s="273">
        <v>1.0</v>
      </c>
      <c r="AC54" s="273">
        <v>1.0</v>
      </c>
      <c r="AD54" s="91">
        <v>0.0</v>
      </c>
      <c r="AE54" s="273">
        <v>1.0</v>
      </c>
      <c r="AF54" s="273">
        <v>1.0</v>
      </c>
      <c r="AG54" s="273">
        <v>1.0</v>
      </c>
      <c r="AH54" s="269"/>
    </row>
    <row r="55">
      <c r="A55" s="269" t="s">
        <v>263</v>
      </c>
      <c r="B55" s="270" t="s">
        <v>1605</v>
      </c>
      <c r="F55" s="275"/>
      <c r="G55" s="275"/>
      <c r="H55" s="275"/>
      <c r="I55" s="275"/>
      <c r="J55" s="275"/>
      <c r="K55" s="275"/>
      <c r="L55" s="275"/>
      <c r="M55" s="275"/>
      <c r="N55" s="275"/>
      <c r="O55" s="275"/>
      <c r="P55" s="275"/>
      <c r="Q55" s="275"/>
      <c r="R55" s="275"/>
      <c r="S55" s="275"/>
      <c r="T55" s="275"/>
      <c r="U55" s="275"/>
      <c r="V55" s="275"/>
      <c r="W55" s="275"/>
      <c r="X55" s="275"/>
      <c r="Y55" s="275"/>
      <c r="Z55" s="271" t="s">
        <v>240</v>
      </c>
      <c r="AA55" s="91">
        <v>0.0</v>
      </c>
      <c r="AB55" s="273">
        <v>1.0</v>
      </c>
      <c r="AC55" s="273">
        <v>1.0</v>
      </c>
      <c r="AD55" s="91">
        <v>0.0</v>
      </c>
      <c r="AE55" s="91">
        <v>0.0</v>
      </c>
      <c r="AF55" s="91">
        <v>0.0</v>
      </c>
      <c r="AG55" s="91">
        <v>0.0</v>
      </c>
      <c r="AH55" s="269"/>
    </row>
    <row r="56">
      <c r="A56" s="269" t="s">
        <v>265</v>
      </c>
      <c r="B56" s="270" t="s">
        <v>1611</v>
      </c>
      <c r="F56" s="275"/>
      <c r="G56" s="275"/>
      <c r="H56" s="275"/>
      <c r="I56" s="275"/>
      <c r="J56" s="275"/>
      <c r="K56" s="275"/>
      <c r="L56" s="275"/>
      <c r="M56" s="275"/>
      <c r="N56" s="275"/>
      <c r="O56" s="275"/>
      <c r="P56" s="275"/>
      <c r="Q56" s="275"/>
      <c r="R56" s="275"/>
      <c r="S56" s="275"/>
      <c r="T56" s="275"/>
      <c r="U56" s="275"/>
      <c r="V56" s="275"/>
      <c r="W56" s="275"/>
      <c r="X56" s="275"/>
      <c r="Y56" s="275"/>
      <c r="Z56" s="271" t="s">
        <v>243</v>
      </c>
      <c r="AA56" s="91">
        <v>0.0</v>
      </c>
      <c r="AB56" s="273">
        <v>1.0</v>
      </c>
      <c r="AC56" s="91">
        <v>0.0</v>
      </c>
      <c r="AD56" s="91">
        <v>0.0</v>
      </c>
      <c r="AE56" s="273">
        <v>1.0</v>
      </c>
      <c r="AF56" s="273">
        <v>1.0</v>
      </c>
      <c r="AG56" s="273">
        <v>1.0</v>
      </c>
      <c r="AH56" s="269"/>
    </row>
    <row r="57">
      <c r="A57" s="269" t="s">
        <v>268</v>
      </c>
      <c r="B57" s="95" t="s">
        <v>1609</v>
      </c>
      <c r="F57" s="189"/>
      <c r="G57" s="189"/>
      <c r="H57" s="189"/>
      <c r="I57" s="189"/>
      <c r="J57" s="189"/>
      <c r="K57" s="189"/>
      <c r="L57" s="189"/>
      <c r="M57" s="189"/>
      <c r="N57" s="189"/>
      <c r="O57" s="189"/>
      <c r="P57" s="189"/>
      <c r="Q57" s="189"/>
      <c r="R57" s="189"/>
      <c r="S57" s="189"/>
      <c r="T57" s="189"/>
      <c r="U57" s="189"/>
      <c r="V57" s="189"/>
      <c r="W57" s="189"/>
      <c r="X57" s="189"/>
      <c r="Y57" s="189"/>
      <c r="Z57" s="279" t="s">
        <v>246</v>
      </c>
      <c r="AA57" s="273">
        <v>1.0</v>
      </c>
      <c r="AB57" s="273">
        <v>1.0</v>
      </c>
      <c r="AC57" s="273">
        <v>1.0</v>
      </c>
      <c r="AD57" s="273">
        <v>1.0</v>
      </c>
      <c r="AE57" s="91">
        <v>0.0</v>
      </c>
      <c r="AF57" s="273">
        <v>1.0</v>
      </c>
      <c r="AG57" s="273">
        <v>1.0</v>
      </c>
      <c r="AH57" s="269"/>
    </row>
    <row r="58">
      <c r="A58" s="269" t="s">
        <v>271</v>
      </c>
      <c r="B58" s="270" t="s">
        <v>1613</v>
      </c>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1" t="s">
        <v>249</v>
      </c>
      <c r="AA58" s="91">
        <v>0.0</v>
      </c>
      <c r="AB58" s="273">
        <v>1.0</v>
      </c>
      <c r="AC58" s="273">
        <v>1.0</v>
      </c>
      <c r="AD58" s="91">
        <v>0.0</v>
      </c>
      <c r="AE58" s="273">
        <v>1.0</v>
      </c>
      <c r="AF58" s="273">
        <v>1.0</v>
      </c>
      <c r="AG58" s="273">
        <v>1.0</v>
      </c>
      <c r="AH58" s="269"/>
    </row>
    <row r="59">
      <c r="A59" s="269" t="s">
        <v>274</v>
      </c>
      <c r="B59" s="270" t="s">
        <v>1619</v>
      </c>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1" t="s">
        <v>252</v>
      </c>
      <c r="AA59" s="91">
        <v>0.0</v>
      </c>
      <c r="AB59" s="273">
        <v>1.0</v>
      </c>
      <c r="AC59" s="273">
        <v>1.0</v>
      </c>
      <c r="AD59" s="91">
        <v>0.0</v>
      </c>
      <c r="AE59" s="91">
        <v>0.0</v>
      </c>
      <c r="AF59" s="91">
        <v>0.0</v>
      </c>
      <c r="AG59" s="273">
        <v>1.0</v>
      </c>
      <c r="AH59" s="269"/>
    </row>
    <row r="60">
      <c r="A60" s="269" t="s">
        <v>277</v>
      </c>
      <c r="B60" s="270" t="s">
        <v>1608</v>
      </c>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1" t="s">
        <v>255</v>
      </c>
      <c r="AA60" s="91">
        <v>0.0</v>
      </c>
      <c r="AB60" s="91">
        <v>0.0</v>
      </c>
      <c r="AC60" s="91">
        <v>0.0</v>
      </c>
      <c r="AD60" s="91">
        <v>0.0</v>
      </c>
      <c r="AE60" s="91">
        <v>0.0</v>
      </c>
      <c r="AF60" s="91">
        <v>0.0</v>
      </c>
      <c r="AG60" s="91">
        <v>0.0</v>
      </c>
      <c r="AH60" s="269"/>
    </row>
    <row r="61">
      <c r="A61" s="269" t="s">
        <v>280</v>
      </c>
      <c r="B61" s="270" t="s">
        <v>1610</v>
      </c>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1" t="s">
        <v>258</v>
      </c>
      <c r="AA61" s="91">
        <v>0.0</v>
      </c>
      <c r="AB61" s="273">
        <v>1.0</v>
      </c>
      <c r="AC61" s="273">
        <v>1.0</v>
      </c>
      <c r="AD61" s="91">
        <v>0.0</v>
      </c>
      <c r="AE61" s="91">
        <v>0.0</v>
      </c>
      <c r="AF61" s="91">
        <v>0.0</v>
      </c>
      <c r="AG61" s="273">
        <v>1.0</v>
      </c>
      <c r="AH61" s="269"/>
    </row>
    <row r="62">
      <c r="A62" s="269" t="s">
        <v>283</v>
      </c>
      <c r="B62" s="95" t="s">
        <v>1622</v>
      </c>
      <c r="C62" s="189"/>
      <c r="D62" s="189"/>
      <c r="E62" s="189"/>
      <c r="F62" s="189"/>
      <c r="G62" s="189"/>
      <c r="H62" s="189"/>
      <c r="I62" s="189"/>
      <c r="J62" s="189"/>
      <c r="K62" s="189"/>
      <c r="L62" s="189"/>
      <c r="M62" s="189"/>
      <c r="N62" s="189"/>
      <c r="O62" s="189"/>
      <c r="P62" s="189"/>
      <c r="Q62" s="189"/>
      <c r="R62" s="189"/>
      <c r="S62" s="189"/>
      <c r="T62" s="189"/>
      <c r="U62" s="189"/>
      <c r="V62" s="189"/>
      <c r="W62" s="189"/>
      <c r="X62" s="189"/>
      <c r="Y62" s="189"/>
      <c r="Z62" s="271" t="s">
        <v>260</v>
      </c>
      <c r="AA62" s="91">
        <v>0.0</v>
      </c>
      <c r="AB62" s="273">
        <v>1.0</v>
      </c>
      <c r="AC62" s="273">
        <v>1.0</v>
      </c>
      <c r="AD62" s="91">
        <v>0.0</v>
      </c>
      <c r="AE62" s="273">
        <v>1.0</v>
      </c>
      <c r="AF62" s="273">
        <v>1.0</v>
      </c>
      <c r="AG62" s="273">
        <v>1.0</v>
      </c>
      <c r="AH62" s="269"/>
    </row>
    <row r="63">
      <c r="A63" s="269" t="s">
        <v>286</v>
      </c>
      <c r="B63" s="270" t="s">
        <v>1606</v>
      </c>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1" t="s">
        <v>263</v>
      </c>
      <c r="AA63" s="91">
        <v>0.0</v>
      </c>
      <c r="AB63" s="91">
        <v>0.0</v>
      </c>
      <c r="AC63" s="91">
        <v>0.0</v>
      </c>
      <c r="AD63" s="91">
        <v>0.0</v>
      </c>
      <c r="AE63" s="91">
        <v>0.0</v>
      </c>
      <c r="AF63" s="91">
        <v>0.0</v>
      </c>
      <c r="AG63" s="91">
        <v>0.0</v>
      </c>
      <c r="AH63" s="269"/>
    </row>
    <row r="64">
      <c r="A64" s="269" t="s">
        <v>289</v>
      </c>
      <c r="B64" s="270" t="s">
        <v>1610</v>
      </c>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1" t="s">
        <v>265</v>
      </c>
      <c r="AA64" s="91">
        <v>0.0</v>
      </c>
      <c r="AB64" s="273">
        <v>1.0</v>
      </c>
      <c r="AC64" s="273">
        <v>1.0</v>
      </c>
      <c r="AD64" s="273">
        <v>1.0</v>
      </c>
      <c r="AE64" s="91">
        <v>0.0</v>
      </c>
      <c r="AF64" s="91">
        <v>0.0</v>
      </c>
      <c r="AG64" s="273">
        <v>1.0</v>
      </c>
      <c r="AH64" s="269"/>
    </row>
    <row r="65">
      <c r="A65" s="269" t="s">
        <v>294</v>
      </c>
      <c r="B65" s="270" t="s">
        <v>1605</v>
      </c>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9" t="s">
        <v>268</v>
      </c>
      <c r="AA65" s="273">
        <v>1.0</v>
      </c>
      <c r="AB65" s="273">
        <v>1.0</v>
      </c>
      <c r="AC65" s="273">
        <v>1.0</v>
      </c>
      <c r="AD65" s="273">
        <v>1.0</v>
      </c>
      <c r="AE65" s="273">
        <v>1.0</v>
      </c>
      <c r="AF65" s="273">
        <v>1.0</v>
      </c>
      <c r="AG65" s="273">
        <v>1.0</v>
      </c>
      <c r="AH65" s="269"/>
    </row>
    <row r="66">
      <c r="A66" s="269" t="s">
        <v>297</v>
      </c>
      <c r="B66" s="270" t="s">
        <v>1605</v>
      </c>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1" t="s">
        <v>271</v>
      </c>
      <c r="AA66" s="91">
        <v>0.0</v>
      </c>
      <c r="AB66" s="273">
        <v>1.0</v>
      </c>
      <c r="AC66" s="273">
        <v>1.0</v>
      </c>
      <c r="AD66" s="91">
        <v>0.0</v>
      </c>
      <c r="AE66" s="91">
        <v>0.0</v>
      </c>
      <c r="AF66" s="273">
        <v>1.0</v>
      </c>
      <c r="AG66" s="273">
        <v>1.0</v>
      </c>
      <c r="AH66" s="269"/>
    </row>
    <row r="67">
      <c r="A67" s="269" t="s">
        <v>300</v>
      </c>
      <c r="B67" s="270" t="s">
        <v>1608</v>
      </c>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1" t="s">
        <v>274</v>
      </c>
      <c r="AA67" s="91">
        <v>0.0</v>
      </c>
      <c r="AB67" s="273">
        <v>1.0</v>
      </c>
      <c r="AC67" s="273">
        <v>1.0</v>
      </c>
      <c r="AD67" s="91">
        <v>0.0</v>
      </c>
      <c r="AE67" s="91">
        <v>0.0</v>
      </c>
      <c r="AF67" s="91">
        <v>0.0</v>
      </c>
      <c r="AG67" s="91">
        <v>0.0</v>
      </c>
      <c r="AH67" s="269"/>
    </row>
    <row r="68">
      <c r="A68" s="269" t="s">
        <v>303</v>
      </c>
      <c r="B68" s="270" t="s">
        <v>1613</v>
      </c>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1" t="s">
        <v>277</v>
      </c>
      <c r="AA68" s="91">
        <v>0.0</v>
      </c>
      <c r="AB68" s="273">
        <v>1.0</v>
      </c>
      <c r="AC68" s="273">
        <v>1.0</v>
      </c>
      <c r="AD68" s="91">
        <v>0.0</v>
      </c>
      <c r="AE68" s="273">
        <v>1.0</v>
      </c>
      <c r="AF68" s="273">
        <v>1.0</v>
      </c>
      <c r="AG68" s="273">
        <v>1.0</v>
      </c>
      <c r="AH68" s="269"/>
    </row>
    <row r="69">
      <c r="A69" s="269" t="s">
        <v>306</v>
      </c>
      <c r="B69" s="95" t="s">
        <v>1609</v>
      </c>
      <c r="C69" s="189"/>
      <c r="D69" s="189"/>
      <c r="E69" s="189"/>
      <c r="F69" s="189"/>
      <c r="G69" s="189"/>
      <c r="H69" s="189"/>
      <c r="I69" s="189"/>
      <c r="J69" s="189"/>
      <c r="K69" s="189"/>
      <c r="L69" s="189"/>
      <c r="M69" s="189"/>
      <c r="N69" s="189"/>
      <c r="O69" s="189"/>
      <c r="P69" s="189"/>
      <c r="Q69" s="189"/>
      <c r="R69" s="189"/>
      <c r="S69" s="189"/>
      <c r="T69" s="189"/>
      <c r="U69" s="189"/>
      <c r="V69" s="189"/>
      <c r="W69" s="189"/>
      <c r="X69" s="189"/>
      <c r="Y69" s="189"/>
      <c r="Z69" s="271" t="s">
        <v>280</v>
      </c>
      <c r="AA69" s="91">
        <v>0.0</v>
      </c>
      <c r="AB69" s="273">
        <v>1.0</v>
      </c>
      <c r="AC69" s="91">
        <v>0.0</v>
      </c>
      <c r="AD69" s="91">
        <v>0.0</v>
      </c>
      <c r="AE69" s="91">
        <v>0.0</v>
      </c>
      <c r="AF69" s="91">
        <v>0.0</v>
      </c>
      <c r="AG69" s="273">
        <v>1.0</v>
      </c>
      <c r="AH69" s="269"/>
    </row>
    <row r="70">
      <c r="A70" s="269" t="s">
        <v>309</v>
      </c>
      <c r="B70" s="270" t="s">
        <v>1623</v>
      </c>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9" t="s">
        <v>283</v>
      </c>
      <c r="AA70" s="273">
        <v>1.0</v>
      </c>
      <c r="AB70" s="91">
        <v>0.0</v>
      </c>
      <c r="AC70" s="91">
        <v>0.0</v>
      </c>
      <c r="AD70" s="273">
        <v>1.0</v>
      </c>
      <c r="AE70" s="273">
        <v>1.0</v>
      </c>
      <c r="AF70" s="273">
        <v>1.0</v>
      </c>
      <c r="AG70" s="273">
        <v>1.0</v>
      </c>
      <c r="AH70" s="269"/>
    </row>
    <row r="71">
      <c r="A71" s="95" t="s">
        <v>312</v>
      </c>
      <c r="B71" s="270" t="s">
        <v>1605</v>
      </c>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1" t="s">
        <v>286</v>
      </c>
      <c r="AA71" s="91">
        <v>0.0</v>
      </c>
      <c r="AB71" s="91">
        <v>0.0</v>
      </c>
      <c r="AC71" s="91">
        <v>0.0</v>
      </c>
      <c r="AD71" s="91">
        <v>0.0</v>
      </c>
      <c r="AE71" s="91">
        <v>0.0</v>
      </c>
      <c r="AF71" s="91">
        <v>0.0</v>
      </c>
      <c r="AG71" s="273">
        <v>1.0</v>
      </c>
      <c r="AH71" s="269"/>
    </row>
    <row r="72">
      <c r="A72" s="269" t="s">
        <v>315</v>
      </c>
      <c r="B72" s="270" t="s">
        <v>1624</v>
      </c>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9" t="s">
        <v>289</v>
      </c>
      <c r="AA72" s="273">
        <v>1.0</v>
      </c>
      <c r="AB72" s="273">
        <v>1.0</v>
      </c>
      <c r="AC72" s="91">
        <v>0.0</v>
      </c>
      <c r="AD72" s="91">
        <v>0.0</v>
      </c>
      <c r="AE72" s="91">
        <v>0.0</v>
      </c>
      <c r="AF72" s="273">
        <v>1.0</v>
      </c>
      <c r="AG72" s="273">
        <v>1.0</v>
      </c>
      <c r="AH72" s="269"/>
    </row>
    <row r="73">
      <c r="A73" s="269" t="s">
        <v>318</v>
      </c>
      <c r="B73" s="270" t="s">
        <v>1613</v>
      </c>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1" t="s">
        <v>294</v>
      </c>
      <c r="AA73" s="91">
        <v>0.0</v>
      </c>
      <c r="AB73" s="91">
        <v>0.0</v>
      </c>
      <c r="AC73" s="91">
        <v>0.0</v>
      </c>
      <c r="AD73" s="91">
        <v>0.0</v>
      </c>
      <c r="AE73" s="91">
        <v>0.0</v>
      </c>
      <c r="AF73" s="91">
        <v>0.0</v>
      </c>
      <c r="AG73" s="91">
        <v>0.0</v>
      </c>
      <c r="AH73" s="269"/>
    </row>
    <row r="74">
      <c r="A74" s="269" t="s">
        <v>321</v>
      </c>
      <c r="B74" s="95" t="s">
        <v>1609</v>
      </c>
      <c r="C74" s="189"/>
      <c r="D74" s="189"/>
      <c r="E74" s="189"/>
      <c r="F74" s="189"/>
      <c r="G74" s="189"/>
      <c r="H74" s="189"/>
      <c r="I74" s="189"/>
      <c r="J74" s="189"/>
      <c r="K74" s="189"/>
      <c r="L74" s="189"/>
      <c r="M74" s="189"/>
      <c r="N74" s="189"/>
      <c r="O74" s="189"/>
      <c r="P74" s="189"/>
      <c r="Q74" s="189"/>
      <c r="R74" s="189"/>
      <c r="S74" s="189"/>
      <c r="T74" s="189"/>
      <c r="U74" s="189"/>
      <c r="V74" s="189"/>
      <c r="W74" s="189"/>
      <c r="X74" s="189"/>
      <c r="Y74" s="189"/>
      <c r="Z74" s="271" t="s">
        <v>297</v>
      </c>
      <c r="AA74" s="91">
        <v>0.0</v>
      </c>
      <c r="AB74" s="91">
        <v>0.0</v>
      </c>
      <c r="AC74" s="91">
        <v>0.0</v>
      </c>
      <c r="AD74" s="91">
        <v>0.0</v>
      </c>
      <c r="AE74" s="91">
        <v>0.0</v>
      </c>
      <c r="AF74" s="91">
        <v>0.0</v>
      </c>
      <c r="AG74" s="91">
        <v>0.0</v>
      </c>
      <c r="AH74" s="269"/>
    </row>
    <row r="75">
      <c r="A75" s="269" t="s">
        <v>324</v>
      </c>
      <c r="B75" s="270" t="s">
        <v>1613</v>
      </c>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1" t="s">
        <v>300</v>
      </c>
      <c r="AA75" s="91">
        <v>0.0</v>
      </c>
      <c r="AB75" s="273">
        <v>1.0</v>
      </c>
      <c r="AC75" s="273">
        <v>1.0</v>
      </c>
      <c r="AD75" s="91">
        <v>0.0</v>
      </c>
      <c r="AE75" s="273">
        <v>1.0</v>
      </c>
      <c r="AF75" s="273">
        <v>1.0</v>
      </c>
      <c r="AG75" s="273">
        <v>1.0</v>
      </c>
      <c r="AH75" s="269"/>
    </row>
    <row r="76">
      <c r="A76" s="269" t="s">
        <v>327</v>
      </c>
      <c r="B76" s="95" t="s">
        <v>1609</v>
      </c>
      <c r="C76" s="189"/>
      <c r="D76" s="189"/>
      <c r="E76" s="189"/>
      <c r="F76" s="189"/>
      <c r="G76" s="189"/>
      <c r="H76" s="189"/>
      <c r="I76" s="189"/>
      <c r="J76" s="189"/>
      <c r="K76" s="189"/>
      <c r="L76" s="189"/>
      <c r="M76" s="189"/>
      <c r="N76" s="189"/>
      <c r="O76" s="189"/>
      <c r="P76" s="189"/>
      <c r="Q76" s="189"/>
      <c r="R76" s="189"/>
      <c r="S76" s="189"/>
      <c r="T76" s="189"/>
      <c r="U76" s="189"/>
      <c r="V76" s="189"/>
      <c r="W76" s="189"/>
      <c r="X76" s="189"/>
      <c r="Y76" s="189"/>
      <c r="Z76" s="271" t="s">
        <v>303</v>
      </c>
      <c r="AA76" s="91">
        <v>0.0</v>
      </c>
      <c r="AB76" s="273">
        <v>1.0</v>
      </c>
      <c r="AC76" s="273">
        <v>1.0</v>
      </c>
      <c r="AD76" s="91">
        <v>0.0</v>
      </c>
      <c r="AE76" s="91">
        <v>0.0</v>
      </c>
      <c r="AF76" s="91">
        <v>0.0</v>
      </c>
      <c r="AG76" s="273">
        <v>1.0</v>
      </c>
      <c r="AH76" s="269"/>
    </row>
    <row r="77">
      <c r="A77" s="269" t="s">
        <v>330</v>
      </c>
      <c r="B77" s="270" t="s">
        <v>1613</v>
      </c>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9" t="s">
        <v>306</v>
      </c>
      <c r="AA77" s="273">
        <v>1.0</v>
      </c>
      <c r="AB77" s="273">
        <v>1.0</v>
      </c>
      <c r="AC77" s="273">
        <v>1.0</v>
      </c>
      <c r="AD77" s="273">
        <v>1.0</v>
      </c>
      <c r="AE77" s="273">
        <v>1.0</v>
      </c>
      <c r="AF77" s="273">
        <v>1.0</v>
      </c>
      <c r="AG77" s="273">
        <v>1.0</v>
      </c>
      <c r="AH77" s="269"/>
    </row>
    <row r="78">
      <c r="A78" s="269" t="s">
        <v>333</v>
      </c>
      <c r="B78" s="270" t="s">
        <v>1613</v>
      </c>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1" t="s">
        <v>309</v>
      </c>
      <c r="AA78" s="91">
        <v>0.0</v>
      </c>
      <c r="AB78" s="273">
        <v>1.0</v>
      </c>
      <c r="AC78" s="273">
        <v>1.0</v>
      </c>
      <c r="AD78" s="273">
        <v>1.0</v>
      </c>
      <c r="AE78" s="273">
        <v>1.0</v>
      </c>
      <c r="AF78" s="273">
        <v>1.0</v>
      </c>
      <c r="AG78" s="273">
        <v>1.0</v>
      </c>
      <c r="AH78" s="269"/>
    </row>
    <row r="79">
      <c r="A79" s="269" t="s">
        <v>336</v>
      </c>
      <c r="B79" s="95" t="s">
        <v>1609</v>
      </c>
      <c r="C79" s="189"/>
      <c r="D79" s="189"/>
      <c r="E79" s="189"/>
      <c r="F79" s="189"/>
      <c r="G79" s="189"/>
      <c r="H79" s="189"/>
      <c r="I79" s="189"/>
      <c r="J79" s="189"/>
      <c r="K79" s="189"/>
      <c r="L79" s="189"/>
      <c r="M79" s="189"/>
      <c r="N79" s="189"/>
      <c r="O79" s="189"/>
      <c r="P79" s="189"/>
      <c r="Q79" s="189"/>
      <c r="R79" s="189"/>
      <c r="S79" s="189"/>
      <c r="T79" s="189"/>
      <c r="U79" s="189"/>
      <c r="V79" s="189"/>
      <c r="W79" s="189"/>
      <c r="X79" s="189"/>
      <c r="Y79" s="189"/>
      <c r="Z79" s="91" t="s">
        <v>312</v>
      </c>
      <c r="AA79" s="91">
        <v>0.0</v>
      </c>
      <c r="AB79" s="91">
        <v>1.0</v>
      </c>
      <c r="AC79" s="91">
        <v>1.0</v>
      </c>
      <c r="AD79" s="91">
        <v>0.0</v>
      </c>
      <c r="AE79" s="91">
        <v>0.0</v>
      </c>
      <c r="AF79" s="91">
        <v>0.0</v>
      </c>
      <c r="AG79" s="91">
        <v>0.0</v>
      </c>
      <c r="AH79" s="269"/>
    </row>
    <row r="80">
      <c r="A80" s="269" t="s">
        <v>339</v>
      </c>
      <c r="B80" s="270" t="s">
        <v>1608</v>
      </c>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1" t="s">
        <v>315</v>
      </c>
      <c r="AA80" s="91">
        <v>0.0</v>
      </c>
      <c r="AB80" s="91">
        <v>0.0</v>
      </c>
      <c r="AC80" s="273">
        <v>1.0</v>
      </c>
      <c r="AD80" s="91">
        <v>0.0</v>
      </c>
      <c r="AE80" s="91">
        <v>0.0</v>
      </c>
      <c r="AF80" s="91">
        <v>0.0</v>
      </c>
      <c r="AG80" s="273">
        <v>1.0</v>
      </c>
      <c r="AH80" s="269"/>
    </row>
    <row r="81">
      <c r="A81" s="269" t="s">
        <v>342</v>
      </c>
      <c r="B81" s="270" t="s">
        <v>1608</v>
      </c>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1" t="s">
        <v>318</v>
      </c>
      <c r="AA81" s="91">
        <v>0.0</v>
      </c>
      <c r="AB81" s="273">
        <v>1.0</v>
      </c>
      <c r="AC81" s="273">
        <v>1.0</v>
      </c>
      <c r="AD81" s="91">
        <v>0.0</v>
      </c>
      <c r="AE81" s="91">
        <v>0.0</v>
      </c>
      <c r="AF81" s="91">
        <v>0.0</v>
      </c>
      <c r="AG81" s="273">
        <v>1.0</v>
      </c>
      <c r="AH81" s="269"/>
    </row>
    <row r="82">
      <c r="A82" s="269" t="s">
        <v>345</v>
      </c>
      <c r="B82" s="270" t="s">
        <v>1619</v>
      </c>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9" t="s">
        <v>321</v>
      </c>
      <c r="AA82" s="273">
        <v>1.0</v>
      </c>
      <c r="AB82" s="273">
        <v>1.0</v>
      </c>
      <c r="AC82" s="273">
        <v>1.0</v>
      </c>
      <c r="AD82" s="273">
        <v>1.0</v>
      </c>
      <c r="AE82" s="273">
        <v>1.0</v>
      </c>
      <c r="AF82" s="273">
        <v>1.0</v>
      </c>
      <c r="AG82" s="273">
        <v>1.0</v>
      </c>
      <c r="AH82" s="269"/>
    </row>
    <row r="83">
      <c r="A83" s="269" t="s">
        <v>348</v>
      </c>
      <c r="B83" s="270" t="s">
        <v>1613</v>
      </c>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1" t="s">
        <v>324</v>
      </c>
      <c r="AA83" s="91">
        <v>0.0</v>
      </c>
      <c r="AB83" s="273">
        <v>1.0</v>
      </c>
      <c r="AC83" s="273">
        <v>1.0</v>
      </c>
      <c r="AD83" s="91">
        <v>0.0</v>
      </c>
      <c r="AE83" s="91">
        <v>0.0</v>
      </c>
      <c r="AF83" s="91">
        <v>0.0</v>
      </c>
      <c r="AG83" s="273">
        <v>1.0</v>
      </c>
      <c r="AH83" s="269"/>
    </row>
    <row r="84">
      <c r="A84" s="269" t="s">
        <v>351</v>
      </c>
      <c r="B84" s="270" t="s">
        <v>1608</v>
      </c>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9" t="s">
        <v>327</v>
      </c>
      <c r="AA84" s="273">
        <v>1.0</v>
      </c>
      <c r="AB84" s="273">
        <v>1.0</v>
      </c>
      <c r="AC84" s="273">
        <v>1.0</v>
      </c>
      <c r="AD84" s="273">
        <v>1.0</v>
      </c>
      <c r="AE84" s="273">
        <v>1.0</v>
      </c>
      <c r="AF84" s="273">
        <v>1.0</v>
      </c>
      <c r="AG84" s="273">
        <v>1.0</v>
      </c>
      <c r="AH84" s="269"/>
    </row>
    <row r="85">
      <c r="A85" s="269" t="s">
        <v>354</v>
      </c>
      <c r="B85" s="270" t="s">
        <v>1619</v>
      </c>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1" t="s">
        <v>330</v>
      </c>
      <c r="AA85" s="91">
        <v>0.0</v>
      </c>
      <c r="AB85" s="273">
        <v>1.0</v>
      </c>
      <c r="AC85" s="273">
        <v>1.0</v>
      </c>
      <c r="AD85" s="91">
        <v>0.0</v>
      </c>
      <c r="AE85" s="91">
        <v>0.0</v>
      </c>
      <c r="AF85" s="91">
        <v>0.0</v>
      </c>
      <c r="AG85" s="273">
        <v>1.0</v>
      </c>
      <c r="AH85" s="269"/>
    </row>
    <row r="86">
      <c r="A86" s="269" t="s">
        <v>357</v>
      </c>
      <c r="B86" s="270" t="s">
        <v>1619</v>
      </c>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1" t="s">
        <v>333</v>
      </c>
      <c r="AA86" s="91">
        <v>0.0</v>
      </c>
      <c r="AB86" s="273">
        <v>1.0</v>
      </c>
      <c r="AC86" s="273">
        <v>1.0</v>
      </c>
      <c r="AD86" s="91">
        <v>0.0</v>
      </c>
      <c r="AE86" s="91">
        <v>0.0</v>
      </c>
      <c r="AF86" s="273">
        <v>1.0</v>
      </c>
      <c r="AG86" s="273">
        <v>1.0</v>
      </c>
      <c r="AH86" s="269"/>
    </row>
    <row r="87">
      <c r="A87" s="269" t="s">
        <v>360</v>
      </c>
      <c r="B87" s="95" t="s">
        <v>1609</v>
      </c>
      <c r="C87" s="189"/>
      <c r="D87" s="189"/>
      <c r="E87" s="189"/>
      <c r="F87" s="189"/>
      <c r="G87" s="189"/>
      <c r="H87" s="189"/>
      <c r="I87" s="189"/>
      <c r="J87" s="189"/>
      <c r="K87" s="189"/>
      <c r="L87" s="189"/>
      <c r="M87" s="189"/>
      <c r="N87" s="189"/>
      <c r="O87" s="189"/>
      <c r="P87" s="189"/>
      <c r="Q87" s="189"/>
      <c r="R87" s="189"/>
      <c r="S87" s="189"/>
      <c r="T87" s="189"/>
      <c r="U87" s="189"/>
      <c r="V87" s="189"/>
      <c r="W87" s="189"/>
      <c r="X87" s="189"/>
      <c r="Y87" s="189"/>
      <c r="Z87" s="279" t="s">
        <v>336</v>
      </c>
      <c r="AA87" s="273">
        <v>1.0</v>
      </c>
      <c r="AB87" s="273">
        <v>1.0</v>
      </c>
      <c r="AC87" s="273">
        <v>1.0</v>
      </c>
      <c r="AD87" s="273">
        <v>1.0</v>
      </c>
      <c r="AE87" s="273">
        <v>1.0</v>
      </c>
      <c r="AF87" s="273">
        <v>1.0</v>
      </c>
      <c r="AG87" s="273">
        <v>1.0</v>
      </c>
      <c r="AH87" s="269"/>
    </row>
    <row r="88">
      <c r="A88" s="269" t="s">
        <v>363</v>
      </c>
      <c r="B88" s="270" t="s">
        <v>1613</v>
      </c>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1" t="s">
        <v>339</v>
      </c>
      <c r="AA88" s="91">
        <v>0.0</v>
      </c>
      <c r="AB88" s="273">
        <v>1.0</v>
      </c>
      <c r="AC88" s="273">
        <v>1.0</v>
      </c>
      <c r="AD88" s="91">
        <v>0.0</v>
      </c>
      <c r="AE88" s="273">
        <v>1.0</v>
      </c>
      <c r="AF88" s="273">
        <v>1.0</v>
      </c>
      <c r="AG88" s="273">
        <v>1.0</v>
      </c>
      <c r="AH88" s="269"/>
    </row>
    <row r="89">
      <c r="A89" s="269" t="s">
        <v>366</v>
      </c>
      <c r="B89" s="95" t="s">
        <v>1609</v>
      </c>
      <c r="C89" s="189"/>
      <c r="D89" s="189"/>
      <c r="E89" s="189"/>
      <c r="F89" s="189"/>
      <c r="G89" s="189"/>
      <c r="H89" s="189"/>
      <c r="I89" s="189"/>
      <c r="J89" s="189"/>
      <c r="K89" s="189"/>
      <c r="L89" s="189"/>
      <c r="M89" s="189"/>
      <c r="N89" s="189"/>
      <c r="O89" s="189"/>
      <c r="P89" s="189"/>
      <c r="Q89" s="189"/>
      <c r="R89" s="189"/>
      <c r="S89" s="189"/>
      <c r="T89" s="189"/>
      <c r="U89" s="189"/>
      <c r="V89" s="189"/>
      <c r="W89" s="189"/>
      <c r="X89" s="189"/>
      <c r="Y89" s="189"/>
      <c r="Z89" s="271" t="s">
        <v>342</v>
      </c>
      <c r="AA89" s="91">
        <v>0.0</v>
      </c>
      <c r="AB89" s="273">
        <v>1.0</v>
      </c>
      <c r="AC89" s="273">
        <v>1.0</v>
      </c>
      <c r="AD89" s="91">
        <v>0.0</v>
      </c>
      <c r="AE89" s="273">
        <v>1.0</v>
      </c>
      <c r="AF89" s="91">
        <v>0.0</v>
      </c>
      <c r="AG89" s="273">
        <v>1.0</v>
      </c>
      <c r="AH89" s="269"/>
    </row>
    <row r="90">
      <c r="A90" s="269" t="s">
        <v>369</v>
      </c>
      <c r="B90" s="270" t="s">
        <v>1605</v>
      </c>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1" t="s">
        <v>345</v>
      </c>
      <c r="AA90" s="91">
        <v>0.0</v>
      </c>
      <c r="AB90" s="273">
        <v>1.0</v>
      </c>
      <c r="AC90" s="273">
        <v>1.0</v>
      </c>
      <c r="AD90" s="91">
        <v>0.0</v>
      </c>
      <c r="AE90" s="91">
        <v>0.0</v>
      </c>
      <c r="AF90" s="91">
        <v>0.0</v>
      </c>
      <c r="AG90" s="91">
        <v>0.0</v>
      </c>
      <c r="AH90" s="269"/>
    </row>
    <row r="91">
      <c r="A91" s="269" t="s">
        <v>372</v>
      </c>
      <c r="B91" s="270" t="s">
        <v>1608</v>
      </c>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1" t="s">
        <v>348</v>
      </c>
      <c r="AA91" s="91">
        <v>0.0</v>
      </c>
      <c r="AB91" s="273">
        <v>1.0</v>
      </c>
      <c r="AC91" s="273">
        <v>1.0</v>
      </c>
      <c r="AD91" s="91">
        <v>0.0</v>
      </c>
      <c r="AE91" s="91">
        <v>0.0</v>
      </c>
      <c r="AF91" s="273">
        <v>1.0</v>
      </c>
      <c r="AG91" s="273">
        <v>1.0</v>
      </c>
      <c r="AH91" s="269"/>
    </row>
    <row r="92">
      <c r="A92" s="269" t="s">
        <v>375</v>
      </c>
      <c r="B92" s="270" t="s">
        <v>1613</v>
      </c>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1" t="s">
        <v>351</v>
      </c>
      <c r="AA92" s="91">
        <v>0.0</v>
      </c>
      <c r="AB92" s="273">
        <v>1.0</v>
      </c>
      <c r="AC92" s="273">
        <v>1.0</v>
      </c>
      <c r="AD92" s="91">
        <v>0.0</v>
      </c>
      <c r="AE92" s="273">
        <v>1.0</v>
      </c>
      <c r="AF92" s="91">
        <v>0.0</v>
      </c>
      <c r="AG92" s="273">
        <v>1.0</v>
      </c>
      <c r="AH92" s="269"/>
    </row>
    <row r="93">
      <c r="A93" s="269" t="s">
        <v>378</v>
      </c>
      <c r="B93" s="95" t="s">
        <v>1609</v>
      </c>
      <c r="C93" s="189"/>
      <c r="D93" s="189"/>
      <c r="E93" s="189"/>
      <c r="F93" s="189"/>
      <c r="G93" s="189"/>
      <c r="H93" s="189"/>
      <c r="I93" s="189"/>
      <c r="J93" s="189"/>
      <c r="K93" s="189"/>
      <c r="L93" s="189"/>
      <c r="M93" s="189"/>
      <c r="N93" s="189"/>
      <c r="O93" s="189"/>
      <c r="P93" s="189"/>
      <c r="Q93" s="189"/>
      <c r="R93" s="189"/>
      <c r="S93" s="189"/>
      <c r="T93" s="189"/>
      <c r="U93" s="189"/>
      <c r="V93" s="189"/>
      <c r="W93" s="189"/>
      <c r="X93" s="189"/>
      <c r="Y93" s="189"/>
      <c r="Z93" s="279" t="s">
        <v>354</v>
      </c>
      <c r="AA93" s="273">
        <v>1.0</v>
      </c>
      <c r="AB93" s="273">
        <v>1.0</v>
      </c>
      <c r="AC93" s="273">
        <v>1.0</v>
      </c>
      <c r="AD93" s="91">
        <v>0.0</v>
      </c>
      <c r="AE93" s="91">
        <v>0.0</v>
      </c>
      <c r="AF93" s="273">
        <v>1.0</v>
      </c>
      <c r="AG93" s="91">
        <v>0.0</v>
      </c>
      <c r="AH93" s="269"/>
    </row>
    <row r="94">
      <c r="A94" s="269" t="s">
        <v>381</v>
      </c>
      <c r="B94" s="95" t="s">
        <v>1609</v>
      </c>
      <c r="C94" s="189"/>
      <c r="D94" s="189"/>
      <c r="E94" s="189"/>
      <c r="F94" s="189"/>
      <c r="G94" s="189"/>
      <c r="H94" s="189"/>
      <c r="I94" s="189"/>
      <c r="J94" s="189"/>
      <c r="K94" s="189"/>
      <c r="L94" s="189"/>
      <c r="M94" s="189"/>
      <c r="N94" s="189"/>
      <c r="O94" s="189"/>
      <c r="P94" s="189"/>
      <c r="Q94" s="189"/>
      <c r="R94" s="189"/>
      <c r="S94" s="189"/>
      <c r="T94" s="189"/>
      <c r="U94" s="189"/>
      <c r="V94" s="189"/>
      <c r="W94" s="189"/>
      <c r="X94" s="189"/>
      <c r="Y94" s="189"/>
      <c r="Z94" s="271" t="s">
        <v>357</v>
      </c>
      <c r="AA94" s="91">
        <v>0.0</v>
      </c>
      <c r="AB94" s="273">
        <v>1.0</v>
      </c>
      <c r="AC94" s="273">
        <v>1.0</v>
      </c>
      <c r="AD94" s="91">
        <v>0.0</v>
      </c>
      <c r="AE94" s="91">
        <v>0.0</v>
      </c>
      <c r="AF94" s="91">
        <v>0.0</v>
      </c>
      <c r="AG94" s="91">
        <v>0.0</v>
      </c>
      <c r="AH94" s="269"/>
    </row>
    <row r="95">
      <c r="A95" s="269" t="s">
        <v>384</v>
      </c>
      <c r="B95" s="95" t="s">
        <v>1609</v>
      </c>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279" t="s">
        <v>360</v>
      </c>
      <c r="AA95" s="273">
        <v>1.0</v>
      </c>
      <c r="AB95" s="273">
        <v>1.0</v>
      </c>
      <c r="AC95" s="273">
        <v>1.0</v>
      </c>
      <c r="AD95" s="273">
        <v>1.0</v>
      </c>
      <c r="AE95" s="273">
        <v>1.0</v>
      </c>
      <c r="AF95" s="273">
        <v>1.0</v>
      </c>
      <c r="AG95" s="273">
        <v>1.0</v>
      </c>
      <c r="AH95" s="269"/>
    </row>
    <row r="96">
      <c r="A96" s="269" t="s">
        <v>387</v>
      </c>
      <c r="B96" s="270" t="s">
        <v>1605</v>
      </c>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1" t="s">
        <v>363</v>
      </c>
      <c r="AA96" s="91">
        <v>0.0</v>
      </c>
      <c r="AB96" s="273">
        <v>1.0</v>
      </c>
      <c r="AC96" s="273">
        <v>1.0</v>
      </c>
      <c r="AD96" s="91">
        <v>0.0</v>
      </c>
      <c r="AE96" s="91">
        <v>0.0</v>
      </c>
      <c r="AF96" s="91">
        <v>0.0</v>
      </c>
      <c r="AG96" s="273">
        <v>1.0</v>
      </c>
      <c r="AH96" s="269"/>
    </row>
    <row r="97">
      <c r="A97" s="269" t="s">
        <v>390</v>
      </c>
      <c r="B97" s="270" t="s">
        <v>1608</v>
      </c>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9" t="s">
        <v>366</v>
      </c>
      <c r="AA97" s="273">
        <v>1.0</v>
      </c>
      <c r="AB97" s="273">
        <v>1.0</v>
      </c>
      <c r="AC97" s="273">
        <v>1.0</v>
      </c>
      <c r="AD97" s="273">
        <v>1.0</v>
      </c>
      <c r="AE97" s="273">
        <v>1.0</v>
      </c>
      <c r="AF97" s="273">
        <v>1.0</v>
      </c>
      <c r="AG97" s="273">
        <v>1.0</v>
      </c>
      <c r="AH97" s="269"/>
    </row>
    <row r="98">
      <c r="A98" s="269" t="s">
        <v>393</v>
      </c>
      <c r="B98" s="95" t="s">
        <v>1621</v>
      </c>
      <c r="C98" s="189"/>
      <c r="D98" s="189"/>
      <c r="E98" s="189"/>
      <c r="F98" s="189"/>
      <c r="G98" s="189"/>
      <c r="H98" s="189"/>
      <c r="I98" s="189"/>
      <c r="J98" s="189"/>
      <c r="K98" s="189"/>
      <c r="L98" s="189"/>
      <c r="M98" s="189"/>
      <c r="N98" s="189"/>
      <c r="O98" s="189"/>
      <c r="P98" s="189"/>
      <c r="Q98" s="189"/>
      <c r="R98" s="189"/>
      <c r="S98" s="189"/>
      <c r="T98" s="189"/>
      <c r="U98" s="189"/>
      <c r="V98" s="189"/>
      <c r="W98" s="189"/>
      <c r="X98" s="189"/>
      <c r="Y98" s="189"/>
      <c r="Z98" s="271" t="s">
        <v>369</v>
      </c>
      <c r="AA98" s="91">
        <v>0.0</v>
      </c>
      <c r="AB98" s="91">
        <v>0.0</v>
      </c>
      <c r="AC98" s="91">
        <v>0.0</v>
      </c>
      <c r="AD98" s="91">
        <v>0.0</v>
      </c>
      <c r="AE98" s="91">
        <v>0.0</v>
      </c>
      <c r="AF98" s="91">
        <v>0.0</v>
      </c>
      <c r="AG98" s="91">
        <v>0.0</v>
      </c>
      <c r="AH98" s="269"/>
    </row>
    <row r="99">
      <c r="A99" s="269"/>
      <c r="B99" s="269"/>
      <c r="C99" s="280"/>
      <c r="D99" s="280"/>
      <c r="E99" s="280"/>
      <c r="F99" s="280"/>
      <c r="G99" s="280"/>
      <c r="H99" s="280"/>
      <c r="I99" s="280"/>
      <c r="J99" s="280"/>
      <c r="K99" s="280"/>
      <c r="L99" s="280"/>
      <c r="M99" s="280"/>
      <c r="N99" s="280"/>
      <c r="O99" s="280"/>
      <c r="P99" s="280"/>
      <c r="Q99" s="280"/>
      <c r="R99" s="280"/>
      <c r="S99" s="280"/>
      <c r="T99" s="280"/>
      <c r="U99" s="280"/>
      <c r="V99" s="280"/>
      <c r="W99" s="280"/>
      <c r="X99" s="280"/>
      <c r="Y99" s="280"/>
      <c r="Z99" s="279" t="s">
        <v>372</v>
      </c>
      <c r="AA99" s="273">
        <v>1.0</v>
      </c>
      <c r="AB99" s="273">
        <v>1.0</v>
      </c>
      <c r="AC99" s="273">
        <v>1.0</v>
      </c>
      <c r="AD99" s="91">
        <v>0.0</v>
      </c>
      <c r="AE99" s="273">
        <v>1.0</v>
      </c>
      <c r="AF99" s="273">
        <v>1.0</v>
      </c>
      <c r="AG99" s="273">
        <v>1.0</v>
      </c>
      <c r="AH99" s="269"/>
    </row>
    <row r="100">
      <c r="A100" s="269"/>
      <c r="B100" s="269"/>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71" t="s">
        <v>375</v>
      </c>
      <c r="AA100" s="91">
        <v>0.0</v>
      </c>
      <c r="AB100" s="273">
        <v>1.0</v>
      </c>
      <c r="AC100" s="273">
        <v>1.0</v>
      </c>
      <c r="AD100" s="91">
        <v>0.0</v>
      </c>
      <c r="AE100" s="91">
        <v>0.0</v>
      </c>
      <c r="AF100" s="273">
        <v>1.0</v>
      </c>
      <c r="AG100" s="273">
        <v>1.0</v>
      </c>
      <c r="AH100" s="269"/>
    </row>
    <row r="101">
      <c r="A101" s="269"/>
      <c r="B101" s="269"/>
      <c r="C101" s="280"/>
      <c r="D101" s="280"/>
      <c r="E101" s="280"/>
      <c r="F101" s="280"/>
      <c r="G101" s="280"/>
      <c r="H101" s="280"/>
      <c r="I101" s="280"/>
      <c r="J101" s="280"/>
      <c r="K101" s="280"/>
      <c r="L101" s="280"/>
      <c r="M101" s="280"/>
      <c r="N101" s="280"/>
      <c r="O101" s="280"/>
      <c r="P101" s="280"/>
      <c r="Q101" s="280"/>
      <c r="R101" s="280"/>
      <c r="S101" s="280"/>
      <c r="T101" s="280"/>
      <c r="U101" s="280"/>
      <c r="V101" s="280"/>
      <c r="W101" s="280"/>
      <c r="X101" s="280"/>
      <c r="Y101" s="280"/>
      <c r="Z101" s="279" t="s">
        <v>378</v>
      </c>
      <c r="AA101" s="273">
        <v>1.0</v>
      </c>
      <c r="AB101" s="273">
        <v>1.0</v>
      </c>
      <c r="AC101" s="273">
        <v>1.0</v>
      </c>
      <c r="AD101" s="273">
        <v>1.0</v>
      </c>
      <c r="AE101" s="273">
        <v>1.0</v>
      </c>
      <c r="AF101" s="273">
        <v>1.0</v>
      </c>
      <c r="AG101" s="273">
        <v>1.0</v>
      </c>
      <c r="AH101" s="269"/>
    </row>
    <row r="102">
      <c r="A102" s="269"/>
      <c r="B102" s="269"/>
      <c r="C102" s="280"/>
      <c r="D102" s="280"/>
      <c r="E102" s="280"/>
      <c r="F102" s="280"/>
      <c r="G102" s="280"/>
      <c r="H102" s="280"/>
      <c r="I102" s="280"/>
      <c r="J102" s="280"/>
      <c r="K102" s="280"/>
      <c r="L102" s="280"/>
      <c r="M102" s="280"/>
      <c r="N102" s="280"/>
      <c r="O102" s="280"/>
      <c r="P102" s="280"/>
      <c r="Q102" s="280"/>
      <c r="R102" s="280"/>
      <c r="S102" s="280"/>
      <c r="T102" s="280"/>
      <c r="U102" s="280"/>
      <c r="V102" s="280"/>
      <c r="W102" s="280"/>
      <c r="X102" s="280"/>
      <c r="Y102" s="280"/>
      <c r="Z102" s="279" t="s">
        <v>381</v>
      </c>
      <c r="AA102" s="273">
        <v>1.0</v>
      </c>
      <c r="AB102" s="273">
        <v>1.0</v>
      </c>
      <c r="AC102" s="273">
        <v>1.0</v>
      </c>
      <c r="AD102" s="273">
        <v>1.0</v>
      </c>
      <c r="AE102" s="273">
        <v>1.0</v>
      </c>
      <c r="AF102" s="273">
        <v>1.0</v>
      </c>
      <c r="AG102" s="273">
        <v>1.0</v>
      </c>
      <c r="AH102" s="269"/>
    </row>
    <row r="103">
      <c r="A103" s="269"/>
      <c r="B103" s="269"/>
      <c r="C103" s="280"/>
      <c r="D103" s="280"/>
      <c r="E103" s="280"/>
      <c r="F103" s="280"/>
      <c r="G103" s="280"/>
      <c r="H103" s="280"/>
      <c r="I103" s="280"/>
      <c r="J103" s="280"/>
      <c r="K103" s="280"/>
      <c r="L103" s="280"/>
      <c r="M103" s="280"/>
      <c r="N103" s="280"/>
      <c r="O103" s="280"/>
      <c r="P103" s="280"/>
      <c r="Q103" s="280"/>
      <c r="R103" s="280"/>
      <c r="S103" s="280"/>
      <c r="T103" s="280"/>
      <c r="U103" s="280"/>
      <c r="V103" s="280"/>
      <c r="W103" s="280"/>
      <c r="X103" s="280"/>
      <c r="Y103" s="280"/>
      <c r="Z103" s="279" t="s">
        <v>384</v>
      </c>
      <c r="AA103" s="273">
        <v>1.0</v>
      </c>
      <c r="AB103" s="273">
        <v>1.0</v>
      </c>
      <c r="AC103" s="273">
        <v>1.0</v>
      </c>
      <c r="AD103" s="273">
        <v>1.0</v>
      </c>
      <c r="AE103" s="273">
        <v>1.0</v>
      </c>
      <c r="AF103" s="273">
        <v>1.0</v>
      </c>
      <c r="AG103" s="273">
        <v>1.0</v>
      </c>
      <c r="AH103" s="269"/>
    </row>
    <row r="104">
      <c r="A104" s="269"/>
      <c r="B104" s="269"/>
      <c r="C104" s="280"/>
      <c r="D104" s="280"/>
      <c r="E104" s="280"/>
      <c r="F104" s="280"/>
      <c r="G104" s="280"/>
      <c r="H104" s="280"/>
      <c r="I104" s="280"/>
      <c r="J104" s="280"/>
      <c r="K104" s="280"/>
      <c r="L104" s="280"/>
      <c r="M104" s="280"/>
      <c r="N104" s="280"/>
      <c r="O104" s="280"/>
      <c r="P104" s="280"/>
      <c r="Q104" s="280"/>
      <c r="R104" s="280"/>
      <c r="S104" s="280"/>
      <c r="T104" s="280"/>
      <c r="U104" s="280"/>
      <c r="V104" s="280"/>
      <c r="W104" s="280"/>
      <c r="X104" s="280"/>
      <c r="Y104" s="280"/>
      <c r="Z104" s="271" t="s">
        <v>387</v>
      </c>
      <c r="AA104" s="91">
        <v>0.0</v>
      </c>
      <c r="AB104" s="91">
        <v>0.0</v>
      </c>
      <c r="AC104" s="91">
        <v>0.0</v>
      </c>
      <c r="AD104" s="91">
        <v>0.0</v>
      </c>
      <c r="AE104" s="91">
        <v>0.0</v>
      </c>
      <c r="AF104" s="91">
        <v>0.0</v>
      </c>
      <c r="AG104" s="91">
        <v>0.0</v>
      </c>
      <c r="AH104" s="269"/>
    </row>
    <row r="105">
      <c r="A105" s="269"/>
      <c r="B105" s="269"/>
      <c r="C105" s="280"/>
      <c r="D105" s="280"/>
      <c r="E105" s="280"/>
      <c r="F105" s="280"/>
      <c r="G105" s="280"/>
      <c r="H105" s="280"/>
      <c r="I105" s="280"/>
      <c r="J105" s="280"/>
      <c r="K105" s="280"/>
      <c r="L105" s="280"/>
      <c r="M105" s="280"/>
      <c r="N105" s="280"/>
      <c r="O105" s="280"/>
      <c r="P105" s="280"/>
      <c r="Q105" s="280"/>
      <c r="R105" s="280"/>
      <c r="S105" s="280"/>
      <c r="T105" s="280"/>
      <c r="U105" s="280"/>
      <c r="V105" s="280"/>
      <c r="W105" s="280"/>
      <c r="X105" s="280"/>
      <c r="Y105" s="280"/>
      <c r="Z105" s="271" t="s">
        <v>390</v>
      </c>
      <c r="AA105" s="91">
        <v>0.0</v>
      </c>
      <c r="AB105" s="273">
        <v>1.0</v>
      </c>
      <c r="AC105" s="273">
        <v>1.0</v>
      </c>
      <c r="AD105" s="91">
        <v>0.0</v>
      </c>
      <c r="AE105" s="273">
        <v>1.0</v>
      </c>
      <c r="AF105" s="273">
        <v>1.0</v>
      </c>
      <c r="AG105" s="273">
        <v>1.0</v>
      </c>
      <c r="AH105" s="269"/>
    </row>
    <row r="106">
      <c r="A106" s="269"/>
      <c r="B106" s="269"/>
      <c r="C106" s="280"/>
      <c r="D106" s="280"/>
      <c r="E106" s="280"/>
      <c r="F106" s="280"/>
      <c r="G106" s="280"/>
      <c r="H106" s="280"/>
      <c r="I106" s="280"/>
      <c r="J106" s="280"/>
      <c r="K106" s="280"/>
      <c r="L106" s="280"/>
      <c r="M106" s="280"/>
      <c r="N106" s="280"/>
      <c r="O106" s="280"/>
      <c r="P106" s="280"/>
      <c r="Q106" s="280"/>
      <c r="R106" s="280"/>
      <c r="S106" s="280"/>
      <c r="T106" s="280"/>
      <c r="U106" s="280"/>
      <c r="V106" s="280"/>
      <c r="W106" s="280"/>
      <c r="X106" s="280"/>
      <c r="Y106" s="280"/>
      <c r="Z106" s="279" t="s">
        <v>393</v>
      </c>
      <c r="AA106" s="273">
        <v>1.0</v>
      </c>
      <c r="AB106" s="273">
        <v>1.0</v>
      </c>
      <c r="AC106" s="273">
        <v>1.0</v>
      </c>
      <c r="AD106" s="273">
        <v>1.0</v>
      </c>
      <c r="AE106" s="91">
        <v>0.0</v>
      </c>
      <c r="AF106" s="273">
        <v>1.0</v>
      </c>
      <c r="AG106" s="273">
        <v>1.0</v>
      </c>
      <c r="AH106" s="269"/>
    </row>
    <row r="107">
      <c r="A107" s="269"/>
      <c r="B107" s="269"/>
      <c r="C107" s="280"/>
      <c r="D107" s="280"/>
      <c r="E107" s="280"/>
      <c r="F107" s="280"/>
      <c r="G107" s="280"/>
      <c r="H107" s="280"/>
      <c r="I107" s="280"/>
      <c r="J107" s="280"/>
      <c r="K107" s="280"/>
      <c r="L107" s="280"/>
      <c r="M107" s="280"/>
      <c r="N107" s="280"/>
      <c r="O107" s="280"/>
      <c r="P107" s="280"/>
      <c r="Q107" s="280"/>
      <c r="R107" s="280"/>
      <c r="S107" s="280"/>
      <c r="T107" s="280"/>
      <c r="U107" s="280"/>
      <c r="V107" s="280"/>
      <c r="W107" s="280"/>
      <c r="X107" s="280"/>
      <c r="Y107" s="280"/>
      <c r="Z107" s="269"/>
      <c r="AA107" s="269"/>
      <c r="AB107" s="269"/>
      <c r="AC107" s="269"/>
      <c r="AD107" s="269"/>
      <c r="AE107" s="269"/>
      <c r="AF107" s="92"/>
      <c r="AG107" s="92"/>
      <c r="AH107" s="269"/>
    </row>
    <row r="108">
      <c r="A108" s="269"/>
      <c r="B108" s="269"/>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69"/>
      <c r="AA108" s="269"/>
      <c r="AB108" s="269"/>
      <c r="AC108" s="269"/>
      <c r="AD108" s="269"/>
      <c r="AE108" s="269"/>
      <c r="AF108" s="92"/>
      <c r="AG108" s="92"/>
      <c r="AH108" s="269"/>
    </row>
    <row r="109">
      <c r="A109" s="269"/>
      <c r="B109" s="269"/>
      <c r="C109" s="280"/>
      <c r="D109" s="280"/>
      <c r="E109" s="280"/>
      <c r="F109" s="280"/>
      <c r="G109" s="280"/>
      <c r="H109" s="280"/>
      <c r="I109" s="280"/>
      <c r="J109" s="280"/>
      <c r="K109" s="280"/>
      <c r="L109" s="280"/>
      <c r="M109" s="280"/>
      <c r="N109" s="280"/>
      <c r="O109" s="280"/>
      <c r="P109" s="280"/>
      <c r="Q109" s="280"/>
      <c r="R109" s="280"/>
      <c r="S109" s="280"/>
      <c r="T109" s="280"/>
      <c r="U109" s="280"/>
      <c r="V109" s="280"/>
      <c r="W109" s="280"/>
      <c r="X109" s="280"/>
      <c r="Y109" s="280"/>
      <c r="Z109" s="269"/>
      <c r="AA109" s="269"/>
      <c r="AB109" s="269"/>
      <c r="AC109" s="269"/>
      <c r="AD109" s="269"/>
      <c r="AE109" s="269"/>
      <c r="AF109" s="92"/>
      <c r="AG109" s="92"/>
      <c r="AH109" s="269"/>
    </row>
    <row r="110">
      <c r="A110" s="269"/>
      <c r="B110" s="269"/>
      <c r="C110" s="280"/>
      <c r="D110" s="280"/>
      <c r="E110" s="280"/>
      <c r="F110" s="280"/>
      <c r="G110" s="280"/>
      <c r="H110" s="280"/>
      <c r="I110" s="280"/>
      <c r="J110" s="280"/>
      <c r="K110" s="280"/>
      <c r="L110" s="280"/>
      <c r="M110" s="280"/>
      <c r="N110" s="280"/>
      <c r="O110" s="280"/>
      <c r="P110" s="280"/>
      <c r="Q110" s="280"/>
      <c r="R110" s="280"/>
      <c r="S110" s="280"/>
      <c r="T110" s="280"/>
      <c r="U110" s="280"/>
      <c r="V110" s="280"/>
      <c r="W110" s="280"/>
      <c r="X110" s="280"/>
      <c r="Y110" s="280"/>
      <c r="Z110" s="269"/>
      <c r="AA110" s="269"/>
      <c r="AB110" s="269"/>
      <c r="AC110" s="269"/>
      <c r="AD110" s="269"/>
      <c r="AE110" s="269"/>
      <c r="AF110" s="92"/>
      <c r="AG110" s="92"/>
      <c r="AH110" s="269"/>
    </row>
    <row r="111">
      <c r="A111" s="269"/>
      <c r="B111" s="269"/>
      <c r="C111" s="280"/>
      <c r="D111" s="280"/>
      <c r="E111" s="280"/>
      <c r="F111" s="280"/>
      <c r="G111" s="280"/>
      <c r="H111" s="280"/>
      <c r="I111" s="280"/>
      <c r="J111" s="280"/>
      <c r="K111" s="280"/>
      <c r="L111" s="280"/>
      <c r="M111" s="280"/>
      <c r="N111" s="280"/>
      <c r="O111" s="280"/>
      <c r="P111" s="280"/>
      <c r="Q111" s="280"/>
      <c r="R111" s="280"/>
      <c r="S111" s="280"/>
      <c r="T111" s="280"/>
      <c r="U111" s="280"/>
      <c r="V111" s="280"/>
      <c r="W111" s="280"/>
      <c r="X111" s="280"/>
      <c r="Y111" s="280"/>
      <c r="Z111" s="269"/>
      <c r="AA111" s="269"/>
      <c r="AB111" s="269"/>
      <c r="AC111" s="269"/>
      <c r="AD111" s="269"/>
      <c r="AE111" s="269"/>
      <c r="AF111" s="92"/>
      <c r="AG111" s="92"/>
      <c r="AH111" s="269"/>
    </row>
    <row r="112">
      <c r="A112" s="269"/>
      <c r="B112" s="269"/>
      <c r="C112" s="280"/>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69"/>
      <c r="AA112" s="269"/>
      <c r="AB112" s="269"/>
      <c r="AC112" s="269"/>
      <c r="AD112" s="269"/>
      <c r="AE112" s="269"/>
      <c r="AF112" s="92"/>
      <c r="AG112" s="92"/>
      <c r="AH112" s="269"/>
    </row>
    <row r="113">
      <c r="A113" s="269"/>
      <c r="B113" s="269"/>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9"/>
      <c r="AA113" s="269"/>
      <c r="AB113" s="269"/>
      <c r="AC113" s="269"/>
      <c r="AD113" s="269"/>
      <c r="AE113" s="269"/>
      <c r="AF113" s="92"/>
      <c r="AG113" s="92"/>
      <c r="AH113" s="269"/>
    </row>
    <row r="114">
      <c r="A114" s="269"/>
      <c r="B114" s="269"/>
      <c r="C114" s="280"/>
      <c r="D114" s="280"/>
      <c r="E114" s="280"/>
      <c r="F114" s="280"/>
      <c r="G114" s="280"/>
      <c r="H114" s="280"/>
      <c r="I114" s="280"/>
      <c r="J114" s="280"/>
      <c r="K114" s="280"/>
      <c r="L114" s="280"/>
      <c r="M114" s="280"/>
      <c r="N114" s="280"/>
      <c r="O114" s="280"/>
      <c r="P114" s="280"/>
      <c r="Q114" s="280"/>
      <c r="R114" s="280"/>
      <c r="S114" s="280"/>
      <c r="T114" s="280"/>
      <c r="U114" s="280"/>
      <c r="V114" s="280"/>
      <c r="W114" s="280"/>
      <c r="X114" s="280"/>
      <c r="Y114" s="280"/>
      <c r="Z114" s="269"/>
      <c r="AA114" s="269"/>
      <c r="AB114" s="269"/>
      <c r="AC114" s="269"/>
      <c r="AD114" s="269"/>
      <c r="AE114" s="269"/>
      <c r="AF114" s="92"/>
      <c r="AG114" s="92"/>
      <c r="AH114" s="269"/>
    </row>
    <row r="115">
      <c r="A115" s="269"/>
      <c r="B115" s="269"/>
      <c r="C115" s="280"/>
      <c r="D115" s="280"/>
      <c r="E115" s="280"/>
      <c r="F115" s="280"/>
      <c r="G115" s="280"/>
      <c r="H115" s="280"/>
      <c r="I115" s="280"/>
      <c r="J115" s="280"/>
      <c r="K115" s="280"/>
      <c r="L115" s="280"/>
      <c r="M115" s="280"/>
      <c r="N115" s="280"/>
      <c r="O115" s="280"/>
      <c r="P115" s="280"/>
      <c r="Q115" s="280"/>
      <c r="R115" s="280"/>
      <c r="S115" s="280"/>
      <c r="T115" s="280"/>
      <c r="U115" s="280"/>
      <c r="V115" s="280"/>
      <c r="W115" s="280"/>
      <c r="X115" s="280"/>
      <c r="Y115" s="280"/>
      <c r="Z115" s="269"/>
      <c r="AA115" s="269"/>
      <c r="AB115" s="269"/>
      <c r="AC115" s="269"/>
      <c r="AD115" s="269"/>
      <c r="AE115" s="269"/>
      <c r="AF115" s="92"/>
      <c r="AG115" s="92"/>
      <c r="AH115" s="269"/>
    </row>
    <row r="116">
      <c r="A116" s="269"/>
      <c r="B116" s="269"/>
      <c r="C116" s="280"/>
      <c r="D116" s="280"/>
      <c r="E116" s="280"/>
      <c r="F116" s="280"/>
      <c r="G116" s="280"/>
      <c r="H116" s="280"/>
      <c r="I116" s="280"/>
      <c r="J116" s="280"/>
      <c r="K116" s="280"/>
      <c r="L116" s="280"/>
      <c r="M116" s="280"/>
      <c r="N116" s="280"/>
      <c r="O116" s="280"/>
      <c r="P116" s="280"/>
      <c r="Q116" s="280"/>
      <c r="R116" s="280"/>
      <c r="S116" s="280"/>
      <c r="T116" s="280"/>
      <c r="U116" s="280"/>
      <c r="V116" s="280"/>
      <c r="W116" s="280"/>
      <c r="X116" s="280"/>
      <c r="Y116" s="280"/>
      <c r="Z116" s="269"/>
      <c r="AA116" s="269"/>
      <c r="AB116" s="269"/>
      <c r="AC116" s="269"/>
      <c r="AD116" s="269"/>
      <c r="AE116" s="269"/>
      <c r="AF116" s="92"/>
      <c r="AG116" s="92"/>
      <c r="AH116" s="269"/>
    </row>
    <row r="117">
      <c r="A117" s="269"/>
      <c r="B117" s="269"/>
      <c r="C117" s="280"/>
      <c r="D117" s="280"/>
      <c r="E117" s="280"/>
      <c r="F117" s="280"/>
      <c r="G117" s="280"/>
      <c r="H117" s="280"/>
      <c r="I117" s="280"/>
      <c r="J117" s="280"/>
      <c r="K117" s="280"/>
      <c r="L117" s="280"/>
      <c r="M117" s="280"/>
      <c r="N117" s="280"/>
      <c r="O117" s="280"/>
      <c r="P117" s="280"/>
      <c r="Q117" s="280"/>
      <c r="R117" s="280"/>
      <c r="S117" s="280"/>
      <c r="T117" s="280"/>
      <c r="U117" s="280"/>
      <c r="V117" s="280"/>
      <c r="W117" s="280"/>
      <c r="X117" s="280"/>
      <c r="Y117" s="280"/>
      <c r="Z117" s="269"/>
      <c r="AA117" s="269"/>
      <c r="AB117" s="269"/>
      <c r="AC117" s="269"/>
      <c r="AD117" s="269"/>
      <c r="AE117" s="269"/>
      <c r="AF117" s="92"/>
      <c r="AG117" s="92"/>
      <c r="AH117" s="269"/>
    </row>
    <row r="118">
      <c r="A118" s="269"/>
      <c r="B118" s="269"/>
      <c r="C118" s="280"/>
      <c r="D118" s="280"/>
      <c r="E118" s="280"/>
      <c r="F118" s="280"/>
      <c r="G118" s="280"/>
      <c r="H118" s="280"/>
      <c r="I118" s="280"/>
      <c r="J118" s="280"/>
      <c r="K118" s="280"/>
      <c r="L118" s="280"/>
      <c r="M118" s="280"/>
      <c r="N118" s="280"/>
      <c r="O118" s="280"/>
      <c r="P118" s="280"/>
      <c r="Q118" s="280"/>
      <c r="R118" s="280"/>
      <c r="S118" s="280"/>
      <c r="T118" s="280"/>
      <c r="U118" s="280"/>
      <c r="V118" s="280"/>
      <c r="W118" s="280"/>
      <c r="X118" s="280"/>
      <c r="Y118" s="280"/>
      <c r="Z118" s="269"/>
      <c r="AA118" s="269"/>
      <c r="AB118" s="269"/>
      <c r="AC118" s="269"/>
      <c r="AD118" s="269"/>
      <c r="AE118" s="269"/>
      <c r="AF118" s="92"/>
      <c r="AG118" s="92"/>
      <c r="AH118" s="269"/>
    </row>
    <row r="119">
      <c r="A119" s="269"/>
      <c r="B119" s="269"/>
      <c r="C119" s="280"/>
      <c r="D119" s="280"/>
      <c r="E119" s="280"/>
      <c r="F119" s="280"/>
      <c r="G119" s="280"/>
      <c r="H119" s="280"/>
      <c r="I119" s="280"/>
      <c r="J119" s="280"/>
      <c r="K119" s="280"/>
      <c r="L119" s="280"/>
      <c r="M119" s="280"/>
      <c r="N119" s="280"/>
      <c r="O119" s="280"/>
      <c r="P119" s="280"/>
      <c r="Q119" s="280"/>
      <c r="R119" s="280"/>
      <c r="S119" s="280"/>
      <c r="T119" s="280"/>
      <c r="U119" s="280"/>
      <c r="V119" s="280"/>
      <c r="W119" s="280"/>
      <c r="X119" s="280"/>
      <c r="Y119" s="280"/>
      <c r="Z119" s="269"/>
      <c r="AA119" s="269"/>
      <c r="AB119" s="269"/>
      <c r="AC119" s="269"/>
      <c r="AD119" s="269"/>
      <c r="AE119" s="269"/>
      <c r="AF119" s="92"/>
      <c r="AG119" s="92"/>
      <c r="AH119" s="269"/>
    </row>
    <row r="120">
      <c r="A120" s="269"/>
      <c r="B120" s="269"/>
      <c r="C120" s="280"/>
      <c r="D120" s="280"/>
      <c r="E120" s="280"/>
      <c r="F120" s="280"/>
      <c r="G120" s="280"/>
      <c r="H120" s="280"/>
      <c r="I120" s="280"/>
      <c r="J120" s="280"/>
      <c r="K120" s="280"/>
      <c r="L120" s="280"/>
      <c r="M120" s="280"/>
      <c r="N120" s="280"/>
      <c r="O120" s="280"/>
      <c r="P120" s="280"/>
      <c r="Q120" s="280"/>
      <c r="R120" s="280"/>
      <c r="S120" s="280"/>
      <c r="T120" s="280"/>
      <c r="U120" s="280"/>
      <c r="V120" s="280"/>
      <c r="W120" s="280"/>
      <c r="X120" s="280"/>
      <c r="Y120" s="280"/>
      <c r="Z120" s="269"/>
      <c r="AA120" s="269"/>
      <c r="AB120" s="269"/>
      <c r="AC120" s="269"/>
      <c r="AD120" s="269"/>
      <c r="AE120" s="269"/>
      <c r="AF120" s="92"/>
      <c r="AG120" s="92"/>
      <c r="AH120" s="269"/>
    </row>
    <row r="121">
      <c r="A121" s="269"/>
      <c r="B121" s="269"/>
      <c r="C121" s="280"/>
      <c r="D121" s="280"/>
      <c r="E121" s="280"/>
      <c r="F121" s="280"/>
      <c r="G121" s="280"/>
      <c r="H121" s="280"/>
      <c r="I121" s="280"/>
      <c r="J121" s="280"/>
      <c r="K121" s="280"/>
      <c r="L121" s="280"/>
      <c r="M121" s="280"/>
      <c r="N121" s="280"/>
      <c r="O121" s="280"/>
      <c r="P121" s="280"/>
      <c r="Q121" s="280"/>
      <c r="R121" s="280"/>
      <c r="S121" s="280"/>
      <c r="T121" s="280"/>
      <c r="U121" s="280"/>
      <c r="V121" s="280"/>
      <c r="W121" s="280"/>
      <c r="X121" s="280"/>
      <c r="Y121" s="280"/>
      <c r="Z121" s="269"/>
      <c r="AA121" s="269"/>
      <c r="AB121" s="269"/>
      <c r="AC121" s="269"/>
      <c r="AD121" s="269"/>
      <c r="AE121" s="269"/>
      <c r="AF121" s="92"/>
      <c r="AG121" s="92"/>
      <c r="AH121" s="269"/>
    </row>
    <row r="122">
      <c r="A122" s="269"/>
      <c r="B122" s="269"/>
      <c r="C122" s="280"/>
      <c r="D122" s="280"/>
      <c r="E122" s="280"/>
      <c r="F122" s="280"/>
      <c r="G122" s="280"/>
      <c r="H122" s="280"/>
      <c r="I122" s="280"/>
      <c r="J122" s="280"/>
      <c r="K122" s="280"/>
      <c r="L122" s="280"/>
      <c r="M122" s="280"/>
      <c r="N122" s="280"/>
      <c r="O122" s="280"/>
      <c r="P122" s="280"/>
      <c r="Q122" s="280"/>
      <c r="R122" s="280"/>
      <c r="S122" s="280"/>
      <c r="T122" s="280"/>
      <c r="U122" s="280"/>
      <c r="V122" s="280"/>
      <c r="W122" s="280"/>
      <c r="X122" s="280"/>
      <c r="Y122" s="280"/>
      <c r="Z122" s="269"/>
      <c r="AA122" s="269"/>
      <c r="AB122" s="269"/>
      <c r="AC122" s="269"/>
      <c r="AD122" s="269"/>
      <c r="AE122" s="269"/>
      <c r="AF122" s="92"/>
      <c r="AG122" s="92"/>
      <c r="AH122" s="269"/>
    </row>
    <row r="123">
      <c r="A123" s="269"/>
      <c r="B123" s="269"/>
      <c r="C123" s="280"/>
      <c r="D123" s="280"/>
      <c r="E123" s="280"/>
      <c r="F123" s="280"/>
      <c r="G123" s="280"/>
      <c r="H123" s="280"/>
      <c r="I123" s="280"/>
      <c r="J123" s="280"/>
      <c r="K123" s="280"/>
      <c r="L123" s="280"/>
      <c r="M123" s="280"/>
      <c r="N123" s="280"/>
      <c r="O123" s="280"/>
      <c r="P123" s="280"/>
      <c r="Q123" s="280"/>
      <c r="R123" s="280"/>
      <c r="S123" s="280"/>
      <c r="T123" s="280"/>
      <c r="U123" s="280"/>
      <c r="V123" s="280"/>
      <c r="W123" s="280"/>
      <c r="X123" s="280"/>
      <c r="Y123" s="280"/>
      <c r="Z123" s="269"/>
      <c r="AA123" s="269"/>
      <c r="AB123" s="269"/>
      <c r="AC123" s="269"/>
      <c r="AD123" s="269"/>
      <c r="AE123" s="269"/>
      <c r="AF123" s="92"/>
      <c r="AG123" s="92"/>
      <c r="AH123" s="269"/>
    </row>
    <row r="124">
      <c r="A124" s="269"/>
      <c r="B124" s="269"/>
      <c r="C124" s="280"/>
      <c r="D124" s="280"/>
      <c r="E124" s="280"/>
      <c r="F124" s="280"/>
      <c r="G124" s="280"/>
      <c r="H124" s="280"/>
      <c r="I124" s="280"/>
      <c r="J124" s="280"/>
      <c r="K124" s="280"/>
      <c r="L124" s="280"/>
      <c r="M124" s="280"/>
      <c r="N124" s="280"/>
      <c r="O124" s="280"/>
      <c r="P124" s="280"/>
      <c r="Q124" s="280"/>
      <c r="R124" s="280"/>
      <c r="S124" s="280"/>
      <c r="T124" s="280"/>
      <c r="U124" s="280"/>
      <c r="V124" s="280"/>
      <c r="W124" s="280"/>
      <c r="X124" s="280"/>
      <c r="Y124" s="280"/>
      <c r="Z124" s="269"/>
      <c r="AA124" s="269"/>
      <c r="AB124" s="269"/>
      <c r="AC124" s="269"/>
      <c r="AD124" s="269"/>
      <c r="AE124" s="269"/>
      <c r="AF124" s="92"/>
      <c r="AG124" s="92"/>
      <c r="AH124" s="269"/>
    </row>
    <row r="125">
      <c r="A125" s="269"/>
      <c r="B125" s="269"/>
      <c r="C125" s="280"/>
      <c r="D125" s="280"/>
      <c r="E125" s="280"/>
      <c r="F125" s="280"/>
      <c r="G125" s="280"/>
      <c r="H125" s="280"/>
      <c r="I125" s="280"/>
      <c r="J125" s="280"/>
      <c r="K125" s="280"/>
      <c r="L125" s="280"/>
      <c r="M125" s="280"/>
      <c r="N125" s="280"/>
      <c r="O125" s="280"/>
      <c r="P125" s="280"/>
      <c r="Q125" s="280"/>
      <c r="R125" s="280"/>
      <c r="S125" s="280"/>
      <c r="T125" s="280"/>
      <c r="U125" s="280"/>
      <c r="V125" s="280"/>
      <c r="W125" s="280"/>
      <c r="X125" s="280"/>
      <c r="Y125" s="280"/>
      <c r="Z125" s="269"/>
      <c r="AA125" s="269"/>
      <c r="AB125" s="269"/>
      <c r="AC125" s="269"/>
      <c r="AD125" s="269"/>
      <c r="AE125" s="269"/>
      <c r="AF125" s="92"/>
      <c r="AG125" s="92"/>
      <c r="AH125" s="26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 width="15.13"/>
    <col customWidth="1" min="8" max="8" width="12.38"/>
    <col customWidth="1" hidden="1" min="15" max="26" width="13.0"/>
    <col customWidth="1" min="27" max="27" width="13.0"/>
  </cols>
  <sheetData>
    <row r="1">
      <c r="A1" s="281" t="s">
        <v>1625</v>
      </c>
      <c r="F1" s="281"/>
      <c r="G1" s="281"/>
      <c r="H1" s="281" t="s">
        <v>1626</v>
      </c>
      <c r="M1" s="281"/>
      <c r="N1" s="281"/>
      <c r="O1" s="282" t="s">
        <v>1627</v>
      </c>
      <c r="P1" s="282"/>
      <c r="Q1" s="282"/>
      <c r="R1" s="282"/>
      <c r="S1" s="282"/>
      <c r="T1" s="281"/>
      <c r="U1" s="281" t="s">
        <v>1628</v>
      </c>
      <c r="Z1" s="281"/>
      <c r="AA1" s="281" t="s">
        <v>1629</v>
      </c>
      <c r="AF1" s="281"/>
      <c r="AG1" s="281"/>
      <c r="AH1" s="281" t="s">
        <v>1630</v>
      </c>
      <c r="AM1" s="281"/>
      <c r="AN1" s="281"/>
      <c r="AO1" s="281" t="s">
        <v>1631</v>
      </c>
    </row>
    <row r="2">
      <c r="A2" s="67" t="s">
        <v>23</v>
      </c>
      <c r="B2" s="67" t="s">
        <v>683</v>
      </c>
      <c r="C2" s="67" t="s">
        <v>21</v>
      </c>
      <c r="D2" s="67" t="s">
        <v>1583</v>
      </c>
      <c r="E2" s="67" t="s">
        <v>11</v>
      </c>
      <c r="F2" s="67" t="s">
        <v>1604</v>
      </c>
      <c r="G2" s="67" t="s">
        <v>686</v>
      </c>
      <c r="H2" s="283" t="s">
        <v>23</v>
      </c>
      <c r="I2" s="283" t="s">
        <v>683</v>
      </c>
      <c r="J2" s="283" t="s">
        <v>21</v>
      </c>
      <c r="K2" s="283" t="s">
        <v>1583</v>
      </c>
      <c r="L2" s="283" t="s">
        <v>11</v>
      </c>
      <c r="M2" s="283" t="s">
        <v>1604</v>
      </c>
      <c r="N2" s="284" t="s">
        <v>1632</v>
      </c>
      <c r="O2" s="285" t="s">
        <v>23</v>
      </c>
      <c r="P2" s="285" t="s">
        <v>683</v>
      </c>
      <c r="Q2" s="285" t="s">
        <v>21</v>
      </c>
      <c r="R2" s="285" t="s">
        <v>1583</v>
      </c>
      <c r="S2" s="285" t="s">
        <v>11</v>
      </c>
      <c r="T2" s="283" t="s">
        <v>1604</v>
      </c>
      <c r="U2" s="283" t="s">
        <v>23</v>
      </c>
      <c r="V2" s="283" t="s">
        <v>683</v>
      </c>
      <c r="W2" s="283" t="s">
        <v>21</v>
      </c>
      <c r="X2" s="283" t="s">
        <v>1583</v>
      </c>
      <c r="Y2" s="283" t="s">
        <v>11</v>
      </c>
      <c r="Z2" s="283" t="s">
        <v>1604</v>
      </c>
      <c r="AA2" s="283" t="s">
        <v>23</v>
      </c>
      <c r="AB2" s="283" t="s">
        <v>683</v>
      </c>
      <c r="AC2" s="283" t="s">
        <v>21</v>
      </c>
      <c r="AD2" s="283" t="s">
        <v>1583</v>
      </c>
      <c r="AE2" s="283" t="s">
        <v>11</v>
      </c>
      <c r="AF2" s="283" t="s">
        <v>1604</v>
      </c>
      <c r="AG2" s="283" t="s">
        <v>686</v>
      </c>
      <c r="AH2" s="283" t="s">
        <v>23</v>
      </c>
      <c r="AI2" s="283" t="s">
        <v>683</v>
      </c>
      <c r="AJ2" s="283" t="s">
        <v>21</v>
      </c>
      <c r="AK2" s="283" t="s">
        <v>1583</v>
      </c>
      <c r="AL2" s="283" t="s">
        <v>11</v>
      </c>
      <c r="AM2" s="283" t="s">
        <v>1604</v>
      </c>
      <c r="AN2" s="283" t="s">
        <v>686</v>
      </c>
      <c r="AO2" s="286" t="s">
        <v>750</v>
      </c>
      <c r="AP2" s="286" t="s">
        <v>751</v>
      </c>
      <c r="AQ2" s="287" t="s">
        <v>1633</v>
      </c>
    </row>
    <row r="3">
      <c r="A3" s="288" t="s">
        <v>72</v>
      </c>
      <c r="B3" s="288" t="s">
        <v>72</v>
      </c>
      <c r="C3" s="288" t="s">
        <v>72</v>
      </c>
      <c r="D3" s="288" t="s">
        <v>72</v>
      </c>
      <c r="E3" s="288" t="s">
        <v>72</v>
      </c>
      <c r="F3" s="289" t="s">
        <v>72</v>
      </c>
      <c r="G3" s="289" t="s">
        <v>72</v>
      </c>
      <c r="H3" s="271" t="s">
        <v>1634</v>
      </c>
      <c r="I3" s="271"/>
      <c r="J3" s="271"/>
      <c r="K3" s="271" t="s">
        <v>1635</v>
      </c>
      <c r="L3" s="271" t="s">
        <v>1636</v>
      </c>
      <c r="M3" s="271"/>
      <c r="N3" s="271"/>
      <c r="O3" s="290" t="s">
        <v>72</v>
      </c>
      <c r="P3" s="290" t="s">
        <v>72</v>
      </c>
      <c r="Q3" s="290" t="s">
        <v>72</v>
      </c>
      <c r="R3" s="290" t="s">
        <v>72</v>
      </c>
      <c r="S3" s="290" t="s">
        <v>72</v>
      </c>
      <c r="T3" s="283"/>
      <c r="U3" s="271" t="s">
        <v>1637</v>
      </c>
      <c r="V3" s="271" t="s">
        <v>1637</v>
      </c>
      <c r="W3" s="271" t="s">
        <v>1637</v>
      </c>
      <c r="X3" s="271" t="s">
        <v>1637</v>
      </c>
      <c r="Y3" s="271" t="s">
        <v>1637</v>
      </c>
      <c r="Z3" s="271"/>
      <c r="AA3" s="291" t="s">
        <v>95</v>
      </c>
      <c r="AB3" s="291" t="s">
        <v>84</v>
      </c>
      <c r="AC3" s="291" t="s">
        <v>84</v>
      </c>
      <c r="AD3" s="271" t="s">
        <v>95</v>
      </c>
      <c r="AE3" s="271" t="s">
        <v>84</v>
      </c>
      <c r="AF3" s="292"/>
      <c r="AG3" s="69" t="s">
        <v>107</v>
      </c>
      <c r="AH3" s="271" t="s">
        <v>1637</v>
      </c>
      <c r="AI3" s="271" t="s">
        <v>1637</v>
      </c>
      <c r="AJ3" s="271" t="s">
        <v>1637</v>
      </c>
      <c r="AK3" s="271" t="s">
        <v>1637</v>
      </c>
      <c r="AL3" s="271" t="s">
        <v>1637</v>
      </c>
      <c r="AM3" s="271"/>
      <c r="AN3" s="65"/>
      <c r="AO3" s="293" t="s">
        <v>801</v>
      </c>
      <c r="AP3" s="294" t="s">
        <v>802</v>
      </c>
      <c r="AQ3" s="295" t="s">
        <v>1567</v>
      </c>
    </row>
    <row r="4">
      <c r="A4" s="288" t="s">
        <v>76</v>
      </c>
      <c r="B4" s="288" t="s">
        <v>76</v>
      </c>
      <c r="C4" s="288" t="s">
        <v>76</v>
      </c>
      <c r="D4" s="288" t="s">
        <v>76</v>
      </c>
      <c r="E4" s="288" t="s">
        <v>76</v>
      </c>
      <c r="F4" s="289" t="s">
        <v>76</v>
      </c>
      <c r="G4" s="289" t="s">
        <v>80</v>
      </c>
      <c r="H4" s="271" t="s">
        <v>1638</v>
      </c>
      <c r="I4" s="271"/>
      <c r="J4" s="271"/>
      <c r="K4" s="271"/>
      <c r="L4" s="271" t="s">
        <v>1635</v>
      </c>
      <c r="M4" s="271"/>
      <c r="N4" s="271"/>
      <c r="O4" s="290" t="s">
        <v>76</v>
      </c>
      <c r="P4" s="290" t="s">
        <v>76</v>
      </c>
      <c r="Q4" s="290" t="s">
        <v>76</v>
      </c>
      <c r="R4" s="290" t="s">
        <v>76</v>
      </c>
      <c r="S4" s="290" t="s">
        <v>76</v>
      </c>
      <c r="T4" s="283"/>
      <c r="U4" s="296" t="s">
        <v>1634</v>
      </c>
      <c r="V4" s="297" t="s">
        <v>1634</v>
      </c>
      <c r="W4" s="291" t="s">
        <v>1634</v>
      </c>
      <c r="X4" s="297" t="s">
        <v>1634</v>
      </c>
      <c r="Y4" s="297" t="s">
        <v>1634</v>
      </c>
      <c r="Z4" s="271"/>
      <c r="AA4" s="291" t="s">
        <v>107</v>
      </c>
      <c r="AB4" s="291" t="s">
        <v>95</v>
      </c>
      <c r="AC4" s="291" t="s">
        <v>107</v>
      </c>
      <c r="AD4" s="271" t="s">
        <v>107</v>
      </c>
      <c r="AE4" s="292" t="s">
        <v>95</v>
      </c>
      <c r="AF4" s="291"/>
      <c r="AG4" s="69" t="s">
        <v>135</v>
      </c>
      <c r="AH4" s="271" t="s">
        <v>1639</v>
      </c>
      <c r="AI4" s="271" t="s">
        <v>1639</v>
      </c>
      <c r="AJ4" s="271" t="s">
        <v>1634</v>
      </c>
      <c r="AK4" s="271" t="s">
        <v>1639</v>
      </c>
      <c r="AL4" s="271" t="s">
        <v>1640</v>
      </c>
      <c r="AM4" s="271"/>
      <c r="AN4" s="292"/>
      <c r="AO4" s="294" t="s">
        <v>884</v>
      </c>
      <c r="AP4" s="294" t="s">
        <v>891</v>
      </c>
      <c r="AQ4" s="295" t="s">
        <v>1567</v>
      </c>
    </row>
    <row r="5">
      <c r="A5" s="288" t="s">
        <v>80</v>
      </c>
      <c r="B5" s="288" t="s">
        <v>80</v>
      </c>
      <c r="C5" s="288" t="s">
        <v>88</v>
      </c>
      <c r="D5" s="288" t="s">
        <v>80</v>
      </c>
      <c r="E5" s="288" t="s">
        <v>80</v>
      </c>
      <c r="F5" s="289" t="s">
        <v>80</v>
      </c>
      <c r="G5" s="289" t="s">
        <v>88</v>
      </c>
      <c r="H5" s="271" t="s">
        <v>1641</v>
      </c>
      <c r="I5" s="271"/>
      <c r="J5" s="271"/>
      <c r="K5" s="271"/>
      <c r="L5" s="271"/>
      <c r="M5" s="271"/>
      <c r="N5" s="271"/>
      <c r="O5" s="290" t="s">
        <v>80</v>
      </c>
      <c r="P5" s="290" t="s">
        <v>80</v>
      </c>
      <c r="Q5" s="290" t="s">
        <v>88</v>
      </c>
      <c r="R5" s="290" t="s">
        <v>80</v>
      </c>
      <c r="S5" s="290" t="s">
        <v>80</v>
      </c>
      <c r="T5" s="283"/>
      <c r="U5" s="271" t="s">
        <v>1639</v>
      </c>
      <c r="V5" s="271" t="s">
        <v>1639</v>
      </c>
      <c r="W5" s="271" t="s">
        <v>1639</v>
      </c>
      <c r="X5" s="271" t="s">
        <v>1639</v>
      </c>
      <c r="Y5" s="298" t="s">
        <v>1639</v>
      </c>
      <c r="Z5" s="271"/>
      <c r="AA5" s="291" t="s">
        <v>117</v>
      </c>
      <c r="AB5" s="291" t="s">
        <v>107</v>
      </c>
      <c r="AC5" s="291" t="s">
        <v>132</v>
      </c>
      <c r="AD5" s="271" t="s">
        <v>117</v>
      </c>
      <c r="AE5" s="291" t="s">
        <v>117</v>
      </c>
      <c r="AF5" s="292"/>
      <c r="AG5" s="26" t="s">
        <v>156</v>
      </c>
      <c r="AH5" s="271" t="s">
        <v>1640</v>
      </c>
      <c r="AI5" s="271" t="s">
        <v>1640</v>
      </c>
      <c r="AJ5" s="271" t="s">
        <v>1639</v>
      </c>
      <c r="AK5" s="271" t="s">
        <v>1640</v>
      </c>
      <c r="AL5" s="271" t="s">
        <v>1642</v>
      </c>
      <c r="AM5" s="271"/>
      <c r="AN5" s="291"/>
      <c r="AO5" s="294" t="s">
        <v>834</v>
      </c>
      <c r="AP5" s="294" t="s">
        <v>835</v>
      </c>
      <c r="AQ5" s="295" t="s">
        <v>1567</v>
      </c>
    </row>
    <row r="6">
      <c r="A6" s="288" t="s">
        <v>84</v>
      </c>
      <c r="B6" s="288" t="s">
        <v>88</v>
      </c>
      <c r="C6" s="288" t="s">
        <v>92</v>
      </c>
      <c r="D6" s="288" t="s">
        <v>84</v>
      </c>
      <c r="E6" s="288" t="s">
        <v>88</v>
      </c>
      <c r="F6" s="289" t="s">
        <v>84</v>
      </c>
      <c r="G6" s="289" t="s">
        <v>92</v>
      </c>
      <c r="H6" s="271" t="s">
        <v>1635</v>
      </c>
      <c r="I6" s="271"/>
      <c r="J6" s="271"/>
      <c r="K6" s="271"/>
      <c r="L6" s="271"/>
      <c r="M6" s="271"/>
      <c r="N6" s="271"/>
      <c r="O6" s="290" t="s">
        <v>84</v>
      </c>
      <c r="P6" s="290" t="s">
        <v>88</v>
      </c>
      <c r="Q6" s="290" t="s">
        <v>92</v>
      </c>
      <c r="R6" s="290" t="s">
        <v>84</v>
      </c>
      <c r="S6" s="290" t="s">
        <v>88</v>
      </c>
      <c r="T6" s="283"/>
      <c r="U6" s="271" t="s">
        <v>1640</v>
      </c>
      <c r="V6" s="271" t="s">
        <v>1640</v>
      </c>
      <c r="W6" s="271" t="s">
        <v>1640</v>
      </c>
      <c r="X6" s="271" t="s">
        <v>1640</v>
      </c>
      <c r="Y6" s="271" t="s">
        <v>1640</v>
      </c>
      <c r="Z6" s="271"/>
      <c r="AA6" s="271" t="s">
        <v>120</v>
      </c>
      <c r="AB6" s="291" t="s">
        <v>114</v>
      </c>
      <c r="AC6" s="291" t="s">
        <v>150</v>
      </c>
      <c r="AD6" s="271" t="s">
        <v>132</v>
      </c>
      <c r="AE6" s="292" t="s">
        <v>123</v>
      </c>
      <c r="AF6" s="291"/>
      <c r="AG6" s="69" t="s">
        <v>174</v>
      </c>
      <c r="AH6" s="271" t="s">
        <v>1642</v>
      </c>
      <c r="AI6" s="271" t="s">
        <v>1642</v>
      </c>
      <c r="AJ6" s="271" t="s">
        <v>1640</v>
      </c>
      <c r="AK6" s="271" t="s">
        <v>1642</v>
      </c>
      <c r="AL6" s="271" t="s">
        <v>1643</v>
      </c>
      <c r="AM6" s="271"/>
      <c r="AN6" s="292"/>
      <c r="AO6" s="294" t="s">
        <v>865</v>
      </c>
      <c r="AP6" s="294" t="s">
        <v>866</v>
      </c>
      <c r="AQ6" s="295" t="s">
        <v>1567</v>
      </c>
    </row>
    <row r="7">
      <c r="A7" s="288" t="s">
        <v>88</v>
      </c>
      <c r="B7" s="288" t="s">
        <v>92</v>
      </c>
      <c r="C7" s="288" t="s">
        <v>103</v>
      </c>
      <c r="D7" s="288" t="s">
        <v>88</v>
      </c>
      <c r="E7" s="288" t="s">
        <v>92</v>
      </c>
      <c r="F7" s="289" t="s">
        <v>88</v>
      </c>
      <c r="G7" s="289" t="s">
        <v>99</v>
      </c>
      <c r="H7" s="271"/>
      <c r="I7" s="271"/>
      <c r="J7" s="271"/>
      <c r="K7" s="271"/>
      <c r="L7" s="271"/>
      <c r="M7" s="271"/>
      <c r="N7" s="271"/>
      <c r="O7" s="290" t="s">
        <v>88</v>
      </c>
      <c r="P7" s="290" t="s">
        <v>92</v>
      </c>
      <c r="Q7" s="290" t="s">
        <v>103</v>
      </c>
      <c r="R7" s="290" t="s">
        <v>88</v>
      </c>
      <c r="S7" s="290" t="s">
        <v>92</v>
      </c>
      <c r="T7" s="283"/>
      <c r="U7" s="271" t="s">
        <v>1642</v>
      </c>
      <c r="V7" s="271" t="s">
        <v>1642</v>
      </c>
      <c r="W7" s="271" t="s">
        <v>1642</v>
      </c>
      <c r="X7" s="271" t="s">
        <v>1642</v>
      </c>
      <c r="Y7" s="271" t="s">
        <v>1642</v>
      </c>
      <c r="Z7" s="271"/>
      <c r="AA7" s="291" t="s">
        <v>132</v>
      </c>
      <c r="AB7" s="291" t="s">
        <v>117</v>
      </c>
      <c r="AC7" s="271" t="s">
        <v>156</v>
      </c>
      <c r="AD7" s="292" t="s">
        <v>135</v>
      </c>
      <c r="AE7" s="291" t="s">
        <v>132</v>
      </c>
      <c r="AF7" s="292"/>
      <c r="AG7" s="69" t="s">
        <v>180</v>
      </c>
      <c r="AH7" s="271" t="s">
        <v>1643</v>
      </c>
      <c r="AI7" s="271" t="s">
        <v>1643</v>
      </c>
      <c r="AJ7" s="271" t="s">
        <v>1642</v>
      </c>
      <c r="AK7" s="271" t="s">
        <v>1643</v>
      </c>
      <c r="AL7" s="271" t="s">
        <v>1644</v>
      </c>
      <c r="AM7" s="271"/>
      <c r="AN7" s="291"/>
      <c r="AO7" s="294" t="s">
        <v>780</v>
      </c>
      <c r="AP7" s="294" t="s">
        <v>781</v>
      </c>
      <c r="AQ7" s="295" t="s">
        <v>1567</v>
      </c>
    </row>
    <row r="8">
      <c r="A8" s="288" t="s">
        <v>92</v>
      </c>
      <c r="B8" s="288" t="s">
        <v>99</v>
      </c>
      <c r="C8" s="288" t="s">
        <v>129</v>
      </c>
      <c r="D8" s="288" t="s">
        <v>92</v>
      </c>
      <c r="E8" s="288" t="s">
        <v>99</v>
      </c>
      <c r="F8" s="289" t="s">
        <v>92</v>
      </c>
      <c r="G8" s="289" t="s">
        <v>111</v>
      </c>
      <c r="H8" s="271"/>
      <c r="I8" s="271"/>
      <c r="J8" s="271"/>
      <c r="K8" s="271"/>
      <c r="L8" s="271"/>
      <c r="M8" s="271"/>
      <c r="N8" s="271"/>
      <c r="O8" s="290" t="s">
        <v>92</v>
      </c>
      <c r="P8" s="290" t="s">
        <v>99</v>
      </c>
      <c r="Q8" s="290" t="s">
        <v>129</v>
      </c>
      <c r="R8" s="290" t="s">
        <v>92</v>
      </c>
      <c r="S8" s="290" t="s">
        <v>99</v>
      </c>
      <c r="T8" s="283"/>
      <c r="U8" s="271" t="s">
        <v>1643</v>
      </c>
      <c r="V8" s="271" t="s">
        <v>1643</v>
      </c>
      <c r="W8" s="271" t="s">
        <v>1643</v>
      </c>
      <c r="X8" s="271" t="s">
        <v>1643</v>
      </c>
      <c r="Y8" s="271" t="s">
        <v>1643</v>
      </c>
      <c r="Z8" s="271"/>
      <c r="AA8" s="291" t="s">
        <v>135</v>
      </c>
      <c r="AB8" s="291" t="s">
        <v>120</v>
      </c>
      <c r="AC8" s="291" t="s">
        <v>171</v>
      </c>
      <c r="AD8" s="291" t="s">
        <v>156</v>
      </c>
      <c r="AE8" s="292" t="s">
        <v>135</v>
      </c>
      <c r="AF8" s="291"/>
      <c r="AG8" s="69" t="s">
        <v>207</v>
      </c>
      <c r="AH8" s="271" t="s">
        <v>1636</v>
      </c>
      <c r="AI8" s="271" t="s">
        <v>1636</v>
      </c>
      <c r="AJ8" s="271" t="s">
        <v>1643</v>
      </c>
      <c r="AK8" s="271" t="s">
        <v>1636</v>
      </c>
      <c r="AL8" s="271" t="s">
        <v>1641</v>
      </c>
      <c r="AM8" s="271"/>
      <c r="AN8" s="292"/>
      <c r="AO8" s="294" t="s">
        <v>894</v>
      </c>
      <c r="AP8" s="294" t="s">
        <v>895</v>
      </c>
      <c r="AQ8" s="295" t="s">
        <v>1567</v>
      </c>
    </row>
    <row r="9">
      <c r="A9" s="288" t="s">
        <v>99</v>
      </c>
      <c r="B9" s="288" t="s">
        <v>111</v>
      </c>
      <c r="C9" s="288" t="s">
        <v>144</v>
      </c>
      <c r="D9" s="288" t="s">
        <v>99</v>
      </c>
      <c r="E9" s="288" t="s">
        <v>103</v>
      </c>
      <c r="F9" s="289" t="s">
        <v>99</v>
      </c>
      <c r="G9" s="289" t="s">
        <v>129</v>
      </c>
      <c r="H9" s="271"/>
      <c r="I9" s="271"/>
      <c r="J9" s="271"/>
      <c r="K9" s="271"/>
      <c r="L9" s="271"/>
      <c r="M9" s="271"/>
      <c r="N9" s="271"/>
      <c r="O9" s="290" t="s">
        <v>99</v>
      </c>
      <c r="P9" s="290" t="s">
        <v>111</v>
      </c>
      <c r="Q9" s="290" t="s">
        <v>144</v>
      </c>
      <c r="R9" s="290" t="s">
        <v>99</v>
      </c>
      <c r="S9" s="290" t="s">
        <v>103</v>
      </c>
      <c r="T9" s="283"/>
      <c r="U9" s="271" t="s">
        <v>1636</v>
      </c>
      <c r="V9" s="271" t="s">
        <v>1636</v>
      </c>
      <c r="W9" s="298" t="s">
        <v>1636</v>
      </c>
      <c r="X9" s="271" t="s">
        <v>1636</v>
      </c>
      <c r="Y9" s="299" t="s">
        <v>1636</v>
      </c>
      <c r="Z9" s="271"/>
      <c r="AA9" s="291" t="s">
        <v>156</v>
      </c>
      <c r="AB9" s="291" t="s">
        <v>123</v>
      </c>
      <c r="AC9" s="291" t="s">
        <v>186</v>
      </c>
      <c r="AD9" s="291" t="s">
        <v>162</v>
      </c>
      <c r="AE9" s="291" t="s">
        <v>150</v>
      </c>
      <c r="AF9" s="292"/>
      <c r="AG9" s="69" t="s">
        <v>228</v>
      </c>
      <c r="AH9" s="271" t="s">
        <v>1645</v>
      </c>
      <c r="AI9" s="271" t="s">
        <v>1645</v>
      </c>
      <c r="AJ9" s="271" t="s">
        <v>1645</v>
      </c>
      <c r="AK9" s="271" t="s">
        <v>1645</v>
      </c>
      <c r="AL9" s="271" t="s">
        <v>1646</v>
      </c>
      <c r="AM9" s="271"/>
      <c r="AN9" s="291"/>
      <c r="AO9" s="293" t="s">
        <v>894</v>
      </c>
      <c r="AP9" s="294" t="s">
        <v>798</v>
      </c>
      <c r="AQ9" s="295" t="s">
        <v>1567</v>
      </c>
    </row>
    <row r="10">
      <c r="A10" s="288" t="s">
        <v>103</v>
      </c>
      <c r="B10" s="288" t="s">
        <v>129</v>
      </c>
      <c r="C10" s="288" t="s">
        <v>147</v>
      </c>
      <c r="D10" s="288" t="s">
        <v>103</v>
      </c>
      <c r="E10" s="288" t="s">
        <v>111</v>
      </c>
      <c r="F10" s="289" t="s">
        <v>103</v>
      </c>
      <c r="G10" s="289" t="s">
        <v>144</v>
      </c>
      <c r="H10" s="271"/>
      <c r="I10" s="271"/>
      <c r="J10" s="271"/>
      <c r="K10" s="271"/>
      <c r="L10" s="271"/>
      <c r="M10" s="271"/>
      <c r="N10" s="271"/>
      <c r="O10" s="290" t="s">
        <v>103</v>
      </c>
      <c r="P10" s="290" t="s">
        <v>129</v>
      </c>
      <c r="Q10" s="290" t="s">
        <v>147</v>
      </c>
      <c r="R10" s="290" t="s">
        <v>103</v>
      </c>
      <c r="S10" s="290" t="s">
        <v>111</v>
      </c>
      <c r="T10" s="283"/>
      <c r="U10" s="271" t="s">
        <v>1645</v>
      </c>
      <c r="V10" s="271" t="s">
        <v>1645</v>
      </c>
      <c r="W10" s="271" t="s">
        <v>1645</v>
      </c>
      <c r="X10" s="271" t="s">
        <v>1645</v>
      </c>
      <c r="Y10" s="298" t="s">
        <v>1645</v>
      </c>
      <c r="Z10" s="271"/>
      <c r="AA10" s="291" t="s">
        <v>162</v>
      </c>
      <c r="AB10" s="291" t="s">
        <v>132</v>
      </c>
      <c r="AC10" s="291" t="s">
        <v>201</v>
      </c>
      <c r="AD10" s="271" t="s">
        <v>165</v>
      </c>
      <c r="AE10" s="292" t="s">
        <v>156</v>
      </c>
      <c r="AF10" s="291"/>
      <c r="AG10" s="69" t="s">
        <v>231</v>
      </c>
      <c r="AH10" s="271" t="s">
        <v>1646</v>
      </c>
      <c r="AI10" s="271" t="s">
        <v>1644</v>
      </c>
      <c r="AJ10" s="271" t="s">
        <v>1638</v>
      </c>
      <c r="AK10" s="271" t="s">
        <v>1646</v>
      </c>
      <c r="AL10" s="271" t="s">
        <v>1647</v>
      </c>
      <c r="AM10" s="271"/>
      <c r="AN10" s="292"/>
      <c r="AO10" s="293" t="s">
        <v>894</v>
      </c>
      <c r="AP10" s="294" t="s">
        <v>898</v>
      </c>
      <c r="AQ10" s="295" t="s">
        <v>1567</v>
      </c>
    </row>
    <row r="11">
      <c r="A11" s="288" t="s">
        <v>111</v>
      </c>
      <c r="B11" s="288" t="s">
        <v>144</v>
      </c>
      <c r="C11" s="288" t="s">
        <v>153</v>
      </c>
      <c r="D11" s="288" t="s">
        <v>111</v>
      </c>
      <c r="E11" s="288" t="s">
        <v>114</v>
      </c>
      <c r="F11" s="289" t="s">
        <v>111</v>
      </c>
      <c r="G11" s="289" t="s">
        <v>147</v>
      </c>
      <c r="H11" s="271"/>
      <c r="I11" s="271"/>
      <c r="J11" s="271"/>
      <c r="K11" s="271"/>
      <c r="L11" s="271"/>
      <c r="M11" s="271"/>
      <c r="N11" s="271"/>
      <c r="O11" s="290" t="s">
        <v>111</v>
      </c>
      <c r="P11" s="290" t="s">
        <v>144</v>
      </c>
      <c r="Q11" s="290" t="s">
        <v>153</v>
      </c>
      <c r="R11" s="290" t="s">
        <v>111</v>
      </c>
      <c r="S11" s="290" t="s">
        <v>114</v>
      </c>
      <c r="T11" s="283"/>
      <c r="U11" s="296" t="s">
        <v>1638</v>
      </c>
      <c r="V11" s="297" t="s">
        <v>1638</v>
      </c>
      <c r="W11" s="291" t="s">
        <v>1638</v>
      </c>
      <c r="X11" s="297" t="s">
        <v>1638</v>
      </c>
      <c r="Y11" s="297" t="s">
        <v>1638</v>
      </c>
      <c r="Z11" s="271"/>
      <c r="AA11" s="271" t="s">
        <v>165</v>
      </c>
      <c r="AB11" s="291" t="s">
        <v>135</v>
      </c>
      <c r="AC11" s="291" t="s">
        <v>207</v>
      </c>
      <c r="AD11" s="271" t="s">
        <v>183</v>
      </c>
      <c r="AE11" s="291" t="s">
        <v>165</v>
      </c>
      <c r="AF11" s="292"/>
      <c r="AG11" s="69" t="s">
        <v>243</v>
      </c>
      <c r="AH11" s="271" t="s">
        <v>1647</v>
      </c>
      <c r="AI11" s="271" t="s">
        <v>1641</v>
      </c>
      <c r="AJ11" s="271" t="s">
        <v>1648</v>
      </c>
      <c r="AK11" s="271" t="s">
        <v>1647</v>
      </c>
      <c r="AL11" s="271" t="s">
        <v>1649</v>
      </c>
      <c r="AM11" s="271"/>
      <c r="AN11" s="291"/>
      <c r="AO11" s="294" t="s">
        <v>992</v>
      </c>
      <c r="AP11" s="294" t="s">
        <v>993</v>
      </c>
      <c r="AQ11" s="295" t="s">
        <v>1567</v>
      </c>
    </row>
    <row r="12">
      <c r="A12" s="288" t="s">
        <v>123</v>
      </c>
      <c r="B12" s="288" t="s">
        <v>159</v>
      </c>
      <c r="C12" s="288" t="s">
        <v>159</v>
      </c>
      <c r="D12" s="288" t="s">
        <v>120</v>
      </c>
      <c r="E12" s="288" t="s">
        <v>120</v>
      </c>
      <c r="F12" s="289" t="s">
        <v>126</v>
      </c>
      <c r="G12" s="289" t="s">
        <v>159</v>
      </c>
      <c r="H12" s="271"/>
      <c r="I12" s="271"/>
      <c r="J12" s="271"/>
      <c r="K12" s="271"/>
      <c r="L12" s="271"/>
      <c r="M12" s="271"/>
      <c r="N12" s="271"/>
      <c r="O12" s="290" t="s">
        <v>114</v>
      </c>
      <c r="P12" s="290" t="s">
        <v>159</v>
      </c>
      <c r="Q12" s="290" t="s">
        <v>159</v>
      </c>
      <c r="R12" s="290" t="s">
        <v>120</v>
      </c>
      <c r="S12" s="290" t="s">
        <v>120</v>
      </c>
      <c r="T12" s="283"/>
      <c r="U12" s="298" t="s">
        <v>1644</v>
      </c>
      <c r="V12" s="271" t="s">
        <v>1644</v>
      </c>
      <c r="W12" s="271" t="s">
        <v>1644</v>
      </c>
      <c r="X12" s="298" t="s">
        <v>1644</v>
      </c>
      <c r="Y12" s="271" t="s">
        <v>1644</v>
      </c>
      <c r="Z12" s="271"/>
      <c r="AA12" s="291" t="s">
        <v>180</v>
      </c>
      <c r="AB12" s="291" t="s">
        <v>138</v>
      </c>
      <c r="AC12" s="271" t="s">
        <v>210</v>
      </c>
      <c r="AD12" s="271" t="s">
        <v>207</v>
      </c>
      <c r="AE12" s="292" t="s">
        <v>183</v>
      </c>
      <c r="AF12" s="292"/>
      <c r="AG12" s="69" t="s">
        <v>249</v>
      </c>
      <c r="AH12" s="271" t="s">
        <v>1649</v>
      </c>
      <c r="AI12" s="271" t="s">
        <v>1635</v>
      </c>
      <c r="AJ12" s="271" t="s">
        <v>1644</v>
      </c>
      <c r="AK12" s="271" t="s">
        <v>1649</v>
      </c>
      <c r="AL12" s="271" t="s">
        <v>1650</v>
      </c>
      <c r="AM12" s="271"/>
      <c r="AN12" s="292"/>
      <c r="AO12" s="293" t="s">
        <v>902</v>
      </c>
      <c r="AP12" s="294" t="s">
        <v>858</v>
      </c>
      <c r="AQ12" s="295" t="s">
        <v>1567</v>
      </c>
    </row>
    <row r="13">
      <c r="A13" s="288" t="s">
        <v>126</v>
      </c>
      <c r="B13" s="288" t="s">
        <v>177</v>
      </c>
      <c r="C13" s="288" t="s">
        <v>174</v>
      </c>
      <c r="D13" s="288" t="s">
        <v>123</v>
      </c>
      <c r="E13" s="288" t="s">
        <v>126</v>
      </c>
      <c r="F13" s="289" t="s">
        <v>129</v>
      </c>
      <c r="G13" s="289" t="s">
        <v>177</v>
      </c>
      <c r="H13" s="271"/>
      <c r="I13" s="271"/>
      <c r="J13" s="271"/>
      <c r="K13" s="271"/>
      <c r="L13" s="271"/>
      <c r="M13" s="271"/>
      <c r="N13" s="271"/>
      <c r="O13" s="290" t="s">
        <v>123</v>
      </c>
      <c r="P13" s="290" t="s">
        <v>177</v>
      </c>
      <c r="Q13" s="290" t="s">
        <v>174</v>
      </c>
      <c r="R13" s="290" t="s">
        <v>123</v>
      </c>
      <c r="S13" s="290" t="s">
        <v>126</v>
      </c>
      <c r="T13" s="283"/>
      <c r="U13" s="299" t="s">
        <v>1641</v>
      </c>
      <c r="V13" s="271" t="s">
        <v>1641</v>
      </c>
      <c r="W13" s="271" t="s">
        <v>1641</v>
      </c>
      <c r="X13" s="298" t="s">
        <v>1641</v>
      </c>
      <c r="Y13" s="271" t="s">
        <v>1641</v>
      </c>
      <c r="Z13" s="271"/>
      <c r="AA13" s="291" t="s">
        <v>183</v>
      </c>
      <c r="AB13" s="291" t="s">
        <v>150</v>
      </c>
      <c r="AC13" s="291" t="s">
        <v>240</v>
      </c>
      <c r="AD13" s="271" t="s">
        <v>234</v>
      </c>
      <c r="AE13" s="292" t="s">
        <v>207</v>
      </c>
      <c r="AF13" s="292"/>
      <c r="AG13" s="69" t="s">
        <v>268</v>
      </c>
      <c r="AH13" s="271" t="s">
        <v>1650</v>
      </c>
      <c r="AI13" s="271" t="s">
        <v>1646</v>
      </c>
      <c r="AJ13" s="271" t="s">
        <v>1641</v>
      </c>
      <c r="AK13" s="271" t="s">
        <v>1651</v>
      </c>
      <c r="AL13" s="271" t="s">
        <v>1651</v>
      </c>
      <c r="AM13" s="271"/>
      <c r="AN13" s="292"/>
      <c r="AO13" s="293" t="s">
        <v>1140</v>
      </c>
      <c r="AP13" s="294" t="s">
        <v>1141</v>
      </c>
      <c r="AQ13" s="295" t="s">
        <v>1567</v>
      </c>
    </row>
    <row r="14">
      <c r="A14" s="288" t="s">
        <v>129</v>
      </c>
      <c r="B14" s="288" t="s">
        <v>186</v>
      </c>
      <c r="C14" s="288" t="s">
        <v>177</v>
      </c>
      <c r="D14" s="288" t="s">
        <v>126</v>
      </c>
      <c r="E14" s="288" t="s">
        <v>129</v>
      </c>
      <c r="F14" s="289" t="s">
        <v>153</v>
      </c>
      <c r="G14" s="289" t="s">
        <v>186</v>
      </c>
      <c r="H14" s="271"/>
      <c r="I14" s="271"/>
      <c r="J14" s="271"/>
      <c r="K14" s="271"/>
      <c r="L14" s="271"/>
      <c r="M14" s="271"/>
      <c r="N14" s="271"/>
      <c r="O14" s="290" t="s">
        <v>126</v>
      </c>
      <c r="P14" s="290" t="s">
        <v>180</v>
      </c>
      <c r="Q14" s="290" t="s">
        <v>177</v>
      </c>
      <c r="R14" s="290" t="s">
        <v>126</v>
      </c>
      <c r="S14" s="290" t="s">
        <v>129</v>
      </c>
      <c r="T14" s="283"/>
      <c r="U14" s="299" t="s">
        <v>1635</v>
      </c>
      <c r="V14" s="271" t="s">
        <v>1635</v>
      </c>
      <c r="W14" s="271" t="s">
        <v>1635</v>
      </c>
      <c r="X14" s="299" t="s">
        <v>1635</v>
      </c>
      <c r="Y14" s="299" t="s">
        <v>1635</v>
      </c>
      <c r="Z14" s="271"/>
      <c r="AA14" s="291" t="s">
        <v>207</v>
      </c>
      <c r="AB14" s="291" t="s">
        <v>156</v>
      </c>
      <c r="AC14" s="291" t="s">
        <v>268</v>
      </c>
      <c r="AD14" s="291" t="s">
        <v>246</v>
      </c>
      <c r="AE14" s="292" t="s">
        <v>234</v>
      </c>
      <c r="AF14" s="292"/>
      <c r="AG14" s="69" t="s">
        <v>277</v>
      </c>
      <c r="AH14" s="271" t="s">
        <v>1651</v>
      </c>
      <c r="AI14" s="271" t="s">
        <v>1647</v>
      </c>
      <c r="AJ14" s="271" t="s">
        <v>1635</v>
      </c>
      <c r="AK14" s="271"/>
      <c r="AL14" s="271"/>
      <c r="AM14" s="271"/>
      <c r="AN14" s="292"/>
      <c r="AO14" s="294" t="s">
        <v>914</v>
      </c>
      <c r="AP14" s="294" t="s">
        <v>915</v>
      </c>
      <c r="AQ14" s="295" t="s">
        <v>1567</v>
      </c>
    </row>
    <row r="15">
      <c r="A15" s="288" t="s">
        <v>138</v>
      </c>
      <c r="B15" s="288" t="s">
        <v>198</v>
      </c>
      <c r="C15" s="288" t="s">
        <v>195</v>
      </c>
      <c r="D15" s="288" t="s">
        <v>129</v>
      </c>
      <c r="E15" s="288" t="s">
        <v>138</v>
      </c>
      <c r="F15" s="289" t="s">
        <v>171</v>
      </c>
      <c r="G15" s="289" t="s">
        <v>198</v>
      </c>
      <c r="H15" s="271"/>
      <c r="I15" s="271"/>
      <c r="J15" s="271"/>
      <c r="K15" s="271"/>
      <c r="L15" s="271"/>
      <c r="M15" s="271"/>
      <c r="N15" s="271"/>
      <c r="O15" s="290" t="s">
        <v>129</v>
      </c>
      <c r="P15" s="290" t="s">
        <v>186</v>
      </c>
      <c r="Q15" s="290" t="s">
        <v>195</v>
      </c>
      <c r="R15" s="290" t="s">
        <v>129</v>
      </c>
      <c r="S15" s="290" t="s">
        <v>138</v>
      </c>
      <c r="T15" s="283"/>
      <c r="U15" s="271" t="s">
        <v>1646</v>
      </c>
      <c r="V15" s="271" t="s">
        <v>1646</v>
      </c>
      <c r="W15" s="271" t="s">
        <v>1646</v>
      </c>
      <c r="X15" s="271" t="s">
        <v>1646</v>
      </c>
      <c r="Y15" s="271" t="s">
        <v>1646</v>
      </c>
      <c r="Z15" s="271"/>
      <c r="AA15" s="291" t="s">
        <v>234</v>
      </c>
      <c r="AB15" s="291" t="s">
        <v>165</v>
      </c>
      <c r="AC15" s="291" t="s">
        <v>274</v>
      </c>
      <c r="AD15" s="291" t="s">
        <v>265</v>
      </c>
      <c r="AE15" s="271" t="s">
        <v>237</v>
      </c>
      <c r="AF15" s="291"/>
      <c r="AG15" s="69" t="s">
        <v>283</v>
      </c>
      <c r="AH15" s="271"/>
      <c r="AI15" s="271" t="s">
        <v>1649</v>
      </c>
      <c r="AJ15" s="271" t="s">
        <v>1646</v>
      </c>
      <c r="AK15" s="271"/>
      <c r="AL15" s="271"/>
      <c r="AM15" s="271"/>
      <c r="AN15" s="292"/>
      <c r="AO15" s="294" t="s">
        <v>917</v>
      </c>
      <c r="AP15" s="294" t="s">
        <v>918</v>
      </c>
      <c r="AQ15" s="295" t="s">
        <v>1567</v>
      </c>
    </row>
    <row r="16">
      <c r="A16" s="288" t="s">
        <v>141</v>
      </c>
      <c r="B16" s="288" t="s">
        <v>204</v>
      </c>
      <c r="C16" s="288" t="s">
        <v>219</v>
      </c>
      <c r="D16" s="288" t="s">
        <v>138</v>
      </c>
      <c r="E16" s="288" t="s">
        <v>141</v>
      </c>
      <c r="F16" s="289" t="s">
        <v>186</v>
      </c>
      <c r="G16" s="289" t="s">
        <v>204</v>
      </c>
      <c r="H16" s="271"/>
      <c r="I16" s="271"/>
      <c r="J16" s="271"/>
      <c r="K16" s="271"/>
      <c r="L16" s="271"/>
      <c r="M16" s="271"/>
      <c r="N16" s="271"/>
      <c r="O16" s="290" t="s">
        <v>138</v>
      </c>
      <c r="P16" s="290" t="s">
        <v>198</v>
      </c>
      <c r="Q16" s="290" t="s">
        <v>219</v>
      </c>
      <c r="R16" s="290" t="s">
        <v>138</v>
      </c>
      <c r="S16" s="290" t="s">
        <v>141</v>
      </c>
      <c r="T16" s="283"/>
      <c r="U16" s="271" t="s">
        <v>1647</v>
      </c>
      <c r="V16" s="271" t="s">
        <v>1647</v>
      </c>
      <c r="W16" s="271" t="s">
        <v>1647</v>
      </c>
      <c r="X16" s="271" t="s">
        <v>1647</v>
      </c>
      <c r="Y16" s="271" t="s">
        <v>1647</v>
      </c>
      <c r="Z16" s="271"/>
      <c r="AA16" s="291" t="s">
        <v>246</v>
      </c>
      <c r="AB16" s="291" t="s">
        <v>183</v>
      </c>
      <c r="AC16" s="291" t="s">
        <v>306</v>
      </c>
      <c r="AD16" s="271" t="s">
        <v>268</v>
      </c>
      <c r="AE16" s="271" t="s">
        <v>260</v>
      </c>
      <c r="AF16" s="291"/>
      <c r="AG16" s="69" t="s">
        <v>289</v>
      </c>
      <c r="AH16" s="271"/>
      <c r="AI16" s="271" t="s">
        <v>1650</v>
      </c>
      <c r="AJ16" s="271" t="s">
        <v>1647</v>
      </c>
      <c r="AK16" s="271"/>
      <c r="AL16" s="271"/>
      <c r="AM16" s="271"/>
      <c r="AN16" s="291"/>
      <c r="AO16" s="294" t="s">
        <v>923</v>
      </c>
      <c r="AP16" s="294" t="s">
        <v>924</v>
      </c>
      <c r="AQ16" s="295" t="s">
        <v>1567</v>
      </c>
    </row>
    <row r="17">
      <c r="A17" s="288" t="s">
        <v>144</v>
      </c>
      <c r="B17" s="288" t="s">
        <v>219</v>
      </c>
      <c r="C17" s="288" t="s">
        <v>243</v>
      </c>
      <c r="D17" s="288" t="s">
        <v>141</v>
      </c>
      <c r="E17" s="288" t="s">
        <v>144</v>
      </c>
      <c r="F17" s="289" t="s">
        <v>198</v>
      </c>
      <c r="G17" s="289" t="s">
        <v>210</v>
      </c>
      <c r="H17" s="271"/>
      <c r="I17" s="271"/>
      <c r="J17" s="271"/>
      <c r="K17" s="271"/>
      <c r="L17" s="271"/>
      <c r="M17" s="271"/>
      <c r="N17" s="271"/>
      <c r="O17" s="290" t="s">
        <v>141</v>
      </c>
      <c r="P17" s="290" t="s">
        <v>204</v>
      </c>
      <c r="Q17" s="290" t="s">
        <v>243</v>
      </c>
      <c r="R17" s="290" t="s">
        <v>141</v>
      </c>
      <c r="S17" s="290" t="s">
        <v>144</v>
      </c>
      <c r="T17" s="283"/>
      <c r="U17" s="271" t="s">
        <v>1649</v>
      </c>
      <c r="V17" s="271" t="s">
        <v>1649</v>
      </c>
      <c r="W17" s="271" t="s">
        <v>1649</v>
      </c>
      <c r="X17" s="271" t="s">
        <v>1649</v>
      </c>
      <c r="Y17" s="271" t="s">
        <v>1649</v>
      </c>
      <c r="Z17" s="271"/>
      <c r="AA17" s="291" t="s">
        <v>268</v>
      </c>
      <c r="AB17" s="291" t="s">
        <v>201</v>
      </c>
      <c r="AC17" s="291" t="s">
        <v>324</v>
      </c>
      <c r="AD17" s="292" t="s">
        <v>283</v>
      </c>
      <c r="AE17" s="292" t="s">
        <v>268</v>
      </c>
      <c r="AF17" s="291"/>
      <c r="AG17" s="69" t="s">
        <v>300</v>
      </c>
      <c r="AH17" s="271"/>
      <c r="AI17" s="271" t="s">
        <v>1651</v>
      </c>
      <c r="AJ17" s="271" t="s">
        <v>1649</v>
      </c>
      <c r="AK17" s="271"/>
      <c r="AL17" s="271"/>
      <c r="AM17" s="271"/>
      <c r="AN17" s="291"/>
      <c r="AO17" s="294" t="s">
        <v>995</v>
      </c>
      <c r="AP17" s="294" t="s">
        <v>996</v>
      </c>
      <c r="AQ17" s="295" t="s">
        <v>1567</v>
      </c>
    </row>
    <row r="18">
      <c r="A18" s="288" t="s">
        <v>147</v>
      </c>
      <c r="B18" s="288" t="s">
        <v>255</v>
      </c>
      <c r="C18" s="288" t="s">
        <v>255</v>
      </c>
      <c r="D18" s="288" t="s">
        <v>144</v>
      </c>
      <c r="E18" s="288" t="s">
        <v>153</v>
      </c>
      <c r="F18" s="289" t="s">
        <v>204</v>
      </c>
      <c r="G18" s="289" t="s">
        <v>240</v>
      </c>
      <c r="H18" s="271"/>
      <c r="I18" s="271"/>
      <c r="J18" s="271"/>
      <c r="K18" s="271"/>
      <c r="L18" s="271"/>
      <c r="M18" s="271"/>
      <c r="N18" s="271"/>
      <c r="O18" s="290" t="s">
        <v>144</v>
      </c>
      <c r="P18" s="290" t="s">
        <v>219</v>
      </c>
      <c r="Q18" s="290" t="s">
        <v>255</v>
      </c>
      <c r="R18" s="290" t="s">
        <v>144</v>
      </c>
      <c r="S18" s="290" t="s">
        <v>153</v>
      </c>
      <c r="T18" s="283"/>
      <c r="U18" s="271" t="s">
        <v>1650</v>
      </c>
      <c r="V18" s="271" t="s">
        <v>1650</v>
      </c>
      <c r="W18" s="271" t="s">
        <v>1650</v>
      </c>
      <c r="X18" s="298" t="s">
        <v>1650</v>
      </c>
      <c r="Y18" s="271" t="s">
        <v>1650</v>
      </c>
      <c r="Z18" s="271"/>
      <c r="AA18" s="291" t="s">
        <v>283</v>
      </c>
      <c r="AB18" s="291" t="s">
        <v>207</v>
      </c>
      <c r="AC18" s="291" t="s">
        <v>327</v>
      </c>
      <c r="AD18" s="291" t="s">
        <v>309</v>
      </c>
      <c r="AE18" s="291" t="s">
        <v>283</v>
      </c>
      <c r="AF18" s="291"/>
      <c r="AG18" s="69" t="s">
        <v>303</v>
      </c>
      <c r="AH18" s="271"/>
      <c r="AI18" s="271"/>
      <c r="AJ18" s="271" t="s">
        <v>1650</v>
      </c>
      <c r="AK18" s="271"/>
      <c r="AL18" s="271"/>
      <c r="AM18" s="271"/>
      <c r="AN18" s="291"/>
      <c r="AO18" s="293" t="s">
        <v>1126</v>
      </c>
      <c r="AP18" s="294" t="s">
        <v>1127</v>
      </c>
      <c r="AQ18" s="295" t="s">
        <v>1567</v>
      </c>
    </row>
    <row r="19">
      <c r="A19" s="288" t="s">
        <v>153</v>
      </c>
      <c r="B19" s="288" t="s">
        <v>263</v>
      </c>
      <c r="C19" s="288" t="s">
        <v>263</v>
      </c>
      <c r="D19" s="288" t="s">
        <v>147</v>
      </c>
      <c r="E19" s="288" t="s">
        <v>159</v>
      </c>
      <c r="F19" s="289" t="s">
        <v>210</v>
      </c>
      <c r="G19" s="289" t="s">
        <v>255</v>
      </c>
      <c r="H19" s="271"/>
      <c r="I19" s="271"/>
      <c r="J19" s="271"/>
      <c r="K19" s="271"/>
      <c r="L19" s="271"/>
      <c r="M19" s="271"/>
      <c r="N19" s="271"/>
      <c r="O19" s="290" t="s">
        <v>147</v>
      </c>
      <c r="P19" s="290" t="s">
        <v>255</v>
      </c>
      <c r="Q19" s="290" t="s">
        <v>263</v>
      </c>
      <c r="R19" s="290" t="s">
        <v>147</v>
      </c>
      <c r="S19" s="290" t="s">
        <v>159</v>
      </c>
      <c r="T19" s="283"/>
      <c r="U19" s="271" t="s">
        <v>1651</v>
      </c>
      <c r="V19" s="271" t="s">
        <v>1651</v>
      </c>
      <c r="W19" s="271" t="s">
        <v>1651</v>
      </c>
      <c r="X19" s="271" t="s">
        <v>1651</v>
      </c>
      <c r="Y19" s="271" t="s">
        <v>1651</v>
      </c>
      <c r="Z19" s="271"/>
      <c r="AA19" s="291" t="s">
        <v>306</v>
      </c>
      <c r="AB19" s="291" t="s">
        <v>213</v>
      </c>
      <c r="AC19" s="291" t="s">
        <v>333</v>
      </c>
      <c r="AD19" s="292" t="s">
        <v>321</v>
      </c>
      <c r="AE19" s="271" t="s">
        <v>300</v>
      </c>
      <c r="AF19" s="291"/>
      <c r="AG19" s="69" t="s">
        <v>306</v>
      </c>
      <c r="AH19" s="271"/>
      <c r="AI19" s="271"/>
      <c r="AJ19" s="271" t="s">
        <v>1651</v>
      </c>
      <c r="AK19" s="271"/>
      <c r="AL19" s="271"/>
      <c r="AM19" s="271"/>
      <c r="AN19" s="291"/>
      <c r="AO19" s="293" t="s">
        <v>1126</v>
      </c>
      <c r="AP19" s="294" t="s">
        <v>1128</v>
      </c>
      <c r="AQ19" s="295" t="s">
        <v>1567</v>
      </c>
    </row>
    <row r="20">
      <c r="A20" s="288" t="s">
        <v>159</v>
      </c>
      <c r="B20" s="288" t="s">
        <v>283</v>
      </c>
      <c r="C20" s="288" t="s">
        <v>280</v>
      </c>
      <c r="D20" s="288" t="s">
        <v>153</v>
      </c>
      <c r="E20" s="288" t="s">
        <v>174</v>
      </c>
      <c r="F20" s="289" t="s">
        <v>213</v>
      </c>
      <c r="G20" s="289" t="s">
        <v>263</v>
      </c>
      <c r="H20" s="271"/>
      <c r="I20" s="271"/>
      <c r="J20" s="271"/>
      <c r="K20" s="271"/>
      <c r="L20" s="271"/>
      <c r="M20" s="271"/>
      <c r="N20" s="271"/>
      <c r="O20" s="290" t="s">
        <v>153</v>
      </c>
      <c r="P20" s="290" t="s">
        <v>263</v>
      </c>
      <c r="Q20" s="290" t="s">
        <v>280</v>
      </c>
      <c r="R20" s="290" t="s">
        <v>153</v>
      </c>
      <c r="S20" s="290" t="s">
        <v>174</v>
      </c>
      <c r="T20" s="283"/>
      <c r="U20" s="271"/>
      <c r="V20" s="271"/>
      <c r="W20" s="271"/>
      <c r="X20" s="291"/>
      <c r="Y20" s="291"/>
      <c r="Z20" s="271"/>
      <c r="AA20" s="291" t="s">
        <v>321</v>
      </c>
      <c r="AB20" s="291" t="s">
        <v>216</v>
      </c>
      <c r="AC20" s="291" t="s">
        <v>342</v>
      </c>
      <c r="AD20" s="291" t="s">
        <v>327</v>
      </c>
      <c r="AE20" s="291" t="s">
        <v>306</v>
      </c>
      <c r="AF20" s="291"/>
      <c r="AG20" s="69" t="s">
        <v>309</v>
      </c>
      <c r="AH20" s="271"/>
      <c r="AI20" s="271"/>
      <c r="AJ20" s="271"/>
      <c r="AK20" s="271"/>
      <c r="AL20" s="271"/>
      <c r="AM20" s="271"/>
      <c r="AN20" s="291"/>
      <c r="AO20" s="293" t="s">
        <v>949</v>
      </c>
      <c r="AP20" s="294" t="s">
        <v>950</v>
      </c>
      <c r="AQ20" s="295" t="s">
        <v>1567</v>
      </c>
    </row>
    <row r="21" ht="15.75" customHeight="1">
      <c r="A21" s="288" t="s">
        <v>177</v>
      </c>
      <c r="B21" s="288" t="s">
        <v>286</v>
      </c>
      <c r="C21" s="288" t="s">
        <v>283</v>
      </c>
      <c r="D21" s="288" t="s">
        <v>159</v>
      </c>
      <c r="E21" s="288" t="s">
        <v>177</v>
      </c>
      <c r="F21" s="289" t="s">
        <v>216</v>
      </c>
      <c r="G21" s="289" t="s">
        <v>274</v>
      </c>
      <c r="H21" s="271"/>
      <c r="I21" s="271"/>
      <c r="J21" s="271"/>
      <c r="K21" s="271"/>
      <c r="L21" s="271"/>
      <c r="M21" s="271"/>
      <c r="N21" s="271"/>
      <c r="O21" s="290" t="s">
        <v>159</v>
      </c>
      <c r="P21" s="290" t="s">
        <v>283</v>
      </c>
      <c r="Q21" s="290" t="s">
        <v>283</v>
      </c>
      <c r="R21" s="290" t="s">
        <v>159</v>
      </c>
      <c r="S21" s="290" t="s">
        <v>177</v>
      </c>
      <c r="T21" s="283"/>
      <c r="U21" s="271"/>
      <c r="V21" s="271"/>
      <c r="W21" s="271"/>
      <c r="X21" s="291"/>
      <c r="Y21" s="291"/>
      <c r="Z21" s="271"/>
      <c r="AA21" s="291" t="s">
        <v>327</v>
      </c>
      <c r="AB21" s="291" t="s">
        <v>222</v>
      </c>
      <c r="AC21" s="291" t="s">
        <v>348</v>
      </c>
      <c r="AD21" s="271" t="s">
        <v>336</v>
      </c>
      <c r="AE21" s="291" t="s">
        <v>309</v>
      </c>
      <c r="AF21" s="291"/>
      <c r="AG21" s="69" t="s">
        <v>318</v>
      </c>
      <c r="AH21" s="271"/>
      <c r="AI21" s="271"/>
      <c r="AJ21" s="271"/>
      <c r="AK21" s="271"/>
      <c r="AL21" s="271"/>
      <c r="AM21" s="271"/>
      <c r="AN21" s="291"/>
      <c r="AO21" s="293" t="s">
        <v>949</v>
      </c>
      <c r="AP21" s="294" t="s">
        <v>913</v>
      </c>
      <c r="AQ21" s="295" t="s">
        <v>1567</v>
      </c>
    </row>
    <row r="22" ht="15.75" customHeight="1">
      <c r="A22" s="288" t="s">
        <v>186</v>
      </c>
      <c r="B22" s="288" t="s">
        <v>294</v>
      </c>
      <c r="C22" s="288" t="s">
        <v>286</v>
      </c>
      <c r="D22" s="288" t="s">
        <v>168</v>
      </c>
      <c r="E22" s="288" t="s">
        <v>180</v>
      </c>
      <c r="F22" s="289" t="s">
        <v>219</v>
      </c>
      <c r="G22" s="289" t="s">
        <v>294</v>
      </c>
      <c r="H22" s="271"/>
      <c r="I22" s="271"/>
      <c r="J22" s="271"/>
      <c r="K22" s="271"/>
      <c r="L22" s="271"/>
      <c r="M22" s="271"/>
      <c r="N22" s="271"/>
      <c r="O22" s="290" t="s">
        <v>168</v>
      </c>
      <c r="P22" s="290" t="s">
        <v>286</v>
      </c>
      <c r="Q22" s="290" t="s">
        <v>286</v>
      </c>
      <c r="R22" s="290" t="s">
        <v>168</v>
      </c>
      <c r="S22" s="290" t="s">
        <v>180</v>
      </c>
      <c r="T22" s="283"/>
      <c r="U22" s="271"/>
      <c r="V22" s="271"/>
      <c r="W22" s="271"/>
      <c r="X22" s="291"/>
      <c r="Y22" s="291"/>
      <c r="Z22" s="271"/>
      <c r="AA22" s="291" t="s">
        <v>336</v>
      </c>
      <c r="AB22" s="291" t="s">
        <v>228</v>
      </c>
      <c r="AC22" s="291" t="s">
        <v>354</v>
      </c>
      <c r="AD22" s="271" t="s">
        <v>360</v>
      </c>
      <c r="AE22" s="291" t="s">
        <v>321</v>
      </c>
      <c r="AF22" s="291"/>
      <c r="AG22" s="69" t="s">
        <v>321</v>
      </c>
      <c r="AH22" s="271"/>
      <c r="AI22" s="271"/>
      <c r="AJ22" s="271"/>
      <c r="AK22" s="271"/>
      <c r="AL22" s="271"/>
      <c r="AM22" s="271"/>
      <c r="AN22" s="291"/>
      <c r="AO22" s="294" t="s">
        <v>953</v>
      </c>
      <c r="AP22" s="294" t="s">
        <v>954</v>
      </c>
      <c r="AQ22" s="295" t="s">
        <v>1567</v>
      </c>
    </row>
    <row r="23" ht="15.75" customHeight="1">
      <c r="A23" s="288" t="s">
        <v>189</v>
      </c>
      <c r="B23" s="288" t="s">
        <v>297</v>
      </c>
      <c r="C23" s="288" t="s">
        <v>289</v>
      </c>
      <c r="D23" s="288" t="s">
        <v>171</v>
      </c>
      <c r="E23" s="288" t="s">
        <v>186</v>
      </c>
      <c r="F23" s="289" t="s">
        <v>225</v>
      </c>
      <c r="G23" s="289" t="s">
        <v>297</v>
      </c>
      <c r="H23" s="271"/>
      <c r="I23" s="271"/>
      <c r="J23" s="271"/>
      <c r="K23" s="271"/>
      <c r="L23" s="271"/>
      <c r="M23" s="271"/>
      <c r="N23" s="271"/>
      <c r="O23" s="290" t="s">
        <v>171</v>
      </c>
      <c r="P23" s="290" t="s">
        <v>294</v>
      </c>
      <c r="Q23" s="290" t="s">
        <v>289</v>
      </c>
      <c r="R23" s="290" t="s">
        <v>171</v>
      </c>
      <c r="S23" s="290" t="s">
        <v>186</v>
      </c>
      <c r="T23" s="283"/>
      <c r="U23" s="271"/>
      <c r="V23" s="271"/>
      <c r="W23" s="271"/>
      <c r="X23" s="291"/>
      <c r="Y23" s="291"/>
      <c r="Z23" s="291"/>
      <c r="AA23" s="291" t="s">
        <v>360</v>
      </c>
      <c r="AB23" s="291" t="s">
        <v>237</v>
      </c>
      <c r="AC23" s="291" t="s">
        <v>372</v>
      </c>
      <c r="AD23" s="271" t="s">
        <v>366</v>
      </c>
      <c r="AE23" s="291" t="s">
        <v>327</v>
      </c>
      <c r="AF23" s="291"/>
      <c r="AG23" s="69" t="s">
        <v>324</v>
      </c>
      <c r="AH23" s="271"/>
      <c r="AI23" s="271"/>
      <c r="AJ23" s="271"/>
      <c r="AK23" s="271"/>
      <c r="AL23" s="271"/>
      <c r="AM23" s="271"/>
      <c r="AN23" s="291"/>
      <c r="AO23" s="294" t="s">
        <v>953</v>
      </c>
      <c r="AP23" s="294" t="s">
        <v>955</v>
      </c>
      <c r="AQ23" s="295" t="s">
        <v>1567</v>
      </c>
    </row>
    <row r="24" ht="15.75" customHeight="1">
      <c r="A24" s="288" t="s">
        <v>192</v>
      </c>
      <c r="B24" s="288" t="s">
        <v>315</v>
      </c>
      <c r="C24" s="288" t="s">
        <v>294</v>
      </c>
      <c r="D24" s="288" t="s">
        <v>174</v>
      </c>
      <c r="E24" s="288" t="s">
        <v>192</v>
      </c>
      <c r="F24" s="289" t="s">
        <v>228</v>
      </c>
      <c r="G24" s="300" t="s">
        <v>312</v>
      </c>
      <c r="H24" s="271"/>
      <c r="I24" s="271"/>
      <c r="J24" s="271"/>
      <c r="K24" s="271"/>
      <c r="L24" s="271"/>
      <c r="M24" s="271"/>
      <c r="N24" s="271"/>
      <c r="O24" s="290" t="s">
        <v>174</v>
      </c>
      <c r="P24" s="290" t="s">
        <v>297</v>
      </c>
      <c r="Q24" s="290" t="s">
        <v>294</v>
      </c>
      <c r="R24" s="290" t="s">
        <v>174</v>
      </c>
      <c r="S24" s="290" t="s">
        <v>192</v>
      </c>
      <c r="T24" s="283"/>
      <c r="U24" s="271"/>
      <c r="V24" s="271"/>
      <c r="W24" s="271"/>
      <c r="X24" s="274"/>
      <c r="Y24" s="274"/>
      <c r="Z24" s="274"/>
      <c r="AA24" s="291" t="s">
        <v>366</v>
      </c>
      <c r="AB24" s="291" t="s">
        <v>240</v>
      </c>
      <c r="AC24" s="291" t="s">
        <v>375</v>
      </c>
      <c r="AD24" s="271" t="s">
        <v>378</v>
      </c>
      <c r="AE24" s="271" t="s">
        <v>336</v>
      </c>
      <c r="AF24" s="291"/>
      <c r="AG24" s="69" t="s">
        <v>327</v>
      </c>
      <c r="AH24" s="271"/>
      <c r="AI24" s="271"/>
      <c r="AJ24" s="271"/>
      <c r="AK24" s="271"/>
      <c r="AL24" s="271"/>
      <c r="AM24" s="271"/>
      <c r="AN24" s="291"/>
      <c r="AO24" s="294" t="s">
        <v>953</v>
      </c>
      <c r="AP24" s="294" t="s">
        <v>957</v>
      </c>
      <c r="AQ24" s="295" t="s">
        <v>1567</v>
      </c>
    </row>
    <row r="25" ht="15.75" customHeight="1">
      <c r="A25" s="288" t="s">
        <v>195</v>
      </c>
      <c r="B25" s="288" t="s">
        <v>369</v>
      </c>
      <c r="C25" s="288" t="s">
        <v>297</v>
      </c>
      <c r="D25" s="288" t="s">
        <v>177</v>
      </c>
      <c r="E25" s="288" t="s">
        <v>195</v>
      </c>
      <c r="F25" s="289" t="s">
        <v>240</v>
      </c>
      <c r="G25" s="289" t="s">
        <v>345</v>
      </c>
      <c r="H25" s="271"/>
      <c r="I25" s="271"/>
      <c r="J25" s="271"/>
      <c r="K25" s="271"/>
      <c r="L25" s="271"/>
      <c r="M25" s="271"/>
      <c r="N25" s="271"/>
      <c r="O25" s="290" t="s">
        <v>177</v>
      </c>
      <c r="P25" s="301" t="s">
        <v>312</v>
      </c>
      <c r="Q25" s="290" t="s">
        <v>297</v>
      </c>
      <c r="R25" s="290" t="s">
        <v>177</v>
      </c>
      <c r="S25" s="290" t="s">
        <v>195</v>
      </c>
      <c r="T25" s="283"/>
      <c r="U25" s="271"/>
      <c r="V25" s="271"/>
      <c r="W25" s="271"/>
      <c r="X25" s="302"/>
      <c r="Y25" s="302"/>
      <c r="Z25" s="302"/>
      <c r="AA25" s="291" t="s">
        <v>378</v>
      </c>
      <c r="AB25" s="291" t="s">
        <v>243</v>
      </c>
      <c r="AC25" s="291" t="s">
        <v>384</v>
      </c>
      <c r="AD25" s="271" t="s">
        <v>381</v>
      </c>
      <c r="AE25" s="271" t="s">
        <v>339</v>
      </c>
      <c r="AF25" s="271"/>
      <c r="AG25" s="69" t="s">
        <v>333</v>
      </c>
      <c r="AH25" s="271"/>
      <c r="AI25" s="271"/>
      <c r="AJ25" s="271"/>
      <c r="AK25" s="271"/>
      <c r="AL25" s="271"/>
      <c r="AM25" s="271"/>
      <c r="AN25" s="291"/>
      <c r="AO25" s="294" t="s">
        <v>843</v>
      </c>
      <c r="AP25" s="294" t="s">
        <v>844</v>
      </c>
      <c r="AQ25" s="295" t="s">
        <v>1567</v>
      </c>
    </row>
    <row r="26" ht="15.75" customHeight="1">
      <c r="A26" s="288" t="s">
        <v>198</v>
      </c>
      <c r="B26" s="288" t="s">
        <v>387</v>
      </c>
      <c r="C26" s="288" t="s">
        <v>369</v>
      </c>
      <c r="D26" s="288" t="s">
        <v>180</v>
      </c>
      <c r="E26" s="288" t="s">
        <v>198</v>
      </c>
      <c r="F26" s="289" t="s">
        <v>252</v>
      </c>
      <c r="G26" s="289" t="s">
        <v>354</v>
      </c>
      <c r="H26" s="271"/>
      <c r="I26" s="271"/>
      <c r="J26" s="271"/>
      <c r="K26" s="271"/>
      <c r="L26" s="271"/>
      <c r="M26" s="271"/>
      <c r="N26" s="271"/>
      <c r="O26" s="290" t="s">
        <v>186</v>
      </c>
      <c r="P26" s="290" t="s">
        <v>315</v>
      </c>
      <c r="Q26" s="301" t="s">
        <v>312</v>
      </c>
      <c r="R26" s="290" t="s">
        <v>180</v>
      </c>
      <c r="S26" s="290" t="s">
        <v>198</v>
      </c>
      <c r="T26" s="283"/>
      <c r="U26" s="271"/>
      <c r="V26" s="271"/>
      <c r="W26" s="271"/>
      <c r="X26" s="302"/>
      <c r="Y26" s="302"/>
      <c r="Z26" s="302"/>
      <c r="AA26" s="274" t="s">
        <v>381</v>
      </c>
      <c r="AB26" s="291" t="s">
        <v>252</v>
      </c>
      <c r="AC26" s="291" t="s">
        <v>393</v>
      </c>
      <c r="AD26" s="291" t="s">
        <v>384</v>
      </c>
      <c r="AE26" s="271" t="s">
        <v>360</v>
      </c>
      <c r="AF26" s="271"/>
      <c r="AG26" s="69" t="s">
        <v>336</v>
      </c>
      <c r="AH26" s="271"/>
      <c r="AI26" s="271"/>
      <c r="AJ26" s="271"/>
      <c r="AK26" s="271"/>
      <c r="AL26" s="271"/>
      <c r="AM26" s="271"/>
      <c r="AN26" s="271"/>
      <c r="AO26" s="294" t="s">
        <v>810</v>
      </c>
      <c r="AP26" s="294" t="s">
        <v>811</v>
      </c>
      <c r="AQ26" s="295" t="s">
        <v>1567</v>
      </c>
    </row>
    <row r="27" ht="15.75" customHeight="1">
      <c r="A27" s="288" t="s">
        <v>201</v>
      </c>
      <c r="B27" s="69"/>
      <c r="C27" s="288" t="s">
        <v>387</v>
      </c>
      <c r="D27" s="288" t="s">
        <v>186</v>
      </c>
      <c r="E27" s="288" t="s">
        <v>201</v>
      </c>
      <c r="F27" s="289" t="s">
        <v>255</v>
      </c>
      <c r="G27" s="289" t="s">
        <v>357</v>
      </c>
      <c r="H27" s="271"/>
      <c r="I27" s="271"/>
      <c r="J27" s="271"/>
      <c r="K27" s="271"/>
      <c r="L27" s="271"/>
      <c r="M27" s="271"/>
      <c r="N27" s="271"/>
      <c r="O27" s="290" t="s">
        <v>189</v>
      </c>
      <c r="P27" s="290" t="s">
        <v>369</v>
      </c>
      <c r="Q27" s="290" t="s">
        <v>369</v>
      </c>
      <c r="R27" s="290" t="s">
        <v>186</v>
      </c>
      <c r="S27" s="290" t="s">
        <v>201</v>
      </c>
      <c r="T27" s="283"/>
      <c r="U27" s="271"/>
      <c r="V27" s="271"/>
      <c r="W27" s="271"/>
      <c r="X27" s="271"/>
      <c r="Y27" s="271"/>
      <c r="Z27" s="271"/>
      <c r="AA27" s="302" t="s">
        <v>384</v>
      </c>
      <c r="AB27" s="291" t="s">
        <v>260</v>
      </c>
      <c r="AC27" s="271"/>
      <c r="AD27" s="291" t="s">
        <v>393</v>
      </c>
      <c r="AE27" s="291" t="s">
        <v>372</v>
      </c>
      <c r="AF27" s="271"/>
      <c r="AG27" s="69" t="s">
        <v>339</v>
      </c>
      <c r="AH27" s="271"/>
      <c r="AI27" s="271"/>
      <c r="AJ27" s="271"/>
      <c r="AK27" s="271"/>
      <c r="AL27" s="271"/>
      <c r="AM27" s="271"/>
      <c r="AN27" s="271"/>
      <c r="AO27" s="293" t="s">
        <v>879</v>
      </c>
      <c r="AP27" s="294" t="s">
        <v>880</v>
      </c>
      <c r="AQ27" s="295" t="s">
        <v>1567</v>
      </c>
    </row>
    <row r="28" ht="15.75" customHeight="1">
      <c r="A28" s="288" t="s">
        <v>204</v>
      </c>
      <c r="B28" s="303"/>
      <c r="C28" s="303"/>
      <c r="D28" s="288" t="s">
        <v>189</v>
      </c>
      <c r="E28" s="288" t="s">
        <v>204</v>
      </c>
      <c r="F28" s="289" t="s">
        <v>258</v>
      </c>
      <c r="G28" s="289" t="s">
        <v>369</v>
      </c>
      <c r="H28" s="271"/>
      <c r="I28" s="271"/>
      <c r="J28" s="271"/>
      <c r="K28" s="271"/>
      <c r="L28" s="271"/>
      <c r="M28" s="271"/>
      <c r="N28" s="271"/>
      <c r="O28" s="290" t="s">
        <v>192</v>
      </c>
      <c r="P28" s="290" t="s">
        <v>387</v>
      </c>
      <c r="Q28" s="290" t="s">
        <v>387</v>
      </c>
      <c r="R28" s="290" t="s">
        <v>189</v>
      </c>
      <c r="S28" s="290" t="s">
        <v>204</v>
      </c>
      <c r="T28" s="283"/>
      <c r="U28" s="271"/>
      <c r="V28" s="271"/>
      <c r="W28" s="271"/>
      <c r="X28" s="271"/>
      <c r="Y28" s="271"/>
      <c r="Z28" s="271"/>
      <c r="AA28" s="302" t="s">
        <v>393</v>
      </c>
      <c r="AB28" s="291" t="s">
        <v>265</v>
      </c>
      <c r="AC28" s="271"/>
      <c r="AD28" s="271"/>
      <c r="AE28" s="291" t="s">
        <v>378</v>
      </c>
      <c r="AF28" s="271"/>
      <c r="AG28" s="69" t="s">
        <v>342</v>
      </c>
      <c r="AH28" s="271"/>
      <c r="AI28" s="271"/>
      <c r="AJ28" s="271"/>
      <c r="AK28" s="271"/>
      <c r="AL28" s="271"/>
      <c r="AM28" s="271"/>
      <c r="AN28" s="271"/>
      <c r="AO28" s="294" t="s">
        <v>821</v>
      </c>
      <c r="AP28" s="294" t="s">
        <v>822</v>
      </c>
      <c r="AQ28" s="295" t="s">
        <v>1567</v>
      </c>
    </row>
    <row r="29" ht="15.75" customHeight="1">
      <c r="A29" s="288" t="s">
        <v>210</v>
      </c>
      <c r="B29" s="304"/>
      <c r="C29" s="304"/>
      <c r="D29" s="288" t="s">
        <v>192</v>
      </c>
      <c r="E29" s="288" t="s">
        <v>210</v>
      </c>
      <c r="F29" s="289" t="s">
        <v>263</v>
      </c>
      <c r="G29" s="289" t="s">
        <v>387</v>
      </c>
      <c r="H29" s="271"/>
      <c r="I29" s="271"/>
      <c r="J29" s="271"/>
      <c r="K29" s="271"/>
      <c r="L29" s="271"/>
      <c r="M29" s="271"/>
      <c r="N29" s="271"/>
      <c r="O29" s="290" t="s">
        <v>195</v>
      </c>
      <c r="P29" s="65"/>
      <c r="Q29" s="65"/>
      <c r="R29" s="290" t="s">
        <v>192</v>
      </c>
      <c r="S29" s="290" t="s">
        <v>210</v>
      </c>
      <c r="T29" s="283"/>
      <c r="U29" s="271"/>
      <c r="V29" s="271"/>
      <c r="W29" s="271"/>
      <c r="X29" s="271"/>
      <c r="Y29" s="271"/>
      <c r="Z29" s="271"/>
      <c r="AA29" s="271"/>
      <c r="AB29" s="291" t="s">
        <v>268</v>
      </c>
      <c r="AC29" s="271"/>
      <c r="AD29" s="271"/>
      <c r="AE29" s="291" t="s">
        <v>381</v>
      </c>
      <c r="AF29" s="271"/>
      <c r="AG29" s="69" t="s">
        <v>351</v>
      </c>
      <c r="AH29" s="271"/>
      <c r="AI29" s="271"/>
      <c r="AJ29" s="271"/>
      <c r="AK29" s="271"/>
      <c r="AL29" s="271"/>
      <c r="AM29" s="271"/>
      <c r="AN29" s="271"/>
      <c r="AO29" s="294" t="s">
        <v>1067</v>
      </c>
      <c r="AP29" s="294" t="s">
        <v>1068</v>
      </c>
      <c r="AQ29" s="295" t="s">
        <v>1567</v>
      </c>
    </row>
    <row r="30" ht="15.75" customHeight="1">
      <c r="A30" s="288" t="s">
        <v>213</v>
      </c>
      <c r="B30" s="304"/>
      <c r="C30" s="304"/>
      <c r="D30" s="288" t="s">
        <v>195</v>
      </c>
      <c r="E30" s="288" t="s">
        <v>216</v>
      </c>
      <c r="F30" s="289" t="s">
        <v>265</v>
      </c>
      <c r="G30" s="304"/>
      <c r="H30" s="271"/>
      <c r="I30" s="271"/>
      <c r="J30" s="271"/>
      <c r="K30" s="271"/>
      <c r="L30" s="271"/>
      <c r="M30" s="271"/>
      <c r="N30" s="271"/>
      <c r="O30" s="290" t="s">
        <v>198</v>
      </c>
      <c r="P30" s="65"/>
      <c r="Q30" s="65"/>
      <c r="R30" s="290" t="s">
        <v>195</v>
      </c>
      <c r="S30" s="290" t="s">
        <v>216</v>
      </c>
      <c r="T30" s="283"/>
      <c r="U30" s="271"/>
      <c r="V30" s="271"/>
      <c r="W30" s="271"/>
      <c r="X30" s="271"/>
      <c r="Y30" s="271"/>
      <c r="Z30" s="271"/>
      <c r="AA30" s="271"/>
      <c r="AB30" s="291" t="s">
        <v>277</v>
      </c>
      <c r="AC30" s="271"/>
      <c r="AD30" s="271"/>
      <c r="AE30" s="291" t="s">
        <v>384</v>
      </c>
      <c r="AF30" s="271"/>
      <c r="AG30" s="69" t="s">
        <v>360</v>
      </c>
      <c r="AH30" s="271"/>
      <c r="AI30" s="271"/>
      <c r="AJ30" s="271"/>
      <c r="AK30" s="271"/>
      <c r="AL30" s="271"/>
      <c r="AM30" s="271"/>
      <c r="AN30" s="271"/>
      <c r="AO30" s="294" t="s">
        <v>1114</v>
      </c>
      <c r="AP30" s="294" t="s">
        <v>1115</v>
      </c>
      <c r="AQ30" s="295" t="s">
        <v>1567</v>
      </c>
    </row>
    <row r="31" ht="15.75" customHeight="1">
      <c r="A31" s="288" t="s">
        <v>216</v>
      </c>
      <c r="B31" s="304"/>
      <c r="C31" s="304"/>
      <c r="D31" s="288" t="s">
        <v>198</v>
      </c>
      <c r="E31" s="288" t="s">
        <v>219</v>
      </c>
      <c r="F31" s="289" t="s">
        <v>274</v>
      </c>
      <c r="G31" s="304"/>
      <c r="H31" s="271"/>
      <c r="I31" s="271"/>
      <c r="J31" s="271"/>
      <c r="K31" s="271"/>
      <c r="L31" s="271"/>
      <c r="M31" s="271"/>
      <c r="N31" s="271"/>
      <c r="O31" s="290" t="s">
        <v>201</v>
      </c>
      <c r="P31" s="65"/>
      <c r="Q31" s="65"/>
      <c r="R31" s="290" t="s">
        <v>198</v>
      </c>
      <c r="S31" s="290" t="s">
        <v>219</v>
      </c>
      <c r="T31" s="283"/>
      <c r="U31" s="271"/>
      <c r="V31" s="271"/>
      <c r="W31" s="271"/>
      <c r="X31" s="271"/>
      <c r="Y31" s="271"/>
      <c r="Z31" s="271"/>
      <c r="AA31" s="271"/>
      <c r="AB31" s="291" t="s">
        <v>300</v>
      </c>
      <c r="AC31" s="271"/>
      <c r="AD31" s="271"/>
      <c r="AE31" s="291" t="s">
        <v>390</v>
      </c>
      <c r="AF31" s="271"/>
      <c r="AG31" s="69" t="s">
        <v>363</v>
      </c>
      <c r="AH31" s="271"/>
      <c r="AI31" s="271"/>
      <c r="AJ31" s="271"/>
      <c r="AK31" s="271"/>
      <c r="AL31" s="271"/>
      <c r="AM31" s="271"/>
      <c r="AN31" s="271"/>
      <c r="AO31" s="294" t="s">
        <v>997</v>
      </c>
      <c r="AP31" s="294" t="s">
        <v>998</v>
      </c>
      <c r="AQ31" s="295" t="s">
        <v>1567</v>
      </c>
    </row>
    <row r="32" ht="15.75" customHeight="1">
      <c r="A32" s="288" t="s">
        <v>219</v>
      </c>
      <c r="B32" s="304"/>
      <c r="C32" s="304"/>
      <c r="D32" s="288" t="s">
        <v>201</v>
      </c>
      <c r="E32" s="288" t="s">
        <v>225</v>
      </c>
      <c r="F32" s="289" t="s">
        <v>280</v>
      </c>
      <c r="G32" s="304"/>
      <c r="H32" s="271"/>
      <c r="I32" s="271"/>
      <c r="J32" s="271"/>
      <c r="K32" s="271"/>
      <c r="L32" s="271"/>
      <c r="M32" s="271"/>
      <c r="N32" s="271"/>
      <c r="O32" s="290" t="s">
        <v>204</v>
      </c>
      <c r="P32" s="65"/>
      <c r="Q32" s="65"/>
      <c r="R32" s="290" t="s">
        <v>201</v>
      </c>
      <c r="S32" s="290" t="s">
        <v>225</v>
      </c>
      <c r="T32" s="283"/>
      <c r="U32" s="271"/>
      <c r="V32" s="271"/>
      <c r="W32" s="271"/>
      <c r="X32" s="271"/>
      <c r="Y32" s="271"/>
      <c r="Z32" s="271"/>
      <c r="AA32" s="271"/>
      <c r="AB32" s="291" t="s">
        <v>303</v>
      </c>
      <c r="AC32" s="271"/>
      <c r="AD32" s="271"/>
      <c r="AE32" s="271"/>
      <c r="AF32" s="271"/>
      <c r="AG32" s="69" t="s">
        <v>366</v>
      </c>
      <c r="AH32" s="271"/>
      <c r="AI32" s="271"/>
      <c r="AJ32" s="271"/>
      <c r="AK32" s="271"/>
      <c r="AL32" s="271"/>
      <c r="AM32" s="271"/>
      <c r="AN32" s="271"/>
      <c r="AO32" s="293" t="s">
        <v>1045</v>
      </c>
      <c r="AP32" s="294" t="s">
        <v>1046</v>
      </c>
      <c r="AQ32" s="295" t="s">
        <v>1567</v>
      </c>
    </row>
    <row r="33" ht="15.75" customHeight="1">
      <c r="A33" s="288" t="s">
        <v>222</v>
      </c>
      <c r="B33" s="304"/>
      <c r="C33" s="304"/>
      <c r="D33" s="288" t="s">
        <v>204</v>
      </c>
      <c r="E33" s="288" t="s">
        <v>240</v>
      </c>
      <c r="F33" s="289" t="s">
        <v>286</v>
      </c>
      <c r="G33" s="304"/>
      <c r="H33" s="271"/>
      <c r="I33" s="271"/>
      <c r="J33" s="271"/>
      <c r="K33" s="271"/>
      <c r="L33" s="271"/>
      <c r="M33" s="271"/>
      <c r="N33" s="271"/>
      <c r="O33" s="290" t="s">
        <v>210</v>
      </c>
      <c r="P33" s="65"/>
      <c r="Q33" s="65"/>
      <c r="R33" s="290" t="s">
        <v>204</v>
      </c>
      <c r="S33" s="290" t="s">
        <v>240</v>
      </c>
      <c r="T33" s="283"/>
      <c r="U33" s="271"/>
      <c r="V33" s="271"/>
      <c r="W33" s="271"/>
      <c r="X33" s="271"/>
      <c r="Y33" s="271"/>
      <c r="Z33" s="271"/>
      <c r="AA33" s="271"/>
      <c r="AB33" s="291" t="s">
        <v>306</v>
      </c>
      <c r="AC33" s="271"/>
      <c r="AD33" s="271"/>
      <c r="AE33" s="271"/>
      <c r="AF33" s="271"/>
      <c r="AG33" s="69" t="s">
        <v>372</v>
      </c>
      <c r="AH33" s="271"/>
      <c r="AI33" s="271"/>
      <c r="AJ33" s="271"/>
      <c r="AK33" s="271"/>
      <c r="AL33" s="271"/>
      <c r="AM33" s="271"/>
      <c r="AN33" s="271"/>
      <c r="AO33" s="294" t="s">
        <v>1045</v>
      </c>
      <c r="AP33" s="294" t="s">
        <v>1049</v>
      </c>
      <c r="AQ33" s="295" t="s">
        <v>1567</v>
      </c>
    </row>
    <row r="34" ht="15.75" customHeight="1">
      <c r="A34" s="288" t="s">
        <v>225</v>
      </c>
      <c r="B34" s="304"/>
      <c r="C34" s="304"/>
      <c r="D34" s="288" t="s">
        <v>210</v>
      </c>
      <c r="E34" s="288" t="s">
        <v>246</v>
      </c>
      <c r="F34" s="289" t="s">
        <v>294</v>
      </c>
      <c r="G34" s="304"/>
      <c r="H34" s="271"/>
      <c r="I34" s="271"/>
      <c r="J34" s="271"/>
      <c r="K34" s="271"/>
      <c r="L34" s="271"/>
      <c r="M34" s="271"/>
      <c r="N34" s="271"/>
      <c r="O34" s="290" t="s">
        <v>213</v>
      </c>
      <c r="P34" s="65"/>
      <c r="Q34" s="65"/>
      <c r="R34" s="290" t="s">
        <v>210</v>
      </c>
      <c r="S34" s="290" t="s">
        <v>246</v>
      </c>
      <c r="T34" s="283"/>
      <c r="U34" s="271"/>
      <c r="V34" s="271"/>
      <c r="W34" s="271"/>
      <c r="X34" s="271"/>
      <c r="Y34" s="271"/>
      <c r="Z34" s="271"/>
      <c r="AA34" s="271"/>
      <c r="AB34" s="291" t="s">
        <v>321</v>
      </c>
      <c r="AC34" s="271"/>
      <c r="AD34" s="271"/>
      <c r="AE34" s="271"/>
      <c r="AF34" s="271"/>
      <c r="AG34" s="69" t="s">
        <v>375</v>
      </c>
      <c r="AH34" s="271"/>
      <c r="AI34" s="271"/>
      <c r="AJ34" s="271"/>
      <c r="AK34" s="271"/>
      <c r="AL34" s="271"/>
      <c r="AM34" s="271"/>
      <c r="AN34" s="271"/>
      <c r="AO34" s="294" t="s">
        <v>1045</v>
      </c>
      <c r="AP34" s="294" t="s">
        <v>1054</v>
      </c>
      <c r="AQ34" s="295" t="s">
        <v>1567</v>
      </c>
    </row>
    <row r="35" ht="15.75" customHeight="1">
      <c r="A35" s="288" t="s">
        <v>228</v>
      </c>
      <c r="B35" s="304"/>
      <c r="C35" s="304"/>
      <c r="D35" s="288" t="s">
        <v>213</v>
      </c>
      <c r="E35" s="288" t="s">
        <v>252</v>
      </c>
      <c r="F35" s="289" t="s">
        <v>297</v>
      </c>
      <c r="G35" s="304"/>
      <c r="H35" s="271"/>
      <c r="I35" s="271"/>
      <c r="J35" s="271"/>
      <c r="K35" s="271"/>
      <c r="L35" s="271"/>
      <c r="M35" s="271"/>
      <c r="N35" s="271"/>
      <c r="O35" s="290" t="s">
        <v>216</v>
      </c>
      <c r="P35" s="65"/>
      <c r="Q35" s="65"/>
      <c r="R35" s="290" t="s">
        <v>213</v>
      </c>
      <c r="S35" s="290" t="s">
        <v>252</v>
      </c>
      <c r="T35" s="283"/>
      <c r="U35" s="271"/>
      <c r="V35" s="271"/>
      <c r="W35" s="271"/>
      <c r="X35" s="271"/>
      <c r="Y35" s="271"/>
      <c r="Z35" s="271"/>
      <c r="AA35" s="271"/>
      <c r="AB35" s="291" t="s">
        <v>324</v>
      </c>
      <c r="AC35" s="271"/>
      <c r="AD35" s="271"/>
      <c r="AE35" s="271"/>
      <c r="AF35" s="271"/>
      <c r="AG35" s="69" t="s">
        <v>378</v>
      </c>
      <c r="AH35" s="271"/>
      <c r="AI35" s="271"/>
      <c r="AJ35" s="271"/>
      <c r="AK35" s="271"/>
      <c r="AL35" s="271"/>
      <c r="AM35" s="271"/>
      <c r="AN35" s="271"/>
      <c r="AO35" s="294" t="s">
        <v>850</v>
      </c>
      <c r="AP35" s="294" t="s">
        <v>851</v>
      </c>
      <c r="AQ35" s="295" t="s">
        <v>1567</v>
      </c>
    </row>
    <row r="36" ht="15.75" customHeight="1">
      <c r="A36" s="288" t="s">
        <v>231</v>
      </c>
      <c r="B36" s="304"/>
      <c r="C36" s="304"/>
      <c r="D36" s="288" t="s">
        <v>216</v>
      </c>
      <c r="E36" s="288" t="s">
        <v>255</v>
      </c>
      <c r="F36" s="289" t="s">
        <v>303</v>
      </c>
      <c r="G36" s="304"/>
      <c r="H36" s="271"/>
      <c r="I36" s="271"/>
      <c r="J36" s="271"/>
      <c r="K36" s="271"/>
      <c r="L36" s="271"/>
      <c r="M36" s="271"/>
      <c r="N36" s="271"/>
      <c r="O36" s="290" t="s">
        <v>219</v>
      </c>
      <c r="P36" s="65"/>
      <c r="Q36" s="65"/>
      <c r="R36" s="290" t="s">
        <v>216</v>
      </c>
      <c r="S36" s="290" t="s">
        <v>255</v>
      </c>
      <c r="T36" s="283"/>
      <c r="U36" s="271"/>
      <c r="V36" s="271"/>
      <c r="W36" s="271"/>
      <c r="X36" s="271"/>
      <c r="Y36" s="271"/>
      <c r="Z36" s="271"/>
      <c r="AA36" s="271"/>
      <c r="AB36" s="291" t="s">
        <v>327</v>
      </c>
      <c r="AC36" s="271"/>
      <c r="AD36" s="271"/>
      <c r="AE36" s="271"/>
      <c r="AF36" s="271"/>
      <c r="AG36" s="69" t="s">
        <v>381</v>
      </c>
      <c r="AH36" s="271"/>
      <c r="AI36" s="271"/>
      <c r="AJ36" s="271"/>
      <c r="AK36" s="271"/>
      <c r="AL36" s="271"/>
      <c r="AM36" s="271"/>
      <c r="AN36" s="271"/>
      <c r="AO36" s="294" t="s">
        <v>973</v>
      </c>
      <c r="AP36" s="294" t="s">
        <v>974</v>
      </c>
      <c r="AQ36" s="295" t="s">
        <v>1567</v>
      </c>
    </row>
    <row r="37" ht="15.75" customHeight="1">
      <c r="A37" s="288" t="s">
        <v>240</v>
      </c>
      <c r="B37" s="304"/>
      <c r="C37" s="304"/>
      <c r="D37" s="288" t="s">
        <v>219</v>
      </c>
      <c r="E37" s="288" t="s">
        <v>258</v>
      </c>
      <c r="F37" s="300" t="s">
        <v>312</v>
      </c>
      <c r="G37" s="304"/>
      <c r="H37" s="271"/>
      <c r="I37" s="271"/>
      <c r="J37" s="271"/>
      <c r="K37" s="271"/>
      <c r="L37" s="271"/>
      <c r="M37" s="271"/>
      <c r="N37" s="271"/>
      <c r="O37" s="290" t="s">
        <v>222</v>
      </c>
      <c r="P37" s="65"/>
      <c r="Q37" s="65"/>
      <c r="R37" s="290" t="s">
        <v>219</v>
      </c>
      <c r="S37" s="290" t="s">
        <v>258</v>
      </c>
      <c r="T37" s="283"/>
      <c r="U37" s="271"/>
      <c r="V37" s="271"/>
      <c r="W37" s="271"/>
      <c r="X37" s="271"/>
      <c r="Y37" s="271"/>
      <c r="Z37" s="271"/>
      <c r="AA37" s="271"/>
      <c r="AB37" s="291" t="s">
        <v>333</v>
      </c>
      <c r="AC37" s="271"/>
      <c r="AD37" s="271"/>
      <c r="AE37" s="271"/>
      <c r="AF37" s="271"/>
      <c r="AG37" s="69" t="s">
        <v>384</v>
      </c>
      <c r="AH37" s="271"/>
      <c r="AI37" s="271"/>
      <c r="AJ37" s="271"/>
      <c r="AK37" s="271"/>
      <c r="AL37" s="271"/>
      <c r="AM37" s="271"/>
      <c r="AN37" s="271"/>
      <c r="AO37" s="294" t="s">
        <v>944</v>
      </c>
      <c r="AP37" s="294" t="s">
        <v>945</v>
      </c>
      <c r="AQ37" s="295" t="s">
        <v>1567</v>
      </c>
    </row>
    <row r="38" ht="15.75" customHeight="1">
      <c r="A38" s="288" t="s">
        <v>243</v>
      </c>
      <c r="B38" s="304"/>
      <c r="C38" s="304"/>
      <c r="D38" s="288" t="s">
        <v>222</v>
      </c>
      <c r="E38" s="288" t="s">
        <v>263</v>
      </c>
      <c r="F38" s="289" t="s">
        <v>315</v>
      </c>
      <c r="G38" s="304"/>
      <c r="H38" s="271"/>
      <c r="I38" s="271"/>
      <c r="J38" s="271"/>
      <c r="K38" s="271"/>
      <c r="L38" s="271"/>
      <c r="M38" s="271"/>
      <c r="N38" s="271"/>
      <c r="O38" s="290" t="s">
        <v>225</v>
      </c>
      <c r="P38" s="65"/>
      <c r="Q38" s="65"/>
      <c r="R38" s="290" t="s">
        <v>222</v>
      </c>
      <c r="S38" s="290" t="s">
        <v>263</v>
      </c>
      <c r="T38" s="283"/>
      <c r="U38" s="271"/>
      <c r="V38" s="271"/>
      <c r="W38" s="271"/>
      <c r="X38" s="271"/>
      <c r="Y38" s="271"/>
      <c r="Z38" s="271"/>
      <c r="AA38" s="271"/>
      <c r="AB38" s="271" t="s">
        <v>336</v>
      </c>
      <c r="AC38" s="271"/>
      <c r="AD38" s="271"/>
      <c r="AE38" s="271"/>
      <c r="AF38" s="271"/>
      <c r="AG38" s="69" t="s">
        <v>390</v>
      </c>
      <c r="AH38" s="271"/>
      <c r="AI38" s="271"/>
      <c r="AJ38" s="271"/>
      <c r="AK38" s="271"/>
      <c r="AL38" s="271"/>
      <c r="AM38" s="271"/>
      <c r="AN38" s="271"/>
      <c r="AO38" s="293" t="s">
        <v>976</v>
      </c>
      <c r="AP38" s="294" t="s">
        <v>977</v>
      </c>
      <c r="AQ38" s="295" t="s">
        <v>1567</v>
      </c>
    </row>
    <row r="39" ht="15.75" customHeight="1">
      <c r="A39" s="288" t="s">
        <v>249</v>
      </c>
      <c r="B39" s="304"/>
      <c r="C39" s="304"/>
      <c r="D39" s="288" t="s">
        <v>225</v>
      </c>
      <c r="E39" s="288" t="s">
        <v>265</v>
      </c>
      <c r="F39" s="289" t="s">
        <v>318</v>
      </c>
      <c r="G39" s="304"/>
      <c r="H39" s="271"/>
      <c r="I39" s="271"/>
      <c r="J39" s="271"/>
      <c r="K39" s="271"/>
      <c r="L39" s="271"/>
      <c r="M39" s="271"/>
      <c r="N39" s="271"/>
      <c r="O39" s="290" t="s">
        <v>228</v>
      </c>
      <c r="P39" s="65"/>
      <c r="Q39" s="65"/>
      <c r="R39" s="290" t="s">
        <v>225</v>
      </c>
      <c r="S39" s="290" t="s">
        <v>265</v>
      </c>
      <c r="T39" s="283"/>
      <c r="U39" s="271"/>
      <c r="V39" s="271"/>
      <c r="W39" s="271"/>
      <c r="X39" s="271"/>
      <c r="Y39" s="271"/>
      <c r="Z39" s="271"/>
      <c r="AA39" s="271"/>
      <c r="AB39" s="291" t="s">
        <v>339</v>
      </c>
      <c r="AC39" s="271"/>
      <c r="AD39" s="271"/>
      <c r="AE39" s="271"/>
      <c r="AF39" s="271"/>
      <c r="AG39" s="69" t="s">
        <v>393</v>
      </c>
      <c r="AH39" s="271"/>
      <c r="AI39" s="271"/>
      <c r="AJ39" s="271"/>
      <c r="AK39" s="271"/>
      <c r="AL39" s="271"/>
      <c r="AM39" s="271"/>
      <c r="AN39" s="271"/>
      <c r="AO39" s="294" t="s">
        <v>1041</v>
      </c>
      <c r="AP39" s="294" t="s">
        <v>1042</v>
      </c>
      <c r="AQ39" s="295" t="s">
        <v>1567</v>
      </c>
    </row>
    <row r="40" ht="15.75" customHeight="1">
      <c r="A40" s="288" t="s">
        <v>252</v>
      </c>
      <c r="B40" s="304"/>
      <c r="C40" s="304"/>
      <c r="D40" s="288" t="s">
        <v>228</v>
      </c>
      <c r="E40" s="288" t="s">
        <v>271</v>
      </c>
      <c r="F40" s="289" t="s">
        <v>324</v>
      </c>
      <c r="G40" s="304"/>
      <c r="H40" s="271"/>
      <c r="I40" s="271"/>
      <c r="J40" s="271"/>
      <c r="K40" s="271"/>
      <c r="L40" s="271"/>
      <c r="M40" s="271"/>
      <c r="N40" s="271"/>
      <c r="O40" s="290" t="s">
        <v>231</v>
      </c>
      <c r="P40" s="65"/>
      <c r="Q40" s="65"/>
      <c r="R40" s="290" t="s">
        <v>228</v>
      </c>
      <c r="S40" s="290" t="s">
        <v>271</v>
      </c>
      <c r="T40" s="283"/>
      <c r="U40" s="271"/>
      <c r="V40" s="271"/>
      <c r="W40" s="271"/>
      <c r="X40" s="271"/>
      <c r="Y40" s="271"/>
      <c r="Z40" s="271"/>
      <c r="AA40" s="271"/>
      <c r="AB40" s="291" t="s">
        <v>348</v>
      </c>
      <c r="AC40" s="271"/>
      <c r="AD40" s="271"/>
      <c r="AE40" s="271"/>
      <c r="AF40" s="271"/>
      <c r="AG40" s="65"/>
      <c r="AH40" s="271"/>
      <c r="AI40" s="271"/>
      <c r="AJ40" s="271"/>
      <c r="AK40" s="271"/>
      <c r="AL40" s="271"/>
      <c r="AM40" s="271"/>
      <c r="AN40" s="271"/>
      <c r="AO40" s="294" t="s">
        <v>857</v>
      </c>
      <c r="AP40" s="294" t="s">
        <v>858</v>
      </c>
      <c r="AQ40" s="295" t="s">
        <v>1567</v>
      </c>
    </row>
    <row r="41" ht="15.75" customHeight="1">
      <c r="A41" s="288" t="s">
        <v>255</v>
      </c>
      <c r="B41" s="304"/>
      <c r="C41" s="304"/>
      <c r="D41" s="288" t="s">
        <v>231</v>
      </c>
      <c r="E41" s="288" t="s">
        <v>274</v>
      </c>
      <c r="F41" s="289" t="s">
        <v>330</v>
      </c>
      <c r="G41" s="304"/>
      <c r="H41" s="271"/>
      <c r="I41" s="271"/>
      <c r="J41" s="271"/>
      <c r="K41" s="271"/>
      <c r="L41" s="271"/>
      <c r="M41" s="271"/>
      <c r="N41" s="271"/>
      <c r="O41" s="290" t="s">
        <v>240</v>
      </c>
      <c r="P41" s="65"/>
      <c r="Q41" s="65"/>
      <c r="R41" s="290" t="s">
        <v>231</v>
      </c>
      <c r="S41" s="290" t="s">
        <v>274</v>
      </c>
      <c r="T41" s="283"/>
      <c r="U41" s="271"/>
      <c r="V41" s="271"/>
      <c r="W41" s="271"/>
      <c r="X41" s="271"/>
      <c r="Y41" s="271"/>
      <c r="Z41" s="271"/>
      <c r="AA41" s="271"/>
      <c r="AB41" s="291" t="s">
        <v>351</v>
      </c>
      <c r="AC41" s="271"/>
      <c r="AD41" s="271"/>
      <c r="AE41" s="271"/>
      <c r="AF41" s="271"/>
      <c r="AG41" s="65"/>
      <c r="AH41" s="271"/>
      <c r="AI41" s="271"/>
      <c r="AJ41" s="271"/>
      <c r="AK41" s="271"/>
      <c r="AL41" s="271"/>
      <c r="AM41" s="271"/>
      <c r="AN41" s="271"/>
      <c r="AO41" s="293" t="s">
        <v>1003</v>
      </c>
      <c r="AP41" s="294" t="s">
        <v>1004</v>
      </c>
      <c r="AQ41" s="295" t="s">
        <v>1567</v>
      </c>
    </row>
    <row r="42" ht="15.75" customHeight="1">
      <c r="A42" s="288" t="s">
        <v>258</v>
      </c>
      <c r="B42" s="304"/>
      <c r="C42" s="304"/>
      <c r="D42" s="288" t="s">
        <v>237</v>
      </c>
      <c r="E42" s="288" t="s">
        <v>280</v>
      </c>
      <c r="F42" s="289" t="s">
        <v>342</v>
      </c>
      <c r="G42" s="304"/>
      <c r="H42" s="271"/>
      <c r="I42" s="271"/>
      <c r="J42" s="271"/>
      <c r="K42" s="271"/>
      <c r="L42" s="271"/>
      <c r="M42" s="271"/>
      <c r="N42" s="271"/>
      <c r="O42" s="290" t="s">
        <v>243</v>
      </c>
      <c r="P42" s="65"/>
      <c r="Q42" s="65"/>
      <c r="R42" s="290" t="s">
        <v>237</v>
      </c>
      <c r="S42" s="290" t="s">
        <v>280</v>
      </c>
      <c r="T42" s="283"/>
      <c r="U42" s="271"/>
      <c r="V42" s="271"/>
      <c r="W42" s="271"/>
      <c r="X42" s="271"/>
      <c r="Y42" s="271"/>
      <c r="Z42" s="271"/>
      <c r="AA42" s="271"/>
      <c r="AB42" s="291" t="s">
        <v>354</v>
      </c>
      <c r="AC42" s="271"/>
      <c r="AD42" s="271"/>
      <c r="AE42" s="271"/>
      <c r="AF42" s="271"/>
      <c r="AG42" s="65"/>
      <c r="AH42" s="271"/>
      <c r="AI42" s="271"/>
      <c r="AJ42" s="271"/>
      <c r="AK42" s="271"/>
      <c r="AL42" s="271"/>
      <c r="AM42" s="271"/>
      <c r="AN42" s="271"/>
      <c r="AO42" s="294" t="s">
        <v>1116</v>
      </c>
      <c r="AP42" s="294" t="s">
        <v>1117</v>
      </c>
      <c r="AQ42" s="295" t="s">
        <v>1567</v>
      </c>
    </row>
    <row r="43" ht="15.75" customHeight="1">
      <c r="A43" s="288" t="s">
        <v>260</v>
      </c>
      <c r="B43" s="304"/>
      <c r="C43" s="304"/>
      <c r="D43" s="288" t="s">
        <v>240</v>
      </c>
      <c r="E43" s="288" t="s">
        <v>286</v>
      </c>
      <c r="F43" s="289" t="s">
        <v>345</v>
      </c>
      <c r="G43" s="304"/>
      <c r="H43" s="271"/>
      <c r="I43" s="271"/>
      <c r="J43" s="271"/>
      <c r="K43" s="271"/>
      <c r="L43" s="271"/>
      <c r="M43" s="271"/>
      <c r="N43" s="271"/>
      <c r="O43" s="290" t="s">
        <v>249</v>
      </c>
      <c r="P43" s="65"/>
      <c r="Q43" s="65"/>
      <c r="R43" s="290" t="s">
        <v>240</v>
      </c>
      <c r="S43" s="290" t="s">
        <v>286</v>
      </c>
      <c r="T43" s="283"/>
      <c r="U43" s="271"/>
      <c r="V43" s="271"/>
      <c r="W43" s="271"/>
      <c r="X43" s="271"/>
      <c r="Y43" s="271"/>
      <c r="Z43" s="271"/>
      <c r="AA43" s="271"/>
      <c r="AB43" s="291" t="s">
        <v>357</v>
      </c>
      <c r="AC43" s="271"/>
      <c r="AD43" s="271"/>
      <c r="AE43" s="271"/>
      <c r="AF43" s="271"/>
      <c r="AG43" s="65"/>
      <c r="AH43" s="271"/>
      <c r="AI43" s="271"/>
      <c r="AJ43" s="271"/>
      <c r="AK43" s="271"/>
      <c r="AL43" s="271"/>
      <c r="AM43" s="271"/>
      <c r="AN43" s="271"/>
      <c r="AO43" s="294" t="s">
        <v>978</v>
      </c>
      <c r="AP43" s="294" t="s">
        <v>979</v>
      </c>
      <c r="AQ43" s="295" t="s">
        <v>1567</v>
      </c>
    </row>
    <row r="44" ht="15.75" customHeight="1">
      <c r="A44" s="288" t="s">
        <v>263</v>
      </c>
      <c r="B44" s="304"/>
      <c r="C44" s="304"/>
      <c r="D44" s="288" t="s">
        <v>243</v>
      </c>
      <c r="E44" s="288" t="s">
        <v>289</v>
      </c>
      <c r="F44" s="289" t="s">
        <v>351</v>
      </c>
      <c r="G44" s="304"/>
      <c r="H44" s="271"/>
      <c r="I44" s="271"/>
      <c r="J44" s="271"/>
      <c r="K44" s="271"/>
      <c r="L44" s="271"/>
      <c r="M44" s="271"/>
      <c r="N44" s="271"/>
      <c r="O44" s="290" t="s">
        <v>252</v>
      </c>
      <c r="P44" s="65"/>
      <c r="Q44" s="65"/>
      <c r="R44" s="290" t="s">
        <v>243</v>
      </c>
      <c r="S44" s="290" t="s">
        <v>289</v>
      </c>
      <c r="T44" s="283"/>
      <c r="U44" s="271"/>
      <c r="V44" s="271"/>
      <c r="W44" s="271"/>
      <c r="X44" s="271"/>
      <c r="Y44" s="271"/>
      <c r="Z44" s="271"/>
      <c r="AA44" s="271"/>
      <c r="AB44" s="291" t="s">
        <v>360</v>
      </c>
      <c r="AC44" s="271"/>
      <c r="AD44" s="271"/>
      <c r="AE44" s="271"/>
      <c r="AF44" s="271"/>
      <c r="AG44" s="65"/>
      <c r="AH44" s="271"/>
      <c r="AI44" s="271"/>
      <c r="AJ44" s="271"/>
      <c r="AK44" s="271"/>
      <c r="AL44" s="271"/>
      <c r="AM44" s="271"/>
      <c r="AN44" s="271"/>
      <c r="AO44" s="294" t="s">
        <v>1009</v>
      </c>
      <c r="AP44" s="294" t="s">
        <v>1010</v>
      </c>
      <c r="AQ44" s="295" t="s">
        <v>1567</v>
      </c>
    </row>
    <row r="45" ht="15.75" customHeight="1">
      <c r="A45" s="288" t="s">
        <v>265</v>
      </c>
      <c r="B45" s="304"/>
      <c r="C45" s="304"/>
      <c r="D45" s="288" t="s">
        <v>249</v>
      </c>
      <c r="E45" s="288" t="s">
        <v>294</v>
      </c>
      <c r="F45" s="289" t="s">
        <v>357</v>
      </c>
      <c r="G45" s="304"/>
      <c r="H45" s="271"/>
      <c r="I45" s="271"/>
      <c r="J45" s="271"/>
      <c r="K45" s="271"/>
      <c r="L45" s="271"/>
      <c r="M45" s="271"/>
      <c r="N45" s="271"/>
      <c r="O45" s="290" t="s">
        <v>255</v>
      </c>
      <c r="P45" s="65"/>
      <c r="Q45" s="65"/>
      <c r="R45" s="290" t="s">
        <v>249</v>
      </c>
      <c r="S45" s="290" t="s">
        <v>294</v>
      </c>
      <c r="T45" s="283"/>
      <c r="U45" s="271"/>
      <c r="V45" s="271"/>
      <c r="W45" s="271"/>
      <c r="X45" s="271"/>
      <c r="Y45" s="271"/>
      <c r="Z45" s="271"/>
      <c r="AA45" s="271"/>
      <c r="AB45" s="291" t="s">
        <v>363</v>
      </c>
      <c r="AC45" s="271"/>
      <c r="AD45" s="271"/>
      <c r="AE45" s="271"/>
      <c r="AF45" s="271"/>
      <c r="AG45" s="65"/>
      <c r="AH45" s="271"/>
      <c r="AI45" s="271"/>
      <c r="AJ45" s="271"/>
      <c r="AK45" s="271"/>
      <c r="AL45" s="271"/>
      <c r="AM45" s="271"/>
      <c r="AN45" s="271"/>
      <c r="AO45" s="294" t="s">
        <v>1057</v>
      </c>
      <c r="AP45" s="294" t="s">
        <v>1061</v>
      </c>
      <c r="AQ45" s="295" t="s">
        <v>1567</v>
      </c>
    </row>
    <row r="46" ht="15.75" customHeight="1">
      <c r="A46" s="288" t="s">
        <v>271</v>
      </c>
      <c r="B46" s="304"/>
      <c r="C46" s="304"/>
      <c r="D46" s="288" t="s">
        <v>252</v>
      </c>
      <c r="E46" s="288" t="s">
        <v>297</v>
      </c>
      <c r="F46" s="289" t="s">
        <v>363</v>
      </c>
      <c r="G46" s="304"/>
      <c r="H46" s="271"/>
      <c r="I46" s="271"/>
      <c r="J46" s="271"/>
      <c r="K46" s="271"/>
      <c r="L46" s="271"/>
      <c r="M46" s="271"/>
      <c r="N46" s="271"/>
      <c r="O46" s="290" t="s">
        <v>258</v>
      </c>
      <c r="P46" s="65"/>
      <c r="Q46" s="65"/>
      <c r="R46" s="290" t="s">
        <v>252</v>
      </c>
      <c r="S46" s="290" t="s">
        <v>297</v>
      </c>
      <c r="T46" s="283"/>
      <c r="U46" s="271"/>
      <c r="V46" s="271"/>
      <c r="W46" s="271"/>
      <c r="X46" s="271"/>
      <c r="Y46" s="271"/>
      <c r="Z46" s="271"/>
      <c r="AA46" s="271"/>
      <c r="AB46" s="291" t="s">
        <v>366</v>
      </c>
      <c r="AC46" s="271"/>
      <c r="AD46" s="271"/>
      <c r="AE46" s="271"/>
      <c r="AF46" s="271"/>
      <c r="AG46" s="65"/>
      <c r="AH46" s="271"/>
      <c r="AI46" s="271"/>
      <c r="AJ46" s="271"/>
      <c r="AK46" s="271"/>
      <c r="AL46" s="271"/>
      <c r="AM46" s="271"/>
      <c r="AN46" s="271"/>
      <c r="AO46" s="293" t="s">
        <v>959</v>
      </c>
      <c r="AP46" s="294" t="s">
        <v>960</v>
      </c>
      <c r="AQ46" s="295" t="s">
        <v>1567</v>
      </c>
    </row>
    <row r="47" ht="15.75" customHeight="1">
      <c r="A47" s="288" t="s">
        <v>274</v>
      </c>
      <c r="B47" s="304"/>
      <c r="C47" s="304"/>
      <c r="D47" s="288" t="s">
        <v>255</v>
      </c>
      <c r="E47" s="288" t="s">
        <v>303</v>
      </c>
      <c r="F47" s="289" t="s">
        <v>369</v>
      </c>
      <c r="G47" s="304"/>
      <c r="H47" s="271"/>
      <c r="I47" s="271"/>
      <c r="J47" s="271"/>
      <c r="K47" s="271"/>
      <c r="L47" s="271"/>
      <c r="M47" s="271"/>
      <c r="N47" s="271"/>
      <c r="O47" s="290" t="s">
        <v>260</v>
      </c>
      <c r="P47" s="65"/>
      <c r="Q47" s="65"/>
      <c r="R47" s="290" t="s">
        <v>255</v>
      </c>
      <c r="S47" s="290" t="s">
        <v>303</v>
      </c>
      <c r="T47" s="283"/>
      <c r="U47" s="271"/>
      <c r="V47" s="271"/>
      <c r="W47" s="271"/>
      <c r="X47" s="271"/>
      <c r="Y47" s="271"/>
      <c r="Z47" s="271"/>
      <c r="AA47" s="271"/>
      <c r="AB47" s="291" t="s">
        <v>372</v>
      </c>
      <c r="AC47" s="271"/>
      <c r="AD47" s="271"/>
      <c r="AE47" s="271"/>
      <c r="AF47" s="271"/>
      <c r="AG47" s="65"/>
      <c r="AH47" s="271"/>
      <c r="AI47" s="271"/>
      <c r="AJ47" s="271"/>
      <c r="AK47" s="271"/>
      <c r="AL47" s="271"/>
      <c r="AM47" s="271"/>
      <c r="AN47" s="271"/>
      <c r="AO47" s="294" t="s">
        <v>1062</v>
      </c>
      <c r="AP47" s="294" t="s">
        <v>1063</v>
      </c>
      <c r="AQ47" s="295" t="s">
        <v>1567</v>
      </c>
    </row>
    <row r="48" ht="15.75" customHeight="1">
      <c r="A48" s="288" t="s">
        <v>277</v>
      </c>
      <c r="B48" s="304"/>
      <c r="C48" s="304"/>
      <c r="D48" s="288" t="s">
        <v>258</v>
      </c>
      <c r="E48" s="303" t="s">
        <v>312</v>
      </c>
      <c r="F48" s="289" t="s">
        <v>387</v>
      </c>
      <c r="G48" s="304"/>
      <c r="H48" s="271"/>
      <c r="I48" s="271"/>
      <c r="J48" s="271"/>
      <c r="K48" s="271"/>
      <c r="L48" s="271"/>
      <c r="M48" s="271"/>
      <c r="N48" s="271"/>
      <c r="O48" s="290" t="s">
        <v>263</v>
      </c>
      <c r="P48" s="65"/>
      <c r="Q48" s="65"/>
      <c r="R48" s="290" t="s">
        <v>258</v>
      </c>
      <c r="S48" s="301" t="s">
        <v>312</v>
      </c>
      <c r="T48" s="283"/>
      <c r="U48" s="271"/>
      <c r="V48" s="271"/>
      <c r="W48" s="271"/>
      <c r="X48" s="271"/>
      <c r="Y48" s="271"/>
      <c r="Z48" s="271"/>
      <c r="AA48" s="271"/>
      <c r="AB48" s="291" t="s">
        <v>375</v>
      </c>
      <c r="AC48" s="271"/>
      <c r="AD48" s="271"/>
      <c r="AE48" s="271"/>
      <c r="AF48" s="271"/>
      <c r="AG48" s="65"/>
      <c r="AH48" s="271"/>
      <c r="AI48" s="271"/>
      <c r="AJ48" s="271"/>
      <c r="AK48" s="271"/>
      <c r="AL48" s="271"/>
      <c r="AM48" s="271"/>
      <c r="AN48" s="271"/>
      <c r="AO48" s="293" t="s">
        <v>1072</v>
      </c>
      <c r="AP48" s="294" t="s">
        <v>1073</v>
      </c>
      <c r="AQ48" s="295" t="s">
        <v>1567</v>
      </c>
    </row>
    <row r="49" ht="15.75" customHeight="1">
      <c r="A49" s="288" t="s">
        <v>280</v>
      </c>
      <c r="B49" s="304"/>
      <c r="C49" s="304"/>
      <c r="D49" s="288" t="s">
        <v>260</v>
      </c>
      <c r="E49" s="288" t="s">
        <v>315</v>
      </c>
      <c r="F49" s="304"/>
      <c r="G49" s="304"/>
      <c r="H49" s="271"/>
      <c r="I49" s="271"/>
      <c r="J49" s="271"/>
      <c r="K49" s="271"/>
      <c r="L49" s="271"/>
      <c r="M49" s="271"/>
      <c r="N49" s="271"/>
      <c r="O49" s="290" t="s">
        <v>265</v>
      </c>
      <c r="P49" s="65"/>
      <c r="Q49" s="65"/>
      <c r="R49" s="290" t="s">
        <v>260</v>
      </c>
      <c r="S49" s="290" t="s">
        <v>315</v>
      </c>
      <c r="T49" s="283"/>
      <c r="U49" s="271"/>
      <c r="V49" s="271"/>
      <c r="W49" s="271"/>
      <c r="X49" s="271"/>
      <c r="Y49" s="271"/>
      <c r="Z49" s="271"/>
      <c r="AA49" s="271"/>
      <c r="AB49" s="291" t="s">
        <v>378</v>
      </c>
      <c r="AC49" s="271"/>
      <c r="AD49" s="271"/>
      <c r="AE49" s="271"/>
      <c r="AF49" s="271"/>
      <c r="AG49" s="65"/>
      <c r="AH49" s="271"/>
      <c r="AI49" s="271"/>
      <c r="AJ49" s="271"/>
      <c r="AK49" s="271"/>
      <c r="AL49" s="271"/>
      <c r="AM49" s="271"/>
      <c r="AN49" s="271"/>
      <c r="AO49" s="293" t="s">
        <v>1143</v>
      </c>
      <c r="AP49" s="294" t="s">
        <v>1144</v>
      </c>
      <c r="AQ49" s="295" t="s">
        <v>1567</v>
      </c>
    </row>
    <row r="50" ht="15.75" customHeight="1">
      <c r="A50" s="288" t="s">
        <v>286</v>
      </c>
      <c r="B50" s="304"/>
      <c r="C50" s="304"/>
      <c r="D50" s="288" t="s">
        <v>263</v>
      </c>
      <c r="E50" s="288" t="s">
        <v>318</v>
      </c>
      <c r="F50" s="304"/>
      <c r="G50" s="304"/>
      <c r="H50" s="271"/>
      <c r="I50" s="271"/>
      <c r="J50" s="271"/>
      <c r="K50" s="271"/>
      <c r="L50" s="271"/>
      <c r="M50" s="271"/>
      <c r="N50" s="271"/>
      <c r="O50" s="290" t="s">
        <v>271</v>
      </c>
      <c r="P50" s="65"/>
      <c r="Q50" s="65"/>
      <c r="R50" s="290" t="s">
        <v>263</v>
      </c>
      <c r="S50" s="290" t="s">
        <v>318</v>
      </c>
      <c r="T50" s="283"/>
      <c r="U50" s="271"/>
      <c r="V50" s="271"/>
      <c r="W50" s="271"/>
      <c r="X50" s="271"/>
      <c r="Y50" s="271"/>
      <c r="Z50" s="271"/>
      <c r="AA50" s="271"/>
      <c r="AB50" s="291" t="s">
        <v>384</v>
      </c>
      <c r="AC50" s="271"/>
      <c r="AD50" s="271"/>
      <c r="AE50" s="271"/>
      <c r="AF50" s="271"/>
      <c r="AG50" s="65"/>
      <c r="AH50" s="271"/>
      <c r="AI50" s="271"/>
      <c r="AJ50" s="271"/>
      <c r="AK50" s="271"/>
      <c r="AL50" s="271"/>
      <c r="AM50" s="271"/>
      <c r="AN50" s="271"/>
      <c r="AO50" s="293" t="s">
        <v>1143</v>
      </c>
      <c r="AP50" s="294" t="s">
        <v>1145</v>
      </c>
      <c r="AQ50" s="295" t="s">
        <v>1567</v>
      </c>
    </row>
    <row r="51" ht="15.75" customHeight="1">
      <c r="A51" s="288" t="s">
        <v>294</v>
      </c>
      <c r="B51" s="304"/>
      <c r="C51" s="304"/>
      <c r="D51" s="288" t="s">
        <v>271</v>
      </c>
      <c r="E51" s="288" t="s">
        <v>324</v>
      </c>
      <c r="F51" s="304"/>
      <c r="G51" s="304"/>
      <c r="H51" s="271"/>
      <c r="I51" s="271"/>
      <c r="J51" s="271"/>
      <c r="K51" s="271"/>
      <c r="L51" s="271"/>
      <c r="M51" s="271"/>
      <c r="N51" s="271"/>
      <c r="O51" s="290" t="s">
        <v>274</v>
      </c>
      <c r="P51" s="65"/>
      <c r="Q51" s="65"/>
      <c r="R51" s="290" t="s">
        <v>271</v>
      </c>
      <c r="S51" s="290" t="s">
        <v>324</v>
      </c>
      <c r="T51" s="283"/>
      <c r="U51" s="271"/>
      <c r="V51" s="271"/>
      <c r="W51" s="271"/>
      <c r="X51" s="271"/>
      <c r="Y51" s="271"/>
      <c r="Z51" s="271"/>
      <c r="AA51" s="271"/>
      <c r="AB51" s="291" t="s">
        <v>390</v>
      </c>
      <c r="AC51" s="271"/>
      <c r="AD51" s="271"/>
      <c r="AE51" s="271"/>
      <c r="AF51" s="271"/>
      <c r="AG51" s="65"/>
      <c r="AH51" s="271"/>
      <c r="AI51" s="271"/>
      <c r="AJ51" s="271"/>
      <c r="AK51" s="271"/>
      <c r="AL51" s="271"/>
      <c r="AM51" s="271"/>
      <c r="AN51" s="271"/>
      <c r="AO51" s="293" t="s">
        <v>1143</v>
      </c>
      <c r="AP51" s="294" t="s">
        <v>1146</v>
      </c>
      <c r="AQ51" s="295" t="s">
        <v>1567</v>
      </c>
    </row>
    <row r="52" ht="15.75" customHeight="1">
      <c r="A52" s="288" t="s">
        <v>297</v>
      </c>
      <c r="B52" s="304"/>
      <c r="C52" s="304"/>
      <c r="D52" s="288" t="s">
        <v>274</v>
      </c>
      <c r="E52" s="288" t="s">
        <v>330</v>
      </c>
      <c r="F52" s="304"/>
      <c r="G52" s="304"/>
      <c r="H52" s="271"/>
      <c r="I52" s="271"/>
      <c r="J52" s="271"/>
      <c r="K52" s="271"/>
      <c r="L52" s="271"/>
      <c r="M52" s="271"/>
      <c r="N52" s="271"/>
      <c r="O52" s="290" t="s">
        <v>277</v>
      </c>
      <c r="P52" s="65"/>
      <c r="Q52" s="65"/>
      <c r="R52" s="290" t="s">
        <v>274</v>
      </c>
      <c r="S52" s="290" t="s">
        <v>330</v>
      </c>
      <c r="T52" s="283"/>
      <c r="U52" s="271"/>
      <c r="V52" s="271"/>
      <c r="W52" s="271"/>
      <c r="X52" s="271"/>
      <c r="Y52" s="271"/>
      <c r="Z52" s="271"/>
      <c r="AA52" s="271"/>
      <c r="AB52" s="291" t="s">
        <v>393</v>
      </c>
      <c r="AC52" s="271"/>
      <c r="AD52" s="271"/>
      <c r="AE52" s="271"/>
      <c r="AF52" s="271"/>
      <c r="AG52" s="65"/>
      <c r="AH52" s="271"/>
      <c r="AI52" s="271"/>
      <c r="AJ52" s="271"/>
      <c r="AK52" s="271"/>
      <c r="AL52" s="271"/>
      <c r="AM52" s="271"/>
      <c r="AN52" s="271"/>
      <c r="AO52" s="294" t="s">
        <v>1075</v>
      </c>
      <c r="AP52" s="294" t="s">
        <v>1076</v>
      </c>
      <c r="AQ52" s="295" t="s">
        <v>1567</v>
      </c>
    </row>
    <row r="53" ht="15.75" customHeight="1">
      <c r="A53" s="288" t="s">
        <v>300</v>
      </c>
      <c r="B53" s="304"/>
      <c r="C53" s="304"/>
      <c r="D53" s="288" t="s">
        <v>277</v>
      </c>
      <c r="E53" s="288" t="s">
        <v>333</v>
      </c>
      <c r="F53" s="304"/>
      <c r="G53" s="304"/>
      <c r="H53" s="271"/>
      <c r="I53" s="271"/>
      <c r="J53" s="271"/>
      <c r="K53" s="271"/>
      <c r="L53" s="271"/>
      <c r="M53" s="271"/>
      <c r="N53" s="271"/>
      <c r="O53" s="290" t="s">
        <v>280</v>
      </c>
      <c r="P53" s="65"/>
      <c r="Q53" s="65"/>
      <c r="R53" s="290" t="s">
        <v>277</v>
      </c>
      <c r="S53" s="290" t="s">
        <v>333</v>
      </c>
      <c r="T53" s="283"/>
      <c r="U53" s="271"/>
      <c r="V53" s="271"/>
      <c r="W53" s="271"/>
      <c r="X53" s="271"/>
      <c r="Y53" s="271"/>
      <c r="Z53" s="271"/>
      <c r="AA53" s="271"/>
      <c r="AB53" s="65"/>
      <c r="AC53" s="271"/>
      <c r="AD53" s="271"/>
      <c r="AE53" s="271"/>
      <c r="AF53" s="271"/>
      <c r="AG53" s="65"/>
      <c r="AH53" s="271"/>
      <c r="AI53" s="271"/>
      <c r="AJ53" s="271"/>
      <c r="AK53" s="271"/>
      <c r="AL53" s="271"/>
      <c r="AM53" s="271"/>
      <c r="AN53" s="271"/>
      <c r="AO53" s="293" t="s">
        <v>1100</v>
      </c>
      <c r="AP53" s="294" t="s">
        <v>1101</v>
      </c>
      <c r="AQ53" s="295" t="s">
        <v>1567</v>
      </c>
    </row>
    <row r="54" ht="15.75" customHeight="1">
      <c r="A54" s="288" t="s">
        <v>303</v>
      </c>
      <c r="B54" s="304"/>
      <c r="C54" s="304"/>
      <c r="D54" s="288" t="s">
        <v>280</v>
      </c>
      <c r="E54" s="288" t="s">
        <v>345</v>
      </c>
      <c r="F54" s="304"/>
      <c r="G54" s="304"/>
      <c r="H54" s="271"/>
      <c r="I54" s="271"/>
      <c r="J54" s="271"/>
      <c r="K54" s="271"/>
      <c r="L54" s="271"/>
      <c r="M54" s="271"/>
      <c r="N54" s="271"/>
      <c r="O54" s="290" t="s">
        <v>286</v>
      </c>
      <c r="P54" s="65"/>
      <c r="Q54" s="65"/>
      <c r="R54" s="290" t="s">
        <v>280</v>
      </c>
      <c r="S54" s="290" t="s">
        <v>345</v>
      </c>
      <c r="T54" s="283"/>
      <c r="U54" s="271"/>
      <c r="V54" s="271"/>
      <c r="W54" s="271"/>
      <c r="X54" s="271"/>
      <c r="Y54" s="271"/>
      <c r="Z54" s="271"/>
      <c r="AA54" s="271"/>
      <c r="AB54" s="271"/>
      <c r="AC54" s="271"/>
      <c r="AD54" s="271"/>
      <c r="AE54" s="271"/>
      <c r="AF54" s="271"/>
      <c r="AG54" s="65"/>
      <c r="AH54" s="271"/>
      <c r="AI54" s="271"/>
      <c r="AJ54" s="271"/>
      <c r="AK54" s="271"/>
      <c r="AL54" s="271"/>
      <c r="AM54" s="271"/>
      <c r="AN54" s="271"/>
      <c r="AO54" s="293" t="s">
        <v>1100</v>
      </c>
      <c r="AP54" s="294" t="s">
        <v>858</v>
      </c>
      <c r="AQ54" s="295" t="s">
        <v>1567</v>
      </c>
    </row>
    <row r="55" ht="15.75" customHeight="1">
      <c r="A55" s="288" t="s">
        <v>309</v>
      </c>
      <c r="B55" s="304"/>
      <c r="C55" s="304"/>
      <c r="D55" s="288" t="s">
        <v>286</v>
      </c>
      <c r="E55" s="288" t="s">
        <v>348</v>
      </c>
      <c r="F55" s="304"/>
      <c r="G55" s="304"/>
      <c r="H55" s="271"/>
      <c r="I55" s="271"/>
      <c r="J55" s="271"/>
      <c r="K55" s="271"/>
      <c r="L55" s="271"/>
      <c r="M55" s="271"/>
      <c r="N55" s="271"/>
      <c r="O55" s="290" t="s">
        <v>289</v>
      </c>
      <c r="P55" s="65"/>
      <c r="Q55" s="65"/>
      <c r="R55" s="290" t="s">
        <v>286</v>
      </c>
      <c r="S55" s="290" t="s">
        <v>348</v>
      </c>
      <c r="T55" s="283"/>
      <c r="U55" s="271"/>
      <c r="V55" s="271"/>
      <c r="W55" s="271"/>
      <c r="X55" s="271"/>
      <c r="Y55" s="271"/>
      <c r="Z55" s="271"/>
      <c r="AA55" s="271"/>
      <c r="AB55" s="271"/>
      <c r="AC55" s="271"/>
      <c r="AD55" s="271"/>
      <c r="AE55" s="271"/>
      <c r="AF55" s="271"/>
      <c r="AG55" s="65"/>
      <c r="AH55" s="271"/>
      <c r="AI55" s="271"/>
      <c r="AJ55" s="271"/>
      <c r="AK55" s="271"/>
      <c r="AL55" s="271"/>
      <c r="AM55" s="271"/>
      <c r="AN55" s="271"/>
      <c r="AO55" s="293" t="s">
        <v>1100</v>
      </c>
      <c r="AP55" s="294" t="s">
        <v>858</v>
      </c>
      <c r="AQ55" s="295" t="s">
        <v>1567</v>
      </c>
    </row>
    <row r="56" ht="15.75" customHeight="1">
      <c r="A56" s="303" t="s">
        <v>312</v>
      </c>
      <c r="B56" s="304"/>
      <c r="C56" s="304"/>
      <c r="D56" s="288" t="s">
        <v>289</v>
      </c>
      <c r="E56" s="288" t="s">
        <v>354</v>
      </c>
      <c r="F56" s="304"/>
      <c r="G56" s="304"/>
      <c r="H56" s="271"/>
      <c r="I56" s="271"/>
      <c r="J56" s="271"/>
      <c r="K56" s="271"/>
      <c r="L56" s="271"/>
      <c r="M56" s="271"/>
      <c r="N56" s="271"/>
      <c r="O56" s="290" t="s">
        <v>294</v>
      </c>
      <c r="P56" s="65"/>
      <c r="Q56" s="65"/>
      <c r="R56" s="290" t="s">
        <v>289</v>
      </c>
      <c r="S56" s="290" t="s">
        <v>354</v>
      </c>
      <c r="T56" s="283"/>
      <c r="U56" s="271"/>
      <c r="V56" s="271"/>
      <c r="W56" s="271"/>
      <c r="X56" s="271"/>
      <c r="Y56" s="271"/>
      <c r="Z56" s="271"/>
      <c r="AA56" s="271"/>
      <c r="AB56" s="271"/>
      <c r="AC56" s="271"/>
      <c r="AD56" s="271"/>
      <c r="AE56" s="271"/>
      <c r="AF56" s="271"/>
      <c r="AG56" s="65"/>
      <c r="AH56" s="271"/>
      <c r="AI56" s="271"/>
      <c r="AJ56" s="271"/>
      <c r="AK56" s="271"/>
      <c r="AL56" s="271"/>
      <c r="AM56" s="271"/>
      <c r="AN56" s="271"/>
      <c r="AO56" s="293" t="s">
        <v>1086</v>
      </c>
      <c r="AP56" s="294" t="s">
        <v>1087</v>
      </c>
      <c r="AQ56" s="295" t="s">
        <v>1567</v>
      </c>
    </row>
    <row r="57" ht="15.75" customHeight="1">
      <c r="A57" s="288" t="s">
        <v>315</v>
      </c>
      <c r="B57" s="304"/>
      <c r="C57" s="304"/>
      <c r="D57" s="288" t="s">
        <v>294</v>
      </c>
      <c r="E57" s="288" t="s">
        <v>357</v>
      </c>
      <c r="F57" s="304"/>
      <c r="G57" s="304"/>
      <c r="H57" s="271"/>
      <c r="I57" s="271"/>
      <c r="J57" s="271"/>
      <c r="K57" s="271"/>
      <c r="L57" s="271"/>
      <c r="M57" s="271"/>
      <c r="N57" s="271"/>
      <c r="O57" s="290" t="s">
        <v>297</v>
      </c>
      <c r="P57" s="65"/>
      <c r="Q57" s="65"/>
      <c r="R57" s="290" t="s">
        <v>294</v>
      </c>
      <c r="S57" s="290" t="s">
        <v>357</v>
      </c>
      <c r="T57" s="283"/>
      <c r="U57" s="271"/>
      <c r="V57" s="271"/>
      <c r="W57" s="271"/>
      <c r="X57" s="271"/>
      <c r="Y57" s="271"/>
      <c r="Z57" s="271"/>
      <c r="AA57" s="271"/>
      <c r="AB57" s="271"/>
      <c r="AC57" s="271"/>
      <c r="AD57" s="271"/>
      <c r="AE57" s="271"/>
      <c r="AF57" s="271"/>
      <c r="AG57" s="65"/>
      <c r="AH57" s="271"/>
      <c r="AI57" s="271"/>
      <c r="AJ57" s="271"/>
      <c r="AK57" s="271"/>
      <c r="AL57" s="271"/>
      <c r="AM57" s="271"/>
      <c r="AN57" s="271"/>
      <c r="AO57" s="294" t="s">
        <v>1084</v>
      </c>
      <c r="AP57" s="294" t="s">
        <v>1085</v>
      </c>
      <c r="AQ57" s="295" t="s">
        <v>1567</v>
      </c>
    </row>
    <row r="58" ht="15.75" customHeight="1">
      <c r="A58" s="288" t="s">
        <v>318</v>
      </c>
      <c r="B58" s="304"/>
      <c r="C58" s="304"/>
      <c r="D58" s="288" t="s">
        <v>297</v>
      </c>
      <c r="E58" s="288" t="s">
        <v>363</v>
      </c>
      <c r="F58" s="304"/>
      <c r="G58" s="304"/>
      <c r="H58" s="271"/>
      <c r="I58" s="271"/>
      <c r="J58" s="271"/>
      <c r="K58" s="271"/>
      <c r="L58" s="271"/>
      <c r="M58" s="271"/>
      <c r="N58" s="271"/>
      <c r="O58" s="290" t="s">
        <v>300</v>
      </c>
      <c r="P58" s="65"/>
      <c r="Q58" s="65"/>
      <c r="R58" s="290" t="s">
        <v>297</v>
      </c>
      <c r="S58" s="290" t="s">
        <v>363</v>
      </c>
      <c r="T58" s="283"/>
      <c r="U58" s="271"/>
      <c r="V58" s="271"/>
      <c r="W58" s="271"/>
      <c r="X58" s="271"/>
      <c r="Y58" s="271"/>
      <c r="Z58" s="271"/>
      <c r="AA58" s="271"/>
      <c r="AB58" s="271"/>
      <c r="AC58" s="271"/>
      <c r="AD58" s="271"/>
      <c r="AE58" s="271"/>
      <c r="AF58" s="271"/>
      <c r="AG58" s="65"/>
      <c r="AH58" s="271"/>
      <c r="AI58" s="271"/>
      <c r="AJ58" s="271"/>
      <c r="AK58" s="271"/>
      <c r="AL58" s="271"/>
      <c r="AM58" s="271"/>
      <c r="AN58" s="271"/>
      <c r="AO58" s="294" t="s">
        <v>1011</v>
      </c>
      <c r="AP58" s="294" t="s">
        <v>781</v>
      </c>
      <c r="AQ58" s="295" t="s">
        <v>1567</v>
      </c>
    </row>
    <row r="59" ht="15.75" customHeight="1">
      <c r="A59" s="288" t="s">
        <v>324</v>
      </c>
      <c r="B59" s="304"/>
      <c r="C59" s="304"/>
      <c r="D59" s="288" t="s">
        <v>300</v>
      </c>
      <c r="E59" s="288" t="s">
        <v>369</v>
      </c>
      <c r="F59" s="304"/>
      <c r="G59" s="304"/>
      <c r="H59" s="271"/>
      <c r="I59" s="271"/>
      <c r="J59" s="271"/>
      <c r="K59" s="271"/>
      <c r="L59" s="271"/>
      <c r="M59" s="271"/>
      <c r="N59" s="271"/>
      <c r="O59" s="290" t="s">
        <v>303</v>
      </c>
      <c r="P59" s="65"/>
      <c r="Q59" s="65"/>
      <c r="R59" s="290" t="s">
        <v>300</v>
      </c>
      <c r="S59" s="290" t="s">
        <v>369</v>
      </c>
      <c r="T59" s="283"/>
      <c r="U59" s="271"/>
      <c r="V59" s="271"/>
      <c r="W59" s="271"/>
      <c r="X59" s="271"/>
      <c r="Y59" s="271"/>
      <c r="Z59" s="271"/>
      <c r="AA59" s="271"/>
      <c r="AB59" s="271"/>
      <c r="AC59" s="271"/>
      <c r="AD59" s="271"/>
      <c r="AE59" s="271"/>
      <c r="AF59" s="271"/>
      <c r="AG59" s="65"/>
      <c r="AH59" s="271"/>
      <c r="AI59" s="271"/>
      <c r="AJ59" s="271"/>
      <c r="AK59" s="271"/>
      <c r="AL59" s="271"/>
      <c r="AM59" s="271"/>
      <c r="AN59" s="271"/>
      <c r="AO59" s="294" t="s">
        <v>829</v>
      </c>
      <c r="AP59" s="294" t="s">
        <v>830</v>
      </c>
      <c r="AQ59" s="295" t="s">
        <v>1567</v>
      </c>
    </row>
    <row r="60" ht="15.75" customHeight="1">
      <c r="A60" s="288" t="s">
        <v>330</v>
      </c>
      <c r="B60" s="304"/>
      <c r="C60" s="304"/>
      <c r="D60" s="288" t="s">
        <v>303</v>
      </c>
      <c r="E60" s="288" t="s">
        <v>375</v>
      </c>
      <c r="F60" s="304"/>
      <c r="G60" s="304"/>
      <c r="H60" s="271"/>
      <c r="I60" s="271"/>
      <c r="J60" s="271"/>
      <c r="K60" s="271"/>
      <c r="L60" s="271"/>
      <c r="M60" s="271"/>
      <c r="N60" s="271"/>
      <c r="O60" s="290" t="s">
        <v>309</v>
      </c>
      <c r="P60" s="65"/>
      <c r="Q60" s="65"/>
      <c r="R60" s="290" t="s">
        <v>303</v>
      </c>
      <c r="S60" s="290" t="s">
        <v>375</v>
      </c>
      <c r="T60" s="283"/>
      <c r="U60" s="271"/>
      <c r="V60" s="271"/>
      <c r="W60" s="271"/>
      <c r="X60" s="271"/>
      <c r="Y60" s="271"/>
      <c r="Z60" s="271"/>
      <c r="AA60" s="271"/>
      <c r="AB60" s="271"/>
      <c r="AC60" s="271"/>
      <c r="AD60" s="271"/>
      <c r="AE60" s="271"/>
      <c r="AF60" s="271"/>
      <c r="AG60" s="65"/>
      <c r="AH60" s="271"/>
      <c r="AI60" s="271"/>
      <c r="AJ60" s="271"/>
      <c r="AK60" s="271"/>
      <c r="AL60" s="271"/>
      <c r="AM60" s="271"/>
      <c r="AN60" s="271"/>
      <c r="AO60" s="293" t="s">
        <v>1130</v>
      </c>
      <c r="AP60" s="294" t="s">
        <v>1131</v>
      </c>
      <c r="AQ60" s="295" t="s">
        <v>1567</v>
      </c>
    </row>
    <row r="61" ht="15.75" customHeight="1">
      <c r="A61" s="288" t="s">
        <v>333</v>
      </c>
      <c r="B61" s="304"/>
      <c r="C61" s="304"/>
      <c r="D61" s="303" t="s">
        <v>312</v>
      </c>
      <c r="E61" s="288" t="s">
        <v>387</v>
      </c>
      <c r="F61" s="304"/>
      <c r="G61" s="304"/>
      <c r="H61" s="271"/>
      <c r="I61" s="271"/>
      <c r="J61" s="271"/>
      <c r="K61" s="271"/>
      <c r="L61" s="271"/>
      <c r="M61" s="271"/>
      <c r="N61" s="271"/>
      <c r="O61" s="301" t="s">
        <v>312</v>
      </c>
      <c r="P61" s="65"/>
      <c r="Q61" s="65"/>
      <c r="R61" s="301" t="s">
        <v>312</v>
      </c>
      <c r="S61" s="290" t="s">
        <v>387</v>
      </c>
      <c r="T61" s="283"/>
      <c r="U61" s="271"/>
      <c r="V61" s="271"/>
      <c r="W61" s="271"/>
      <c r="X61" s="271"/>
      <c r="Y61" s="271"/>
      <c r="Z61" s="271"/>
      <c r="AA61" s="271"/>
      <c r="AB61" s="271"/>
      <c r="AC61" s="271"/>
      <c r="AD61" s="271"/>
      <c r="AE61" s="271"/>
      <c r="AF61" s="271"/>
      <c r="AG61" s="65"/>
      <c r="AH61" s="271"/>
      <c r="AI61" s="271"/>
      <c r="AJ61" s="271"/>
      <c r="AK61" s="271"/>
      <c r="AL61" s="271"/>
      <c r="AM61" s="271"/>
      <c r="AN61" s="271"/>
      <c r="AO61" s="293" t="s">
        <v>1130</v>
      </c>
      <c r="AP61" s="294" t="s">
        <v>1132</v>
      </c>
      <c r="AQ61" s="295" t="s">
        <v>1567</v>
      </c>
    </row>
    <row r="62" ht="15.75" customHeight="1">
      <c r="A62" s="288" t="s">
        <v>339</v>
      </c>
      <c r="B62" s="304"/>
      <c r="C62" s="304"/>
      <c r="D62" s="288" t="s">
        <v>315</v>
      </c>
      <c r="E62" s="288" t="s">
        <v>393</v>
      </c>
      <c r="F62" s="304"/>
      <c r="G62" s="304"/>
      <c r="H62" s="271"/>
      <c r="I62" s="271"/>
      <c r="J62" s="271"/>
      <c r="K62" s="271"/>
      <c r="L62" s="271"/>
      <c r="M62" s="271"/>
      <c r="N62" s="271"/>
      <c r="O62" s="290" t="s">
        <v>315</v>
      </c>
      <c r="P62" s="65"/>
      <c r="Q62" s="65"/>
      <c r="R62" s="290" t="s">
        <v>315</v>
      </c>
      <c r="S62" s="290" t="s">
        <v>393</v>
      </c>
      <c r="T62" s="283"/>
      <c r="U62" s="271"/>
      <c r="V62" s="271"/>
      <c r="W62" s="271"/>
      <c r="X62" s="271"/>
      <c r="Y62" s="271"/>
      <c r="Z62" s="271"/>
      <c r="AA62" s="271"/>
      <c r="AB62" s="271"/>
      <c r="AC62" s="271"/>
      <c r="AD62" s="271"/>
      <c r="AE62" s="271"/>
      <c r="AF62" s="271"/>
      <c r="AG62" s="65"/>
      <c r="AH62" s="271"/>
      <c r="AI62" s="271"/>
      <c r="AJ62" s="271"/>
      <c r="AK62" s="271"/>
      <c r="AL62" s="271"/>
      <c r="AM62" s="271"/>
      <c r="AN62" s="271"/>
      <c r="AO62" s="294" t="s">
        <v>1118</v>
      </c>
      <c r="AP62" s="294" t="s">
        <v>1119</v>
      </c>
      <c r="AQ62" s="295" t="s">
        <v>1567</v>
      </c>
    </row>
    <row r="63" ht="15.75" customHeight="1">
      <c r="A63" s="288" t="s">
        <v>342</v>
      </c>
      <c r="B63" s="304"/>
      <c r="C63" s="304"/>
      <c r="D63" s="288" t="s">
        <v>318</v>
      </c>
      <c r="E63" s="304"/>
      <c r="F63" s="304"/>
      <c r="G63" s="304"/>
      <c r="H63" s="271"/>
      <c r="I63" s="271"/>
      <c r="J63" s="271"/>
      <c r="K63" s="271"/>
      <c r="L63" s="271"/>
      <c r="M63" s="271"/>
      <c r="N63" s="271"/>
      <c r="O63" s="290" t="s">
        <v>318</v>
      </c>
      <c r="P63" s="65"/>
      <c r="Q63" s="65"/>
      <c r="R63" s="290" t="s">
        <v>318</v>
      </c>
      <c r="S63" s="65"/>
      <c r="T63" s="283"/>
      <c r="U63" s="271"/>
      <c r="V63" s="271"/>
      <c r="W63" s="271"/>
      <c r="X63" s="271"/>
      <c r="Y63" s="271"/>
      <c r="Z63" s="271"/>
      <c r="AA63" s="271"/>
      <c r="AB63" s="271"/>
      <c r="AC63" s="271"/>
      <c r="AD63" s="271"/>
      <c r="AE63" s="271"/>
      <c r="AF63" s="271"/>
      <c r="AG63" s="65"/>
      <c r="AH63" s="271"/>
      <c r="AI63" s="271"/>
      <c r="AJ63" s="271"/>
      <c r="AK63" s="271"/>
      <c r="AL63" s="271"/>
      <c r="AM63" s="271"/>
      <c r="AN63" s="271"/>
      <c r="AO63" s="294" t="s">
        <v>1118</v>
      </c>
      <c r="AP63" s="294" t="s">
        <v>1120</v>
      </c>
      <c r="AQ63" s="295" t="s">
        <v>1567</v>
      </c>
    </row>
    <row r="64" ht="15.75" customHeight="1">
      <c r="A64" s="288" t="s">
        <v>345</v>
      </c>
      <c r="B64" s="304"/>
      <c r="C64" s="304"/>
      <c r="D64" s="288" t="s">
        <v>324</v>
      </c>
      <c r="E64" s="304"/>
      <c r="F64" s="304"/>
      <c r="G64" s="304"/>
      <c r="H64" s="271"/>
      <c r="I64" s="271"/>
      <c r="J64" s="271"/>
      <c r="K64" s="271"/>
      <c r="L64" s="271"/>
      <c r="M64" s="271"/>
      <c r="N64" s="271"/>
      <c r="O64" s="290" t="s">
        <v>324</v>
      </c>
      <c r="P64" s="65"/>
      <c r="Q64" s="65"/>
      <c r="R64" s="290" t="s">
        <v>324</v>
      </c>
      <c r="S64" s="65"/>
      <c r="T64" s="283"/>
      <c r="U64" s="271"/>
      <c r="V64" s="271"/>
      <c r="W64" s="271"/>
      <c r="X64" s="271"/>
      <c r="Y64" s="271"/>
      <c r="Z64" s="271"/>
      <c r="AA64" s="271"/>
      <c r="AB64" s="271"/>
      <c r="AC64" s="271"/>
      <c r="AD64" s="271"/>
      <c r="AE64" s="271"/>
      <c r="AF64" s="271"/>
      <c r="AG64" s="65"/>
      <c r="AH64" s="271"/>
      <c r="AI64" s="271"/>
      <c r="AJ64" s="271"/>
      <c r="AK64" s="271"/>
      <c r="AL64" s="271"/>
      <c r="AM64" s="271"/>
      <c r="AN64" s="271"/>
      <c r="AO64" s="294" t="s">
        <v>1118</v>
      </c>
      <c r="AP64" s="294" t="s">
        <v>1121</v>
      </c>
      <c r="AQ64" s="295" t="s">
        <v>1567</v>
      </c>
    </row>
    <row r="65" ht="15.75" customHeight="1">
      <c r="A65" s="288" t="s">
        <v>348</v>
      </c>
      <c r="B65" s="304"/>
      <c r="C65" s="304"/>
      <c r="D65" s="288" t="s">
        <v>330</v>
      </c>
      <c r="E65" s="304"/>
      <c r="F65" s="304"/>
      <c r="G65" s="304"/>
      <c r="H65" s="271"/>
      <c r="I65" s="271"/>
      <c r="J65" s="271"/>
      <c r="K65" s="271"/>
      <c r="L65" s="271"/>
      <c r="M65" s="271"/>
      <c r="N65" s="271"/>
      <c r="O65" s="290" t="s">
        <v>330</v>
      </c>
      <c r="P65" s="65"/>
      <c r="Q65" s="65"/>
      <c r="R65" s="290" t="s">
        <v>330</v>
      </c>
      <c r="S65" s="65"/>
      <c r="T65" s="283"/>
      <c r="U65" s="271"/>
      <c r="V65" s="271"/>
      <c r="W65" s="271"/>
      <c r="X65" s="271"/>
      <c r="Y65" s="271"/>
      <c r="Z65" s="271"/>
      <c r="AA65" s="271"/>
      <c r="AB65" s="271"/>
      <c r="AC65" s="271"/>
      <c r="AD65" s="271"/>
      <c r="AE65" s="271"/>
      <c r="AF65" s="271"/>
      <c r="AG65" s="65"/>
      <c r="AH65" s="271"/>
      <c r="AI65" s="271"/>
      <c r="AJ65" s="271"/>
      <c r="AK65" s="271"/>
      <c r="AL65" s="271"/>
      <c r="AM65" s="271"/>
      <c r="AN65" s="271"/>
      <c r="AO65" s="294" t="s">
        <v>1122</v>
      </c>
      <c r="AP65" s="294" t="s">
        <v>1123</v>
      </c>
      <c r="AQ65" s="295" t="s">
        <v>1567</v>
      </c>
    </row>
    <row r="66" ht="15.75" customHeight="1">
      <c r="A66" s="288" t="s">
        <v>351</v>
      </c>
      <c r="B66" s="304"/>
      <c r="C66" s="304"/>
      <c r="D66" s="288" t="s">
        <v>333</v>
      </c>
      <c r="E66" s="304"/>
      <c r="F66" s="304"/>
      <c r="G66" s="304"/>
      <c r="H66" s="271"/>
      <c r="I66" s="271"/>
      <c r="J66" s="271"/>
      <c r="K66" s="271"/>
      <c r="L66" s="271"/>
      <c r="M66" s="271"/>
      <c r="N66" s="271"/>
      <c r="O66" s="290" t="s">
        <v>333</v>
      </c>
      <c r="P66" s="65"/>
      <c r="Q66" s="65"/>
      <c r="R66" s="290" t="s">
        <v>333</v>
      </c>
      <c r="S66" s="65"/>
      <c r="T66" s="283"/>
      <c r="U66" s="271"/>
      <c r="V66" s="271"/>
      <c r="W66" s="271"/>
      <c r="X66" s="271"/>
      <c r="Y66" s="271"/>
      <c r="Z66" s="271"/>
      <c r="AA66" s="271"/>
      <c r="AB66" s="271"/>
      <c r="AC66" s="271"/>
      <c r="AD66" s="271"/>
      <c r="AE66" s="271"/>
      <c r="AF66" s="271"/>
      <c r="AG66" s="65"/>
      <c r="AH66" s="271"/>
      <c r="AI66" s="271"/>
      <c r="AJ66" s="271"/>
      <c r="AK66" s="271"/>
      <c r="AL66" s="271"/>
      <c r="AM66" s="271"/>
      <c r="AN66" s="271"/>
      <c r="AO66" s="293" t="s">
        <v>1021</v>
      </c>
      <c r="AP66" s="294" t="s">
        <v>1022</v>
      </c>
      <c r="AQ66" s="295" t="s">
        <v>1567</v>
      </c>
    </row>
    <row r="67" ht="15.75" customHeight="1">
      <c r="A67" s="288" t="s">
        <v>357</v>
      </c>
      <c r="B67" s="304"/>
      <c r="C67" s="304"/>
      <c r="D67" s="288" t="s">
        <v>339</v>
      </c>
      <c r="E67" s="304"/>
      <c r="F67" s="304"/>
      <c r="G67" s="304"/>
      <c r="H67" s="271"/>
      <c r="I67" s="271"/>
      <c r="J67" s="271"/>
      <c r="K67" s="271"/>
      <c r="L67" s="271"/>
      <c r="M67" s="271"/>
      <c r="N67" s="271"/>
      <c r="O67" s="290" t="s">
        <v>339</v>
      </c>
      <c r="P67" s="65"/>
      <c r="Q67" s="65"/>
      <c r="R67" s="290" t="s">
        <v>339</v>
      </c>
      <c r="S67" s="65"/>
      <c r="T67" s="283"/>
      <c r="U67" s="271"/>
      <c r="V67" s="271"/>
      <c r="W67" s="271"/>
      <c r="X67" s="271"/>
      <c r="Y67" s="271"/>
      <c r="Z67" s="271"/>
      <c r="AA67" s="271"/>
      <c r="AB67" s="271"/>
      <c r="AC67" s="271"/>
      <c r="AD67" s="271"/>
      <c r="AE67" s="271"/>
      <c r="AF67" s="271"/>
      <c r="AG67" s="65"/>
      <c r="AH67" s="271"/>
      <c r="AI67" s="271"/>
      <c r="AJ67" s="271"/>
      <c r="AK67" s="271"/>
      <c r="AL67" s="271"/>
      <c r="AM67" s="271"/>
      <c r="AN67" s="271"/>
      <c r="AO67" s="294" t="s">
        <v>912</v>
      </c>
      <c r="AP67" s="294" t="s">
        <v>913</v>
      </c>
      <c r="AQ67" s="295" t="s">
        <v>1567</v>
      </c>
    </row>
    <row r="68" ht="15.75" customHeight="1">
      <c r="A68" s="288" t="s">
        <v>363</v>
      </c>
      <c r="B68" s="304"/>
      <c r="C68" s="304"/>
      <c r="D68" s="288" t="s">
        <v>342</v>
      </c>
      <c r="E68" s="304"/>
      <c r="F68" s="304"/>
      <c r="G68" s="304"/>
      <c r="H68" s="271"/>
      <c r="I68" s="271"/>
      <c r="J68" s="271"/>
      <c r="K68" s="271"/>
      <c r="L68" s="271"/>
      <c r="M68" s="271"/>
      <c r="N68" s="271"/>
      <c r="O68" s="290" t="s">
        <v>342</v>
      </c>
      <c r="P68" s="65"/>
      <c r="Q68" s="65"/>
      <c r="R68" s="290" t="s">
        <v>342</v>
      </c>
      <c r="S68" s="65"/>
      <c r="T68" s="283"/>
      <c r="U68" s="271"/>
      <c r="V68" s="271"/>
      <c r="W68" s="271"/>
      <c r="X68" s="271"/>
      <c r="Y68" s="271"/>
      <c r="Z68" s="271"/>
      <c r="AA68" s="271"/>
      <c r="AB68" s="271"/>
      <c r="AC68" s="271"/>
      <c r="AD68" s="271"/>
      <c r="AE68" s="271"/>
      <c r="AF68" s="271"/>
      <c r="AG68" s="65"/>
      <c r="AH68" s="271"/>
      <c r="AI68" s="271"/>
      <c r="AJ68" s="271"/>
      <c r="AK68" s="271"/>
      <c r="AL68" s="271"/>
      <c r="AM68" s="271"/>
      <c r="AN68" s="271"/>
      <c r="AO68" s="294" t="s">
        <v>983</v>
      </c>
      <c r="AP68" s="294" t="s">
        <v>984</v>
      </c>
      <c r="AQ68" s="295" t="s">
        <v>1567</v>
      </c>
    </row>
    <row r="69" ht="15.75" customHeight="1">
      <c r="A69" s="288" t="s">
        <v>369</v>
      </c>
      <c r="B69" s="304"/>
      <c r="C69" s="304"/>
      <c r="D69" s="288" t="s">
        <v>345</v>
      </c>
      <c r="E69" s="304"/>
      <c r="F69" s="304"/>
      <c r="G69" s="304"/>
      <c r="H69" s="271"/>
      <c r="I69" s="271"/>
      <c r="J69" s="271"/>
      <c r="K69" s="271"/>
      <c r="L69" s="271"/>
      <c r="M69" s="271"/>
      <c r="N69" s="271"/>
      <c r="O69" s="290" t="s">
        <v>345</v>
      </c>
      <c r="P69" s="65"/>
      <c r="Q69" s="65"/>
      <c r="R69" s="290" t="s">
        <v>345</v>
      </c>
      <c r="S69" s="65"/>
      <c r="T69" s="283"/>
      <c r="U69" s="271"/>
      <c r="V69" s="271"/>
      <c r="W69" s="271"/>
      <c r="X69" s="271"/>
      <c r="Y69" s="271"/>
      <c r="Z69" s="271"/>
      <c r="AA69" s="271"/>
      <c r="AB69" s="271"/>
      <c r="AC69" s="271"/>
      <c r="AD69" s="271"/>
      <c r="AE69" s="271"/>
      <c r="AF69" s="271"/>
      <c r="AG69" s="65"/>
      <c r="AH69" s="271"/>
      <c r="AI69" s="271"/>
      <c r="AJ69" s="271"/>
      <c r="AK69" s="271"/>
      <c r="AL69" s="271"/>
      <c r="AM69" s="271"/>
      <c r="AN69" s="271"/>
      <c r="AO69" s="294" t="s">
        <v>1124</v>
      </c>
      <c r="AP69" s="294" t="s">
        <v>1125</v>
      </c>
      <c r="AQ69" s="295" t="s">
        <v>1567</v>
      </c>
    </row>
    <row r="70" ht="15.75" customHeight="1">
      <c r="A70" s="288" t="s">
        <v>375</v>
      </c>
      <c r="B70" s="304"/>
      <c r="C70" s="304"/>
      <c r="D70" s="288" t="s">
        <v>348</v>
      </c>
      <c r="E70" s="304"/>
      <c r="F70" s="304"/>
      <c r="G70" s="304"/>
      <c r="H70" s="271"/>
      <c r="I70" s="271"/>
      <c r="J70" s="271"/>
      <c r="K70" s="271"/>
      <c r="L70" s="271"/>
      <c r="M70" s="271"/>
      <c r="N70" s="271"/>
      <c r="O70" s="290" t="s">
        <v>348</v>
      </c>
      <c r="P70" s="65"/>
      <c r="Q70" s="65"/>
      <c r="R70" s="290" t="s">
        <v>348</v>
      </c>
      <c r="S70" s="65"/>
      <c r="T70" s="283"/>
      <c r="U70" s="271"/>
      <c r="V70" s="271"/>
      <c r="W70" s="271"/>
      <c r="X70" s="271"/>
      <c r="Y70" s="271"/>
      <c r="Z70" s="271"/>
      <c r="AA70" s="271"/>
      <c r="AB70" s="271"/>
      <c r="AC70" s="271"/>
      <c r="AD70" s="271"/>
      <c r="AE70" s="271"/>
      <c r="AF70" s="271"/>
      <c r="AG70" s="65"/>
      <c r="AH70" s="271"/>
      <c r="AI70" s="271"/>
      <c r="AJ70" s="271"/>
      <c r="AK70" s="271"/>
      <c r="AL70" s="271"/>
      <c r="AM70" s="271"/>
      <c r="AN70" s="271"/>
      <c r="AO70" s="293" t="s">
        <v>1088</v>
      </c>
      <c r="AP70" s="294" t="s">
        <v>1089</v>
      </c>
      <c r="AQ70" s="295" t="s">
        <v>1567</v>
      </c>
    </row>
    <row r="71" ht="15.75" customHeight="1">
      <c r="A71" s="288" t="s">
        <v>387</v>
      </c>
      <c r="B71" s="304"/>
      <c r="C71" s="304"/>
      <c r="D71" s="288" t="s">
        <v>351</v>
      </c>
      <c r="E71" s="304"/>
      <c r="F71" s="304"/>
      <c r="G71" s="304"/>
      <c r="H71" s="271"/>
      <c r="I71" s="271"/>
      <c r="J71" s="271"/>
      <c r="K71" s="271"/>
      <c r="L71" s="271"/>
      <c r="M71" s="271"/>
      <c r="N71" s="271"/>
      <c r="O71" s="290" t="s">
        <v>351</v>
      </c>
      <c r="P71" s="65"/>
      <c r="Q71" s="65"/>
      <c r="R71" s="290" t="s">
        <v>351</v>
      </c>
      <c r="S71" s="65"/>
      <c r="T71" s="283"/>
      <c r="U71" s="271"/>
      <c r="V71" s="271"/>
      <c r="W71" s="271"/>
      <c r="X71" s="271"/>
      <c r="Y71" s="271"/>
      <c r="Z71" s="271"/>
      <c r="AA71" s="271"/>
      <c r="AB71" s="271"/>
      <c r="AC71" s="271"/>
      <c r="AD71" s="271"/>
      <c r="AE71" s="271"/>
      <c r="AF71" s="271"/>
      <c r="AG71" s="65"/>
      <c r="AH71" s="271"/>
      <c r="AI71" s="271"/>
      <c r="AJ71" s="271"/>
      <c r="AK71" s="271"/>
      <c r="AL71" s="271"/>
      <c r="AM71" s="271"/>
      <c r="AN71" s="271"/>
      <c r="AO71" s="294" t="s">
        <v>1107</v>
      </c>
      <c r="AP71" s="294" t="s">
        <v>1108</v>
      </c>
      <c r="AQ71" s="295" t="s">
        <v>1567</v>
      </c>
    </row>
    <row r="72" ht="15.75" customHeight="1">
      <c r="A72" s="288" t="s">
        <v>390</v>
      </c>
      <c r="B72" s="304"/>
      <c r="C72" s="304"/>
      <c r="D72" s="288" t="s">
        <v>354</v>
      </c>
      <c r="E72" s="304"/>
      <c r="F72" s="304"/>
      <c r="G72" s="304"/>
      <c r="H72" s="271"/>
      <c r="I72" s="271"/>
      <c r="J72" s="271"/>
      <c r="K72" s="271"/>
      <c r="L72" s="271"/>
      <c r="M72" s="271"/>
      <c r="N72" s="271"/>
      <c r="O72" s="290" t="s">
        <v>354</v>
      </c>
      <c r="P72" s="65"/>
      <c r="Q72" s="65"/>
      <c r="R72" s="290" t="s">
        <v>354</v>
      </c>
      <c r="S72" s="65"/>
      <c r="T72" s="283"/>
      <c r="U72" s="271"/>
      <c r="V72" s="271"/>
      <c r="W72" s="271"/>
      <c r="X72" s="271"/>
      <c r="Y72" s="271"/>
      <c r="Z72" s="271"/>
      <c r="AA72" s="271"/>
      <c r="AB72" s="271"/>
      <c r="AC72" s="271"/>
      <c r="AD72" s="271"/>
      <c r="AE72" s="271"/>
      <c r="AF72" s="271"/>
      <c r="AG72" s="65"/>
      <c r="AH72" s="271"/>
      <c r="AI72" s="271"/>
      <c r="AJ72" s="271"/>
      <c r="AK72" s="271"/>
      <c r="AL72" s="271"/>
      <c r="AM72" s="271"/>
      <c r="AN72" s="271"/>
      <c r="AO72" s="294" t="s">
        <v>1147</v>
      </c>
      <c r="AP72" s="294" t="s">
        <v>1150</v>
      </c>
      <c r="AQ72" s="295" t="s">
        <v>1567</v>
      </c>
    </row>
    <row r="73" ht="15.75" customHeight="1">
      <c r="A73" s="304"/>
      <c r="B73" s="304"/>
      <c r="C73" s="304"/>
      <c r="D73" s="288" t="s">
        <v>357</v>
      </c>
      <c r="E73" s="304"/>
      <c r="F73" s="304"/>
      <c r="G73" s="304"/>
      <c r="H73" s="271"/>
      <c r="I73" s="271"/>
      <c r="J73" s="271"/>
      <c r="K73" s="271"/>
      <c r="L73" s="271"/>
      <c r="M73" s="271"/>
      <c r="N73" s="271"/>
      <c r="O73" s="290" t="s">
        <v>357</v>
      </c>
      <c r="P73" s="65"/>
      <c r="Q73" s="65"/>
      <c r="R73" s="290" t="s">
        <v>357</v>
      </c>
      <c r="S73" s="65"/>
      <c r="T73" s="283"/>
      <c r="U73" s="271"/>
      <c r="V73" s="271"/>
      <c r="W73" s="271"/>
      <c r="X73" s="271"/>
      <c r="Y73" s="271"/>
      <c r="Z73" s="271"/>
      <c r="AA73" s="271"/>
      <c r="AB73" s="271"/>
      <c r="AC73" s="271"/>
      <c r="AD73" s="271"/>
      <c r="AE73" s="271"/>
      <c r="AF73" s="271"/>
      <c r="AG73" s="65"/>
      <c r="AH73" s="271"/>
      <c r="AI73" s="271"/>
      <c r="AJ73" s="271"/>
      <c r="AK73" s="271"/>
      <c r="AL73" s="271"/>
      <c r="AM73" s="271"/>
      <c r="AN73" s="271"/>
      <c r="AO73" s="293" t="s">
        <v>364</v>
      </c>
      <c r="AP73" s="294" t="s">
        <v>1109</v>
      </c>
      <c r="AQ73" s="295" t="s">
        <v>1567</v>
      </c>
    </row>
    <row r="74" ht="15.75" customHeight="1">
      <c r="A74" s="304"/>
      <c r="B74" s="304"/>
      <c r="C74" s="304"/>
      <c r="D74" s="288" t="s">
        <v>363</v>
      </c>
      <c r="E74" s="304"/>
      <c r="F74" s="304"/>
      <c r="G74" s="304"/>
      <c r="H74" s="271"/>
      <c r="I74" s="271"/>
      <c r="J74" s="271"/>
      <c r="K74" s="271"/>
      <c r="L74" s="271"/>
      <c r="M74" s="271"/>
      <c r="N74" s="271"/>
      <c r="O74" s="290" t="s">
        <v>363</v>
      </c>
      <c r="P74" s="65"/>
      <c r="Q74" s="65"/>
      <c r="R74" s="290" t="s">
        <v>363</v>
      </c>
      <c r="S74" s="65"/>
      <c r="T74" s="283"/>
      <c r="U74" s="271"/>
      <c r="V74" s="271"/>
      <c r="W74" s="271"/>
      <c r="X74" s="271"/>
      <c r="Y74" s="271"/>
      <c r="Z74" s="271"/>
      <c r="AA74" s="271"/>
      <c r="AB74" s="271"/>
      <c r="AC74" s="271"/>
      <c r="AD74" s="271"/>
      <c r="AE74" s="271"/>
      <c r="AF74" s="271"/>
      <c r="AG74" s="65"/>
      <c r="AH74" s="271"/>
      <c r="AI74" s="271"/>
      <c r="AJ74" s="271"/>
      <c r="AK74" s="271"/>
      <c r="AL74" s="271"/>
      <c r="AM74" s="271"/>
      <c r="AN74" s="271"/>
      <c r="AO74" s="293" t="s">
        <v>1652</v>
      </c>
      <c r="AP74" s="294" t="s">
        <v>798</v>
      </c>
      <c r="AQ74" s="295" t="s">
        <v>1567</v>
      </c>
    </row>
    <row r="75" ht="15.75" customHeight="1">
      <c r="A75" s="304"/>
      <c r="B75" s="304"/>
      <c r="C75" s="304"/>
      <c r="D75" s="288" t="s">
        <v>369</v>
      </c>
      <c r="E75" s="304"/>
      <c r="F75" s="304"/>
      <c r="G75" s="304"/>
      <c r="H75" s="271"/>
      <c r="I75" s="271"/>
      <c r="J75" s="271"/>
      <c r="K75" s="271"/>
      <c r="L75" s="271"/>
      <c r="M75" s="271"/>
      <c r="N75" s="271"/>
      <c r="O75" s="290" t="s">
        <v>369</v>
      </c>
      <c r="P75" s="65"/>
      <c r="Q75" s="65"/>
      <c r="R75" s="290" t="s">
        <v>369</v>
      </c>
      <c r="S75" s="65"/>
      <c r="T75" s="283"/>
      <c r="U75" s="271"/>
      <c r="V75" s="271"/>
      <c r="W75" s="271"/>
      <c r="X75" s="271"/>
      <c r="Y75" s="271"/>
      <c r="Z75" s="271"/>
      <c r="AA75" s="271"/>
      <c r="AB75" s="271"/>
      <c r="AC75" s="271"/>
      <c r="AD75" s="271"/>
      <c r="AE75" s="271"/>
      <c r="AF75" s="271"/>
      <c r="AG75" s="65"/>
      <c r="AH75" s="271"/>
      <c r="AI75" s="271"/>
      <c r="AJ75" s="271"/>
      <c r="AK75" s="271"/>
      <c r="AL75" s="271"/>
      <c r="AM75" s="271"/>
      <c r="AN75" s="271"/>
      <c r="AO75" s="294" t="s">
        <v>1055</v>
      </c>
      <c r="AP75" s="294" t="s">
        <v>1056</v>
      </c>
      <c r="AQ75" s="295" t="s">
        <v>1567</v>
      </c>
    </row>
    <row r="76" ht="15.75" customHeight="1">
      <c r="A76" s="304"/>
      <c r="B76" s="304"/>
      <c r="C76" s="304"/>
      <c r="D76" s="288" t="s">
        <v>372</v>
      </c>
      <c r="E76" s="304"/>
      <c r="F76" s="304"/>
      <c r="G76" s="304"/>
      <c r="H76" s="271"/>
      <c r="I76" s="271"/>
      <c r="J76" s="271"/>
      <c r="K76" s="271"/>
      <c r="L76" s="271"/>
      <c r="M76" s="271"/>
      <c r="N76" s="271"/>
      <c r="O76" s="290" t="s">
        <v>372</v>
      </c>
      <c r="P76" s="65"/>
      <c r="Q76" s="65"/>
      <c r="R76" s="290" t="s">
        <v>372</v>
      </c>
      <c r="S76" s="65"/>
      <c r="T76" s="283"/>
      <c r="U76" s="271"/>
      <c r="V76" s="271"/>
      <c r="W76" s="271"/>
      <c r="X76" s="271"/>
      <c r="Y76" s="271"/>
      <c r="Z76" s="271"/>
      <c r="AA76" s="271"/>
      <c r="AB76" s="271"/>
      <c r="AC76" s="271"/>
      <c r="AD76" s="271"/>
      <c r="AE76" s="271"/>
      <c r="AF76" s="271"/>
      <c r="AG76" s="65"/>
      <c r="AH76" s="271"/>
      <c r="AI76" s="271"/>
      <c r="AJ76" s="271"/>
      <c r="AK76" s="271"/>
      <c r="AL76" s="271"/>
      <c r="AM76" s="271"/>
      <c r="AN76" s="271"/>
      <c r="AO76" s="294" t="s">
        <v>1012</v>
      </c>
      <c r="AP76" s="294" t="s">
        <v>1013</v>
      </c>
      <c r="AQ76" s="295" t="s">
        <v>1567</v>
      </c>
    </row>
    <row r="77" ht="15.75" customHeight="1">
      <c r="A77" s="304"/>
      <c r="B77" s="304"/>
      <c r="C77" s="304"/>
      <c r="D77" s="288" t="s">
        <v>375</v>
      </c>
      <c r="E77" s="304"/>
      <c r="F77" s="304"/>
      <c r="G77" s="304"/>
      <c r="H77" s="271"/>
      <c r="I77" s="271"/>
      <c r="J77" s="271"/>
      <c r="K77" s="271"/>
      <c r="L77" s="271"/>
      <c r="M77" s="271"/>
      <c r="N77" s="271"/>
      <c r="O77" s="290" t="s">
        <v>375</v>
      </c>
      <c r="P77" s="65"/>
      <c r="Q77" s="65"/>
      <c r="R77" s="290" t="s">
        <v>375</v>
      </c>
      <c r="S77" s="65"/>
      <c r="T77" s="283"/>
      <c r="U77" s="271"/>
      <c r="V77" s="271"/>
      <c r="W77" s="271"/>
      <c r="X77" s="271"/>
      <c r="Y77" s="271"/>
      <c r="Z77" s="271"/>
      <c r="AA77" s="271"/>
      <c r="AB77" s="271"/>
      <c r="AC77" s="271"/>
      <c r="AD77" s="271"/>
      <c r="AE77" s="271"/>
      <c r="AF77" s="271"/>
      <c r="AG77" s="65"/>
      <c r="AH77" s="271"/>
      <c r="AI77" s="271"/>
      <c r="AJ77" s="271"/>
      <c r="AK77" s="271"/>
      <c r="AL77" s="271"/>
      <c r="AM77" s="271"/>
      <c r="AN77" s="271"/>
      <c r="AO77" s="294" t="s">
        <v>1012</v>
      </c>
      <c r="AP77" s="294" t="s">
        <v>1017</v>
      </c>
      <c r="AQ77" s="295" t="s">
        <v>1567</v>
      </c>
    </row>
    <row r="78" ht="15.75" customHeight="1">
      <c r="A78" s="304"/>
      <c r="B78" s="304"/>
      <c r="C78" s="304"/>
      <c r="D78" s="288" t="s">
        <v>387</v>
      </c>
      <c r="E78" s="304"/>
      <c r="F78" s="304"/>
      <c r="G78" s="304"/>
      <c r="H78" s="271"/>
      <c r="I78" s="271"/>
      <c r="J78" s="271"/>
      <c r="K78" s="271"/>
      <c r="L78" s="271"/>
      <c r="M78" s="271"/>
      <c r="N78" s="271"/>
      <c r="O78" s="290" t="s">
        <v>387</v>
      </c>
      <c r="P78" s="65"/>
      <c r="Q78" s="65"/>
      <c r="R78" s="290" t="s">
        <v>387</v>
      </c>
      <c r="S78" s="65"/>
      <c r="T78" s="283"/>
      <c r="U78" s="271"/>
      <c r="V78" s="271"/>
      <c r="W78" s="271"/>
      <c r="X78" s="271"/>
      <c r="Y78" s="271"/>
      <c r="Z78" s="271"/>
      <c r="AA78" s="271"/>
      <c r="AB78" s="271"/>
      <c r="AC78" s="271"/>
      <c r="AD78" s="271"/>
      <c r="AE78" s="271"/>
      <c r="AF78" s="271"/>
      <c r="AG78" s="65"/>
      <c r="AH78" s="271"/>
      <c r="AI78" s="271"/>
      <c r="AJ78" s="271"/>
      <c r="AK78" s="271"/>
      <c r="AL78" s="271"/>
      <c r="AM78" s="271"/>
      <c r="AN78" s="271"/>
      <c r="AO78" s="294" t="s">
        <v>1012</v>
      </c>
      <c r="AP78" s="294" t="s">
        <v>1018</v>
      </c>
      <c r="AQ78" s="295" t="s">
        <v>1567</v>
      </c>
    </row>
    <row r="79" ht="15.75" customHeight="1">
      <c r="A79" s="304"/>
      <c r="B79" s="304"/>
      <c r="C79" s="304"/>
      <c r="D79" s="288" t="s">
        <v>390</v>
      </c>
      <c r="E79" s="304"/>
      <c r="F79" s="304"/>
      <c r="G79" s="304"/>
      <c r="H79" s="271"/>
      <c r="I79" s="271"/>
      <c r="J79" s="271"/>
      <c r="K79" s="271"/>
      <c r="L79" s="271"/>
      <c r="M79" s="271"/>
      <c r="N79" s="271"/>
      <c r="O79" s="290" t="s">
        <v>390</v>
      </c>
      <c r="P79" s="65"/>
      <c r="Q79" s="65"/>
      <c r="R79" s="290" t="s">
        <v>390</v>
      </c>
      <c r="S79" s="65"/>
      <c r="T79" s="283"/>
      <c r="U79" s="271"/>
      <c r="V79" s="271"/>
      <c r="W79" s="271"/>
      <c r="X79" s="271"/>
      <c r="Y79" s="271"/>
      <c r="Z79" s="271"/>
      <c r="AA79" s="271"/>
      <c r="AB79" s="271"/>
      <c r="AC79" s="271"/>
      <c r="AD79" s="271"/>
      <c r="AE79" s="271"/>
      <c r="AF79" s="271"/>
      <c r="AG79" s="65"/>
      <c r="AH79" s="271"/>
      <c r="AI79" s="271"/>
      <c r="AJ79" s="271"/>
      <c r="AK79" s="271"/>
      <c r="AL79" s="271"/>
      <c r="AM79" s="271"/>
      <c r="AN79" s="271"/>
      <c r="AO79" s="293" t="s">
        <v>1151</v>
      </c>
      <c r="AP79" s="294" t="s">
        <v>1152</v>
      </c>
      <c r="AQ79" s="295" t="s">
        <v>1567</v>
      </c>
    </row>
    <row r="80" ht="15.75" customHeight="1">
      <c r="A80" s="304"/>
      <c r="B80" s="304"/>
      <c r="C80" s="304"/>
      <c r="D80" s="304"/>
      <c r="E80" s="304"/>
      <c r="F80" s="304"/>
      <c r="G80" s="304"/>
      <c r="H80" s="271"/>
      <c r="I80" s="271"/>
      <c r="J80" s="271"/>
      <c r="K80" s="271"/>
      <c r="L80" s="271"/>
      <c r="M80" s="271"/>
      <c r="N80" s="271"/>
      <c r="O80" s="290"/>
      <c r="P80" s="65"/>
      <c r="Q80" s="65"/>
      <c r="R80" s="65"/>
      <c r="S80" s="65"/>
      <c r="T80" s="283"/>
      <c r="U80" s="271"/>
      <c r="V80" s="271"/>
      <c r="W80" s="271"/>
      <c r="X80" s="271"/>
      <c r="Y80" s="271"/>
      <c r="Z80" s="271"/>
      <c r="AA80" s="271"/>
      <c r="AB80" s="271"/>
      <c r="AC80" s="271"/>
      <c r="AD80" s="271"/>
      <c r="AE80" s="271"/>
      <c r="AF80" s="271"/>
      <c r="AG80" s="65"/>
      <c r="AH80" s="271"/>
      <c r="AI80" s="271"/>
      <c r="AJ80" s="271"/>
      <c r="AK80" s="271"/>
      <c r="AL80" s="271"/>
      <c r="AM80" s="271"/>
      <c r="AN80" s="271"/>
      <c r="AO80" s="294" t="s">
        <v>1110</v>
      </c>
      <c r="AP80" s="294" t="s">
        <v>1111</v>
      </c>
      <c r="AQ80" s="295" t="s">
        <v>1567</v>
      </c>
    </row>
    <row r="81" ht="15.75" customHeight="1">
      <c r="A81" s="304"/>
      <c r="B81" s="304"/>
      <c r="C81" s="304"/>
      <c r="D81" s="304"/>
      <c r="E81" s="304"/>
      <c r="F81" s="304"/>
      <c r="G81" s="304"/>
      <c r="H81" s="271"/>
      <c r="I81" s="271"/>
      <c r="J81" s="271"/>
      <c r="K81" s="271"/>
      <c r="L81" s="271"/>
      <c r="M81" s="271"/>
      <c r="N81" s="271"/>
      <c r="O81" s="290"/>
      <c r="P81" s="65"/>
      <c r="Q81" s="65"/>
      <c r="R81" s="65"/>
      <c r="S81" s="65"/>
      <c r="T81" s="283"/>
      <c r="U81" s="271"/>
      <c r="V81" s="271"/>
      <c r="W81" s="271"/>
      <c r="X81" s="271"/>
      <c r="Y81" s="271"/>
      <c r="Z81" s="271"/>
      <c r="AA81" s="271"/>
      <c r="AB81" s="271"/>
      <c r="AC81" s="271"/>
      <c r="AD81" s="271"/>
      <c r="AE81" s="271"/>
      <c r="AF81" s="271"/>
      <c r="AG81" s="65"/>
      <c r="AH81" s="271"/>
      <c r="AI81" s="271"/>
      <c r="AJ81" s="271"/>
      <c r="AK81" s="271"/>
      <c r="AL81" s="271"/>
      <c r="AM81" s="271"/>
      <c r="AN81" s="271"/>
      <c r="AO81" s="294" t="s">
        <v>1112</v>
      </c>
      <c r="AP81" s="294" t="s">
        <v>1113</v>
      </c>
      <c r="AQ81" s="295" t="s">
        <v>1567</v>
      </c>
    </row>
    <row r="82" ht="15.75" customHeight="1">
      <c r="A82" s="304"/>
      <c r="B82" s="304"/>
      <c r="C82" s="304"/>
      <c r="D82" s="304"/>
      <c r="E82" s="304"/>
      <c r="F82" s="304"/>
      <c r="G82" s="304"/>
      <c r="H82" s="271"/>
      <c r="I82" s="271"/>
      <c r="J82" s="271"/>
      <c r="K82" s="271"/>
      <c r="L82" s="271"/>
      <c r="M82" s="271"/>
      <c r="N82" s="271"/>
      <c r="O82" s="290"/>
      <c r="P82" s="65"/>
      <c r="Q82" s="65"/>
      <c r="R82" s="65"/>
      <c r="S82" s="65"/>
      <c r="T82" s="283"/>
      <c r="U82" s="271"/>
      <c r="V82" s="271"/>
      <c r="W82" s="271"/>
      <c r="X82" s="271"/>
      <c r="Y82" s="271"/>
      <c r="Z82" s="271"/>
      <c r="AA82" s="271"/>
      <c r="AB82" s="271"/>
      <c r="AC82" s="271"/>
      <c r="AD82" s="271"/>
      <c r="AE82" s="271"/>
      <c r="AF82" s="271"/>
      <c r="AG82" s="65"/>
      <c r="AH82" s="271"/>
      <c r="AI82" s="271"/>
      <c r="AJ82" s="271"/>
      <c r="AK82" s="271"/>
      <c r="AL82" s="271"/>
      <c r="AM82" s="271"/>
      <c r="AN82" s="271"/>
      <c r="AO82" s="294" t="s">
        <v>1090</v>
      </c>
      <c r="AP82" s="294" t="s">
        <v>1091</v>
      </c>
      <c r="AQ82" s="295" t="s">
        <v>1561</v>
      </c>
    </row>
    <row r="83" ht="15.75" customHeight="1">
      <c r="A83" s="304"/>
      <c r="B83" s="304"/>
      <c r="C83" s="304"/>
      <c r="D83" s="304"/>
      <c r="E83" s="304"/>
      <c r="F83" s="304"/>
      <c r="G83" s="304"/>
      <c r="H83" s="271"/>
      <c r="I83" s="271"/>
      <c r="J83" s="271"/>
      <c r="K83" s="271"/>
      <c r="L83" s="271"/>
      <c r="M83" s="271"/>
      <c r="N83" s="271"/>
      <c r="O83" s="290"/>
      <c r="P83" s="65"/>
      <c r="Q83" s="65"/>
      <c r="R83" s="65"/>
      <c r="S83" s="65"/>
      <c r="T83" s="283"/>
      <c r="U83" s="271"/>
      <c r="V83" s="271"/>
      <c r="W83" s="271"/>
      <c r="X83" s="271"/>
      <c r="Y83" s="271"/>
      <c r="Z83" s="271"/>
      <c r="AA83" s="271"/>
      <c r="AB83" s="271"/>
      <c r="AC83" s="271"/>
      <c r="AD83" s="271"/>
      <c r="AE83" s="271"/>
      <c r="AF83" s="271"/>
      <c r="AG83" s="65"/>
      <c r="AH83" s="271"/>
      <c r="AI83" s="271"/>
      <c r="AJ83" s="271"/>
      <c r="AK83" s="271"/>
      <c r="AL83" s="271"/>
      <c r="AM83" s="271"/>
      <c r="AN83" s="271"/>
      <c r="AO83" s="294" t="s">
        <v>884</v>
      </c>
      <c r="AP83" s="294" t="s">
        <v>885</v>
      </c>
      <c r="AQ83" s="295" t="s">
        <v>1561</v>
      </c>
    </row>
    <row r="84" ht="15.75" customHeight="1">
      <c r="A84" s="304"/>
      <c r="B84" s="304"/>
      <c r="C84" s="304"/>
      <c r="D84" s="304"/>
      <c r="E84" s="304"/>
      <c r="F84" s="304"/>
      <c r="G84" s="304"/>
      <c r="H84" s="271"/>
      <c r="I84" s="271"/>
      <c r="J84" s="271"/>
      <c r="K84" s="271"/>
      <c r="L84" s="271"/>
      <c r="M84" s="271"/>
      <c r="N84" s="271"/>
      <c r="O84" s="290"/>
      <c r="P84" s="65"/>
      <c r="Q84" s="65"/>
      <c r="R84" s="65"/>
      <c r="S84" s="65"/>
      <c r="T84" s="283"/>
      <c r="U84" s="271"/>
      <c r="V84" s="271"/>
      <c r="W84" s="271"/>
      <c r="X84" s="271"/>
      <c r="Y84" s="271"/>
      <c r="Z84" s="271"/>
      <c r="AA84" s="271"/>
      <c r="AB84" s="271"/>
      <c r="AC84" s="271"/>
      <c r="AD84" s="271"/>
      <c r="AE84" s="271"/>
      <c r="AF84" s="271"/>
      <c r="AG84" s="65"/>
      <c r="AH84" s="271"/>
      <c r="AI84" s="271"/>
      <c r="AJ84" s="271"/>
      <c r="AK84" s="271"/>
      <c r="AL84" s="271"/>
      <c r="AM84" s="271"/>
      <c r="AN84" s="271"/>
      <c r="AO84" s="293" t="s">
        <v>988</v>
      </c>
      <c r="AP84" s="294" t="s">
        <v>989</v>
      </c>
      <c r="AQ84" s="295" t="s">
        <v>1561</v>
      </c>
    </row>
    <row r="85" ht="15.75" customHeight="1">
      <c r="A85" s="304"/>
      <c r="B85" s="304"/>
      <c r="C85" s="304"/>
      <c r="D85" s="304"/>
      <c r="E85" s="305"/>
      <c r="F85" s="304"/>
      <c r="G85" s="304"/>
      <c r="H85" s="271"/>
      <c r="I85" s="271"/>
      <c r="J85" s="271"/>
      <c r="K85" s="271"/>
      <c r="L85" s="271"/>
      <c r="M85" s="271"/>
      <c r="N85" s="271"/>
      <c r="O85" s="290"/>
      <c r="P85" s="65"/>
      <c r="Q85" s="65"/>
      <c r="R85" s="65"/>
      <c r="S85" s="65"/>
      <c r="T85" s="283"/>
      <c r="U85" s="271"/>
      <c r="V85" s="271"/>
      <c r="W85" s="271"/>
      <c r="X85" s="271"/>
      <c r="Y85" s="271"/>
      <c r="Z85" s="271"/>
      <c r="AA85" s="271"/>
      <c r="AB85" s="271"/>
      <c r="AC85" s="271"/>
      <c r="AD85" s="271"/>
      <c r="AE85" s="271"/>
      <c r="AF85" s="271"/>
      <c r="AG85" s="65"/>
      <c r="AH85" s="294" t="s">
        <v>1090</v>
      </c>
      <c r="AI85" s="294" t="s">
        <v>1091</v>
      </c>
      <c r="AJ85" s="294" t="str">
        <f t="shared" ref="AJ85:AJ111" si="1"> CONCATENATE(AH85," ",AI85)</f>
        <v>Aegilops tauschii</v>
      </c>
      <c r="AK85" s="271"/>
      <c r="AL85" s="271"/>
      <c r="AM85" s="271"/>
      <c r="AN85" s="271"/>
      <c r="AO85" s="293" t="s">
        <v>988</v>
      </c>
      <c r="AP85" s="294" t="s">
        <v>990</v>
      </c>
      <c r="AQ85" s="295" t="s">
        <v>1561</v>
      </c>
    </row>
    <row r="86" ht="15.75" customHeight="1">
      <c r="A86" s="304"/>
      <c r="B86" s="304"/>
      <c r="C86" s="304"/>
      <c r="D86" s="304"/>
      <c r="E86" s="305"/>
      <c r="F86" s="305"/>
      <c r="G86" s="304"/>
      <c r="H86" s="271"/>
      <c r="I86" s="271"/>
      <c r="J86" s="271"/>
      <c r="K86" s="271"/>
      <c r="L86" s="271"/>
      <c r="M86" s="271"/>
      <c r="N86" s="271"/>
      <c r="O86" s="290"/>
      <c r="P86" s="65"/>
      <c r="Q86" s="65"/>
      <c r="R86" s="65"/>
      <c r="S86" s="65"/>
      <c r="T86" s="283"/>
      <c r="U86" s="271"/>
      <c r="V86" s="271"/>
      <c r="W86" s="271"/>
      <c r="X86" s="271"/>
      <c r="Y86" s="271"/>
      <c r="Z86" s="271"/>
      <c r="AA86" s="271"/>
      <c r="AB86" s="271"/>
      <c r="AC86" s="271"/>
      <c r="AD86" s="271"/>
      <c r="AE86" s="271"/>
      <c r="AF86" s="271"/>
      <c r="AG86" s="65"/>
      <c r="AH86" s="294" t="s">
        <v>884</v>
      </c>
      <c r="AI86" s="294" t="s">
        <v>885</v>
      </c>
      <c r="AJ86" s="294" t="str">
        <f t="shared" si="1"/>
        <v>Arabidopsis lyrata</v>
      </c>
      <c r="AK86" s="271"/>
      <c r="AL86" s="271"/>
      <c r="AM86" s="271"/>
      <c r="AN86" s="271"/>
      <c r="AO86" s="294" t="s">
        <v>927</v>
      </c>
      <c r="AP86" s="294" t="s">
        <v>928</v>
      </c>
      <c r="AQ86" s="295" t="s">
        <v>1561</v>
      </c>
    </row>
    <row r="87" ht="15.75" customHeight="1">
      <c r="A87" s="304"/>
      <c r="B87" s="304"/>
      <c r="C87" s="304"/>
      <c r="D87" s="304"/>
      <c r="E87" s="305"/>
      <c r="F87" s="305"/>
      <c r="G87" s="304"/>
      <c r="H87" s="271"/>
      <c r="I87" s="271"/>
      <c r="J87" s="271"/>
      <c r="K87" s="271"/>
      <c r="L87" s="271"/>
      <c r="M87" s="271"/>
      <c r="N87" s="271"/>
      <c r="O87" s="290"/>
      <c r="P87" s="65"/>
      <c r="Q87" s="65"/>
      <c r="R87" s="65"/>
      <c r="S87" s="65"/>
      <c r="T87" s="283"/>
      <c r="U87" s="271"/>
      <c r="V87" s="271"/>
      <c r="W87" s="271"/>
      <c r="X87" s="271"/>
      <c r="Y87" s="271"/>
      <c r="Z87" s="271"/>
      <c r="AA87" s="271"/>
      <c r="AB87" s="271"/>
      <c r="AC87" s="271"/>
      <c r="AD87" s="271"/>
      <c r="AE87" s="271"/>
      <c r="AF87" s="271"/>
      <c r="AG87" s="65"/>
      <c r="AH87" s="293" t="s">
        <v>988</v>
      </c>
      <c r="AI87" s="294" t="s">
        <v>989</v>
      </c>
      <c r="AJ87" s="294" t="str">
        <f t="shared" si="1"/>
        <v>Arachis duranensis</v>
      </c>
      <c r="AK87" s="271"/>
      <c r="AL87" s="271"/>
      <c r="AM87" s="271"/>
      <c r="AN87" s="271"/>
      <c r="AO87" s="294" t="s">
        <v>1095</v>
      </c>
      <c r="AP87" s="294" t="s">
        <v>1096</v>
      </c>
      <c r="AQ87" s="295" t="s">
        <v>1561</v>
      </c>
    </row>
    <row r="88" ht="15.75" customHeight="1">
      <c r="A88" s="304"/>
      <c r="B88" s="304"/>
      <c r="C88" s="304"/>
      <c r="D88" s="304"/>
      <c r="E88" s="305"/>
      <c r="F88" s="305"/>
      <c r="G88" s="304"/>
      <c r="H88" s="271"/>
      <c r="I88" s="271"/>
      <c r="J88" s="271"/>
      <c r="K88" s="271"/>
      <c r="L88" s="271"/>
      <c r="M88" s="271"/>
      <c r="N88" s="271"/>
      <c r="O88" s="290"/>
      <c r="P88" s="65"/>
      <c r="Q88" s="65"/>
      <c r="R88" s="65"/>
      <c r="S88" s="65"/>
      <c r="T88" s="283"/>
      <c r="U88" s="271"/>
      <c r="V88" s="271"/>
      <c r="W88" s="271"/>
      <c r="X88" s="271"/>
      <c r="Y88" s="271"/>
      <c r="Z88" s="271"/>
      <c r="AA88" s="271"/>
      <c r="AB88" s="271"/>
      <c r="AC88" s="271"/>
      <c r="AD88" s="271"/>
      <c r="AE88" s="271"/>
      <c r="AF88" s="271"/>
      <c r="AG88" s="65"/>
      <c r="AH88" s="293" t="s">
        <v>988</v>
      </c>
      <c r="AI88" s="294" t="s">
        <v>990</v>
      </c>
      <c r="AJ88" s="294" t="str">
        <f t="shared" si="1"/>
        <v>Arachis ipaensis</v>
      </c>
      <c r="AK88" s="271"/>
      <c r="AL88" s="271"/>
      <c r="AM88" s="271"/>
      <c r="AN88" s="271"/>
      <c r="AO88" s="294" t="s">
        <v>908</v>
      </c>
      <c r="AP88" s="294" t="s">
        <v>909</v>
      </c>
      <c r="AQ88" s="295" t="s">
        <v>1561</v>
      </c>
    </row>
    <row r="89" ht="15.75" customHeight="1">
      <c r="A89" s="305"/>
      <c r="B89" s="305"/>
      <c r="C89" s="304"/>
      <c r="D89" s="304"/>
      <c r="E89" s="305"/>
      <c r="F89" s="305"/>
      <c r="G89" s="304"/>
      <c r="H89" s="271"/>
      <c r="I89" s="271"/>
      <c r="J89" s="271"/>
      <c r="K89" s="271"/>
      <c r="L89" s="271"/>
      <c r="M89" s="271"/>
      <c r="N89" s="271"/>
      <c r="O89" s="290"/>
      <c r="P89" s="65"/>
      <c r="Q89" s="65"/>
      <c r="R89" s="65"/>
      <c r="S89" s="65"/>
      <c r="T89" s="283"/>
      <c r="U89" s="271"/>
      <c r="V89" s="271"/>
      <c r="W89" s="271"/>
      <c r="X89" s="271"/>
      <c r="Y89" s="271"/>
      <c r="Z89" s="271"/>
      <c r="AA89" s="271"/>
      <c r="AB89" s="271"/>
      <c r="AC89" s="271"/>
      <c r="AD89" s="271"/>
      <c r="AE89" s="271"/>
      <c r="AF89" s="271"/>
      <c r="AG89" s="65"/>
      <c r="AH89" s="294" t="s">
        <v>927</v>
      </c>
      <c r="AI89" s="294" t="s">
        <v>928</v>
      </c>
      <c r="AJ89" s="294" t="str">
        <f t="shared" si="1"/>
        <v>Auxenochlorella protothecoides</v>
      </c>
      <c r="AK89" s="271"/>
      <c r="AL89" s="271"/>
      <c r="AM89" s="271"/>
      <c r="AN89" s="271"/>
      <c r="AO89" s="294" t="s">
        <v>931</v>
      </c>
      <c r="AP89" s="294" t="s">
        <v>932</v>
      </c>
      <c r="AQ89" s="295" t="s">
        <v>1561</v>
      </c>
    </row>
    <row r="90" ht="15.75" customHeight="1">
      <c r="A90" s="305"/>
      <c r="B90" s="305"/>
      <c r="C90" s="305"/>
      <c r="D90" s="304"/>
      <c r="E90" s="305"/>
      <c r="F90" s="305"/>
      <c r="G90" s="304"/>
      <c r="H90" s="271"/>
      <c r="I90" s="271"/>
      <c r="J90" s="271"/>
      <c r="K90" s="271"/>
      <c r="L90" s="271"/>
      <c r="M90" s="271"/>
      <c r="N90" s="271"/>
      <c r="O90" s="290"/>
      <c r="P90" s="65"/>
      <c r="Q90" s="65"/>
      <c r="R90" s="65"/>
      <c r="S90" s="65"/>
      <c r="T90" s="283"/>
      <c r="U90" s="271"/>
      <c r="V90" s="271"/>
      <c r="W90" s="271"/>
      <c r="X90" s="271"/>
      <c r="Y90" s="271"/>
      <c r="Z90" s="271"/>
      <c r="AA90" s="271"/>
      <c r="AB90" s="271"/>
      <c r="AC90" s="271"/>
      <c r="AD90" s="271"/>
      <c r="AE90" s="271"/>
      <c r="AF90" s="271"/>
      <c r="AG90" s="65"/>
      <c r="AH90" s="294" t="s">
        <v>1095</v>
      </c>
      <c r="AI90" s="294" t="s">
        <v>1096</v>
      </c>
      <c r="AJ90" s="294" t="str">
        <f t="shared" si="1"/>
        <v>Brachypodium distachyon</v>
      </c>
      <c r="AK90" s="271"/>
      <c r="AL90" s="271"/>
      <c r="AM90" s="271"/>
      <c r="AN90" s="271"/>
      <c r="AO90" s="294" t="s">
        <v>1034</v>
      </c>
      <c r="AP90" s="294" t="s">
        <v>1035</v>
      </c>
      <c r="AQ90" s="295" t="s">
        <v>1561</v>
      </c>
    </row>
    <row r="91" ht="15.75" customHeight="1">
      <c r="A91" s="305"/>
      <c r="B91" s="305"/>
      <c r="C91" s="305"/>
      <c r="D91" s="305"/>
      <c r="E91" s="305"/>
      <c r="F91" s="305"/>
      <c r="G91" s="304"/>
      <c r="H91" s="271"/>
      <c r="I91" s="271"/>
      <c r="J91" s="271"/>
      <c r="K91" s="271"/>
      <c r="L91" s="271"/>
      <c r="M91" s="271"/>
      <c r="N91" s="271"/>
      <c r="O91" s="290"/>
      <c r="P91" s="65"/>
      <c r="Q91" s="65"/>
      <c r="R91" s="65"/>
      <c r="S91" s="65"/>
      <c r="T91" s="283"/>
      <c r="U91" s="271"/>
      <c r="V91" s="271"/>
      <c r="W91" s="271"/>
      <c r="X91" s="271"/>
      <c r="Y91" s="271"/>
      <c r="Z91" s="271"/>
      <c r="AA91" s="271"/>
      <c r="AB91" s="271"/>
      <c r="AC91" s="271"/>
      <c r="AD91" s="271"/>
      <c r="AE91" s="271"/>
      <c r="AF91" s="271"/>
      <c r="AG91" s="65"/>
      <c r="AH91" s="294" t="s">
        <v>908</v>
      </c>
      <c r="AI91" s="294" t="s">
        <v>909</v>
      </c>
      <c r="AJ91" s="294" t="str">
        <f t="shared" si="1"/>
        <v>Capsella rubella</v>
      </c>
      <c r="AK91" s="271"/>
      <c r="AL91" s="271"/>
      <c r="AM91" s="271"/>
      <c r="AN91" s="271"/>
      <c r="AO91" s="294" t="s">
        <v>939</v>
      </c>
      <c r="AP91" s="294" t="s">
        <v>940</v>
      </c>
      <c r="AQ91" s="295" t="s">
        <v>1561</v>
      </c>
    </row>
    <row r="92" ht="15.75" customHeight="1">
      <c r="A92" s="305"/>
      <c r="B92" s="305"/>
      <c r="C92" s="305"/>
      <c r="D92" s="305"/>
      <c r="E92" s="305"/>
      <c r="F92" s="305"/>
      <c r="G92" s="305"/>
      <c r="H92" s="271"/>
      <c r="I92" s="271"/>
      <c r="J92" s="271"/>
      <c r="K92" s="271"/>
      <c r="L92" s="271"/>
      <c r="M92" s="271"/>
      <c r="N92" s="271"/>
      <c r="O92" s="290"/>
      <c r="P92" s="65"/>
      <c r="Q92" s="65"/>
      <c r="R92" s="65"/>
      <c r="S92" s="65"/>
      <c r="T92" s="283"/>
      <c r="U92" s="271"/>
      <c r="V92" s="271"/>
      <c r="W92" s="271"/>
      <c r="X92" s="271"/>
      <c r="Y92" s="271"/>
      <c r="Z92" s="271"/>
      <c r="AA92" s="271"/>
      <c r="AB92" s="271"/>
      <c r="AC92" s="271"/>
      <c r="AD92" s="271"/>
      <c r="AE92" s="271"/>
      <c r="AF92" s="271"/>
      <c r="AG92" s="65"/>
      <c r="AH92" s="294" t="s">
        <v>931</v>
      </c>
      <c r="AI92" s="294" t="s">
        <v>932</v>
      </c>
      <c r="AJ92" s="294" t="str">
        <f t="shared" si="1"/>
        <v>Chlorella variabilis</v>
      </c>
      <c r="AK92" s="271"/>
      <c r="AL92" s="271"/>
      <c r="AM92" s="271"/>
      <c r="AN92" s="271"/>
      <c r="AO92" s="294" t="s">
        <v>965</v>
      </c>
      <c r="AP92" s="294" t="s">
        <v>966</v>
      </c>
      <c r="AQ92" s="295" t="s">
        <v>1561</v>
      </c>
    </row>
    <row r="93" ht="15.75" customHeight="1">
      <c r="A93" s="305"/>
      <c r="B93" s="305"/>
      <c r="C93" s="305"/>
      <c r="D93" s="305"/>
      <c r="E93" s="305"/>
      <c r="F93" s="305"/>
      <c r="G93" s="305"/>
      <c r="H93" s="271"/>
      <c r="I93" s="271"/>
      <c r="J93" s="271"/>
      <c r="K93" s="271"/>
      <c r="L93" s="271"/>
      <c r="M93" s="271"/>
      <c r="N93" s="271"/>
      <c r="O93" s="290"/>
      <c r="P93" s="65"/>
      <c r="Q93" s="65"/>
      <c r="R93" s="65"/>
      <c r="S93" s="65"/>
      <c r="T93" s="283"/>
      <c r="U93" s="271"/>
      <c r="V93" s="271"/>
      <c r="W93" s="271"/>
      <c r="X93" s="271"/>
      <c r="Y93" s="271"/>
      <c r="Z93" s="271"/>
      <c r="AA93" s="271"/>
      <c r="AB93" s="271"/>
      <c r="AC93" s="271"/>
      <c r="AD93" s="271"/>
      <c r="AE93" s="271"/>
      <c r="AF93" s="271"/>
      <c r="AG93" s="65"/>
      <c r="AH93" s="294" t="s">
        <v>1034</v>
      </c>
      <c r="AI93" s="294" t="s">
        <v>1035</v>
      </c>
      <c r="AJ93" s="294" t="str">
        <f t="shared" si="1"/>
        <v>Chrondus crispus</v>
      </c>
      <c r="AK93" s="271"/>
      <c r="AL93" s="271"/>
      <c r="AM93" s="271"/>
      <c r="AN93" s="271"/>
      <c r="AO93" s="294" t="s">
        <v>1082</v>
      </c>
      <c r="AP93" s="294" t="s">
        <v>1083</v>
      </c>
      <c r="AQ93" s="295" t="s">
        <v>1561</v>
      </c>
    </row>
    <row r="94" ht="15.75" customHeight="1">
      <c r="A94" s="305"/>
      <c r="B94" s="305"/>
      <c r="C94" s="305"/>
      <c r="D94" s="305"/>
      <c r="E94" s="305"/>
      <c r="F94" s="305"/>
      <c r="G94" s="305"/>
      <c r="H94" s="271"/>
      <c r="I94" s="271"/>
      <c r="J94" s="271"/>
      <c r="K94" s="271"/>
      <c r="L94" s="271"/>
      <c r="M94" s="271"/>
      <c r="N94" s="271"/>
      <c r="O94" s="290"/>
      <c r="P94" s="65"/>
      <c r="Q94" s="65"/>
      <c r="R94" s="65"/>
      <c r="S94" s="65"/>
      <c r="T94" s="283"/>
      <c r="U94" s="271"/>
      <c r="V94" s="271"/>
      <c r="W94" s="271"/>
      <c r="X94" s="271"/>
      <c r="Y94" s="271"/>
      <c r="Z94" s="271"/>
      <c r="AA94" s="271"/>
      <c r="AB94" s="271"/>
      <c r="AC94" s="271"/>
      <c r="AD94" s="271"/>
      <c r="AE94" s="271"/>
      <c r="AF94" s="271"/>
      <c r="AG94" s="65"/>
      <c r="AH94" s="294" t="s">
        <v>939</v>
      </c>
      <c r="AI94" s="294" t="s">
        <v>940</v>
      </c>
      <c r="AJ94" s="294" t="str">
        <f t="shared" si="1"/>
        <v>Coccomyxa subellipsoidea</v>
      </c>
      <c r="AK94" s="271"/>
      <c r="AL94" s="271"/>
      <c r="AM94" s="271"/>
      <c r="AN94" s="271"/>
      <c r="AO94" s="294" t="s">
        <v>910</v>
      </c>
      <c r="AP94" s="294" t="s">
        <v>911</v>
      </c>
      <c r="AQ94" s="295" t="s">
        <v>1561</v>
      </c>
    </row>
    <row r="95" ht="15.75" customHeight="1">
      <c r="A95" s="305"/>
      <c r="B95" s="305"/>
      <c r="C95" s="305"/>
      <c r="D95" s="305"/>
      <c r="E95" s="305"/>
      <c r="F95" s="305"/>
      <c r="G95" s="305"/>
      <c r="H95" s="271"/>
      <c r="I95" s="271"/>
      <c r="J95" s="271"/>
      <c r="K95" s="271"/>
      <c r="L95" s="271"/>
      <c r="M95" s="271"/>
      <c r="N95" s="271"/>
      <c r="O95" s="290"/>
      <c r="P95" s="65"/>
      <c r="Q95" s="65"/>
      <c r="R95" s="65"/>
      <c r="S95" s="65"/>
      <c r="T95" s="283"/>
      <c r="U95" s="271"/>
      <c r="V95" s="271"/>
      <c r="W95" s="271"/>
      <c r="X95" s="271"/>
      <c r="Y95" s="271"/>
      <c r="Z95" s="271"/>
      <c r="AA95" s="271"/>
      <c r="AB95" s="271"/>
      <c r="AC95" s="271"/>
      <c r="AD95" s="271"/>
      <c r="AE95" s="271"/>
      <c r="AF95" s="271"/>
      <c r="AG95" s="65"/>
      <c r="AH95" s="294" t="s">
        <v>965</v>
      </c>
      <c r="AI95" s="294" t="s">
        <v>966</v>
      </c>
      <c r="AJ95" s="294" t="str">
        <f t="shared" si="1"/>
        <v>Cyanidioschyzon merolae</v>
      </c>
      <c r="AK95" s="271"/>
      <c r="AL95" s="271"/>
      <c r="AM95" s="271"/>
      <c r="AN95" s="271"/>
      <c r="AO95" s="294" t="s">
        <v>967</v>
      </c>
      <c r="AP95" s="294" t="s">
        <v>968</v>
      </c>
      <c r="AQ95" s="295" t="s">
        <v>1561</v>
      </c>
    </row>
    <row r="96" ht="15.75" customHeight="1">
      <c r="A96" s="305"/>
      <c r="B96" s="305"/>
      <c r="C96" s="305"/>
      <c r="D96" s="305"/>
      <c r="E96" s="305"/>
      <c r="F96" s="305"/>
      <c r="G96" s="305"/>
      <c r="H96" s="271"/>
      <c r="I96" s="271"/>
      <c r="J96" s="271"/>
      <c r="K96" s="271"/>
      <c r="L96" s="271"/>
      <c r="M96" s="271"/>
      <c r="N96" s="271"/>
      <c r="O96" s="290"/>
      <c r="P96" s="65"/>
      <c r="Q96" s="65"/>
      <c r="R96" s="65"/>
      <c r="S96" s="65"/>
      <c r="T96" s="283"/>
      <c r="U96" s="271"/>
      <c r="V96" s="271"/>
      <c r="W96" s="271"/>
      <c r="X96" s="271"/>
      <c r="Y96" s="271"/>
      <c r="Z96" s="271"/>
      <c r="AA96" s="271"/>
      <c r="AB96" s="271"/>
      <c r="AC96" s="271"/>
      <c r="AD96" s="271"/>
      <c r="AE96" s="271"/>
      <c r="AF96" s="271"/>
      <c r="AG96" s="65"/>
      <c r="AH96" s="294" t="s">
        <v>1082</v>
      </c>
      <c r="AI96" s="294" t="s">
        <v>1083</v>
      </c>
      <c r="AJ96" s="294" t="str">
        <f t="shared" si="1"/>
        <v>Dendobium catenatum</v>
      </c>
      <c r="AK96" s="271"/>
      <c r="AL96" s="271"/>
      <c r="AM96" s="271"/>
      <c r="AN96" s="271"/>
      <c r="AO96" s="294" t="s">
        <v>997</v>
      </c>
      <c r="AP96" s="294" t="s">
        <v>999</v>
      </c>
      <c r="AQ96" s="295" t="s">
        <v>1561</v>
      </c>
    </row>
    <row r="97" ht="15.75" customHeight="1">
      <c r="A97" s="305"/>
      <c r="B97" s="305"/>
      <c r="C97" s="305"/>
      <c r="D97" s="305"/>
      <c r="E97" s="305"/>
      <c r="F97" s="305"/>
      <c r="G97" s="305"/>
      <c r="H97" s="271"/>
      <c r="I97" s="271"/>
      <c r="J97" s="271"/>
      <c r="K97" s="271"/>
      <c r="L97" s="271"/>
      <c r="M97" s="271"/>
      <c r="N97" s="271"/>
      <c r="O97" s="290"/>
      <c r="P97" s="65"/>
      <c r="Q97" s="65"/>
      <c r="R97" s="65"/>
      <c r="S97" s="65"/>
      <c r="T97" s="283"/>
      <c r="U97" s="271"/>
      <c r="V97" s="271"/>
      <c r="W97" s="271"/>
      <c r="X97" s="271"/>
      <c r="Y97" s="271"/>
      <c r="Z97" s="271"/>
      <c r="AA97" s="271"/>
      <c r="AB97" s="271"/>
      <c r="AC97" s="271"/>
      <c r="AD97" s="271"/>
      <c r="AE97" s="271"/>
      <c r="AF97" s="271"/>
      <c r="AG97" s="65"/>
      <c r="AH97" s="294" t="s">
        <v>910</v>
      </c>
      <c r="AI97" s="294" t="s">
        <v>911</v>
      </c>
      <c r="AJ97" s="294" t="str">
        <f t="shared" si="1"/>
        <v>Eutrema salsugineum</v>
      </c>
      <c r="AK97" s="271"/>
      <c r="AL97" s="271"/>
      <c r="AM97" s="271"/>
      <c r="AN97" s="271"/>
      <c r="AO97" s="293" t="s">
        <v>1000</v>
      </c>
      <c r="AP97" s="294" t="s">
        <v>1001</v>
      </c>
      <c r="AQ97" s="295" t="s">
        <v>1561</v>
      </c>
    </row>
    <row r="98" ht="15.75" customHeight="1">
      <c r="A98" s="305"/>
      <c r="B98" s="305"/>
      <c r="C98" s="305"/>
      <c r="D98" s="305"/>
      <c r="E98" s="305"/>
      <c r="F98" s="305"/>
      <c r="G98" s="305"/>
      <c r="H98" s="271"/>
      <c r="I98" s="271"/>
      <c r="J98" s="271"/>
      <c r="K98" s="271"/>
      <c r="L98" s="271"/>
      <c r="M98" s="271"/>
      <c r="N98" s="271"/>
      <c r="O98" s="290"/>
      <c r="P98" s="65"/>
      <c r="Q98" s="65"/>
      <c r="R98" s="65"/>
      <c r="S98" s="65"/>
      <c r="T98" s="283"/>
      <c r="U98" s="271"/>
      <c r="V98" s="271"/>
      <c r="W98" s="271"/>
      <c r="X98" s="271"/>
      <c r="Y98" s="271"/>
      <c r="Z98" s="271"/>
      <c r="AA98" s="271"/>
      <c r="AB98" s="271"/>
      <c r="AC98" s="271"/>
      <c r="AD98" s="271"/>
      <c r="AE98" s="271"/>
      <c r="AF98" s="271"/>
      <c r="AG98" s="65"/>
      <c r="AH98" s="294" t="s">
        <v>967</v>
      </c>
      <c r="AI98" s="294" t="s">
        <v>968</v>
      </c>
      <c r="AJ98" s="294" t="str">
        <f t="shared" si="1"/>
        <v>Galdiera sulphuraria</v>
      </c>
      <c r="AK98" s="271"/>
      <c r="AL98" s="271"/>
      <c r="AM98" s="271"/>
      <c r="AN98" s="271"/>
      <c r="AO98" s="294" t="s">
        <v>1057</v>
      </c>
      <c r="AP98" s="294" t="s">
        <v>1058</v>
      </c>
      <c r="AQ98" s="295" t="s">
        <v>1561</v>
      </c>
    </row>
    <row r="99" ht="15.75" customHeight="1">
      <c r="A99" s="305"/>
      <c r="B99" s="305"/>
      <c r="C99" s="305"/>
      <c r="D99" s="305"/>
      <c r="E99" s="305"/>
      <c r="F99" s="305"/>
      <c r="G99" s="305"/>
      <c r="H99" s="271"/>
      <c r="I99" s="271"/>
      <c r="J99" s="271"/>
      <c r="K99" s="271"/>
      <c r="L99" s="271"/>
      <c r="M99" s="271"/>
      <c r="N99" s="271"/>
      <c r="O99" s="290"/>
      <c r="P99" s="65"/>
      <c r="Q99" s="65"/>
      <c r="R99" s="65"/>
      <c r="S99" s="65"/>
      <c r="T99" s="283"/>
      <c r="U99" s="271"/>
      <c r="V99" s="271"/>
      <c r="W99" s="271"/>
      <c r="X99" s="271"/>
      <c r="Y99" s="271"/>
      <c r="Z99" s="271"/>
      <c r="AA99" s="271"/>
      <c r="AB99" s="271"/>
      <c r="AC99" s="271"/>
      <c r="AD99" s="271"/>
      <c r="AE99" s="271"/>
      <c r="AF99" s="271"/>
      <c r="AG99" s="65"/>
      <c r="AH99" s="294" t="s">
        <v>997</v>
      </c>
      <c r="AI99" s="294" t="s">
        <v>999</v>
      </c>
      <c r="AJ99" s="294" t="str">
        <f t="shared" si="1"/>
        <v>Glycine soja</v>
      </c>
      <c r="AK99" s="271"/>
      <c r="AL99" s="271"/>
      <c r="AM99" s="271"/>
      <c r="AN99" s="271"/>
      <c r="AO99" s="294" t="s">
        <v>1138</v>
      </c>
      <c r="AP99" s="294" t="s">
        <v>1139</v>
      </c>
      <c r="AQ99" s="295" t="s">
        <v>1561</v>
      </c>
    </row>
    <row r="100" ht="15.75" customHeight="1">
      <c r="A100" s="305"/>
      <c r="B100" s="305"/>
      <c r="C100" s="305"/>
      <c r="D100" s="305"/>
      <c r="E100" s="305"/>
      <c r="F100" s="305"/>
      <c r="G100" s="305"/>
      <c r="H100" s="271"/>
      <c r="I100" s="271"/>
      <c r="J100" s="271"/>
      <c r="K100" s="271"/>
      <c r="L100" s="271"/>
      <c r="M100" s="271"/>
      <c r="N100" s="271"/>
      <c r="O100" s="290"/>
      <c r="P100" s="65"/>
      <c r="Q100" s="65"/>
      <c r="R100" s="65"/>
      <c r="S100" s="65"/>
      <c r="T100" s="283"/>
      <c r="U100" s="271"/>
      <c r="V100" s="271"/>
      <c r="W100" s="271"/>
      <c r="X100" s="271"/>
      <c r="Y100" s="271"/>
      <c r="Z100" s="271"/>
      <c r="AA100" s="271"/>
      <c r="AB100" s="271"/>
      <c r="AC100" s="271"/>
      <c r="AD100" s="271"/>
      <c r="AE100" s="271"/>
      <c r="AF100" s="271"/>
      <c r="AG100" s="65"/>
      <c r="AH100" s="293" t="s">
        <v>1000</v>
      </c>
      <c r="AI100" s="294" t="s">
        <v>1001</v>
      </c>
      <c r="AJ100" s="294" t="str">
        <f t="shared" si="1"/>
        <v>Lotus japonicus</v>
      </c>
      <c r="AK100" s="271"/>
      <c r="AL100" s="271"/>
      <c r="AM100" s="271"/>
      <c r="AN100" s="271"/>
      <c r="AO100" s="293" t="s">
        <v>1143</v>
      </c>
      <c r="AP100" s="294" t="s">
        <v>1077</v>
      </c>
      <c r="AQ100" s="295" t="s">
        <v>1561</v>
      </c>
    </row>
    <row r="101" ht="15.75" customHeight="1">
      <c r="A101" s="305"/>
      <c r="B101" s="305"/>
      <c r="C101" s="305"/>
      <c r="D101" s="305"/>
      <c r="E101" s="305"/>
      <c r="F101" s="305"/>
      <c r="G101" s="305"/>
      <c r="H101" s="271"/>
      <c r="I101" s="271"/>
      <c r="J101" s="271"/>
      <c r="K101" s="271"/>
      <c r="L101" s="271"/>
      <c r="M101" s="271"/>
      <c r="N101" s="271"/>
      <c r="O101" s="290"/>
      <c r="P101" s="65"/>
      <c r="Q101" s="65"/>
      <c r="R101" s="65"/>
      <c r="S101" s="65"/>
      <c r="T101" s="283"/>
      <c r="U101" s="271"/>
      <c r="V101" s="271"/>
      <c r="W101" s="271"/>
      <c r="X101" s="271"/>
      <c r="Y101" s="271"/>
      <c r="Z101" s="271"/>
      <c r="AA101" s="271"/>
      <c r="AB101" s="271"/>
      <c r="AC101" s="271"/>
      <c r="AD101" s="271"/>
      <c r="AE101" s="271"/>
      <c r="AF101" s="271"/>
      <c r="AG101" s="65"/>
      <c r="AH101" s="294" t="s">
        <v>1057</v>
      </c>
      <c r="AI101" s="294" t="s">
        <v>1058</v>
      </c>
      <c r="AJ101" s="294" t="str">
        <f t="shared" si="1"/>
        <v>Micromonas commoda</v>
      </c>
      <c r="AK101" s="271"/>
      <c r="AL101" s="271"/>
      <c r="AM101" s="271"/>
      <c r="AN101" s="271"/>
      <c r="AO101" s="294" t="s">
        <v>871</v>
      </c>
      <c r="AP101" s="294" t="s">
        <v>872</v>
      </c>
      <c r="AQ101" s="295" t="s">
        <v>1561</v>
      </c>
    </row>
    <row r="102" ht="15.75" customHeight="1">
      <c r="A102" s="305"/>
      <c r="B102" s="305"/>
      <c r="C102" s="305"/>
      <c r="D102" s="305"/>
      <c r="E102" s="305"/>
      <c r="F102" s="305"/>
      <c r="G102" s="305"/>
      <c r="H102" s="271"/>
      <c r="I102" s="271"/>
      <c r="J102" s="271"/>
      <c r="K102" s="271"/>
      <c r="L102" s="271"/>
      <c r="M102" s="271"/>
      <c r="N102" s="271"/>
      <c r="O102" s="290"/>
      <c r="P102" s="65"/>
      <c r="Q102" s="65"/>
      <c r="R102" s="65"/>
      <c r="S102" s="65"/>
      <c r="T102" s="283"/>
      <c r="U102" s="271"/>
      <c r="V102" s="271"/>
      <c r="W102" s="271"/>
      <c r="X102" s="271"/>
      <c r="Y102" s="271"/>
      <c r="Z102" s="271"/>
      <c r="AA102" s="271"/>
      <c r="AB102" s="271"/>
      <c r="AC102" s="271"/>
      <c r="AD102" s="271"/>
      <c r="AE102" s="271"/>
      <c r="AF102" s="271"/>
      <c r="AG102" s="65"/>
      <c r="AH102" s="294" t="s">
        <v>1138</v>
      </c>
      <c r="AI102" s="294" t="s">
        <v>1139</v>
      </c>
      <c r="AJ102" s="294" t="str">
        <f t="shared" si="1"/>
        <v>Monoraphidium neglectum</v>
      </c>
      <c r="AK102" s="271"/>
      <c r="AL102" s="271"/>
      <c r="AM102" s="271"/>
      <c r="AN102" s="271"/>
      <c r="AO102" s="294" t="s">
        <v>871</v>
      </c>
      <c r="AP102" s="294" t="s">
        <v>874</v>
      </c>
      <c r="AQ102" s="295" t="s">
        <v>1561</v>
      </c>
    </row>
    <row r="103" ht="15.75" customHeight="1">
      <c r="A103" s="305"/>
      <c r="B103" s="305"/>
      <c r="C103" s="305"/>
      <c r="D103" s="305"/>
      <c r="E103" s="305"/>
      <c r="F103" s="305"/>
      <c r="G103" s="305"/>
      <c r="H103" s="271"/>
      <c r="I103" s="271"/>
      <c r="J103" s="271"/>
      <c r="K103" s="271"/>
      <c r="L103" s="271"/>
      <c r="M103" s="271"/>
      <c r="N103" s="271"/>
      <c r="O103" s="290"/>
      <c r="P103" s="65"/>
      <c r="Q103" s="65"/>
      <c r="R103" s="65"/>
      <c r="S103" s="65"/>
      <c r="T103" s="283"/>
      <c r="U103" s="271"/>
      <c r="V103" s="271"/>
      <c r="W103" s="271"/>
      <c r="X103" s="271"/>
      <c r="Y103" s="271"/>
      <c r="Z103" s="271"/>
      <c r="AA103" s="271"/>
      <c r="AB103" s="271"/>
      <c r="AC103" s="271"/>
      <c r="AD103" s="271"/>
      <c r="AE103" s="271"/>
      <c r="AF103" s="271"/>
      <c r="AG103" s="65"/>
      <c r="AH103" s="293" t="s">
        <v>1143</v>
      </c>
      <c r="AI103" s="294" t="s">
        <v>1077</v>
      </c>
      <c r="AJ103" s="294" t="str">
        <f t="shared" si="1"/>
        <v>Nicotiana sylvestris</v>
      </c>
      <c r="AK103" s="271"/>
      <c r="AL103" s="271"/>
      <c r="AM103" s="271"/>
      <c r="AN103" s="271"/>
      <c r="AO103" s="294" t="s">
        <v>1030</v>
      </c>
      <c r="AP103" s="294" t="s">
        <v>1031</v>
      </c>
      <c r="AQ103" s="295" t="s">
        <v>1561</v>
      </c>
    </row>
    <row r="104" ht="15.75" customHeight="1">
      <c r="A104" s="305"/>
      <c r="B104" s="305"/>
      <c r="C104" s="305"/>
      <c r="D104" s="305"/>
      <c r="E104" s="305"/>
      <c r="F104" s="305"/>
      <c r="G104" s="305"/>
      <c r="H104" s="271"/>
      <c r="I104" s="271"/>
      <c r="J104" s="271"/>
      <c r="K104" s="271"/>
      <c r="L104" s="271"/>
      <c r="M104" s="271"/>
      <c r="N104" s="271"/>
      <c r="O104" s="290"/>
      <c r="P104" s="65"/>
      <c r="Q104" s="65"/>
      <c r="R104" s="65"/>
      <c r="S104" s="65"/>
      <c r="T104" s="283"/>
      <c r="U104" s="271"/>
      <c r="V104" s="271"/>
      <c r="W104" s="271"/>
      <c r="X104" s="271"/>
      <c r="Y104" s="271"/>
      <c r="Z104" s="271"/>
      <c r="AA104" s="271"/>
      <c r="AB104" s="271"/>
      <c r="AC104" s="271"/>
      <c r="AD104" s="271"/>
      <c r="AE104" s="271"/>
      <c r="AF104" s="271"/>
      <c r="AG104" s="65"/>
      <c r="AH104" s="294" t="s">
        <v>871</v>
      </c>
      <c r="AI104" s="294" t="s">
        <v>872</v>
      </c>
      <c r="AJ104" s="294" t="str">
        <f t="shared" si="1"/>
        <v>Ostreococcus lucimarinus</v>
      </c>
      <c r="AK104" s="271"/>
      <c r="AL104" s="271"/>
      <c r="AM104" s="271"/>
      <c r="AN104" s="271"/>
      <c r="AO104" s="294" t="s">
        <v>1134</v>
      </c>
      <c r="AP104" s="294" t="s">
        <v>1135</v>
      </c>
      <c r="AQ104" s="295" t="s">
        <v>1561</v>
      </c>
    </row>
    <row r="105" ht="15.75" customHeight="1">
      <c r="A105" s="305"/>
      <c r="B105" s="305"/>
      <c r="C105" s="305"/>
      <c r="D105" s="305"/>
      <c r="E105" s="305"/>
      <c r="F105" s="305"/>
      <c r="G105" s="305"/>
      <c r="H105" s="271"/>
      <c r="I105" s="271"/>
      <c r="J105" s="271"/>
      <c r="K105" s="271"/>
      <c r="L105" s="271"/>
      <c r="M105" s="271"/>
      <c r="N105" s="271"/>
      <c r="O105" s="290"/>
      <c r="P105" s="65"/>
      <c r="Q105" s="65"/>
      <c r="R105" s="65"/>
      <c r="S105" s="65"/>
      <c r="T105" s="283"/>
      <c r="U105" s="271"/>
      <c r="V105" s="271"/>
      <c r="W105" s="271"/>
      <c r="X105" s="271"/>
      <c r="Y105" s="271"/>
      <c r="Z105" s="271"/>
      <c r="AA105" s="271"/>
      <c r="AB105" s="271"/>
      <c r="AC105" s="271"/>
      <c r="AD105" s="271"/>
      <c r="AE105" s="271"/>
      <c r="AF105" s="271"/>
      <c r="AG105" s="65"/>
      <c r="AH105" s="294" t="s">
        <v>871</v>
      </c>
      <c r="AI105" s="294" t="s">
        <v>874</v>
      </c>
      <c r="AJ105" s="294" t="str">
        <f t="shared" si="1"/>
        <v>Ostreococcus tauri</v>
      </c>
      <c r="AK105" s="271"/>
      <c r="AL105" s="271"/>
      <c r="AM105" s="271"/>
      <c r="AN105" s="271"/>
      <c r="AO105" s="294" t="s">
        <v>1147</v>
      </c>
      <c r="AP105" s="294" t="s">
        <v>1148</v>
      </c>
      <c r="AQ105" s="295" t="s">
        <v>1561</v>
      </c>
    </row>
    <row r="106" ht="15.75" customHeight="1">
      <c r="A106" s="305"/>
      <c r="B106" s="305"/>
      <c r="C106" s="305"/>
      <c r="D106" s="305"/>
      <c r="E106" s="305"/>
      <c r="F106" s="305"/>
      <c r="G106" s="305"/>
      <c r="H106" s="271"/>
      <c r="I106" s="271"/>
      <c r="J106" s="271"/>
      <c r="K106" s="271"/>
      <c r="L106" s="271"/>
      <c r="M106" s="271"/>
      <c r="N106" s="271"/>
      <c r="O106" s="290"/>
      <c r="P106" s="65"/>
      <c r="Q106" s="65"/>
      <c r="R106" s="65"/>
      <c r="S106" s="65"/>
      <c r="T106" s="283"/>
      <c r="U106" s="271"/>
      <c r="V106" s="271"/>
      <c r="W106" s="271"/>
      <c r="X106" s="271"/>
      <c r="Y106" s="271"/>
      <c r="Z106" s="271"/>
      <c r="AA106" s="271"/>
      <c r="AB106" s="271"/>
      <c r="AC106" s="271"/>
      <c r="AD106" s="271"/>
      <c r="AE106" s="271"/>
      <c r="AF106" s="271"/>
      <c r="AG106" s="65"/>
      <c r="AH106" s="294" t="s">
        <v>1030</v>
      </c>
      <c r="AI106" s="294" t="s">
        <v>1031</v>
      </c>
      <c r="AJ106" s="294" t="str">
        <f t="shared" si="1"/>
        <v>Physcomitrium patens</v>
      </c>
      <c r="AK106" s="271"/>
      <c r="AL106" s="271"/>
      <c r="AM106" s="271"/>
      <c r="AN106" s="271"/>
      <c r="AO106" s="294" t="s">
        <v>1147</v>
      </c>
      <c r="AP106" s="294" t="s">
        <v>1149</v>
      </c>
      <c r="AQ106" s="295" t="s">
        <v>1561</v>
      </c>
    </row>
    <row r="107" ht="15.75" customHeight="1">
      <c r="A107" s="305"/>
      <c r="B107" s="305"/>
      <c r="C107" s="305"/>
      <c r="D107" s="305"/>
      <c r="E107" s="305"/>
      <c r="F107" s="305"/>
      <c r="G107" s="305"/>
      <c r="H107" s="271"/>
      <c r="I107" s="271"/>
      <c r="J107" s="271"/>
      <c r="K107" s="271"/>
      <c r="L107" s="271"/>
      <c r="M107" s="271"/>
      <c r="N107" s="271"/>
      <c r="O107" s="290"/>
      <c r="P107" s="65"/>
      <c r="Q107" s="65"/>
      <c r="R107" s="65"/>
      <c r="S107" s="65"/>
      <c r="T107" s="283"/>
      <c r="U107" s="271"/>
      <c r="V107" s="271"/>
      <c r="W107" s="271"/>
      <c r="X107" s="271"/>
      <c r="Y107" s="271"/>
      <c r="Z107" s="271"/>
      <c r="AA107" s="271"/>
      <c r="AB107" s="271"/>
      <c r="AC107" s="271"/>
      <c r="AD107" s="271"/>
      <c r="AE107" s="271"/>
      <c r="AF107" s="271"/>
      <c r="AG107" s="65"/>
      <c r="AH107" s="294" t="s">
        <v>1134</v>
      </c>
      <c r="AI107" s="294" t="s">
        <v>1135</v>
      </c>
      <c r="AJ107" s="294" t="str">
        <f t="shared" si="1"/>
        <v>Selaginella moellendorffii</v>
      </c>
      <c r="AK107" s="271"/>
      <c r="AL107" s="271"/>
      <c r="AM107" s="271"/>
      <c r="AN107" s="271"/>
      <c r="AO107" s="294" t="s">
        <v>935</v>
      </c>
      <c r="AP107" s="294" t="s">
        <v>936</v>
      </c>
      <c r="AQ107" s="295" t="s">
        <v>1561</v>
      </c>
    </row>
    <row r="108" ht="15.75" customHeight="1">
      <c r="H108" s="271"/>
      <c r="I108" s="271"/>
      <c r="J108" s="271"/>
      <c r="K108" s="271"/>
      <c r="L108" s="271"/>
      <c r="M108" s="271"/>
      <c r="N108" s="271"/>
      <c r="O108" s="306"/>
      <c r="P108" s="65"/>
      <c r="Q108" s="65"/>
      <c r="R108" s="65"/>
      <c r="S108" s="65"/>
      <c r="T108" s="283"/>
      <c r="U108" s="271"/>
      <c r="V108" s="271"/>
      <c r="W108" s="271"/>
      <c r="X108" s="271"/>
      <c r="Y108" s="271"/>
      <c r="Z108" s="271"/>
      <c r="AA108" s="271"/>
      <c r="AB108" s="271"/>
      <c r="AC108" s="271"/>
      <c r="AD108" s="271"/>
      <c r="AE108" s="271"/>
      <c r="AF108" s="271"/>
      <c r="AG108" s="65"/>
      <c r="AH108" s="294" t="s">
        <v>1147</v>
      </c>
      <c r="AI108" s="294" t="s">
        <v>1148</v>
      </c>
      <c r="AJ108" s="294" t="str">
        <f t="shared" si="1"/>
        <v>Solanum lycopersicum</v>
      </c>
      <c r="AK108" s="271"/>
      <c r="AL108" s="271"/>
      <c r="AM108" s="271"/>
      <c r="AN108" s="271"/>
      <c r="AO108" s="294" t="s">
        <v>1154</v>
      </c>
      <c r="AP108" s="294" t="s">
        <v>1155</v>
      </c>
      <c r="AQ108" s="295" t="s">
        <v>1561</v>
      </c>
    </row>
    <row r="109" ht="15.75" customHeight="1">
      <c r="H109" s="271"/>
      <c r="I109" s="271"/>
      <c r="J109" s="271"/>
      <c r="K109" s="271"/>
      <c r="L109" s="271"/>
      <c r="M109" s="271"/>
      <c r="N109" s="271"/>
      <c r="O109" s="306"/>
      <c r="P109" s="65"/>
      <c r="Q109" s="65"/>
      <c r="R109" s="65"/>
      <c r="S109" s="65"/>
      <c r="T109" s="283"/>
      <c r="U109" s="271"/>
      <c r="V109" s="271"/>
      <c r="W109" s="271"/>
      <c r="X109" s="271"/>
      <c r="Y109" s="271"/>
      <c r="Z109" s="271"/>
      <c r="AA109" s="271"/>
      <c r="AB109" s="271"/>
      <c r="AC109" s="271"/>
      <c r="AD109" s="271"/>
      <c r="AE109" s="271"/>
      <c r="AF109" s="271"/>
      <c r="AG109" s="65"/>
      <c r="AH109" s="294" t="s">
        <v>1147</v>
      </c>
      <c r="AI109" s="294" t="s">
        <v>1149</v>
      </c>
      <c r="AJ109" s="294" t="str">
        <f t="shared" si="1"/>
        <v>Solanum pennellii</v>
      </c>
      <c r="AK109" s="271"/>
      <c r="AL109" s="271"/>
      <c r="AM109" s="271"/>
      <c r="AN109" s="271"/>
      <c r="AO109" s="294"/>
      <c r="AP109" s="294"/>
      <c r="AQ109" s="295"/>
    </row>
    <row r="110" ht="15.75" customHeight="1">
      <c r="H110" s="271"/>
      <c r="I110" s="271"/>
      <c r="J110" s="271"/>
      <c r="K110" s="271"/>
      <c r="L110" s="271"/>
      <c r="M110" s="271"/>
      <c r="N110" s="271"/>
      <c r="O110" s="306"/>
      <c r="P110" s="65"/>
      <c r="Q110" s="65"/>
      <c r="R110" s="65"/>
      <c r="S110" s="65"/>
      <c r="T110" s="283"/>
      <c r="U110" s="271"/>
      <c r="V110" s="271"/>
      <c r="W110" s="271"/>
      <c r="X110" s="271"/>
      <c r="Y110" s="271"/>
      <c r="Z110" s="271"/>
      <c r="AA110" s="271"/>
      <c r="AB110" s="271"/>
      <c r="AC110" s="271"/>
      <c r="AD110" s="271"/>
      <c r="AE110" s="271"/>
      <c r="AF110" s="271"/>
      <c r="AG110" s="65"/>
      <c r="AH110" s="294" t="s">
        <v>935</v>
      </c>
      <c r="AI110" s="294" t="s">
        <v>936</v>
      </c>
      <c r="AJ110" s="294" t="str">
        <f t="shared" si="1"/>
        <v>Tarenaya hassleriana</v>
      </c>
      <c r="AK110" s="271"/>
      <c r="AL110" s="271"/>
      <c r="AM110" s="271"/>
      <c r="AN110" s="271"/>
      <c r="AO110" s="294"/>
      <c r="AP110" s="294"/>
      <c r="AQ110" s="295"/>
    </row>
    <row r="111" ht="15.75" customHeight="1">
      <c r="H111" s="271"/>
      <c r="I111" s="271"/>
      <c r="J111" s="271"/>
      <c r="K111" s="271"/>
      <c r="L111" s="271"/>
      <c r="M111" s="271"/>
      <c r="N111" s="271"/>
      <c r="O111" s="306"/>
      <c r="P111" s="65"/>
      <c r="Q111" s="65"/>
      <c r="R111" s="65"/>
      <c r="S111" s="65"/>
      <c r="T111" s="283"/>
      <c r="U111" s="271"/>
      <c r="V111" s="271"/>
      <c r="W111" s="271"/>
      <c r="X111" s="271"/>
      <c r="Y111" s="271"/>
      <c r="Z111" s="271"/>
      <c r="AA111" s="271"/>
      <c r="AB111" s="271"/>
      <c r="AC111" s="271"/>
      <c r="AD111" s="271"/>
      <c r="AE111" s="271"/>
      <c r="AF111" s="271"/>
      <c r="AG111" s="65"/>
      <c r="AH111" s="294" t="s">
        <v>1154</v>
      </c>
      <c r="AI111" s="294" t="s">
        <v>1155</v>
      </c>
      <c r="AJ111" s="294" t="str">
        <f t="shared" si="1"/>
        <v>Volvox carteri</v>
      </c>
      <c r="AK111" s="271"/>
      <c r="AL111" s="271"/>
      <c r="AM111" s="271"/>
      <c r="AN111" s="271"/>
      <c r="AO111" s="294"/>
      <c r="AP111" s="294"/>
      <c r="AQ111" s="295"/>
    </row>
    <row r="112" ht="15.75" customHeight="1">
      <c r="H112" s="271"/>
      <c r="I112" s="271"/>
      <c r="J112" s="271"/>
      <c r="K112" s="271"/>
      <c r="L112" s="271"/>
      <c r="M112" s="271"/>
      <c r="N112" s="271"/>
      <c r="O112" s="306"/>
      <c r="P112" s="65"/>
      <c r="Q112" s="65"/>
      <c r="R112" s="65"/>
      <c r="S112" s="65"/>
      <c r="T112" s="283"/>
      <c r="U112" s="271"/>
      <c r="V112" s="271"/>
      <c r="W112" s="271"/>
      <c r="X112" s="271"/>
      <c r="Y112" s="271"/>
      <c r="Z112" s="271"/>
      <c r="AA112" s="271"/>
      <c r="AB112" s="271"/>
      <c r="AC112" s="271"/>
      <c r="AD112" s="271"/>
      <c r="AE112" s="271"/>
      <c r="AF112" s="271"/>
      <c r="AG112" s="65"/>
      <c r="AH112" s="271"/>
      <c r="AI112" s="271"/>
      <c r="AJ112" s="271"/>
      <c r="AK112" s="271"/>
      <c r="AL112" s="271"/>
      <c r="AM112" s="271"/>
      <c r="AN112" s="271"/>
      <c r="AO112" s="294"/>
      <c r="AP112" s="294"/>
      <c r="AQ112" s="295"/>
    </row>
    <row r="113" ht="15.75" customHeight="1">
      <c r="H113" s="271"/>
      <c r="I113" s="271"/>
      <c r="J113" s="271"/>
      <c r="K113" s="271"/>
      <c r="L113" s="271"/>
      <c r="M113" s="271"/>
      <c r="N113" s="271"/>
      <c r="O113" s="306"/>
      <c r="P113" s="65"/>
      <c r="Q113" s="65"/>
      <c r="R113" s="65"/>
      <c r="S113" s="65"/>
      <c r="T113" s="283"/>
      <c r="U113" s="271"/>
      <c r="V113" s="271"/>
      <c r="W113" s="271"/>
      <c r="X113" s="271"/>
      <c r="Y113" s="271"/>
      <c r="Z113" s="271"/>
      <c r="AA113" s="271"/>
      <c r="AB113" s="271"/>
      <c r="AC113" s="271"/>
      <c r="AD113" s="271"/>
      <c r="AE113" s="271"/>
      <c r="AF113" s="271"/>
      <c r="AG113" s="65"/>
      <c r="AH113" s="271"/>
      <c r="AI113" s="271"/>
      <c r="AJ113" s="271"/>
      <c r="AK113" s="271"/>
      <c r="AL113" s="271"/>
      <c r="AM113" s="271"/>
      <c r="AN113" s="271"/>
      <c r="AO113" s="294"/>
      <c r="AP113" s="294"/>
      <c r="AQ113" s="295"/>
    </row>
    <row r="114" ht="15.75" customHeight="1">
      <c r="H114" s="271"/>
      <c r="I114" s="271"/>
      <c r="J114" s="271"/>
      <c r="K114" s="271"/>
      <c r="L114" s="271"/>
      <c r="M114" s="271"/>
      <c r="N114" s="271"/>
      <c r="O114" s="306"/>
      <c r="P114" s="65"/>
      <c r="Q114" s="65"/>
      <c r="R114" s="65"/>
      <c r="S114" s="65"/>
      <c r="T114" s="283"/>
      <c r="U114" s="271"/>
      <c r="V114" s="271"/>
      <c r="W114" s="271"/>
      <c r="X114" s="271"/>
      <c r="Y114" s="271"/>
      <c r="Z114" s="271"/>
      <c r="AA114" s="271"/>
      <c r="AB114" s="271"/>
      <c r="AC114" s="271"/>
      <c r="AD114" s="271"/>
      <c r="AE114" s="271"/>
      <c r="AF114" s="271"/>
      <c r="AG114" s="65"/>
      <c r="AH114" s="271"/>
      <c r="AI114" s="271"/>
      <c r="AJ114" s="271"/>
      <c r="AK114" s="271"/>
      <c r="AL114" s="271"/>
      <c r="AM114" s="271"/>
      <c r="AN114" s="271"/>
      <c r="AO114" s="294"/>
      <c r="AP114" s="294"/>
      <c r="AQ114" s="295"/>
    </row>
    <row r="115" ht="15.75" customHeight="1">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row>
    <row r="116" ht="15.75" customHeight="1">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row>
    <row r="117" ht="15.75" customHeight="1">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row>
    <row r="118" ht="15.75" customHeight="1">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row>
    <row r="119" ht="15.75" customHeight="1">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row>
    <row r="120" ht="15.75" customHeight="1">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row>
    <row r="121" ht="15.75" customHeight="1">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row>
    <row r="122" ht="15.75" customHeight="1">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row>
    <row r="123" ht="15.75" customHeight="1">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row>
    <row r="124" ht="15.75" customHeight="1">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row>
    <row r="125" ht="15.75" customHeight="1">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row>
    <row r="126" ht="15.75" customHeight="1">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row>
    <row r="127" ht="15.75" customHeight="1">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row>
    <row r="128" ht="15.75" customHeight="1">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row>
    <row r="129" ht="15.75" customHeight="1">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row>
    <row r="130" ht="15.75" customHeight="1">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row>
    <row r="131" ht="15.75" customHeight="1">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row>
    <row r="132" ht="15.75" customHeight="1">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row>
    <row r="133" ht="15.75" customHeight="1">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row>
    <row r="134" ht="15.75" customHeight="1">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row>
    <row r="135" ht="15.75" customHeight="1">
      <c r="C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row>
    <row r="136" ht="15.75" customHeight="1">
      <c r="B136" s="65"/>
      <c r="C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row>
    <row r="137" ht="15.75" customHeight="1">
      <c r="B137" s="65"/>
      <c r="C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row>
    <row r="138" ht="15.75" customHeight="1">
      <c r="B138" s="65"/>
      <c r="C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row>
    <row r="139" ht="15.75" customHeight="1">
      <c r="B139" s="65"/>
      <c r="C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row>
    <row r="140" ht="15.75" customHeight="1">
      <c r="B140" s="65"/>
      <c r="C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row>
    <row r="141" ht="15.75" customHeight="1">
      <c r="B141" s="65"/>
      <c r="C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row>
    <row r="142" ht="15.75" customHeight="1">
      <c r="B142" s="65"/>
      <c r="C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row>
    <row r="143" ht="15.75" customHeight="1">
      <c r="B143" s="65"/>
      <c r="C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row>
    <row r="144" ht="15.75" customHeight="1">
      <c r="B144" s="65"/>
      <c r="C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row>
    <row r="145" ht="15.75" customHeight="1">
      <c r="B145" s="65"/>
      <c r="C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row>
    <row r="146" ht="15.75" customHeight="1">
      <c r="B146" s="65"/>
      <c r="C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row>
    <row r="147" ht="15.75" customHeight="1">
      <c r="B147" s="65"/>
      <c r="C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row>
    <row r="148" ht="15.75" customHeight="1">
      <c r="B148" s="65"/>
      <c r="C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row>
    <row r="149" ht="15.75" customHeight="1">
      <c r="B149" s="65"/>
      <c r="C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row>
    <row r="150" ht="15.75" customHeight="1">
      <c r="B150" s="65"/>
      <c r="C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row>
    <row r="151" ht="15.75" customHeight="1">
      <c r="B151" s="65"/>
      <c r="C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row>
    <row r="152" ht="15.75" customHeight="1">
      <c r="B152" s="65"/>
      <c r="C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row>
    <row r="153" ht="15.75" customHeight="1">
      <c r="B153" s="65"/>
      <c r="C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row>
    <row r="154" ht="15.75" customHeight="1">
      <c r="B154" s="65"/>
      <c r="C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row>
    <row r="155" ht="15.75" customHeight="1">
      <c r="B155" s="65"/>
      <c r="C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row>
    <row r="156" ht="15.75" customHeight="1">
      <c r="B156" s="65"/>
      <c r="C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row>
    <row r="157" ht="15.75" customHeight="1">
      <c r="B157" s="65"/>
      <c r="C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row>
    <row r="158" ht="15.75" customHeight="1">
      <c r="B158" s="65"/>
      <c r="C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row>
    <row r="159" ht="15.75" customHeight="1">
      <c r="B159" s="65"/>
      <c r="C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row>
    <row r="160" ht="15.75" customHeight="1">
      <c r="B160" s="65"/>
      <c r="C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row>
    <row r="161" ht="15.75" customHeight="1">
      <c r="B161" s="65"/>
      <c r="C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row>
    <row r="162" ht="15.75" customHeight="1">
      <c r="B162" s="65"/>
      <c r="C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row>
    <row r="163" ht="15.75" customHeight="1">
      <c r="B163" s="65"/>
      <c r="C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row>
    <row r="164" ht="15.75" customHeight="1">
      <c r="B164" s="65"/>
      <c r="C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row>
    <row r="165" ht="15.75" customHeight="1">
      <c r="B165" s="65"/>
      <c r="C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row>
    <row r="166" ht="15.75" customHeight="1">
      <c r="B166" s="65"/>
      <c r="C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row>
    <row r="167" ht="15.75" customHeight="1">
      <c r="B167" s="65"/>
      <c r="C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row>
    <row r="168" ht="15.75" customHeight="1">
      <c r="B168" s="65"/>
      <c r="C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row>
    <row r="169" ht="15.75" customHeight="1">
      <c r="B169" s="65"/>
      <c r="C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row>
    <row r="170" ht="15.75" customHeight="1">
      <c r="B170" s="65"/>
      <c r="C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row>
    <row r="171" ht="15.75" customHeight="1">
      <c r="B171" s="65"/>
      <c r="C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row>
    <row r="172" ht="15.75" customHeight="1">
      <c r="B172" s="65"/>
      <c r="C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row>
    <row r="173" ht="15.75" customHeight="1">
      <c r="B173" s="65"/>
      <c r="C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row>
    <row r="174" ht="15.75" customHeight="1">
      <c r="B174" s="65"/>
      <c r="C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row>
    <row r="175" ht="15.75" customHeight="1">
      <c r="B175" s="65"/>
      <c r="C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row>
    <row r="176" ht="15.75" customHeight="1">
      <c r="B176" s="65"/>
      <c r="C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row>
    <row r="177" ht="15.75" customHeight="1">
      <c r="B177" s="65"/>
      <c r="C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row>
    <row r="178" ht="15.75" customHeight="1">
      <c r="B178" s="65"/>
      <c r="C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row>
    <row r="179" ht="15.75" customHeight="1">
      <c r="A179" s="65"/>
      <c r="B179" s="65"/>
      <c r="C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row>
    <row r="180" ht="15.75" customHeight="1">
      <c r="A180" s="65"/>
      <c r="B180" s="65"/>
      <c r="C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row>
    <row r="181" ht="15.75" customHeight="1">
      <c r="A181" s="65"/>
      <c r="B181" s="65"/>
      <c r="C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row>
    <row r="182" ht="15.75" customHeight="1">
      <c r="A182" s="65"/>
      <c r="B182" s="65"/>
      <c r="C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row>
    <row r="183" ht="15.75" customHeight="1">
      <c r="A183" s="65"/>
      <c r="B183" s="65"/>
      <c r="C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row>
    <row r="184" ht="15.75" customHeight="1">
      <c r="A184" s="65"/>
      <c r="B184" s="65"/>
      <c r="C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row>
    <row r="185" ht="15.75" customHeight="1">
      <c r="A185" s="65"/>
      <c r="B185" s="65"/>
      <c r="C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row>
    <row r="186" ht="15.7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row>
    <row r="187" ht="15.7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row>
    <row r="188" ht="15.7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row>
    <row r="189" ht="15.7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row>
    <row r="190" ht="15.7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row>
    <row r="191" ht="15.7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row>
    <row r="192" ht="15.7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row>
    <row r="193" ht="15.7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row>
    <row r="194" ht="15.7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row>
    <row r="195" ht="15.7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row>
    <row r="196" ht="15.7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row>
    <row r="197" ht="15.7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row>
    <row r="198" ht="15.7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row>
    <row r="199" ht="15.7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row>
    <row r="200" ht="15.7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row>
    <row r="201" ht="15.7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row>
    <row r="202" ht="15.7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row>
    <row r="203" ht="15.7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row>
    <row r="204" ht="15.7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row>
    <row r="205" ht="15.7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row>
    <row r="206" ht="15.7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row>
    <row r="207" ht="15.7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row>
    <row r="208" ht="15.7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row>
    <row r="209" ht="15.7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row>
    <row r="210" ht="15.7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row>
    <row r="211" ht="15.7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row>
    <row r="212" ht="15.7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row>
    <row r="213" ht="15.7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row>
    <row r="214" ht="15.7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row>
    <row r="215" ht="15.7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row>
    <row r="216" ht="15.7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row>
    <row r="217" ht="15.7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row>
    <row r="218" ht="15.7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row>
    <row r="219" ht="15.7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row>
    <row r="220" ht="15.7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row>
    <row r="221" ht="15.7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row>
    <row r="222" ht="15.7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row>
    <row r="223" ht="15.7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row>
    <row r="224" ht="15.7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row>
    <row r="225" ht="15.7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row>
    <row r="226" ht="15.7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row>
    <row r="227" ht="15.7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row>
    <row r="228" ht="15.7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row>
    <row r="229" ht="15.7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row>
    <row r="230" ht="15.7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row>
    <row r="231" ht="15.7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row>
    <row r="232" ht="15.7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row>
    <row r="233" ht="15.7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row>
    <row r="234" ht="15.7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row>
    <row r="235" ht="15.7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row>
    <row r="236" ht="15.7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row>
    <row r="237" ht="15.7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row>
    <row r="238" ht="15.7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row>
    <row r="239" ht="15.7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row>
    <row r="240" ht="15.7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row>
    <row r="241" ht="15.7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row>
    <row r="242" ht="15.7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row>
    <row r="243" ht="15.7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row>
    <row r="244" ht="15.7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row>
    <row r="245" ht="15.7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row>
    <row r="246" ht="15.7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row>
    <row r="247" ht="15.7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row>
    <row r="248" ht="15.7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row>
    <row r="249" ht="15.7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row>
    <row r="250" ht="15.7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row>
    <row r="251" ht="15.7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row>
    <row r="252" ht="15.7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row>
    <row r="253" ht="15.7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row>
    <row r="254" ht="15.7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row>
    <row r="255" ht="15.7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row>
    <row r="256" ht="15.7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row>
    <row r="257" ht="15.7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row>
    <row r="258" ht="15.7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row>
    <row r="259" ht="15.7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row>
    <row r="260" ht="15.7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row>
    <row r="261" ht="15.7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row>
    <row r="262" ht="15.7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row>
    <row r="263" ht="15.7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row>
    <row r="264" ht="15.7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row>
    <row r="265" ht="15.7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row>
    <row r="266" ht="15.7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row>
    <row r="267" ht="15.7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row>
    <row r="268" ht="15.7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row>
    <row r="269" ht="15.7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row>
    <row r="270" ht="15.7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row>
    <row r="271" ht="15.7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row>
    <row r="272" ht="15.7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row>
    <row r="273" ht="15.7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row>
    <row r="274" ht="15.7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row>
    <row r="275" ht="15.7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row>
    <row r="276" ht="15.7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row>
    <row r="277" ht="15.7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row>
    <row r="278" ht="15.7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row>
    <row r="279" ht="15.7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row>
    <row r="280" ht="15.7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row>
    <row r="281" ht="15.7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row>
    <row r="282" ht="15.7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row>
    <row r="283" ht="15.7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row>
    <row r="284" ht="15.7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row>
    <row r="285" ht="15.7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row>
    <row r="286" ht="15.7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row>
    <row r="287" ht="15.7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row>
    <row r="288" ht="15.7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row>
    <row r="289" ht="15.7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row>
    <row r="290" ht="15.7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row>
    <row r="291" ht="15.7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row>
    <row r="292" ht="15.7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row>
    <row r="293" ht="15.7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row>
    <row r="294" ht="15.7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row>
    <row r="295" ht="15.7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row>
    <row r="296" ht="15.7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row>
    <row r="297" ht="15.7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row>
    <row r="298" ht="15.7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row>
    <row r="299" ht="15.7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row>
    <row r="300" ht="15.7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row>
    <row r="301" ht="15.7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row>
    <row r="302" ht="15.7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row>
    <row r="303" ht="15.7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row>
    <row r="304" ht="15.7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row>
    <row r="305" ht="15.7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row>
    <row r="306" ht="15.7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row>
    <row r="307" ht="15.7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row>
    <row r="308" ht="15.7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row>
    <row r="309" ht="15.7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row>
    <row r="310" ht="15.7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row>
    <row r="311" ht="15.7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row>
    <row r="312" ht="15.7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row>
    <row r="313" ht="15.7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row>
    <row r="314" ht="15.7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row>
    <row r="315" ht="15.7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row>
    <row r="316" ht="15.7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row>
    <row r="317" ht="15.7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row>
    <row r="318" ht="15.7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row>
    <row r="319" ht="15.7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row>
    <row r="320" ht="15.7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row>
    <row r="321" ht="15.7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row>
    <row r="322" ht="15.7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row>
    <row r="323" ht="15.7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row>
    <row r="324" ht="15.7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row>
    <row r="325" ht="15.7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row>
    <row r="326" ht="15.7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row>
    <row r="327" ht="15.7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row>
    <row r="328" ht="15.7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row>
    <row r="329" ht="15.7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row>
    <row r="330" ht="15.7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row>
    <row r="331" ht="15.7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row>
    <row r="332" ht="15.7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row>
    <row r="333" ht="15.7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row>
    <row r="334" ht="15.7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row>
    <row r="335" ht="15.7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row>
    <row r="336" ht="15.7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row>
    <row r="337" ht="15.7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row>
    <row r="338" ht="15.7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row>
    <row r="339" ht="15.7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row>
    <row r="340" ht="15.7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row>
    <row r="341" ht="15.7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row>
    <row r="342" ht="15.7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row>
    <row r="343" ht="15.7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row>
    <row r="344" ht="15.7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row>
    <row r="345" ht="15.7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row>
    <row r="346" ht="15.7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row>
    <row r="347" ht="15.7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row>
    <row r="348" ht="15.7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row>
    <row r="349" ht="15.7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row>
    <row r="350" ht="15.7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row>
    <row r="351" ht="15.7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row>
    <row r="352" ht="15.7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row>
    <row r="353" ht="15.7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row>
    <row r="354" ht="15.7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row>
    <row r="355" ht="15.7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row>
    <row r="356" ht="15.7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row>
    <row r="357" ht="15.7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row>
    <row r="358" ht="15.7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row>
    <row r="359" ht="15.7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row>
    <row r="360" ht="15.7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row>
    <row r="361" ht="15.7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row>
    <row r="362" ht="15.7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row>
    <row r="363" ht="15.7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row>
    <row r="364" ht="15.7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row>
    <row r="365" ht="15.7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row>
    <row r="366" ht="15.7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row>
    <row r="367" ht="15.7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row>
    <row r="368" ht="15.7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row>
    <row r="369" ht="15.7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row>
    <row r="370" ht="15.7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row>
    <row r="371" ht="15.7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row>
    <row r="372" ht="15.7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row>
    <row r="373" ht="15.7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row>
    <row r="374" ht="15.7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row>
    <row r="375" ht="15.7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row>
    <row r="376" ht="15.7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row>
    <row r="377" ht="15.7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row>
    <row r="378" ht="15.7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row>
    <row r="379" ht="15.7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row>
    <row r="380" ht="15.7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row>
    <row r="381" ht="15.7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row>
    <row r="382" ht="15.7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row>
    <row r="383" ht="15.7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row>
    <row r="384" ht="15.7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row>
    <row r="385" ht="15.7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row>
    <row r="386" ht="15.7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row>
    <row r="387" ht="15.7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row>
    <row r="388" ht="15.7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row>
    <row r="389" ht="15.7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row>
    <row r="390" ht="15.7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row>
    <row r="391" ht="15.7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row>
    <row r="392" ht="15.7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row>
    <row r="393" ht="15.7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row>
    <row r="394" ht="15.7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row>
    <row r="395" ht="15.7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row>
    <row r="396" ht="15.7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row>
    <row r="397" ht="15.7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row>
    <row r="398" ht="15.7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row>
    <row r="399" ht="15.7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row>
    <row r="400" ht="15.7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row>
    <row r="401" ht="15.7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row>
    <row r="402" ht="15.7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row>
    <row r="403" ht="15.7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row>
    <row r="404" ht="15.7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row>
    <row r="405" ht="15.7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row>
    <row r="406" ht="15.7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row>
    <row r="407" ht="15.7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row>
    <row r="408" ht="15.7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row>
    <row r="409" ht="15.7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row>
    <row r="410" ht="15.7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row>
    <row r="411" ht="15.7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row>
    <row r="412" ht="15.7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row>
    <row r="413" ht="15.7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row>
    <row r="414" ht="15.7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row>
    <row r="415" ht="15.7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row>
    <row r="416" ht="15.7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row>
    <row r="417" ht="15.7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row>
    <row r="418" ht="15.7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row>
    <row r="419" ht="15.7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row>
    <row r="420" ht="15.7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row>
    <row r="421" ht="15.7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row>
    <row r="422" ht="15.7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row>
    <row r="423" ht="15.7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row>
    <row r="424" ht="15.7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row>
    <row r="425" ht="15.7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row>
    <row r="426" ht="15.7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row>
    <row r="427" ht="15.7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row>
    <row r="428" ht="15.7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row>
    <row r="429" ht="15.7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row>
    <row r="430" ht="15.7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row>
    <row r="431" ht="15.7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row>
    <row r="432" ht="15.7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row>
    <row r="433" ht="15.7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row>
    <row r="434" ht="15.7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row>
    <row r="435" ht="15.7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row>
    <row r="436" ht="15.7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row>
    <row r="437" ht="15.7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row>
    <row r="438" ht="15.7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row>
    <row r="439" ht="15.7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row>
    <row r="440" ht="15.7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row>
    <row r="441" ht="15.7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row>
    <row r="442" ht="15.7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row>
    <row r="443" ht="15.7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row>
    <row r="444" ht="15.7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row>
    <row r="445" ht="15.7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row>
    <row r="446" ht="15.7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row>
    <row r="447" ht="15.7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row>
    <row r="448" ht="15.7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row>
    <row r="449" ht="15.7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row>
    <row r="450" ht="15.7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row>
    <row r="451" ht="15.7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row>
    <row r="452" ht="15.7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row>
    <row r="453" ht="15.7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row>
    <row r="454" ht="15.7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row>
    <row r="455" ht="15.7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row>
    <row r="456" ht="15.7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row>
    <row r="457" ht="15.7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row>
    <row r="458" ht="15.7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row>
    <row r="459" ht="15.7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row>
    <row r="460" ht="15.7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row>
    <row r="461" ht="15.7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row>
    <row r="462" ht="15.7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row>
    <row r="463" ht="15.7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row>
    <row r="464" ht="15.7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row>
    <row r="465" ht="15.7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row>
    <row r="466" ht="15.7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row>
    <row r="467" ht="15.7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row>
    <row r="468" ht="15.7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row>
    <row r="469" ht="15.7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row>
    <row r="470" ht="15.7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row>
    <row r="471" ht="15.7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row>
    <row r="472" ht="15.7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row>
    <row r="473" ht="15.7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row>
    <row r="474" ht="15.7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row>
    <row r="475" ht="15.7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row>
    <row r="476" ht="15.7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row>
    <row r="477" ht="15.7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row>
    <row r="478" ht="15.7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row>
    <row r="479" ht="15.7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row>
    <row r="480" ht="15.7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row>
    <row r="481" ht="15.7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row>
    <row r="482" ht="15.7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row>
    <row r="483" ht="15.7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row>
    <row r="484" ht="15.7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row>
    <row r="485" ht="15.7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row>
    <row r="486" ht="15.7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row>
    <row r="487" ht="15.7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row>
    <row r="488" ht="15.7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row>
    <row r="489" ht="15.7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row>
    <row r="490" ht="15.7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row>
    <row r="491" ht="15.7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row>
    <row r="492" ht="15.7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row>
    <row r="493" ht="15.7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row>
    <row r="494" ht="15.7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row>
    <row r="495" ht="15.7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row>
    <row r="496" ht="15.7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row>
    <row r="497" ht="15.7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row>
    <row r="498" ht="15.7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row>
    <row r="499" ht="15.7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row>
    <row r="500" ht="15.7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row>
    <row r="501" ht="15.7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row>
    <row r="502" ht="15.7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row>
    <row r="503" ht="15.7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row>
    <row r="504" ht="15.7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row>
    <row r="505" ht="15.7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row>
    <row r="506" ht="15.7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row>
    <row r="507" ht="15.7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row>
    <row r="508" ht="15.7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row>
    <row r="509" ht="15.7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row>
    <row r="510" ht="15.7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row>
    <row r="511" ht="15.7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row>
    <row r="512" ht="15.7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row>
    <row r="513" ht="15.7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row>
    <row r="514" ht="15.7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row>
    <row r="515" ht="15.7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row>
    <row r="516" ht="15.7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row>
    <row r="517" ht="15.7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row>
    <row r="518" ht="15.7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row>
    <row r="519" ht="15.7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row>
    <row r="520" ht="15.7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row>
    <row r="521" ht="15.7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row>
    <row r="522" ht="15.7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row>
    <row r="523" ht="15.7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row>
    <row r="524" ht="15.7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row>
    <row r="525" ht="15.7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row>
    <row r="526" ht="15.7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row>
    <row r="527" ht="15.7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row>
    <row r="528" ht="15.7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row>
    <row r="529" ht="15.7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row>
    <row r="530" ht="15.7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row>
    <row r="531" ht="15.7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row>
    <row r="532" ht="15.7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row>
    <row r="533" ht="15.7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row>
    <row r="534" ht="15.7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row>
    <row r="535" ht="15.7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row>
    <row r="536" ht="15.7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row>
    <row r="537" ht="15.7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row>
    <row r="538" ht="15.7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row>
    <row r="539" ht="15.7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row>
    <row r="540" ht="15.7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row>
    <row r="541" ht="15.7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row>
    <row r="542" ht="15.7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row>
    <row r="543" ht="15.7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row>
    <row r="544" ht="15.7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row>
    <row r="545" ht="15.7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row>
    <row r="546" ht="15.7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row>
    <row r="547" ht="15.7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row>
    <row r="548" ht="15.7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row>
    <row r="549" ht="15.7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row>
    <row r="550" ht="15.7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row>
    <row r="551" ht="15.7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row>
    <row r="552" ht="15.7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row>
    <row r="553" ht="15.7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row>
    <row r="554" ht="15.7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row>
    <row r="555" ht="15.7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row>
    <row r="556" ht="15.7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row>
    <row r="557" ht="15.7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row>
    <row r="558" ht="15.7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row>
    <row r="559" ht="15.7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row>
    <row r="560" ht="15.7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row>
    <row r="561" ht="15.7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row>
    <row r="562" ht="15.7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row>
    <row r="563" ht="15.7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row>
    <row r="564" ht="15.7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row>
    <row r="565" ht="15.7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row>
    <row r="566" ht="15.7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row>
    <row r="567" ht="15.7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row>
    <row r="568" ht="15.7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row>
    <row r="569" ht="15.7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row>
    <row r="570" ht="15.7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row>
    <row r="571" ht="15.7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row>
    <row r="572" ht="15.7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row>
    <row r="573" ht="15.7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row>
    <row r="574" ht="15.7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row>
    <row r="575" ht="15.7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row>
    <row r="576" ht="15.7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row>
    <row r="577" ht="15.7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row>
    <row r="578" ht="15.7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row>
    <row r="579" ht="15.7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row>
    <row r="580" ht="15.7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row>
    <row r="581" ht="15.7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row>
    <row r="582" ht="15.7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row>
    <row r="583" ht="15.7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row>
    <row r="584" ht="15.7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row>
    <row r="585" ht="15.7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row>
    <row r="586" ht="15.7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row>
    <row r="587" ht="15.7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row>
    <row r="588" ht="15.7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row>
    <row r="589" ht="15.7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row>
    <row r="590" ht="15.7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row>
    <row r="591" ht="15.7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row>
    <row r="592" ht="15.7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row>
    <row r="593" ht="15.7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row>
    <row r="594" ht="15.7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row>
    <row r="595" ht="15.7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row>
    <row r="596" ht="15.7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row>
    <row r="597" ht="15.7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row>
    <row r="598" ht="15.7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row>
    <row r="599" ht="15.7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row>
    <row r="600" ht="15.7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row>
    <row r="601" ht="15.7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row>
    <row r="602" ht="15.7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row>
    <row r="603" ht="15.7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row>
    <row r="604" ht="15.7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row>
    <row r="605" ht="15.7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row>
    <row r="606" ht="15.7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row>
    <row r="607" ht="15.7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row>
    <row r="608" ht="15.7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row>
    <row r="609" ht="15.7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row>
    <row r="610" ht="15.7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row>
    <row r="611" ht="15.7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row>
    <row r="612" ht="15.7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row>
    <row r="613" ht="15.7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row>
    <row r="614" ht="15.7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row>
    <row r="615" ht="15.7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row>
    <row r="616" ht="15.7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row>
    <row r="617" ht="15.7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row>
    <row r="618" ht="15.7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row>
    <row r="619" ht="15.7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row>
    <row r="620" ht="15.7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row>
    <row r="621" ht="15.7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row>
    <row r="622" ht="15.7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row>
    <row r="623" ht="15.7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row>
    <row r="624" ht="15.7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row>
    <row r="625" ht="15.7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row>
    <row r="626" ht="15.7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row>
    <row r="627" ht="15.7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row>
    <row r="628" ht="15.7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row>
    <row r="629" ht="15.7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row>
    <row r="630" ht="15.7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row>
    <row r="631" ht="15.7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row>
    <row r="632" ht="15.7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row>
    <row r="633" ht="15.7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row>
    <row r="634" ht="15.7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row>
    <row r="635" ht="15.7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row>
    <row r="636" ht="15.7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row>
    <row r="637" ht="15.7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row>
    <row r="638" ht="15.7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row>
    <row r="639" ht="15.7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row>
    <row r="640" ht="15.7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row>
    <row r="641" ht="15.7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row>
    <row r="642" ht="15.7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row>
    <row r="643" ht="15.7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row>
    <row r="644" ht="15.7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row>
    <row r="645" ht="15.7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row>
    <row r="646" ht="15.7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row>
    <row r="647" ht="15.7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row>
    <row r="648" ht="15.7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row>
    <row r="649" ht="15.7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row>
    <row r="650" ht="15.7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row>
    <row r="651" ht="15.7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row>
    <row r="652" ht="15.7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row>
    <row r="653" ht="15.7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row>
    <row r="654" ht="15.7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row>
    <row r="655" ht="15.7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row>
    <row r="656" ht="15.7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row>
    <row r="657" ht="15.7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row>
    <row r="658" ht="15.7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row>
    <row r="659" ht="15.7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row>
    <row r="660" ht="15.7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row>
    <row r="661" ht="15.7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row>
    <row r="662" ht="15.7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row>
    <row r="663" ht="15.7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row>
    <row r="664" ht="15.7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row>
    <row r="665" ht="15.7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row>
    <row r="666" ht="15.7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row>
    <row r="667" ht="15.7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row>
    <row r="668" ht="15.7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row>
    <row r="669" ht="15.7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row>
    <row r="670" ht="15.7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row>
    <row r="671" ht="15.7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row>
    <row r="672" ht="15.7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row>
    <row r="673" ht="15.7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row>
    <row r="674" ht="15.7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row>
    <row r="675" ht="15.7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row>
    <row r="676" ht="15.7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row>
    <row r="677" ht="15.7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row>
    <row r="678" ht="15.7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row>
    <row r="679" ht="15.7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row>
    <row r="680" ht="15.7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row>
    <row r="681" ht="15.7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row>
    <row r="682" ht="15.7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row>
    <row r="683" ht="15.7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row>
    <row r="684" ht="15.7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row>
    <row r="685" ht="15.7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row>
    <row r="686" ht="15.7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row>
    <row r="687" ht="15.7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row>
    <row r="688" ht="15.7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row>
    <row r="689" ht="15.7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row>
    <row r="690" ht="15.7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row>
    <row r="691" ht="15.7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row>
    <row r="692" ht="15.7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row>
    <row r="693" ht="15.7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row>
    <row r="694" ht="15.7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row>
    <row r="695" ht="15.7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row>
    <row r="696" ht="15.7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row>
    <row r="697" ht="15.7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row>
    <row r="698" ht="15.7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row>
    <row r="699" ht="15.7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row>
    <row r="700" ht="15.7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row>
    <row r="701" ht="15.7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row>
    <row r="702" ht="15.7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row>
    <row r="703" ht="15.7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row>
    <row r="704" ht="15.7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row>
    <row r="705" ht="15.7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row>
    <row r="706" ht="15.7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row>
    <row r="707" ht="15.7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row>
    <row r="708" ht="15.7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row>
    <row r="709" ht="15.7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row>
    <row r="710" ht="15.7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row>
    <row r="711" ht="15.7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row>
    <row r="712" ht="15.7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row>
    <row r="713" ht="15.7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row>
    <row r="714" ht="15.7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row>
    <row r="715" ht="15.7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row>
    <row r="716" ht="15.7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row>
    <row r="717" ht="15.7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row>
    <row r="718" ht="15.7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row>
    <row r="719" ht="15.7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row>
    <row r="720" ht="15.7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row>
    <row r="721" ht="15.7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row>
    <row r="722" ht="15.7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row>
    <row r="723" ht="15.7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row>
    <row r="724" ht="15.7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row>
    <row r="725" ht="15.7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row>
    <row r="726" ht="15.7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row>
    <row r="727" ht="15.7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row>
    <row r="728" ht="15.7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row>
    <row r="729" ht="15.7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row>
    <row r="730" ht="15.7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row>
    <row r="731" ht="15.7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row>
    <row r="732" ht="15.7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row>
    <row r="733" ht="15.7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row>
    <row r="734" ht="15.7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row>
    <row r="735" ht="15.7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row>
    <row r="736" ht="15.7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row>
    <row r="737" ht="15.7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row>
    <row r="738" ht="15.7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row>
    <row r="739" ht="15.7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row>
    <row r="740" ht="15.7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row>
    <row r="741" ht="15.7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row>
    <row r="742" ht="15.7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row>
    <row r="743" ht="15.7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row>
    <row r="744" ht="15.7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row>
    <row r="745" ht="15.7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row>
    <row r="746" ht="15.7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row>
    <row r="747" ht="15.7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row>
    <row r="748" ht="15.7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row>
    <row r="749" ht="15.7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row>
    <row r="750" ht="15.7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row>
    <row r="751" ht="15.7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row>
    <row r="752" ht="15.7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row>
    <row r="753" ht="15.7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row>
    <row r="754" ht="15.7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row>
    <row r="755" ht="15.7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row>
    <row r="756" ht="15.7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row>
    <row r="757" ht="15.7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row>
    <row r="758" ht="15.7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row>
    <row r="759" ht="15.7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row>
    <row r="760" ht="15.7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row>
    <row r="761" ht="15.7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row>
    <row r="762" ht="15.7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row>
    <row r="763" ht="15.7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row>
    <row r="764" ht="15.7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row>
    <row r="765" ht="15.7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row>
    <row r="766" ht="15.7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row>
    <row r="767" ht="15.7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row>
    <row r="768" ht="15.7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row>
    <row r="769" ht="15.7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row>
    <row r="770" ht="15.7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row>
    <row r="771" ht="15.7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row>
    <row r="772" ht="15.7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row>
    <row r="773" ht="15.7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row>
    <row r="774" ht="15.7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row>
    <row r="775" ht="15.7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row>
    <row r="776" ht="15.7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row>
    <row r="777" ht="15.7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row>
    <row r="778" ht="15.7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row>
    <row r="779" ht="15.7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row>
    <row r="780" ht="15.7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row>
    <row r="781" ht="15.7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row>
    <row r="782" ht="15.7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row>
    <row r="783" ht="15.7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row>
    <row r="784" ht="15.7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row>
    <row r="785" ht="15.7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row>
    <row r="786" ht="15.7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row>
    <row r="787" ht="15.7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row>
    <row r="788" ht="15.7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row>
    <row r="789" ht="15.7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row>
    <row r="790" ht="15.7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row>
    <row r="791" ht="15.7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row>
    <row r="792" ht="15.7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row>
    <row r="793" ht="15.7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row>
    <row r="794" ht="15.7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row>
    <row r="795" ht="15.7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row>
    <row r="796" ht="15.7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row>
    <row r="797" ht="15.7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row>
    <row r="798" ht="15.7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row>
    <row r="799" ht="15.7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row>
    <row r="800" ht="15.7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row>
    <row r="801" ht="15.7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row>
    <row r="802" ht="15.7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row>
    <row r="803" ht="15.7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row>
    <row r="804" ht="15.7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row>
    <row r="805" ht="15.7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row>
    <row r="806" ht="15.7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row>
    <row r="807" ht="15.7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row>
    <row r="808" ht="15.7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row>
    <row r="809" ht="15.7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row>
    <row r="810" ht="15.7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row>
    <row r="811" ht="15.7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row>
    <row r="812" ht="15.7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row>
    <row r="813" ht="15.7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row>
    <row r="814" ht="15.7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row>
    <row r="815" ht="15.7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row>
    <row r="816" ht="15.7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row>
    <row r="817" ht="15.7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row>
    <row r="818" ht="15.7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row>
    <row r="819" ht="15.7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row>
    <row r="820" ht="15.7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row>
    <row r="821" ht="15.7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row>
    <row r="822" ht="15.7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row>
    <row r="823" ht="15.7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row>
    <row r="824" ht="15.7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row>
    <row r="825" ht="15.7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row>
    <row r="826" ht="15.7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row>
    <row r="827" ht="15.7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row>
    <row r="828" ht="15.7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row>
    <row r="829" ht="15.7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row>
    <row r="830" ht="15.7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row>
    <row r="831" ht="15.7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row>
    <row r="832" ht="15.7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row>
    <row r="833" ht="15.7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row>
    <row r="834" ht="15.7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row>
    <row r="835" ht="15.7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row>
    <row r="836" ht="15.7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row>
    <row r="837" ht="15.7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row>
    <row r="838" ht="15.7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row>
    <row r="839" ht="15.7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row>
    <row r="840" ht="15.7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row>
    <row r="841" ht="15.7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row>
    <row r="842" ht="15.7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row>
    <row r="843" ht="15.7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row>
    <row r="844" ht="15.7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row>
    <row r="845" ht="15.7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row>
    <row r="846" ht="15.7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row>
    <row r="847" ht="15.7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row>
    <row r="848" ht="15.7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row>
    <row r="849" ht="15.7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row>
    <row r="850" ht="15.7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row>
    <row r="851" ht="15.7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row>
    <row r="852" ht="15.7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row>
    <row r="853" ht="15.7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row>
    <row r="854" ht="15.7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row>
    <row r="855" ht="15.7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row>
    <row r="856" ht="15.7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row>
    <row r="857" ht="15.7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row>
    <row r="858" ht="15.7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row>
    <row r="859" ht="15.7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row>
    <row r="860" ht="15.7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row>
    <row r="861" ht="15.7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row>
    <row r="862" ht="15.7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row>
    <row r="863" ht="15.7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row>
    <row r="864" ht="15.7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row>
    <row r="865" ht="15.7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row>
    <row r="866" ht="15.7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row>
    <row r="867" ht="15.7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row>
    <row r="868" ht="15.7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row>
    <row r="869" ht="15.7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row>
    <row r="870" ht="15.7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row>
    <row r="871" ht="15.7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row>
    <row r="872" ht="15.7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row>
    <row r="873" ht="15.7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row>
    <row r="874" ht="15.7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row>
    <row r="875" ht="15.7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row>
    <row r="876" ht="15.7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row>
    <row r="877" ht="15.7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row>
    <row r="878" ht="15.7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row>
    <row r="879" ht="15.7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row>
    <row r="880" ht="15.7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row>
    <row r="881" ht="15.7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row>
    <row r="882" ht="15.7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row>
    <row r="883" ht="15.7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row>
    <row r="884" ht="15.7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row>
    <row r="885" ht="15.7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row>
    <row r="886" ht="15.7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row>
    <row r="887" ht="15.7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row>
    <row r="888" ht="15.7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row>
    <row r="889" ht="15.7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row>
    <row r="890" ht="15.7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row>
    <row r="891" ht="15.7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row>
    <row r="892" ht="15.7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row>
    <row r="893" ht="15.7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row>
    <row r="894" ht="15.7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row>
    <row r="895" ht="15.7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row>
    <row r="896" ht="15.7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row>
    <row r="897" ht="15.7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row>
    <row r="898" ht="15.7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row>
    <row r="899" ht="15.7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row>
    <row r="900" ht="15.7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row>
    <row r="901" ht="15.7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row>
    <row r="902" ht="15.7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row>
    <row r="903" ht="15.7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row>
    <row r="904" ht="15.7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row>
    <row r="905" ht="15.7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row>
    <row r="906" ht="15.7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row>
    <row r="907" ht="15.7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row>
    <row r="908" ht="15.7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row>
    <row r="909" ht="15.7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row>
    <row r="910" ht="15.7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row>
    <row r="911" ht="15.7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row>
    <row r="912" ht="15.7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row>
    <row r="913" ht="15.7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row>
    <row r="914" ht="15.7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row>
    <row r="915" ht="15.7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row>
    <row r="916" ht="15.7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row>
    <row r="917" ht="15.7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row>
    <row r="918" ht="15.7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row>
    <row r="919" ht="15.7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row>
    <row r="920" ht="15.7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row>
    <row r="921" ht="15.7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row>
    <row r="922" ht="15.7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row>
    <row r="923" ht="15.7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row>
    <row r="924" ht="15.7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row>
    <row r="925" ht="15.7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row>
    <row r="926" ht="15.7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row>
    <row r="927" ht="15.7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row>
    <row r="928" ht="15.7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row>
    <row r="929" ht="15.7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row>
    <row r="930" ht="15.7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row>
    <row r="931" ht="15.7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row>
    <row r="932" ht="15.7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row>
    <row r="933" ht="15.7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row>
    <row r="934" ht="15.7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row>
    <row r="935" ht="15.7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row>
    <row r="936" ht="15.7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row>
    <row r="937" ht="15.7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row>
    <row r="938" ht="15.7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row>
    <row r="939" ht="15.7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row>
    <row r="940" ht="15.7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row>
    <row r="941" ht="15.7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row>
    <row r="942" ht="15.7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row>
    <row r="943" ht="15.7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row>
    <row r="944" ht="15.7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row>
    <row r="945" ht="15.7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row>
    <row r="946" ht="15.7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row>
    <row r="947" ht="15.7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row>
    <row r="948" ht="15.7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row>
    <row r="949" ht="15.7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row>
    <row r="950" ht="15.7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row>
    <row r="951" ht="15.7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row>
    <row r="952" ht="15.7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row>
    <row r="953" ht="15.7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row>
    <row r="954" ht="15.7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row>
    <row r="955" ht="15.7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row>
    <row r="956" ht="15.7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row>
    <row r="957" ht="15.7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row>
    <row r="958" ht="15.7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row>
    <row r="959" ht="15.7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row>
    <row r="960" ht="15.7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row>
    <row r="961" ht="15.7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row>
    <row r="962" ht="15.7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row>
    <row r="963" ht="15.7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row>
    <row r="964" ht="15.7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row>
    <row r="965" ht="15.7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row>
    <row r="966" ht="15.7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row>
    <row r="967" ht="15.7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row>
    <row r="968" ht="15.7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row>
    <row r="969" ht="15.7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row>
    <row r="970" ht="15.7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row>
    <row r="971" ht="15.7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row>
    <row r="972" ht="15.7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row>
    <row r="973" ht="15.7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row>
    <row r="974" ht="15.7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row>
    <row r="975" ht="15.7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row>
    <row r="976" ht="15.7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row>
    <row r="977" ht="15.7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row>
    <row r="978" ht="15.7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row>
    <row r="979" ht="15.7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row>
    <row r="980" ht="15.7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row>
    <row r="981" ht="15.7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row>
    <row r="982" ht="15.7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row>
    <row r="983" ht="15.7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row>
    <row r="984" ht="15.7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row>
    <row r="985" ht="15.7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row>
    <row r="986" ht="15.7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row>
    <row r="987" ht="15.7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row>
    <row r="988" ht="15.7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row>
    <row r="989" ht="15.7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row>
    <row r="990" ht="15.7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row>
    <row r="991" ht="15.7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row>
    <row r="992" ht="15.7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row>
    <row r="993" ht="15.7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row>
    <row r="994" ht="15.7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row>
    <row r="995" ht="15.7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row>
    <row r="996" ht="15.7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row>
    <row r="997" ht="15.7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row>
    <row r="998" ht="15.7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row>
    <row r="999" ht="15.7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row>
    <row r="1000" ht="15.7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row>
  </sheetData>
  <customSheetViews>
    <customSheetView guid="{04528F92-8E56-4677-A3DB-C7A262F6642E}" filter="1" showAutoFilter="1">
      <autoFilter ref="$Q$2:$Q$134"/>
    </customSheetView>
  </customSheetViews>
  <mergeCells count="6">
    <mergeCell ref="A1:E1"/>
    <mergeCell ref="H1:L1"/>
    <mergeCell ref="U1:Y1"/>
    <mergeCell ref="AA1:AE1"/>
    <mergeCell ref="AH1:AL1"/>
    <mergeCell ref="AO1:AQ1"/>
  </mergeCells>
  <conditionalFormatting sqref="U3:U19">
    <cfRule type="expression" dxfId="25" priority="1">
      <formula>iserror(match(U3,$AH$3:$AH114,0))</formula>
    </cfRule>
  </conditionalFormatting>
  <conditionalFormatting sqref="V3:V19">
    <cfRule type="expression" dxfId="25" priority="2">
      <formula>iserror(match(U3,$AI$3:$AI114,0))</formula>
    </cfRule>
  </conditionalFormatting>
  <conditionalFormatting sqref="Y3:Y19 Z3:Z22">
    <cfRule type="expression" dxfId="25" priority="3">
      <formula>iserror(match(Y3,$AL$3:$AL114,0))</formula>
    </cfRule>
  </conditionalFormatting>
  <conditionalFormatting sqref="O3:O114">
    <cfRule type="expression" dxfId="13" priority="4">
      <formula>iserror(match(O3,$AA$3:$AA114,0))</formula>
    </cfRule>
  </conditionalFormatting>
  <conditionalFormatting sqref="P3:P28">
    <cfRule type="expression" dxfId="13" priority="5">
      <formula>iserror(match(P3,$AB$3:$AB114,0))</formula>
    </cfRule>
  </conditionalFormatting>
  <conditionalFormatting sqref="Q3:Q28">
    <cfRule type="expression" dxfId="13" priority="6">
      <formula>iserror(match(Q3,$AC$3:$AC114,0))</formula>
    </cfRule>
  </conditionalFormatting>
  <conditionalFormatting sqref="R3:R79">
    <cfRule type="expression" dxfId="13" priority="7">
      <formula>iserror(match(R3,$AD$3:$AD114,0))</formula>
    </cfRule>
  </conditionalFormatting>
  <conditionalFormatting sqref="S3:S62">
    <cfRule type="expression" dxfId="13" priority="8">
      <formula>iserror(match(S3,$AE$3:$AE114,0))</formula>
    </cfRule>
  </conditionalFormatting>
  <conditionalFormatting sqref="W3:W19">
    <cfRule type="expression" dxfId="25" priority="9">
      <formula>iserror(match(W3,$AJ$3:$AJ114,0))</formula>
    </cfRule>
  </conditionalFormatting>
  <conditionalFormatting sqref="X3:X19">
    <cfRule type="expression" dxfId="25" priority="10">
      <formula>iserror(match(X3,$AK$3:$AK114,0))</formula>
    </cfRule>
  </conditionalFormatting>
  <drawing r:id="rId2"/>
  <legacyDrawing r:id="rId3"/>
  <tableParts count="2">
    <tablePart r:id="rId6"/>
    <tablePart r:id="rId7"/>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88"/>
    <col customWidth="1" min="2" max="2" width="4.5"/>
    <col customWidth="1" hidden="1" min="3" max="3" width="6.38"/>
    <col customWidth="1" min="4" max="4" width="26.0"/>
    <col customWidth="1" min="5" max="5" width="10.63"/>
    <col customWidth="1" min="6" max="6" width="12.75"/>
    <col customWidth="1" min="7" max="7" width="11.75"/>
    <col customWidth="1" min="8" max="8" width="27.13"/>
    <col customWidth="1" min="9" max="9" width="30.38"/>
    <col customWidth="1" min="10" max="10" width="29.63"/>
    <col customWidth="1" min="11" max="11" width="29.75"/>
    <col customWidth="1" min="12" max="12" width="50.25"/>
  </cols>
  <sheetData>
    <row r="1">
      <c r="A1" s="307" t="s">
        <v>1653</v>
      </c>
      <c r="F1" s="308"/>
      <c r="G1" s="308"/>
      <c r="H1" s="307"/>
      <c r="I1" s="307"/>
      <c r="J1" s="307"/>
      <c r="K1" s="307"/>
      <c r="L1" s="307"/>
    </row>
    <row r="2">
      <c r="A2" s="309" t="s">
        <v>1442</v>
      </c>
      <c r="B2" s="310" t="s">
        <v>1443</v>
      </c>
      <c r="C2" s="307" t="s">
        <v>736</v>
      </c>
      <c r="D2" s="307" t="s">
        <v>737</v>
      </c>
      <c r="E2" s="308" t="s">
        <v>739</v>
      </c>
      <c r="F2" s="308" t="s">
        <v>738</v>
      </c>
      <c r="G2" s="308" t="s">
        <v>741</v>
      </c>
      <c r="H2" s="307" t="s">
        <v>744</v>
      </c>
      <c r="I2" s="307" t="s">
        <v>745</v>
      </c>
      <c r="J2" s="307" t="s">
        <v>746</v>
      </c>
      <c r="K2" s="307" t="s">
        <v>750</v>
      </c>
      <c r="L2" s="307" t="s">
        <v>751</v>
      </c>
    </row>
    <row r="3">
      <c r="A3" s="311" t="s">
        <v>1447</v>
      </c>
      <c r="B3" s="312" t="s">
        <v>1654</v>
      </c>
      <c r="C3" s="313" t="s">
        <v>769</v>
      </c>
      <c r="D3" s="314" t="s">
        <v>1655</v>
      </c>
      <c r="E3" s="315" t="s">
        <v>772</v>
      </c>
      <c r="F3" s="316" t="s">
        <v>773</v>
      </c>
      <c r="G3" s="317" t="s">
        <v>774</v>
      </c>
      <c r="H3" s="318" t="s">
        <v>1656</v>
      </c>
      <c r="I3" s="319" t="s">
        <v>789</v>
      </c>
      <c r="J3" s="318" t="s">
        <v>790</v>
      </c>
      <c r="K3" s="319" t="s">
        <v>801</v>
      </c>
      <c r="L3" s="319" t="s">
        <v>1657</v>
      </c>
    </row>
    <row r="4">
      <c r="A4" s="311" t="s">
        <v>1451</v>
      </c>
      <c r="B4" s="312" t="s">
        <v>1658</v>
      </c>
      <c r="C4" s="320"/>
      <c r="I4" s="321" t="s">
        <v>805</v>
      </c>
      <c r="J4" s="322" t="s">
        <v>806</v>
      </c>
      <c r="K4" s="323" t="s">
        <v>810</v>
      </c>
      <c r="L4" s="323" t="s">
        <v>1659</v>
      </c>
    </row>
    <row r="5">
      <c r="A5" s="311" t="s">
        <v>1452</v>
      </c>
      <c r="B5" s="312" t="s">
        <v>1660</v>
      </c>
      <c r="C5" s="320"/>
      <c r="I5" s="324" t="s">
        <v>840</v>
      </c>
      <c r="J5" s="325" t="s">
        <v>1661</v>
      </c>
      <c r="K5" s="326" t="s">
        <v>843</v>
      </c>
      <c r="L5" s="326" t="s">
        <v>1662</v>
      </c>
    </row>
    <row r="6">
      <c r="A6" s="311" t="s">
        <v>1490</v>
      </c>
      <c r="B6" s="312" t="s">
        <v>1663</v>
      </c>
      <c r="C6" s="320"/>
      <c r="K6" s="327" t="s">
        <v>850</v>
      </c>
      <c r="L6" s="327" t="s">
        <v>1664</v>
      </c>
    </row>
    <row r="7">
      <c r="A7" s="311" t="s">
        <v>1496</v>
      </c>
      <c r="B7" s="312" t="s">
        <v>1665</v>
      </c>
      <c r="C7" s="320"/>
      <c r="K7" s="328" t="s">
        <v>857</v>
      </c>
      <c r="L7" s="328" t="s">
        <v>1666</v>
      </c>
    </row>
    <row r="8">
      <c r="A8" s="311" t="s">
        <v>1454</v>
      </c>
      <c r="B8" s="312" t="s">
        <v>1667</v>
      </c>
      <c r="C8" s="320"/>
      <c r="I8" s="329" t="s">
        <v>1668</v>
      </c>
      <c r="J8" s="330" t="s">
        <v>1006</v>
      </c>
      <c r="K8" s="320" t="s">
        <v>1075</v>
      </c>
      <c r="L8" s="320" t="s">
        <v>1669</v>
      </c>
    </row>
    <row r="9">
      <c r="A9" s="311" t="s">
        <v>1455</v>
      </c>
      <c r="B9" s="312" t="s">
        <v>1670</v>
      </c>
      <c r="C9" s="320"/>
      <c r="J9" s="331" t="s">
        <v>814</v>
      </c>
      <c r="K9" s="332" t="s">
        <v>1088</v>
      </c>
      <c r="L9" s="332" t="s">
        <v>1671</v>
      </c>
    </row>
    <row r="10">
      <c r="A10" s="311" t="s">
        <v>1456</v>
      </c>
      <c r="B10" s="312" t="s">
        <v>1672</v>
      </c>
      <c r="C10" s="320"/>
      <c r="I10" s="333" t="s">
        <v>1673</v>
      </c>
      <c r="J10" s="334" t="s">
        <v>942</v>
      </c>
      <c r="K10" s="335" t="s">
        <v>944</v>
      </c>
      <c r="L10" s="335" t="s">
        <v>1674</v>
      </c>
    </row>
    <row r="11">
      <c r="A11" s="311" t="s">
        <v>1506</v>
      </c>
      <c r="B11" s="312" t="s">
        <v>1675</v>
      </c>
      <c r="C11" s="320"/>
      <c r="J11" s="318" t="s">
        <v>1676</v>
      </c>
      <c r="K11" s="319" t="s">
        <v>1140</v>
      </c>
      <c r="L11" s="319" t="s">
        <v>1677</v>
      </c>
    </row>
    <row r="12">
      <c r="A12" s="311" t="s">
        <v>1507</v>
      </c>
      <c r="B12" s="312" t="s">
        <v>1678</v>
      </c>
      <c r="C12" s="320"/>
      <c r="K12" s="321" t="s">
        <v>1679</v>
      </c>
      <c r="L12" s="321" t="s">
        <v>1680</v>
      </c>
    </row>
    <row r="13">
      <c r="A13" s="311" t="s">
        <v>1484</v>
      </c>
      <c r="B13" s="312" t="s">
        <v>1681</v>
      </c>
      <c r="C13" s="320"/>
      <c r="L13" s="321" t="s">
        <v>1682</v>
      </c>
    </row>
    <row r="14">
      <c r="A14" s="311" t="s">
        <v>1509</v>
      </c>
      <c r="B14" s="312" t="s">
        <v>1683</v>
      </c>
      <c r="C14" s="320"/>
      <c r="L14" s="321" t="s">
        <v>1684</v>
      </c>
    </row>
    <row r="15">
      <c r="A15" s="311" t="s">
        <v>1457</v>
      </c>
      <c r="B15" s="312" t="s">
        <v>1685</v>
      </c>
      <c r="C15" s="320"/>
      <c r="L15" s="321" t="s">
        <v>1146</v>
      </c>
    </row>
    <row r="16">
      <c r="A16" s="311" t="s">
        <v>1485</v>
      </c>
      <c r="B16" s="312" t="s">
        <v>1686</v>
      </c>
      <c r="C16" s="320"/>
      <c r="K16" s="324" t="s">
        <v>1687</v>
      </c>
      <c r="L16" s="324" t="s">
        <v>1688</v>
      </c>
    </row>
    <row r="17">
      <c r="A17" s="311" t="s">
        <v>1513</v>
      </c>
      <c r="B17" s="312" t="s">
        <v>1689</v>
      </c>
      <c r="C17" s="320"/>
      <c r="L17" s="324" t="s">
        <v>1690</v>
      </c>
    </row>
    <row r="18">
      <c r="A18" s="311" t="s">
        <v>1458</v>
      </c>
      <c r="B18" s="312" t="s">
        <v>1691</v>
      </c>
      <c r="C18" s="320"/>
      <c r="L18" s="324" t="s">
        <v>1692</v>
      </c>
    </row>
    <row r="19">
      <c r="A19" s="311" t="s">
        <v>1459</v>
      </c>
      <c r="B19" s="312" t="s">
        <v>1693</v>
      </c>
      <c r="C19" s="320"/>
      <c r="H19" s="322" t="s">
        <v>777</v>
      </c>
      <c r="I19" s="336" t="s">
        <v>778</v>
      </c>
      <c r="J19" s="322" t="s">
        <v>1694</v>
      </c>
      <c r="K19" s="337" t="s">
        <v>780</v>
      </c>
      <c r="L19" s="337" t="s">
        <v>1695</v>
      </c>
    </row>
    <row r="20">
      <c r="A20" s="311" t="s">
        <v>1498</v>
      </c>
      <c r="B20" s="312" t="s">
        <v>1696</v>
      </c>
      <c r="C20" s="320"/>
      <c r="K20" s="338" t="s">
        <v>797</v>
      </c>
      <c r="L20" s="338" t="s">
        <v>798</v>
      </c>
    </row>
    <row r="21" ht="15.75" customHeight="1">
      <c r="A21" s="311" t="s">
        <v>1499</v>
      </c>
      <c r="B21" s="312" t="s">
        <v>1697</v>
      </c>
      <c r="C21" s="320"/>
      <c r="H21" s="325" t="s">
        <v>1698</v>
      </c>
      <c r="I21" s="326" t="s">
        <v>816</v>
      </c>
      <c r="J21" s="326" t="s">
        <v>1699</v>
      </c>
      <c r="K21" s="327" t="s">
        <v>821</v>
      </c>
      <c r="L21" s="327" t="s">
        <v>822</v>
      </c>
    </row>
    <row r="22" ht="15.75" customHeight="1">
      <c r="A22" s="311" t="s">
        <v>1500</v>
      </c>
      <c r="B22" s="312" t="s">
        <v>1700</v>
      </c>
      <c r="C22" s="320"/>
      <c r="K22" s="328" t="s">
        <v>829</v>
      </c>
      <c r="L22" s="328" t="s">
        <v>830</v>
      </c>
    </row>
    <row r="23" ht="15.75" customHeight="1">
      <c r="A23" s="311" t="s">
        <v>1501</v>
      </c>
      <c r="B23" s="312" t="s">
        <v>1701</v>
      </c>
      <c r="C23" s="320"/>
      <c r="I23" s="327" t="s">
        <v>1702</v>
      </c>
      <c r="J23" s="330" t="s">
        <v>833</v>
      </c>
      <c r="K23" s="330" t="s">
        <v>834</v>
      </c>
      <c r="L23" s="330" t="s">
        <v>1703</v>
      </c>
    </row>
    <row r="24" ht="15.75" customHeight="1">
      <c r="A24" s="311" t="s">
        <v>1460</v>
      </c>
      <c r="B24" s="312" t="s">
        <v>1704</v>
      </c>
      <c r="C24" s="320"/>
      <c r="J24" s="331" t="s">
        <v>1705</v>
      </c>
      <c r="K24" s="332" t="s">
        <v>1082</v>
      </c>
      <c r="L24" s="332" t="s">
        <v>1083</v>
      </c>
    </row>
    <row r="25" ht="15.75" customHeight="1">
      <c r="A25" s="311" t="s">
        <v>1519</v>
      </c>
      <c r="B25" s="312" t="s">
        <v>1706</v>
      </c>
      <c r="C25" s="320"/>
      <c r="K25" s="339" t="s">
        <v>1084</v>
      </c>
      <c r="L25" s="339" t="s">
        <v>1085</v>
      </c>
    </row>
    <row r="26" ht="15.75" customHeight="1">
      <c r="A26" s="311" t="s">
        <v>1461</v>
      </c>
      <c r="B26" s="312" t="s">
        <v>1707</v>
      </c>
      <c r="C26" s="320"/>
      <c r="I26" s="328" t="s">
        <v>778</v>
      </c>
      <c r="J26" s="334" t="s">
        <v>873</v>
      </c>
      <c r="K26" s="335" t="s">
        <v>917</v>
      </c>
      <c r="L26" s="335" t="s">
        <v>1708</v>
      </c>
    </row>
    <row r="27" ht="15.75" customHeight="1">
      <c r="A27" s="311" t="s">
        <v>1462</v>
      </c>
      <c r="B27" s="312" t="s">
        <v>1709</v>
      </c>
      <c r="C27" s="320"/>
      <c r="I27" s="340" t="s">
        <v>980</v>
      </c>
      <c r="J27" s="318" t="s">
        <v>1710</v>
      </c>
      <c r="K27" s="319" t="s">
        <v>1090</v>
      </c>
      <c r="L27" s="319" t="s">
        <v>1711</v>
      </c>
    </row>
    <row r="28" ht="15.75" customHeight="1">
      <c r="A28" s="311" t="s">
        <v>1463</v>
      </c>
      <c r="B28" s="312" t="s">
        <v>1712</v>
      </c>
      <c r="C28" s="320"/>
      <c r="K28" s="321" t="s">
        <v>1095</v>
      </c>
      <c r="L28" s="321" t="s">
        <v>1713</v>
      </c>
    </row>
    <row r="29" ht="15.75" customHeight="1">
      <c r="A29" s="311" t="s">
        <v>1464</v>
      </c>
      <c r="B29" s="312" t="s">
        <v>1714</v>
      </c>
      <c r="C29" s="320"/>
      <c r="K29" s="324" t="s">
        <v>1715</v>
      </c>
      <c r="L29" s="324" t="s">
        <v>1716</v>
      </c>
    </row>
    <row r="30" ht="15.75" customHeight="1">
      <c r="A30" s="311" t="s">
        <v>1465</v>
      </c>
      <c r="B30" s="312" t="s">
        <v>1717</v>
      </c>
      <c r="C30" s="320"/>
      <c r="L30" s="324" t="s">
        <v>1718</v>
      </c>
    </row>
    <row r="31" ht="15.75" customHeight="1">
      <c r="A31" s="311" t="s">
        <v>1466</v>
      </c>
      <c r="B31" s="312" t="s">
        <v>1719</v>
      </c>
      <c r="C31" s="320"/>
      <c r="K31" s="333" t="s">
        <v>1107</v>
      </c>
      <c r="L31" s="333" t="s">
        <v>1720</v>
      </c>
    </row>
    <row r="32" ht="15.75" customHeight="1">
      <c r="A32" s="311" t="s">
        <v>1467</v>
      </c>
      <c r="B32" s="312" t="s">
        <v>1721</v>
      </c>
      <c r="C32" s="320"/>
      <c r="K32" s="341" t="s">
        <v>364</v>
      </c>
      <c r="L32" s="341" t="s">
        <v>1722</v>
      </c>
    </row>
    <row r="33" ht="15.75" customHeight="1">
      <c r="A33" s="311" t="s">
        <v>1515</v>
      </c>
      <c r="B33" s="312" t="s">
        <v>1723</v>
      </c>
      <c r="C33" s="320"/>
      <c r="K33" s="342" t="s">
        <v>1110</v>
      </c>
      <c r="L33" s="342" t="s">
        <v>1724</v>
      </c>
    </row>
    <row r="34" ht="15.75" customHeight="1">
      <c r="A34" s="311" t="s">
        <v>1468</v>
      </c>
      <c r="B34" s="312" t="s">
        <v>1725</v>
      </c>
      <c r="C34" s="320"/>
      <c r="I34" s="343" t="s">
        <v>1043</v>
      </c>
      <c r="J34" s="322" t="s">
        <v>901</v>
      </c>
      <c r="K34" s="336" t="s">
        <v>1151</v>
      </c>
      <c r="L34" s="336" t="s">
        <v>1726</v>
      </c>
    </row>
    <row r="35" ht="15.75" customHeight="1">
      <c r="A35" s="311" t="s">
        <v>1491</v>
      </c>
      <c r="B35" s="312" t="s">
        <v>413</v>
      </c>
      <c r="C35" s="320"/>
      <c r="H35" s="330" t="s">
        <v>1037</v>
      </c>
      <c r="I35" s="320" t="s">
        <v>1038</v>
      </c>
      <c r="J35" s="325" t="s">
        <v>1039</v>
      </c>
      <c r="K35" s="326" t="s">
        <v>1062</v>
      </c>
      <c r="L35" s="326" t="s">
        <v>1727</v>
      </c>
    </row>
    <row r="36" ht="15.75" customHeight="1">
      <c r="A36" s="311" t="s">
        <v>1469</v>
      </c>
      <c r="B36" s="312" t="s">
        <v>416</v>
      </c>
      <c r="C36" s="320"/>
      <c r="H36" s="331" t="s">
        <v>1069</v>
      </c>
      <c r="I36" s="344" t="s">
        <v>1070</v>
      </c>
      <c r="J36" s="330" t="s">
        <v>1071</v>
      </c>
      <c r="K36" s="320" t="s">
        <v>1072</v>
      </c>
      <c r="L36" s="320" t="s">
        <v>1728</v>
      </c>
    </row>
    <row r="37" ht="15.75" customHeight="1">
      <c r="A37" s="311" t="s">
        <v>1502</v>
      </c>
      <c r="B37" s="312" t="s">
        <v>419</v>
      </c>
      <c r="C37" s="320"/>
      <c r="H37" s="334" t="s">
        <v>1729</v>
      </c>
      <c r="I37" s="335" t="s">
        <v>1730</v>
      </c>
      <c r="J37" s="331" t="s">
        <v>1731</v>
      </c>
      <c r="K37" s="344" t="s">
        <v>1732</v>
      </c>
      <c r="L37" s="344" t="s">
        <v>885</v>
      </c>
    </row>
    <row r="38" ht="15.75" customHeight="1">
      <c r="A38" s="311" t="s">
        <v>1503</v>
      </c>
      <c r="B38" s="312" t="s">
        <v>422</v>
      </c>
      <c r="C38" s="320"/>
      <c r="K38" s="344"/>
      <c r="L38" s="344" t="s">
        <v>1733</v>
      </c>
    </row>
    <row r="39" ht="15.75" customHeight="1">
      <c r="A39" s="311" t="s">
        <v>1521</v>
      </c>
      <c r="B39" s="312" t="s">
        <v>425</v>
      </c>
      <c r="C39" s="320"/>
      <c r="K39" s="332" t="s">
        <v>1734</v>
      </c>
      <c r="L39" s="332" t="s">
        <v>1735</v>
      </c>
    </row>
    <row r="40" ht="15.75" customHeight="1">
      <c r="A40" s="311" t="s">
        <v>1522</v>
      </c>
      <c r="B40" s="312" t="s">
        <v>428</v>
      </c>
      <c r="C40" s="320"/>
      <c r="L40" s="332" t="s">
        <v>1736</v>
      </c>
    </row>
    <row r="41" ht="15.75" customHeight="1">
      <c r="A41" s="311" t="s">
        <v>1523</v>
      </c>
      <c r="B41" s="312" t="s">
        <v>431</v>
      </c>
      <c r="C41" s="320"/>
      <c r="L41" s="332" t="s">
        <v>1737</v>
      </c>
    </row>
    <row r="42" ht="15.75" customHeight="1">
      <c r="A42" s="311" t="s">
        <v>1504</v>
      </c>
      <c r="B42" s="312" t="s">
        <v>434</v>
      </c>
      <c r="C42" s="320"/>
      <c r="K42" s="339" t="s">
        <v>902</v>
      </c>
      <c r="L42" s="339" t="s">
        <v>1738</v>
      </c>
    </row>
    <row r="43" ht="15.75" customHeight="1">
      <c r="A43" s="311" t="s">
        <v>1483</v>
      </c>
      <c r="B43" s="312" t="s">
        <v>439</v>
      </c>
      <c r="C43" s="320"/>
      <c r="K43" s="345" t="s">
        <v>908</v>
      </c>
      <c r="L43" s="345" t="s">
        <v>1739</v>
      </c>
    </row>
    <row r="44" ht="15.75" customHeight="1">
      <c r="A44" s="311" t="s">
        <v>1516</v>
      </c>
      <c r="B44" s="312" t="s">
        <v>442</v>
      </c>
      <c r="C44" s="320"/>
      <c r="K44" s="346" t="s">
        <v>910</v>
      </c>
      <c r="L44" s="346" t="s">
        <v>1740</v>
      </c>
    </row>
    <row r="45" ht="15.75" customHeight="1">
      <c r="A45" s="311" t="s">
        <v>1470</v>
      </c>
      <c r="B45" s="312" t="s">
        <v>1741</v>
      </c>
      <c r="C45" s="320"/>
      <c r="K45" s="347" t="s">
        <v>912</v>
      </c>
      <c r="L45" s="347" t="s">
        <v>1742</v>
      </c>
    </row>
    <row r="46" ht="15.75" customHeight="1">
      <c r="A46" s="311" t="s">
        <v>1525</v>
      </c>
      <c r="B46" s="312" t="s">
        <v>1743</v>
      </c>
      <c r="C46" s="320"/>
      <c r="J46" s="334" t="s">
        <v>870</v>
      </c>
      <c r="K46" s="335" t="s">
        <v>914</v>
      </c>
      <c r="L46" s="335" t="s">
        <v>1744</v>
      </c>
    </row>
    <row r="47" ht="15.75" customHeight="1">
      <c r="A47" s="311" t="s">
        <v>1471</v>
      </c>
      <c r="B47" s="312" t="s">
        <v>1745</v>
      </c>
      <c r="C47" s="320"/>
      <c r="J47" s="318" t="s">
        <v>934</v>
      </c>
      <c r="K47" s="319" t="s">
        <v>935</v>
      </c>
      <c r="L47" s="319" t="s">
        <v>1746</v>
      </c>
    </row>
    <row r="48" ht="15.75" customHeight="1">
      <c r="A48" s="311" t="s">
        <v>1492</v>
      </c>
      <c r="B48" s="312" t="s">
        <v>1747</v>
      </c>
      <c r="C48" s="320"/>
      <c r="I48" s="348" t="s">
        <v>1748</v>
      </c>
      <c r="J48" s="322" t="s">
        <v>825</v>
      </c>
      <c r="K48" s="323" t="s">
        <v>1749</v>
      </c>
      <c r="L48" s="323" t="s">
        <v>950</v>
      </c>
    </row>
    <row r="49" ht="15.75" customHeight="1">
      <c r="A49" s="311" t="s">
        <v>1486</v>
      </c>
      <c r="B49" s="312" t="s">
        <v>1750</v>
      </c>
      <c r="C49" s="320"/>
      <c r="L49" s="323" t="s">
        <v>1751</v>
      </c>
    </row>
    <row r="50" ht="15.75" customHeight="1">
      <c r="A50" s="311" t="s">
        <v>1472</v>
      </c>
      <c r="B50" s="312" t="s">
        <v>1752</v>
      </c>
      <c r="C50" s="320"/>
      <c r="K50" s="337" t="s">
        <v>1753</v>
      </c>
      <c r="L50" s="337" t="s">
        <v>954</v>
      </c>
    </row>
    <row r="51" ht="15.75" customHeight="1">
      <c r="A51" s="311" t="s">
        <v>1487</v>
      </c>
      <c r="B51" s="312" t="s">
        <v>445</v>
      </c>
      <c r="C51" s="320"/>
      <c r="L51" s="337" t="s">
        <v>955</v>
      </c>
    </row>
    <row r="52" ht="15.75" customHeight="1">
      <c r="A52" s="311" t="s">
        <v>1473</v>
      </c>
      <c r="B52" s="312" t="s">
        <v>448</v>
      </c>
      <c r="C52" s="320"/>
      <c r="K52" s="338" t="s">
        <v>959</v>
      </c>
      <c r="L52" s="338" t="s">
        <v>1754</v>
      </c>
    </row>
    <row r="53" ht="15.75" customHeight="1">
      <c r="A53" s="311" t="s">
        <v>1493</v>
      </c>
      <c r="B53" s="312" t="s">
        <v>451</v>
      </c>
      <c r="C53" s="320"/>
      <c r="I53" s="349" t="s">
        <v>987</v>
      </c>
      <c r="J53" s="325" t="s">
        <v>1755</v>
      </c>
      <c r="K53" s="326" t="s">
        <v>1756</v>
      </c>
      <c r="L53" s="326" t="s">
        <v>1757</v>
      </c>
    </row>
    <row r="54" ht="15.75" customHeight="1">
      <c r="A54" s="311" t="s">
        <v>1474</v>
      </c>
      <c r="B54" s="312" t="s">
        <v>454</v>
      </c>
      <c r="C54" s="320"/>
      <c r="L54" s="326" t="s">
        <v>990</v>
      </c>
    </row>
    <row r="55" ht="15.75" customHeight="1">
      <c r="A55" s="311" t="s">
        <v>1475</v>
      </c>
      <c r="B55" s="312" t="s">
        <v>457</v>
      </c>
      <c r="C55" s="320"/>
      <c r="K55" s="327" t="s">
        <v>992</v>
      </c>
      <c r="L55" s="327" t="s">
        <v>1758</v>
      </c>
    </row>
    <row r="56" ht="15.75" customHeight="1">
      <c r="A56" s="311" t="s">
        <v>1524</v>
      </c>
      <c r="B56" s="312" t="s">
        <v>460</v>
      </c>
      <c r="C56" s="320"/>
      <c r="K56" s="328" t="s">
        <v>995</v>
      </c>
      <c r="L56" s="328" t="s">
        <v>1759</v>
      </c>
    </row>
    <row r="57" ht="15.75" customHeight="1">
      <c r="A57" s="311" t="s">
        <v>1528</v>
      </c>
      <c r="B57" s="312" t="s">
        <v>463</v>
      </c>
      <c r="C57" s="320"/>
      <c r="K57" s="340" t="s">
        <v>1760</v>
      </c>
      <c r="L57" s="340" t="s">
        <v>998</v>
      </c>
    </row>
    <row r="58" ht="15.75" customHeight="1">
      <c r="A58" s="311" t="s">
        <v>1520</v>
      </c>
      <c r="B58" s="312" t="s">
        <v>466</v>
      </c>
      <c r="C58" s="320"/>
      <c r="L58" s="340" t="s">
        <v>1761</v>
      </c>
    </row>
    <row r="59" ht="15.75" customHeight="1">
      <c r="A59" s="311" t="s">
        <v>1505</v>
      </c>
      <c r="B59" s="312" t="s">
        <v>469</v>
      </c>
      <c r="C59" s="320"/>
      <c r="K59" s="350" t="s">
        <v>1000</v>
      </c>
      <c r="L59" s="350" t="s">
        <v>1762</v>
      </c>
    </row>
    <row r="60" ht="15.75" customHeight="1">
      <c r="A60" s="311" t="s">
        <v>1526</v>
      </c>
      <c r="B60" s="312" t="s">
        <v>472</v>
      </c>
      <c r="C60" s="320"/>
      <c r="K60" s="343" t="s">
        <v>1003</v>
      </c>
      <c r="L60" s="343" t="s">
        <v>1763</v>
      </c>
    </row>
    <row r="61" ht="15.75" customHeight="1">
      <c r="A61" s="311" t="s">
        <v>1494</v>
      </c>
      <c r="B61" s="312" t="s">
        <v>1764</v>
      </c>
      <c r="C61" s="320"/>
      <c r="K61" s="351" t="s">
        <v>1009</v>
      </c>
      <c r="L61" s="351" t="s">
        <v>1765</v>
      </c>
    </row>
    <row r="62" ht="15.75" customHeight="1">
      <c r="A62" s="311" t="s">
        <v>1476</v>
      </c>
      <c r="B62" s="312" t="s">
        <v>1766</v>
      </c>
      <c r="C62" s="320"/>
      <c r="K62" s="352" t="s">
        <v>1011</v>
      </c>
      <c r="L62" s="352" t="s">
        <v>1767</v>
      </c>
    </row>
    <row r="63" ht="15.75" customHeight="1">
      <c r="A63" s="311" t="s">
        <v>1495</v>
      </c>
      <c r="B63" s="312" t="s">
        <v>1768</v>
      </c>
      <c r="C63" s="320"/>
      <c r="K63" s="353" t="s">
        <v>1769</v>
      </c>
      <c r="L63" s="353" t="s">
        <v>1770</v>
      </c>
    </row>
    <row r="64" ht="15.75" customHeight="1">
      <c r="A64" s="311" t="s">
        <v>1488</v>
      </c>
      <c r="B64" s="312" t="s">
        <v>1771</v>
      </c>
      <c r="C64" s="320"/>
      <c r="L64" s="353" t="s">
        <v>1017</v>
      </c>
    </row>
    <row r="65" ht="15.75" customHeight="1">
      <c r="A65" s="311" t="s">
        <v>1531</v>
      </c>
      <c r="B65" s="312" t="s">
        <v>1772</v>
      </c>
      <c r="C65" s="320"/>
      <c r="L65" s="353" t="s">
        <v>1773</v>
      </c>
    </row>
    <row r="66" ht="15.75" customHeight="1">
      <c r="A66" s="311" t="s">
        <v>1477</v>
      </c>
      <c r="B66" s="312" t="s">
        <v>1774</v>
      </c>
      <c r="C66" s="320"/>
      <c r="I66" s="354" t="s">
        <v>1775</v>
      </c>
      <c r="J66" s="330" t="s">
        <v>1776</v>
      </c>
      <c r="K66" s="320" t="s">
        <v>1041</v>
      </c>
      <c r="L66" s="320" t="s">
        <v>1042</v>
      </c>
    </row>
    <row r="67" ht="15.75" customHeight="1">
      <c r="A67" s="311" t="s">
        <v>1532</v>
      </c>
      <c r="B67" s="312" t="s">
        <v>475</v>
      </c>
      <c r="C67" s="320"/>
      <c r="I67" s="354"/>
      <c r="J67" s="331" t="s">
        <v>1020</v>
      </c>
      <c r="K67" s="344" t="s">
        <v>1021</v>
      </c>
      <c r="L67" s="344" t="s">
        <v>1777</v>
      </c>
    </row>
    <row r="68" ht="15.75" customHeight="1">
      <c r="A68" s="311" t="s">
        <v>1533</v>
      </c>
      <c r="B68" s="312" t="s">
        <v>478</v>
      </c>
      <c r="C68" s="320"/>
      <c r="I68" s="355" t="s">
        <v>1778</v>
      </c>
      <c r="J68" s="334" t="s">
        <v>1779</v>
      </c>
      <c r="K68" s="335" t="s">
        <v>973</v>
      </c>
      <c r="L68" s="335" t="s">
        <v>1780</v>
      </c>
    </row>
    <row r="69" ht="15.75" customHeight="1">
      <c r="A69" s="311" t="s">
        <v>1478</v>
      </c>
      <c r="B69" s="312" t="s">
        <v>481</v>
      </c>
      <c r="C69" s="320"/>
      <c r="K69" s="348" t="s">
        <v>976</v>
      </c>
      <c r="L69" s="348" t="s">
        <v>1781</v>
      </c>
    </row>
    <row r="70" ht="15.75" customHeight="1">
      <c r="A70" s="311" t="s">
        <v>1535</v>
      </c>
      <c r="B70" s="312" t="s">
        <v>484</v>
      </c>
      <c r="C70" s="320"/>
      <c r="K70" s="349" t="s">
        <v>978</v>
      </c>
      <c r="L70" s="349" t="s">
        <v>1782</v>
      </c>
    </row>
    <row r="71" ht="15.75" customHeight="1">
      <c r="A71" s="311" t="s">
        <v>1489</v>
      </c>
      <c r="B71" s="312" t="s">
        <v>487</v>
      </c>
      <c r="C71" s="320"/>
      <c r="K71" s="354" t="s">
        <v>983</v>
      </c>
      <c r="L71" s="354" t="s">
        <v>1783</v>
      </c>
    </row>
    <row r="72" ht="15.75" customHeight="1">
      <c r="A72" s="311" t="s">
        <v>1537</v>
      </c>
      <c r="B72" s="312" t="s">
        <v>490</v>
      </c>
      <c r="C72" s="320"/>
      <c r="J72" s="318" t="s">
        <v>1784</v>
      </c>
      <c r="K72" s="319" t="s">
        <v>1130</v>
      </c>
      <c r="L72" s="319" t="s">
        <v>1785</v>
      </c>
    </row>
    <row r="73" ht="15.75" customHeight="1">
      <c r="A73" s="311" t="s">
        <v>1517</v>
      </c>
      <c r="B73" s="312" t="s">
        <v>493</v>
      </c>
      <c r="C73" s="320"/>
      <c r="K73" s="319"/>
      <c r="L73" s="319" t="s">
        <v>1132</v>
      </c>
    </row>
    <row r="74" ht="15.75" customHeight="1">
      <c r="A74" s="311" t="s">
        <v>1479</v>
      </c>
      <c r="B74" s="312" t="s">
        <v>496</v>
      </c>
      <c r="C74" s="320"/>
      <c r="I74" s="356" t="s">
        <v>1786</v>
      </c>
      <c r="J74" s="322" t="s">
        <v>1787</v>
      </c>
      <c r="K74" s="323" t="s">
        <v>879</v>
      </c>
      <c r="L74" s="323" t="s">
        <v>1788</v>
      </c>
    </row>
    <row r="75" ht="15.75" customHeight="1">
      <c r="A75" s="311" t="s">
        <v>1480</v>
      </c>
      <c r="B75" s="312" t="s">
        <v>499</v>
      </c>
      <c r="C75" s="320"/>
      <c r="J75" s="325" t="s">
        <v>1789</v>
      </c>
      <c r="K75" s="326" t="s">
        <v>1045</v>
      </c>
      <c r="L75" s="326" t="s">
        <v>1790</v>
      </c>
    </row>
    <row r="76" ht="15.75" customHeight="1">
      <c r="A76" s="311" t="s">
        <v>1536</v>
      </c>
      <c r="B76" s="312" t="s">
        <v>502</v>
      </c>
      <c r="C76" s="320"/>
      <c r="K76" s="326"/>
      <c r="L76" s="326" t="s">
        <v>1791</v>
      </c>
    </row>
    <row r="77" ht="15.75" customHeight="1">
      <c r="A77" s="311" t="s">
        <v>1481</v>
      </c>
      <c r="B77" s="312" t="s">
        <v>1792</v>
      </c>
      <c r="C77" s="320"/>
      <c r="K77" s="326"/>
      <c r="L77" s="326" t="s">
        <v>1793</v>
      </c>
    </row>
    <row r="78" ht="15.75" customHeight="1">
      <c r="A78" s="311" t="s">
        <v>1482</v>
      </c>
      <c r="B78" s="312" t="s">
        <v>1794</v>
      </c>
      <c r="C78" s="320"/>
      <c r="K78" s="327" t="s">
        <v>1795</v>
      </c>
      <c r="L78" s="327" t="s">
        <v>1796</v>
      </c>
    </row>
    <row r="79" ht="15.75" customHeight="1">
      <c r="A79" s="357" t="s">
        <v>1539</v>
      </c>
      <c r="B79" s="358" t="s">
        <v>1797</v>
      </c>
      <c r="C79" s="320"/>
      <c r="J79" s="330" t="s">
        <v>867</v>
      </c>
      <c r="K79" s="320" t="s">
        <v>1067</v>
      </c>
      <c r="L79" s="320" t="s">
        <v>1798</v>
      </c>
    </row>
    <row r="80" ht="15.75" customHeight="1">
      <c r="A80" s="188"/>
      <c r="B80" s="188"/>
      <c r="C80" s="320"/>
      <c r="I80" s="359" t="s">
        <v>1799</v>
      </c>
      <c r="J80" s="331" t="s">
        <v>799</v>
      </c>
      <c r="K80" s="344" t="s">
        <v>1086</v>
      </c>
      <c r="L80" s="344" t="s">
        <v>1800</v>
      </c>
    </row>
    <row r="81" ht="15.75" customHeight="1">
      <c r="A81" s="188"/>
      <c r="B81" s="188"/>
      <c r="C81" s="320"/>
      <c r="I81" s="360" t="s">
        <v>1801</v>
      </c>
      <c r="J81" s="334" t="s">
        <v>859</v>
      </c>
      <c r="K81" s="335" t="s">
        <v>1114</v>
      </c>
      <c r="L81" s="335" t="s">
        <v>1802</v>
      </c>
    </row>
    <row r="82" ht="15.75" customHeight="1">
      <c r="A82" s="188"/>
      <c r="B82" s="188"/>
      <c r="C82" s="320"/>
      <c r="K82" s="348" t="s">
        <v>1116</v>
      </c>
      <c r="L82" s="348" t="s">
        <v>1803</v>
      </c>
    </row>
    <row r="83" ht="15.75" customHeight="1">
      <c r="A83" s="188"/>
      <c r="B83" s="188"/>
      <c r="C83" s="320"/>
      <c r="K83" s="349" t="s">
        <v>1804</v>
      </c>
      <c r="L83" s="349" t="s">
        <v>1119</v>
      </c>
    </row>
    <row r="84" ht="15.75" customHeight="1">
      <c r="A84" s="188"/>
      <c r="B84" s="188"/>
      <c r="C84" s="320"/>
      <c r="K84" s="349"/>
      <c r="L84" s="349" t="s">
        <v>1805</v>
      </c>
    </row>
    <row r="85" ht="15.75" customHeight="1">
      <c r="A85" s="188"/>
      <c r="B85" s="188"/>
      <c r="C85" s="320"/>
      <c r="K85" s="349"/>
      <c r="L85" s="349" t="s">
        <v>1806</v>
      </c>
    </row>
    <row r="86" ht="15.75" customHeight="1">
      <c r="A86" s="188"/>
      <c r="B86" s="188"/>
      <c r="C86" s="320"/>
      <c r="K86" s="354" t="s">
        <v>1122</v>
      </c>
      <c r="L86" s="354" t="s">
        <v>1807</v>
      </c>
    </row>
    <row r="87" ht="15.75" customHeight="1">
      <c r="A87" s="188"/>
      <c r="B87" s="188"/>
      <c r="C87" s="320"/>
      <c r="K87" s="355" t="s">
        <v>1124</v>
      </c>
      <c r="L87" s="355" t="s">
        <v>1808</v>
      </c>
    </row>
    <row r="88" ht="15.75" customHeight="1">
      <c r="A88" s="188"/>
      <c r="B88" s="188"/>
      <c r="C88" s="320"/>
      <c r="J88" s="318" t="s">
        <v>823</v>
      </c>
      <c r="K88" s="319" t="s">
        <v>1112</v>
      </c>
      <c r="L88" s="319" t="s">
        <v>1809</v>
      </c>
    </row>
    <row r="89" ht="15.75" customHeight="1">
      <c r="A89" s="188"/>
      <c r="B89" s="188"/>
      <c r="C89" s="320"/>
      <c r="I89" s="361" t="s">
        <v>985</v>
      </c>
      <c r="J89" s="322" t="s">
        <v>881</v>
      </c>
      <c r="K89" s="323" t="s">
        <v>1810</v>
      </c>
      <c r="L89" s="323" t="s">
        <v>1127</v>
      </c>
    </row>
    <row r="90" ht="15.75" customHeight="1">
      <c r="A90" s="188"/>
      <c r="B90" s="188"/>
      <c r="C90" s="320"/>
      <c r="L90" s="323" t="s">
        <v>1128</v>
      </c>
    </row>
    <row r="91" ht="15.75" customHeight="1">
      <c r="A91" s="188"/>
      <c r="B91" s="188"/>
      <c r="C91" s="320"/>
      <c r="F91" s="362" t="s">
        <v>1050</v>
      </c>
      <c r="G91" s="331" t="s">
        <v>888</v>
      </c>
      <c r="H91" s="318" t="s">
        <v>1811</v>
      </c>
      <c r="I91" s="319" t="s">
        <v>1065</v>
      </c>
      <c r="J91" s="325" t="s">
        <v>893</v>
      </c>
      <c r="K91" s="326" t="s">
        <v>1134</v>
      </c>
      <c r="L91" s="326" t="s">
        <v>1812</v>
      </c>
    </row>
    <row r="92" ht="15.75" customHeight="1">
      <c r="A92" s="188"/>
      <c r="B92" s="188"/>
      <c r="C92" s="320"/>
      <c r="E92" s="363" t="s">
        <v>1024</v>
      </c>
      <c r="F92" s="364" t="s">
        <v>1813</v>
      </c>
      <c r="G92" s="344" t="s">
        <v>1814</v>
      </c>
      <c r="H92" s="322" t="s">
        <v>1811</v>
      </c>
      <c r="I92" s="323" t="s">
        <v>1028</v>
      </c>
      <c r="J92" s="330" t="s">
        <v>1029</v>
      </c>
      <c r="K92" s="320" t="s">
        <v>1030</v>
      </c>
      <c r="L92" s="320" t="s">
        <v>1815</v>
      </c>
    </row>
    <row r="93" ht="15.75" customHeight="1">
      <c r="A93" s="188"/>
      <c r="B93" s="188"/>
      <c r="C93" s="320"/>
      <c r="D93" s="365" t="s">
        <v>785</v>
      </c>
      <c r="E93" s="366" t="s">
        <v>785</v>
      </c>
      <c r="G93" s="332" t="s">
        <v>921</v>
      </c>
      <c r="H93" s="325" t="s">
        <v>1811</v>
      </c>
      <c r="I93" s="326" t="s">
        <v>1816</v>
      </c>
      <c r="J93" s="331" t="s">
        <v>1817</v>
      </c>
      <c r="K93" s="344" t="s">
        <v>923</v>
      </c>
      <c r="L93" s="344" t="s">
        <v>924</v>
      </c>
    </row>
    <row r="94" ht="15.75" customHeight="1">
      <c r="A94" s="188"/>
      <c r="B94" s="188"/>
      <c r="C94" s="320"/>
      <c r="J94" s="334" t="s">
        <v>1818</v>
      </c>
      <c r="K94" s="335" t="s">
        <v>1154</v>
      </c>
      <c r="L94" s="335" t="s">
        <v>1155</v>
      </c>
    </row>
    <row r="95" ht="15.75" customHeight="1">
      <c r="A95" s="188"/>
      <c r="B95" s="188"/>
      <c r="C95" s="320"/>
      <c r="I95" s="327" t="s">
        <v>1137</v>
      </c>
      <c r="J95" s="318" t="s">
        <v>896</v>
      </c>
      <c r="K95" s="319" t="s">
        <v>1138</v>
      </c>
      <c r="L95" s="319" t="s">
        <v>1819</v>
      </c>
    </row>
    <row r="96" ht="15.75" customHeight="1">
      <c r="A96" s="188"/>
      <c r="B96" s="188"/>
      <c r="C96" s="320"/>
      <c r="G96" s="339" t="s">
        <v>862</v>
      </c>
      <c r="H96" s="330" t="s">
        <v>1811</v>
      </c>
      <c r="I96" s="320" t="s">
        <v>863</v>
      </c>
      <c r="J96" s="322" t="s">
        <v>864</v>
      </c>
      <c r="K96" s="323" t="s">
        <v>865</v>
      </c>
      <c r="L96" s="323" t="s">
        <v>1820</v>
      </c>
    </row>
    <row r="97" ht="15.75" customHeight="1">
      <c r="A97" s="188"/>
      <c r="B97" s="188"/>
      <c r="C97" s="320"/>
      <c r="K97" s="337" t="s">
        <v>871</v>
      </c>
      <c r="L97" s="337" t="s">
        <v>872</v>
      </c>
    </row>
    <row r="98" ht="15.75" customHeight="1">
      <c r="A98" s="188"/>
      <c r="B98" s="188"/>
      <c r="C98" s="320"/>
      <c r="L98" s="337" t="s">
        <v>874</v>
      </c>
    </row>
    <row r="99" ht="15.75" customHeight="1">
      <c r="A99" s="188"/>
      <c r="B99" s="188"/>
      <c r="C99" s="320"/>
      <c r="J99" s="325" t="s">
        <v>886</v>
      </c>
      <c r="K99" s="326" t="s">
        <v>1057</v>
      </c>
      <c r="L99" s="326" t="s">
        <v>1058</v>
      </c>
    </row>
    <row r="100" ht="15.75" customHeight="1">
      <c r="A100" s="188"/>
      <c r="B100" s="188"/>
      <c r="C100" s="320"/>
      <c r="L100" s="326" t="s">
        <v>1061</v>
      </c>
    </row>
    <row r="101" ht="15.75" customHeight="1">
      <c r="A101" s="188"/>
      <c r="B101" s="188"/>
      <c r="C101" s="320"/>
      <c r="G101" s="345" t="s">
        <v>846</v>
      </c>
      <c r="H101" s="331" t="s">
        <v>1811</v>
      </c>
      <c r="I101" s="344" t="s">
        <v>925</v>
      </c>
      <c r="J101" s="330" t="s">
        <v>926</v>
      </c>
      <c r="K101" s="320" t="s">
        <v>927</v>
      </c>
      <c r="L101" s="320" t="s">
        <v>928</v>
      </c>
    </row>
    <row r="102" ht="15.75" customHeight="1">
      <c r="A102" s="188"/>
      <c r="B102" s="188"/>
      <c r="C102" s="320"/>
      <c r="K102" s="367" t="s">
        <v>931</v>
      </c>
      <c r="L102" s="367" t="s">
        <v>1821</v>
      </c>
    </row>
    <row r="103" ht="15.75" customHeight="1">
      <c r="A103" s="188"/>
      <c r="B103" s="188"/>
      <c r="C103" s="320"/>
      <c r="H103" s="334" t="s">
        <v>1811</v>
      </c>
      <c r="I103" s="335" t="s">
        <v>1811</v>
      </c>
      <c r="J103" s="331" t="s">
        <v>1811</v>
      </c>
      <c r="K103" s="344" t="s">
        <v>939</v>
      </c>
      <c r="L103" s="344" t="s">
        <v>1822</v>
      </c>
    </row>
    <row r="104" ht="15.75" customHeight="1">
      <c r="A104" s="188"/>
      <c r="B104" s="188"/>
      <c r="C104" s="367" t="s">
        <v>1823</v>
      </c>
      <c r="D104" s="368" t="s">
        <v>961</v>
      </c>
      <c r="E104" s="369" t="s">
        <v>961</v>
      </c>
      <c r="F104" s="361" t="s">
        <v>1811</v>
      </c>
      <c r="G104" s="346" t="s">
        <v>868</v>
      </c>
      <c r="H104" s="318" t="s">
        <v>1811</v>
      </c>
      <c r="I104" s="319" t="s">
        <v>1824</v>
      </c>
      <c r="J104" s="334" t="s">
        <v>831</v>
      </c>
      <c r="K104" s="335" t="s">
        <v>1825</v>
      </c>
      <c r="L104" s="335" t="s">
        <v>1826</v>
      </c>
    </row>
    <row r="105" ht="15.75" customHeight="1">
      <c r="A105" s="188"/>
      <c r="B105" s="188"/>
      <c r="C105" s="367"/>
      <c r="H105" s="318"/>
      <c r="K105" s="348" t="s">
        <v>967</v>
      </c>
      <c r="L105" s="348" t="s">
        <v>968</v>
      </c>
    </row>
    <row r="106" ht="15.75" customHeight="1">
      <c r="A106" s="188"/>
      <c r="B106" s="188"/>
      <c r="C106" s="367"/>
      <c r="G106" s="370" t="s">
        <v>852</v>
      </c>
      <c r="H106" s="322" t="s">
        <v>1811</v>
      </c>
      <c r="I106" s="323" t="s">
        <v>1032</v>
      </c>
      <c r="J106" s="318" t="s">
        <v>1033</v>
      </c>
      <c r="K106" s="319" t="s">
        <v>1034</v>
      </c>
      <c r="L106" s="319" t="s">
        <v>1827</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0">
    <mergeCell ref="I5:I7"/>
    <mergeCell ref="I8:I9"/>
    <mergeCell ref="I10:I18"/>
    <mergeCell ref="J11:J18"/>
    <mergeCell ref="K12:K15"/>
    <mergeCell ref="K16:K18"/>
    <mergeCell ref="H19:H20"/>
    <mergeCell ref="I19:I20"/>
    <mergeCell ref="H3:H18"/>
    <mergeCell ref="H21:H34"/>
    <mergeCell ref="I21:I22"/>
    <mergeCell ref="J21:J22"/>
    <mergeCell ref="I23:I25"/>
    <mergeCell ref="J24:J25"/>
    <mergeCell ref="K57:K58"/>
    <mergeCell ref="K63:K65"/>
    <mergeCell ref="I27:I33"/>
    <mergeCell ref="J27:J33"/>
    <mergeCell ref="K29:K30"/>
    <mergeCell ref="K39:K41"/>
    <mergeCell ref="K48:K49"/>
    <mergeCell ref="K50:K51"/>
    <mergeCell ref="K53:K54"/>
    <mergeCell ref="H37:H90"/>
    <mergeCell ref="I37:I47"/>
    <mergeCell ref="I48:I52"/>
    <mergeCell ref="I53:I65"/>
    <mergeCell ref="I68:I73"/>
    <mergeCell ref="I74:I79"/>
    <mergeCell ref="I81:I88"/>
    <mergeCell ref="I89:I90"/>
    <mergeCell ref="G96:G100"/>
    <mergeCell ref="H96:H100"/>
    <mergeCell ref="I96:I100"/>
    <mergeCell ref="J96:J98"/>
    <mergeCell ref="J99:J100"/>
    <mergeCell ref="G101:G103"/>
    <mergeCell ref="H101:H102"/>
    <mergeCell ref="I101:I102"/>
    <mergeCell ref="J101:J102"/>
    <mergeCell ref="A1:E1"/>
    <mergeCell ref="E3:E91"/>
    <mergeCell ref="F3:F90"/>
    <mergeCell ref="J5:J7"/>
    <mergeCell ref="J19:J20"/>
    <mergeCell ref="F92:F103"/>
    <mergeCell ref="E93:E103"/>
    <mergeCell ref="J37:J45"/>
    <mergeCell ref="J48:J52"/>
    <mergeCell ref="J53:J65"/>
    <mergeCell ref="J68:J71"/>
    <mergeCell ref="J72:J73"/>
    <mergeCell ref="J75:J78"/>
    <mergeCell ref="J81:J87"/>
    <mergeCell ref="J89:J90"/>
    <mergeCell ref="K89:K90"/>
    <mergeCell ref="K97:K98"/>
    <mergeCell ref="K99:K100"/>
    <mergeCell ref="J104:J105"/>
    <mergeCell ref="D3:D92"/>
    <mergeCell ref="D93:D103"/>
    <mergeCell ref="D104:D106"/>
    <mergeCell ref="G3:G90"/>
    <mergeCell ref="G93:G95"/>
    <mergeCell ref="H93:H95"/>
    <mergeCell ref="I93:I94"/>
    <mergeCell ref="E104:E106"/>
    <mergeCell ref="F104:F106"/>
    <mergeCell ref="G104:G105"/>
    <mergeCell ref="I104:I10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88"/>
    <col customWidth="1" min="2" max="2" width="16.63"/>
    <col customWidth="1" min="3" max="3" width="19.75"/>
    <col customWidth="1" min="4" max="5" width="17.75"/>
    <col customWidth="1" min="6" max="7" width="16.88"/>
    <col customWidth="1" min="8" max="8" width="16.25"/>
    <col customWidth="1" min="9" max="9" width="17.63"/>
    <col customWidth="1" min="10" max="10" width="19.75"/>
    <col customWidth="1" min="11" max="11" width="19.25"/>
    <col customWidth="1" min="12" max="12" width="19.75"/>
    <col customWidth="1" min="13" max="13" width="16.75"/>
    <col customWidth="1" min="14" max="14" width="24.13"/>
  </cols>
  <sheetData>
    <row r="1">
      <c r="A1" s="371" t="s">
        <v>1828</v>
      </c>
    </row>
    <row r="2">
      <c r="A2" s="194" t="s">
        <v>49</v>
      </c>
      <c r="B2" s="194" t="s">
        <v>50</v>
      </c>
      <c r="C2" s="194" t="s">
        <v>1829</v>
      </c>
      <c r="D2" s="194" t="s">
        <v>55</v>
      </c>
      <c r="E2" s="195" t="s">
        <v>399</v>
      </c>
      <c r="F2" s="194" t="s">
        <v>60</v>
      </c>
      <c r="G2" s="194" t="s">
        <v>61</v>
      </c>
      <c r="H2" s="194" t="s">
        <v>52</v>
      </c>
      <c r="I2" s="194" t="s">
        <v>62</v>
      </c>
      <c r="J2" s="194" t="s">
        <v>51</v>
      </c>
      <c r="K2" s="194" t="s">
        <v>63</v>
      </c>
      <c r="L2" s="194" t="s">
        <v>64</v>
      </c>
      <c r="M2" s="194" t="s">
        <v>65</v>
      </c>
      <c r="N2" s="194" t="s">
        <v>66</v>
      </c>
    </row>
    <row r="3">
      <c r="A3" s="372" t="s">
        <v>1830</v>
      </c>
      <c r="B3" s="372" t="s">
        <v>1831</v>
      </c>
      <c r="C3" s="372" t="s">
        <v>1832</v>
      </c>
      <c r="D3" s="372" t="s">
        <v>1833</v>
      </c>
      <c r="E3" s="372" t="s">
        <v>1832</v>
      </c>
      <c r="F3" s="372" t="s">
        <v>1832</v>
      </c>
      <c r="G3" s="372" t="s">
        <v>1834</v>
      </c>
      <c r="H3" s="372" t="s">
        <v>1835</v>
      </c>
      <c r="I3" s="372" t="s">
        <v>1836</v>
      </c>
      <c r="J3" s="372" t="s">
        <v>1832</v>
      </c>
      <c r="K3" s="372" t="s">
        <v>1837</v>
      </c>
      <c r="L3" s="372" t="s">
        <v>1838</v>
      </c>
      <c r="M3" s="372" t="s">
        <v>1839</v>
      </c>
      <c r="N3" s="372" t="s">
        <v>1840</v>
      </c>
    </row>
    <row r="4">
      <c r="A4" s="372" t="s">
        <v>1841</v>
      </c>
      <c r="B4" s="372" t="s">
        <v>1842</v>
      </c>
      <c r="C4" s="372" t="s">
        <v>1843</v>
      </c>
      <c r="D4" s="372" t="s">
        <v>1243</v>
      </c>
      <c r="E4" s="372" t="s">
        <v>1843</v>
      </c>
      <c r="F4" s="372" t="s">
        <v>1843</v>
      </c>
      <c r="G4" s="372" t="s">
        <v>1844</v>
      </c>
      <c r="H4" s="372" t="s">
        <v>1845</v>
      </c>
      <c r="I4" s="372" t="s">
        <v>1846</v>
      </c>
      <c r="J4" s="372" t="s">
        <v>1847</v>
      </c>
      <c r="K4" s="372" t="s">
        <v>1830</v>
      </c>
      <c r="L4" s="372" t="s">
        <v>1830</v>
      </c>
      <c r="M4" s="372" t="s">
        <v>1848</v>
      </c>
      <c r="N4" s="372" t="s">
        <v>1849</v>
      </c>
    </row>
    <row r="5">
      <c r="A5" s="372" t="s">
        <v>1850</v>
      </c>
      <c r="B5" s="372" t="s">
        <v>1851</v>
      </c>
      <c r="C5" s="372" t="s">
        <v>1847</v>
      </c>
      <c r="D5" s="372" t="s">
        <v>1852</v>
      </c>
      <c r="E5" s="372" t="s">
        <v>1853</v>
      </c>
      <c r="F5" s="372" t="s">
        <v>1853</v>
      </c>
      <c r="G5" s="372" t="s">
        <v>1854</v>
      </c>
      <c r="H5" s="372" t="s">
        <v>1855</v>
      </c>
      <c r="I5" s="372" t="s">
        <v>1856</v>
      </c>
      <c r="J5" s="372" t="s">
        <v>1857</v>
      </c>
      <c r="K5" s="372" t="s">
        <v>1858</v>
      </c>
      <c r="L5" s="372" t="s">
        <v>1859</v>
      </c>
      <c r="M5" s="372" t="s">
        <v>1860</v>
      </c>
      <c r="N5" s="372" t="s">
        <v>1861</v>
      </c>
    </row>
    <row r="6">
      <c r="A6" s="372" t="s">
        <v>1862</v>
      </c>
      <c r="B6" s="372" t="s">
        <v>1863</v>
      </c>
      <c r="C6" s="372" t="s">
        <v>1864</v>
      </c>
      <c r="D6" s="372" t="s">
        <v>1865</v>
      </c>
      <c r="E6" s="372" t="s">
        <v>1847</v>
      </c>
      <c r="F6" s="372" t="s">
        <v>1847</v>
      </c>
      <c r="G6" s="372" t="s">
        <v>1866</v>
      </c>
      <c r="H6" s="372" t="s">
        <v>1867</v>
      </c>
      <c r="I6" s="372" t="s">
        <v>1868</v>
      </c>
      <c r="J6" s="372" t="s">
        <v>1864</v>
      </c>
      <c r="K6" s="372" t="s">
        <v>1869</v>
      </c>
      <c r="L6" s="372" t="s">
        <v>1839</v>
      </c>
      <c r="M6" s="372" t="s">
        <v>1861</v>
      </c>
      <c r="N6" s="372" t="s">
        <v>1870</v>
      </c>
    </row>
    <row r="7">
      <c r="A7" s="372" t="s">
        <v>1855</v>
      </c>
      <c r="B7" s="372" t="s">
        <v>1871</v>
      </c>
      <c r="C7" s="372" t="s">
        <v>1872</v>
      </c>
      <c r="D7" s="372" t="s">
        <v>1873</v>
      </c>
      <c r="E7" s="372" t="s">
        <v>1857</v>
      </c>
      <c r="F7" s="372" t="s">
        <v>1857</v>
      </c>
      <c r="G7" s="372" t="s">
        <v>84</v>
      </c>
      <c r="H7" s="372" t="s">
        <v>1874</v>
      </c>
      <c r="I7" s="372" t="s">
        <v>1875</v>
      </c>
      <c r="J7" s="372" t="s">
        <v>1876</v>
      </c>
      <c r="K7" s="372" t="s">
        <v>1877</v>
      </c>
      <c r="L7" s="372" t="s">
        <v>1878</v>
      </c>
      <c r="M7" s="372" t="s">
        <v>1879</v>
      </c>
      <c r="N7" s="372" t="s">
        <v>1867</v>
      </c>
    </row>
    <row r="8">
      <c r="A8" s="372" t="s">
        <v>1880</v>
      </c>
      <c r="B8" s="372" t="s">
        <v>1881</v>
      </c>
      <c r="C8" s="372" t="s">
        <v>1839</v>
      </c>
      <c r="D8" s="372" t="s">
        <v>1882</v>
      </c>
      <c r="E8" s="372" t="s">
        <v>1876</v>
      </c>
      <c r="F8" s="372" t="s">
        <v>1876</v>
      </c>
      <c r="G8" s="372" t="s">
        <v>1883</v>
      </c>
      <c r="H8" s="372" t="s">
        <v>1884</v>
      </c>
      <c r="I8" s="372" t="s">
        <v>1885</v>
      </c>
      <c r="J8" s="372" t="s">
        <v>1872</v>
      </c>
      <c r="K8" s="372" t="s">
        <v>1886</v>
      </c>
      <c r="L8" s="372" t="s">
        <v>1887</v>
      </c>
      <c r="M8" s="372" t="s">
        <v>1884</v>
      </c>
      <c r="N8" s="372" t="s">
        <v>1874</v>
      </c>
    </row>
    <row r="9">
      <c r="A9" s="372" t="s">
        <v>1861</v>
      </c>
      <c r="B9" s="372" t="s">
        <v>1888</v>
      </c>
      <c r="C9" s="372" t="s">
        <v>1889</v>
      </c>
      <c r="D9" s="372" t="s">
        <v>1890</v>
      </c>
      <c r="E9" s="372" t="s">
        <v>1872</v>
      </c>
      <c r="F9" s="372" t="s">
        <v>1872</v>
      </c>
      <c r="G9" s="372" t="s">
        <v>1891</v>
      </c>
      <c r="H9" s="372" t="s">
        <v>84</v>
      </c>
      <c r="I9" s="372" t="s">
        <v>1892</v>
      </c>
      <c r="J9" s="372" t="s">
        <v>1893</v>
      </c>
      <c r="K9" s="372" t="s">
        <v>1894</v>
      </c>
      <c r="L9" s="372" t="s">
        <v>95</v>
      </c>
      <c r="M9" s="372" t="s">
        <v>84</v>
      </c>
      <c r="N9" s="372" t="s">
        <v>1895</v>
      </c>
    </row>
    <row r="10">
      <c r="A10" s="372" t="s">
        <v>1896</v>
      </c>
      <c r="B10" s="372" t="s">
        <v>1897</v>
      </c>
      <c r="C10" s="372" t="s">
        <v>1898</v>
      </c>
      <c r="D10" s="372" t="s">
        <v>252</v>
      </c>
      <c r="E10" s="372" t="s">
        <v>1893</v>
      </c>
      <c r="F10" s="372" t="s">
        <v>1893</v>
      </c>
      <c r="G10" s="372" t="s">
        <v>1899</v>
      </c>
      <c r="H10" s="372" t="s">
        <v>1900</v>
      </c>
      <c r="I10" s="372" t="s">
        <v>1867</v>
      </c>
      <c r="J10" s="372" t="s">
        <v>1901</v>
      </c>
      <c r="K10" s="372" t="s">
        <v>1861</v>
      </c>
      <c r="L10" s="372" t="s">
        <v>1902</v>
      </c>
      <c r="M10" s="372" t="s">
        <v>1903</v>
      </c>
      <c r="N10" s="372" t="s">
        <v>1884</v>
      </c>
    </row>
    <row r="11">
      <c r="A11" s="372" t="s">
        <v>1904</v>
      </c>
      <c r="B11" s="372" t="s">
        <v>1905</v>
      </c>
      <c r="C11" s="372" t="s">
        <v>1906</v>
      </c>
      <c r="D11" s="372" t="s">
        <v>1907</v>
      </c>
      <c r="E11" s="372" t="s">
        <v>1901</v>
      </c>
      <c r="F11" s="372" t="s">
        <v>1901</v>
      </c>
      <c r="G11" s="372" t="s">
        <v>150</v>
      </c>
      <c r="H11" s="372" t="s">
        <v>117</v>
      </c>
      <c r="I11" s="372" t="s">
        <v>1874</v>
      </c>
      <c r="J11" s="372" t="s">
        <v>1839</v>
      </c>
      <c r="K11" s="372" t="s">
        <v>1867</v>
      </c>
      <c r="L11" s="372" t="s">
        <v>1908</v>
      </c>
      <c r="M11" s="372" t="s">
        <v>95</v>
      </c>
      <c r="N11" s="372" t="s">
        <v>84</v>
      </c>
    </row>
    <row r="12">
      <c r="A12" s="372" t="s">
        <v>1909</v>
      </c>
      <c r="B12" s="372" t="s">
        <v>1910</v>
      </c>
      <c r="C12" s="372" t="s">
        <v>1911</v>
      </c>
      <c r="D12" s="372" t="s">
        <v>1912</v>
      </c>
      <c r="E12" s="372" t="s">
        <v>1859</v>
      </c>
      <c r="F12" s="372" t="s">
        <v>1839</v>
      </c>
      <c r="G12" s="372" t="s">
        <v>1913</v>
      </c>
      <c r="H12" s="372" t="s">
        <v>132</v>
      </c>
      <c r="I12" s="372" t="s">
        <v>1895</v>
      </c>
      <c r="J12" s="372" t="s">
        <v>1889</v>
      </c>
      <c r="K12" s="372" t="s">
        <v>1874</v>
      </c>
      <c r="L12" s="372" t="s">
        <v>1914</v>
      </c>
      <c r="M12" s="372" t="s">
        <v>1915</v>
      </c>
      <c r="N12" s="372" t="s">
        <v>1887</v>
      </c>
    </row>
    <row r="13">
      <c r="A13" s="372" t="s">
        <v>1884</v>
      </c>
      <c r="B13" s="372" t="s">
        <v>1916</v>
      </c>
      <c r="C13" s="372" t="s">
        <v>1917</v>
      </c>
      <c r="D13" s="372" t="s">
        <v>1918</v>
      </c>
      <c r="E13" s="372" t="s">
        <v>1839</v>
      </c>
      <c r="F13" s="372" t="s">
        <v>1889</v>
      </c>
      <c r="G13" s="372" t="s">
        <v>1919</v>
      </c>
      <c r="H13" s="372" t="s">
        <v>183</v>
      </c>
      <c r="I13" s="372" t="s">
        <v>1884</v>
      </c>
      <c r="J13" s="372" t="s">
        <v>1920</v>
      </c>
      <c r="K13" s="372" t="s">
        <v>1884</v>
      </c>
      <c r="L13" s="372" t="s">
        <v>1921</v>
      </c>
      <c r="M13" s="372" t="s">
        <v>117</v>
      </c>
      <c r="N13" s="372" t="s">
        <v>1922</v>
      </c>
    </row>
    <row r="14">
      <c r="A14" s="372" t="s">
        <v>1923</v>
      </c>
      <c r="B14" s="372" t="s">
        <v>1924</v>
      </c>
      <c r="C14" s="372" t="s">
        <v>1925</v>
      </c>
      <c r="D14" s="372" t="s">
        <v>1926</v>
      </c>
      <c r="E14" s="372" t="s">
        <v>1889</v>
      </c>
      <c r="F14" s="372" t="s">
        <v>1920</v>
      </c>
      <c r="G14" s="372" t="s">
        <v>1871</v>
      </c>
      <c r="H14" s="372" t="s">
        <v>1927</v>
      </c>
      <c r="I14" s="372" t="s">
        <v>1923</v>
      </c>
      <c r="J14" s="372" t="s">
        <v>1928</v>
      </c>
      <c r="K14" s="372" t="s">
        <v>1929</v>
      </c>
      <c r="L14" s="372" t="s">
        <v>1930</v>
      </c>
      <c r="M14" s="372" t="s">
        <v>1899</v>
      </c>
      <c r="N14" s="372" t="s">
        <v>95</v>
      </c>
    </row>
    <row r="15">
      <c r="A15" s="372" t="s">
        <v>1929</v>
      </c>
      <c r="B15" s="372" t="s">
        <v>1931</v>
      </c>
      <c r="C15" s="372" t="s">
        <v>1932</v>
      </c>
      <c r="D15" s="372" t="s">
        <v>1933</v>
      </c>
      <c r="E15" s="372" t="s">
        <v>1920</v>
      </c>
      <c r="F15" s="372" t="s">
        <v>1928</v>
      </c>
      <c r="G15" s="372" t="s">
        <v>1934</v>
      </c>
      <c r="H15" s="372" t="s">
        <v>1935</v>
      </c>
      <c r="I15" s="372" t="s">
        <v>1936</v>
      </c>
      <c r="J15" s="372" t="s">
        <v>1937</v>
      </c>
      <c r="K15" s="372" t="s">
        <v>1938</v>
      </c>
      <c r="L15" s="372" t="s">
        <v>1939</v>
      </c>
      <c r="M15" s="372" t="s">
        <v>1940</v>
      </c>
      <c r="N15" s="372" t="s">
        <v>1941</v>
      </c>
    </row>
    <row r="16">
      <c r="A16" s="372" t="s">
        <v>1938</v>
      </c>
      <c r="B16" s="372" t="s">
        <v>1942</v>
      </c>
      <c r="C16" s="372" t="s">
        <v>1943</v>
      </c>
      <c r="D16" s="372" t="s">
        <v>1944</v>
      </c>
      <c r="E16" s="372" t="s">
        <v>1928</v>
      </c>
      <c r="F16" s="372" t="s">
        <v>1898</v>
      </c>
      <c r="G16" s="372" t="s">
        <v>1881</v>
      </c>
      <c r="H16" s="372" t="s">
        <v>1882</v>
      </c>
      <c r="I16" s="372" t="s">
        <v>84</v>
      </c>
      <c r="J16" s="372" t="s">
        <v>1898</v>
      </c>
      <c r="K16" s="372" t="s">
        <v>1945</v>
      </c>
      <c r="L16" s="372" t="s">
        <v>1946</v>
      </c>
      <c r="M16" s="372" t="s">
        <v>1947</v>
      </c>
      <c r="N16" s="372" t="s">
        <v>1948</v>
      </c>
    </row>
    <row r="17">
      <c r="A17" s="372" t="s">
        <v>1949</v>
      </c>
      <c r="B17" s="232"/>
      <c r="C17" s="372" t="s">
        <v>1950</v>
      </c>
      <c r="D17" s="372" t="s">
        <v>1951</v>
      </c>
      <c r="E17" s="372" t="s">
        <v>1898</v>
      </c>
      <c r="F17" s="372" t="s">
        <v>1952</v>
      </c>
      <c r="G17" s="372" t="s">
        <v>1953</v>
      </c>
      <c r="H17" s="372" t="s">
        <v>1954</v>
      </c>
      <c r="I17" s="372" t="s">
        <v>1887</v>
      </c>
      <c r="J17" s="372" t="s">
        <v>1952</v>
      </c>
      <c r="K17" s="372" t="s">
        <v>1949</v>
      </c>
      <c r="L17" s="372" t="s">
        <v>1955</v>
      </c>
      <c r="M17" s="372" t="s">
        <v>1956</v>
      </c>
      <c r="N17" s="372" t="s">
        <v>1957</v>
      </c>
    </row>
    <row r="18">
      <c r="A18" s="372" t="s">
        <v>1958</v>
      </c>
      <c r="B18" s="232"/>
      <c r="C18" s="372" t="s">
        <v>1833</v>
      </c>
      <c r="D18" s="372" t="s">
        <v>1959</v>
      </c>
      <c r="E18" s="372" t="s">
        <v>1960</v>
      </c>
      <c r="F18" s="372" t="s">
        <v>1906</v>
      </c>
      <c r="G18" s="372" t="s">
        <v>1961</v>
      </c>
      <c r="H18" s="372" t="s">
        <v>1962</v>
      </c>
      <c r="I18" s="372" t="s">
        <v>1963</v>
      </c>
      <c r="J18" s="372" t="s">
        <v>1906</v>
      </c>
      <c r="K18" s="372" t="s">
        <v>1963</v>
      </c>
      <c r="L18" s="372" t="s">
        <v>1964</v>
      </c>
      <c r="M18" s="372" t="s">
        <v>132</v>
      </c>
      <c r="N18" s="372" t="s">
        <v>1965</v>
      </c>
    </row>
    <row r="19">
      <c r="A19" s="372" t="s">
        <v>1922</v>
      </c>
      <c r="B19" s="232"/>
      <c r="C19" s="372" t="s">
        <v>1966</v>
      </c>
      <c r="D19" s="372" t="s">
        <v>1967</v>
      </c>
      <c r="E19" s="372" t="s">
        <v>1952</v>
      </c>
      <c r="F19" s="372" t="s">
        <v>1968</v>
      </c>
      <c r="G19" s="372" t="s">
        <v>1969</v>
      </c>
      <c r="H19" s="372" t="s">
        <v>1970</v>
      </c>
      <c r="I19" s="372" t="s">
        <v>1971</v>
      </c>
      <c r="J19" s="372" t="s">
        <v>1968</v>
      </c>
      <c r="K19" s="372" t="s">
        <v>1958</v>
      </c>
      <c r="L19" s="372" t="s">
        <v>1972</v>
      </c>
      <c r="M19" s="372" t="s">
        <v>135</v>
      </c>
      <c r="N19" s="372" t="s">
        <v>1973</v>
      </c>
    </row>
    <row r="20">
      <c r="A20" s="372" t="s">
        <v>95</v>
      </c>
      <c r="B20" s="232"/>
      <c r="C20" s="372" t="s">
        <v>1974</v>
      </c>
      <c r="D20" s="372" t="s">
        <v>1975</v>
      </c>
      <c r="E20" s="372" t="s">
        <v>1906</v>
      </c>
      <c r="F20" s="372" t="s">
        <v>1976</v>
      </c>
      <c r="G20" s="372" t="s">
        <v>1977</v>
      </c>
      <c r="H20" s="372" t="s">
        <v>1978</v>
      </c>
      <c r="I20" s="372" t="s">
        <v>95</v>
      </c>
      <c r="J20" s="372" t="s">
        <v>1976</v>
      </c>
      <c r="K20" s="372" t="s">
        <v>95</v>
      </c>
      <c r="L20" s="372" t="s">
        <v>1979</v>
      </c>
      <c r="M20" s="372" t="s">
        <v>1980</v>
      </c>
      <c r="N20" s="372" t="s">
        <v>132</v>
      </c>
    </row>
    <row r="21" ht="15.75" customHeight="1">
      <c r="A21" s="372" t="s">
        <v>1981</v>
      </c>
      <c r="B21" s="232"/>
      <c r="C21" s="372" t="s">
        <v>1982</v>
      </c>
      <c r="D21" s="372" t="s">
        <v>1983</v>
      </c>
      <c r="E21" s="372" t="s">
        <v>1968</v>
      </c>
      <c r="F21" s="372" t="s">
        <v>1984</v>
      </c>
      <c r="G21" s="372" t="s">
        <v>1985</v>
      </c>
      <c r="H21" s="372" t="s">
        <v>1986</v>
      </c>
      <c r="I21" s="372" t="s">
        <v>1987</v>
      </c>
      <c r="J21" s="372" t="s">
        <v>1917</v>
      </c>
      <c r="K21" s="372" t="s">
        <v>1988</v>
      </c>
      <c r="L21" s="372" t="s">
        <v>1989</v>
      </c>
      <c r="M21" s="372" t="s">
        <v>1990</v>
      </c>
      <c r="N21" s="372" t="s">
        <v>135</v>
      </c>
    </row>
    <row r="22" ht="15.75" customHeight="1">
      <c r="A22" s="372" t="s">
        <v>1991</v>
      </c>
      <c r="B22" s="232"/>
      <c r="C22" s="372" t="s">
        <v>1992</v>
      </c>
      <c r="D22" s="372" t="s">
        <v>1993</v>
      </c>
      <c r="E22" s="372" t="s">
        <v>1994</v>
      </c>
      <c r="F22" s="372" t="s">
        <v>1925</v>
      </c>
      <c r="G22" s="372" t="s">
        <v>207</v>
      </c>
      <c r="H22" s="372" t="s">
        <v>252</v>
      </c>
      <c r="I22" s="372" t="s">
        <v>1995</v>
      </c>
      <c r="J22" s="372" t="s">
        <v>1984</v>
      </c>
      <c r="K22" s="372" t="s">
        <v>1996</v>
      </c>
      <c r="L22" s="372" t="s">
        <v>1882</v>
      </c>
      <c r="M22" s="372" t="s">
        <v>1997</v>
      </c>
      <c r="N22" s="372" t="s">
        <v>1930</v>
      </c>
    </row>
    <row r="23" ht="15.75" customHeight="1">
      <c r="A23" s="372" t="s">
        <v>1998</v>
      </c>
      <c r="B23" s="232"/>
      <c r="C23" s="372" t="s">
        <v>1999</v>
      </c>
      <c r="D23" s="372" t="s">
        <v>2000</v>
      </c>
      <c r="E23" s="372" t="s">
        <v>1976</v>
      </c>
      <c r="F23" s="372" t="s">
        <v>2001</v>
      </c>
      <c r="G23" s="372" t="s">
        <v>2002</v>
      </c>
      <c r="H23" s="372" t="s">
        <v>2003</v>
      </c>
      <c r="I23" s="372" t="s">
        <v>2004</v>
      </c>
      <c r="J23" s="372" t="s">
        <v>1925</v>
      </c>
      <c r="K23" s="372" t="s">
        <v>2005</v>
      </c>
      <c r="L23" s="372" t="s">
        <v>2006</v>
      </c>
      <c r="M23" s="372" t="s">
        <v>2007</v>
      </c>
      <c r="N23" s="372" t="s">
        <v>2008</v>
      </c>
    </row>
    <row r="24" ht="15.75" customHeight="1">
      <c r="A24" s="372" t="s">
        <v>2009</v>
      </c>
      <c r="B24" s="232"/>
      <c r="C24" s="372" t="s">
        <v>2010</v>
      </c>
      <c r="D24" s="372" t="s">
        <v>2011</v>
      </c>
      <c r="E24" s="372" t="s">
        <v>1984</v>
      </c>
      <c r="F24" s="372" t="s">
        <v>1848</v>
      </c>
      <c r="G24" s="372" t="s">
        <v>2012</v>
      </c>
      <c r="H24" s="372" t="s">
        <v>2013</v>
      </c>
      <c r="I24" s="372" t="s">
        <v>2014</v>
      </c>
      <c r="J24" s="372" t="s">
        <v>2001</v>
      </c>
      <c r="K24" s="372" t="s">
        <v>2015</v>
      </c>
      <c r="L24" s="372" t="s">
        <v>2016</v>
      </c>
      <c r="M24" s="372" t="s">
        <v>2017</v>
      </c>
      <c r="N24" s="372" t="s">
        <v>2018</v>
      </c>
    </row>
    <row r="25" ht="15.75" customHeight="1">
      <c r="A25" s="372" t="s">
        <v>2019</v>
      </c>
      <c r="B25" s="232"/>
      <c r="C25" s="372" t="s">
        <v>2020</v>
      </c>
      <c r="D25" s="372" t="s">
        <v>1905</v>
      </c>
      <c r="E25" s="372" t="s">
        <v>1925</v>
      </c>
      <c r="F25" s="372" t="s">
        <v>1932</v>
      </c>
      <c r="G25" s="372" t="s">
        <v>2021</v>
      </c>
      <c r="H25" s="372" t="s">
        <v>2022</v>
      </c>
      <c r="I25" s="372" t="s">
        <v>2023</v>
      </c>
      <c r="J25" s="372" t="s">
        <v>1848</v>
      </c>
      <c r="K25" s="372" t="s">
        <v>1998</v>
      </c>
      <c r="L25" s="372" t="s">
        <v>2024</v>
      </c>
      <c r="M25" s="372" t="s">
        <v>2025</v>
      </c>
      <c r="N25" s="372" t="s">
        <v>2026</v>
      </c>
    </row>
    <row r="26" ht="15.75" customHeight="1">
      <c r="A26" s="372" t="s">
        <v>2027</v>
      </c>
      <c r="B26" s="232"/>
      <c r="C26" s="372" t="s">
        <v>2028</v>
      </c>
      <c r="D26" s="372" t="s">
        <v>1910</v>
      </c>
      <c r="E26" s="372" t="s">
        <v>2001</v>
      </c>
      <c r="F26" s="372" t="s">
        <v>2029</v>
      </c>
      <c r="G26" s="372" t="s">
        <v>2030</v>
      </c>
      <c r="H26" s="372" t="s">
        <v>321</v>
      </c>
      <c r="I26" s="372" t="s">
        <v>1957</v>
      </c>
      <c r="J26" s="372" t="s">
        <v>1932</v>
      </c>
      <c r="K26" s="372" t="s">
        <v>2031</v>
      </c>
      <c r="L26" s="372" t="s">
        <v>2032</v>
      </c>
      <c r="M26" s="372" t="s">
        <v>2033</v>
      </c>
      <c r="N26" s="372" t="s">
        <v>2034</v>
      </c>
    </row>
    <row r="27" ht="15.75" customHeight="1">
      <c r="A27" s="372" t="s">
        <v>2035</v>
      </c>
      <c r="B27" s="232"/>
      <c r="C27" s="372" t="s">
        <v>2036</v>
      </c>
      <c r="D27" s="372" t="s">
        <v>2037</v>
      </c>
      <c r="E27" s="372" t="s">
        <v>1848</v>
      </c>
      <c r="F27" s="372" t="s">
        <v>1943</v>
      </c>
      <c r="G27" s="372" t="s">
        <v>2038</v>
      </c>
      <c r="H27" s="372" t="s">
        <v>1933</v>
      </c>
      <c r="I27" s="372" t="s">
        <v>117</v>
      </c>
      <c r="J27" s="372" t="s">
        <v>2029</v>
      </c>
      <c r="K27" s="372" t="s">
        <v>2039</v>
      </c>
      <c r="L27" s="372" t="s">
        <v>2040</v>
      </c>
      <c r="M27" s="372" t="s">
        <v>2041</v>
      </c>
      <c r="N27" s="372" t="s">
        <v>2042</v>
      </c>
    </row>
    <row r="28" ht="15.75" customHeight="1">
      <c r="A28" s="372" t="s">
        <v>2043</v>
      </c>
      <c r="B28" s="232"/>
      <c r="C28" s="372" t="s">
        <v>2044</v>
      </c>
      <c r="D28" s="372" t="s">
        <v>2045</v>
      </c>
      <c r="E28" s="372" t="s">
        <v>1932</v>
      </c>
      <c r="F28" s="372" t="s">
        <v>1950</v>
      </c>
      <c r="G28" s="372" t="s">
        <v>2046</v>
      </c>
      <c r="H28" s="372" t="s">
        <v>336</v>
      </c>
      <c r="I28" s="372" t="s">
        <v>2047</v>
      </c>
      <c r="J28" s="372" t="s">
        <v>1943</v>
      </c>
      <c r="K28" s="372" t="s">
        <v>2048</v>
      </c>
      <c r="L28" s="372" t="s">
        <v>2049</v>
      </c>
      <c r="M28" s="372" t="s">
        <v>1881</v>
      </c>
      <c r="N28" s="372" t="s">
        <v>2050</v>
      </c>
    </row>
    <row r="29" ht="15.75" customHeight="1">
      <c r="A29" s="372" t="s">
        <v>2014</v>
      </c>
      <c r="B29" s="232"/>
      <c r="C29" s="372" t="s">
        <v>1861</v>
      </c>
      <c r="D29" s="372" t="s">
        <v>2051</v>
      </c>
      <c r="E29" s="372" t="s">
        <v>2029</v>
      </c>
      <c r="F29" s="372" t="s">
        <v>2052</v>
      </c>
      <c r="G29" s="372" t="s">
        <v>2053</v>
      </c>
      <c r="H29" s="372" t="s">
        <v>2054</v>
      </c>
      <c r="I29" s="372" t="s">
        <v>1243</v>
      </c>
      <c r="J29" s="372" t="s">
        <v>1950</v>
      </c>
      <c r="K29" s="372" t="s">
        <v>2055</v>
      </c>
      <c r="L29" s="372" t="s">
        <v>2056</v>
      </c>
      <c r="M29" s="372" t="s">
        <v>1961</v>
      </c>
      <c r="N29" s="372" t="s">
        <v>2057</v>
      </c>
    </row>
    <row r="30" ht="15.75" customHeight="1">
      <c r="A30" s="372" t="s">
        <v>2058</v>
      </c>
      <c r="B30" s="232"/>
      <c r="C30" s="372" t="s">
        <v>2059</v>
      </c>
      <c r="D30" s="232"/>
      <c r="E30" s="372" t="s">
        <v>1943</v>
      </c>
      <c r="F30" s="372" t="s">
        <v>1966</v>
      </c>
      <c r="G30" s="372" t="s">
        <v>2060</v>
      </c>
      <c r="H30" s="372" t="s">
        <v>2061</v>
      </c>
      <c r="I30" s="372" t="s">
        <v>1965</v>
      </c>
      <c r="J30" s="372" t="s">
        <v>2052</v>
      </c>
      <c r="K30" s="372" t="s">
        <v>2062</v>
      </c>
      <c r="L30" s="372" t="s">
        <v>2063</v>
      </c>
      <c r="M30" s="372" t="s">
        <v>183</v>
      </c>
      <c r="N30" s="372" t="s">
        <v>2064</v>
      </c>
    </row>
    <row r="31" ht="15.75" customHeight="1">
      <c r="A31" s="372" t="s">
        <v>117</v>
      </c>
      <c r="B31" s="232"/>
      <c r="C31" s="372" t="s">
        <v>1895</v>
      </c>
      <c r="D31" s="232"/>
      <c r="E31" s="372" t="s">
        <v>2065</v>
      </c>
      <c r="F31" s="372" t="s">
        <v>2066</v>
      </c>
      <c r="G31" s="372" t="s">
        <v>252</v>
      </c>
      <c r="H31" s="372" t="s">
        <v>2067</v>
      </c>
      <c r="I31" s="372" t="s">
        <v>132</v>
      </c>
      <c r="J31" s="372" t="s">
        <v>1833</v>
      </c>
      <c r="K31" s="372" t="s">
        <v>2068</v>
      </c>
      <c r="L31" s="372" t="s">
        <v>2069</v>
      </c>
      <c r="M31" s="372" t="s">
        <v>1927</v>
      </c>
      <c r="N31" s="372" t="s">
        <v>2070</v>
      </c>
    </row>
    <row r="32" ht="15.75" customHeight="1">
      <c r="A32" s="372" t="s">
        <v>2071</v>
      </c>
      <c r="B32" s="232"/>
      <c r="C32" s="372" t="s">
        <v>84</v>
      </c>
      <c r="D32" s="232"/>
      <c r="E32" s="372" t="s">
        <v>1950</v>
      </c>
      <c r="F32" s="372" t="s">
        <v>1974</v>
      </c>
      <c r="G32" s="372" t="s">
        <v>2072</v>
      </c>
      <c r="H32" s="372" t="s">
        <v>2073</v>
      </c>
      <c r="I32" s="372" t="s">
        <v>135</v>
      </c>
      <c r="J32" s="372" t="s">
        <v>1966</v>
      </c>
      <c r="K32" s="372" t="s">
        <v>2074</v>
      </c>
      <c r="L32" s="372" t="s">
        <v>2075</v>
      </c>
      <c r="M32" s="372" t="s">
        <v>2042</v>
      </c>
      <c r="N32" s="372" t="s">
        <v>2076</v>
      </c>
    </row>
    <row r="33" ht="15.75" customHeight="1">
      <c r="A33" s="372" t="s">
        <v>2077</v>
      </c>
      <c r="B33" s="232"/>
      <c r="C33" s="372" t="s">
        <v>1941</v>
      </c>
      <c r="D33" s="232"/>
      <c r="E33" s="372" t="s">
        <v>2052</v>
      </c>
      <c r="F33" s="372" t="s">
        <v>2078</v>
      </c>
      <c r="G33" s="372" t="s">
        <v>2079</v>
      </c>
      <c r="H33" s="372" t="s">
        <v>2080</v>
      </c>
      <c r="I33" s="372" t="s">
        <v>2081</v>
      </c>
      <c r="J33" s="372" t="s">
        <v>2082</v>
      </c>
      <c r="K33" s="372" t="s">
        <v>2083</v>
      </c>
      <c r="L33" s="372" t="s">
        <v>2084</v>
      </c>
      <c r="M33" s="372" t="s">
        <v>1935</v>
      </c>
      <c r="N33" s="372" t="s">
        <v>2085</v>
      </c>
    </row>
    <row r="34" ht="15.75" customHeight="1">
      <c r="A34" s="372" t="s">
        <v>2086</v>
      </c>
      <c r="B34" s="232"/>
      <c r="C34" s="372" t="s">
        <v>2087</v>
      </c>
      <c r="D34" s="232"/>
      <c r="E34" s="372" t="s">
        <v>1833</v>
      </c>
      <c r="F34" s="372" t="s">
        <v>1992</v>
      </c>
      <c r="G34" s="372" t="s">
        <v>2088</v>
      </c>
      <c r="H34" s="372" t="s">
        <v>2089</v>
      </c>
      <c r="I34" s="372" t="s">
        <v>2090</v>
      </c>
      <c r="J34" s="372" t="s">
        <v>2066</v>
      </c>
      <c r="K34" s="372" t="s">
        <v>2091</v>
      </c>
      <c r="L34" s="372" t="s">
        <v>2092</v>
      </c>
      <c r="M34" s="372" t="s">
        <v>2093</v>
      </c>
      <c r="N34" s="372" t="s">
        <v>2094</v>
      </c>
    </row>
    <row r="35" ht="15.75" customHeight="1">
      <c r="A35" s="372" t="s">
        <v>2095</v>
      </c>
      <c r="B35" s="232"/>
      <c r="C35" s="372" t="s">
        <v>2096</v>
      </c>
      <c r="D35" s="232"/>
      <c r="E35" s="372" t="s">
        <v>1966</v>
      </c>
      <c r="F35" s="372" t="s">
        <v>1999</v>
      </c>
      <c r="G35" s="372" t="s">
        <v>2097</v>
      </c>
      <c r="H35" s="372" t="s">
        <v>2098</v>
      </c>
      <c r="I35" s="372" t="s">
        <v>2099</v>
      </c>
      <c r="J35" s="372" t="s">
        <v>1974</v>
      </c>
      <c r="K35" s="372" t="s">
        <v>2100</v>
      </c>
      <c r="L35" s="372" t="s">
        <v>1978</v>
      </c>
      <c r="M35" s="372" t="s">
        <v>2101</v>
      </c>
      <c r="N35" s="372" t="s">
        <v>2102</v>
      </c>
    </row>
    <row r="36" ht="15.75" customHeight="1">
      <c r="A36" s="372" t="s">
        <v>1940</v>
      </c>
      <c r="B36" s="232"/>
      <c r="C36" s="372" t="s">
        <v>2103</v>
      </c>
      <c r="D36" s="232"/>
      <c r="E36" s="372" t="s">
        <v>2066</v>
      </c>
      <c r="F36" s="372" t="s">
        <v>2010</v>
      </c>
      <c r="G36" s="372" t="s">
        <v>2104</v>
      </c>
      <c r="H36" s="372" t="s">
        <v>2105</v>
      </c>
      <c r="I36" s="372" t="s">
        <v>2106</v>
      </c>
      <c r="J36" s="372" t="s">
        <v>2078</v>
      </c>
      <c r="K36" s="372" t="s">
        <v>2107</v>
      </c>
      <c r="L36" s="372" t="s">
        <v>1986</v>
      </c>
      <c r="M36" s="372" t="s">
        <v>1882</v>
      </c>
      <c r="N36" s="372" t="s">
        <v>2108</v>
      </c>
    </row>
    <row r="37" ht="15.75" customHeight="1">
      <c r="A37" s="372" t="s">
        <v>1947</v>
      </c>
      <c r="B37" s="232"/>
      <c r="C37" s="372" t="s">
        <v>1243</v>
      </c>
      <c r="D37" s="232"/>
      <c r="E37" s="372" t="s">
        <v>1974</v>
      </c>
      <c r="F37" s="372" t="s">
        <v>2109</v>
      </c>
      <c r="G37" s="372" t="s">
        <v>2110</v>
      </c>
      <c r="H37" s="372" t="s">
        <v>375</v>
      </c>
      <c r="I37" s="372" t="s">
        <v>2111</v>
      </c>
      <c r="J37" s="372" t="s">
        <v>1982</v>
      </c>
      <c r="K37" s="372" t="s">
        <v>2112</v>
      </c>
      <c r="L37" s="372" t="s">
        <v>2113</v>
      </c>
      <c r="M37" s="372" t="s">
        <v>207</v>
      </c>
      <c r="N37" s="372" t="s">
        <v>2114</v>
      </c>
    </row>
    <row r="38" ht="15.75" customHeight="1">
      <c r="A38" s="372" t="s">
        <v>1956</v>
      </c>
      <c r="B38" s="232"/>
      <c r="C38" s="372" t="s">
        <v>2111</v>
      </c>
      <c r="D38" s="232"/>
      <c r="E38" s="372" t="s">
        <v>2078</v>
      </c>
      <c r="F38" s="372" t="s">
        <v>2115</v>
      </c>
      <c r="G38" s="372" t="s">
        <v>2116</v>
      </c>
      <c r="H38" s="372" t="s">
        <v>2117</v>
      </c>
      <c r="I38" s="372" t="s">
        <v>2118</v>
      </c>
      <c r="J38" s="372" t="s">
        <v>2119</v>
      </c>
      <c r="K38" s="372" t="s">
        <v>2120</v>
      </c>
      <c r="L38" s="372" t="s">
        <v>2121</v>
      </c>
      <c r="M38" s="372" t="s">
        <v>2002</v>
      </c>
      <c r="N38" s="372" t="s">
        <v>2122</v>
      </c>
    </row>
    <row r="39" ht="15.75" customHeight="1">
      <c r="A39" s="372" t="s">
        <v>1965</v>
      </c>
      <c r="B39" s="232"/>
      <c r="C39" s="372" t="s">
        <v>2123</v>
      </c>
      <c r="D39" s="232"/>
      <c r="E39" s="372" t="s">
        <v>1992</v>
      </c>
      <c r="F39" s="372" t="s">
        <v>2124</v>
      </c>
      <c r="G39" s="372" t="s">
        <v>1897</v>
      </c>
      <c r="H39" s="372" t="s">
        <v>384</v>
      </c>
      <c r="I39" s="372" t="s">
        <v>2125</v>
      </c>
      <c r="J39" s="372" t="s">
        <v>1999</v>
      </c>
      <c r="K39" s="372" t="s">
        <v>2027</v>
      </c>
      <c r="L39" s="372" t="s">
        <v>2126</v>
      </c>
      <c r="M39" s="372" t="s">
        <v>2038</v>
      </c>
      <c r="N39" s="372" t="s">
        <v>2127</v>
      </c>
    </row>
    <row r="40" ht="15.75" customHeight="1">
      <c r="A40" s="372" t="s">
        <v>2090</v>
      </c>
      <c r="B40" s="232"/>
      <c r="C40" s="372" t="s">
        <v>2128</v>
      </c>
      <c r="D40" s="232"/>
      <c r="E40" s="372" t="s">
        <v>1999</v>
      </c>
      <c r="F40" s="372" t="s">
        <v>2020</v>
      </c>
      <c r="G40" s="372" t="s">
        <v>2054</v>
      </c>
      <c r="H40" s="372" t="s">
        <v>390</v>
      </c>
      <c r="I40" s="372" t="s">
        <v>2129</v>
      </c>
      <c r="J40" s="372" t="s">
        <v>2010</v>
      </c>
      <c r="K40" s="372" t="s">
        <v>2035</v>
      </c>
      <c r="L40" s="372" t="s">
        <v>2130</v>
      </c>
      <c r="M40" s="372" t="s">
        <v>2131</v>
      </c>
      <c r="N40" s="372" t="s">
        <v>2132</v>
      </c>
    </row>
    <row r="41" ht="15.75" customHeight="1">
      <c r="A41" s="372" t="s">
        <v>2133</v>
      </c>
      <c r="B41" s="232"/>
      <c r="C41" s="372" t="s">
        <v>2134</v>
      </c>
      <c r="D41" s="232"/>
      <c r="E41" s="372" t="s">
        <v>2010</v>
      </c>
      <c r="F41" s="372" t="s">
        <v>2135</v>
      </c>
      <c r="G41" s="372" t="s">
        <v>2136</v>
      </c>
      <c r="H41" s="232"/>
      <c r="I41" s="372" t="s">
        <v>2137</v>
      </c>
      <c r="J41" s="372" t="s">
        <v>2109</v>
      </c>
      <c r="K41" s="372" t="s">
        <v>1948</v>
      </c>
      <c r="L41" s="372" t="s">
        <v>2138</v>
      </c>
      <c r="M41" s="372" t="s">
        <v>2139</v>
      </c>
      <c r="N41" s="372" t="s">
        <v>2140</v>
      </c>
    </row>
    <row r="42" ht="15.75" customHeight="1">
      <c r="A42" s="372" t="s">
        <v>2141</v>
      </c>
      <c r="B42" s="232"/>
      <c r="C42" s="372" t="s">
        <v>2142</v>
      </c>
      <c r="D42" s="232"/>
      <c r="E42" s="372" t="s">
        <v>2143</v>
      </c>
      <c r="F42" s="372" t="s">
        <v>2144</v>
      </c>
      <c r="G42" s="372" t="s">
        <v>2145</v>
      </c>
      <c r="H42" s="232"/>
      <c r="I42" s="372" t="s">
        <v>2142</v>
      </c>
      <c r="J42" s="372" t="s">
        <v>2115</v>
      </c>
      <c r="K42" s="372" t="s">
        <v>117</v>
      </c>
      <c r="L42" s="372" t="s">
        <v>2146</v>
      </c>
      <c r="M42" s="372" t="s">
        <v>2147</v>
      </c>
      <c r="N42" s="372" t="s">
        <v>2148</v>
      </c>
    </row>
    <row r="43" ht="15.75" customHeight="1">
      <c r="A43" s="372" t="s">
        <v>2149</v>
      </c>
      <c r="B43" s="232"/>
      <c r="C43" s="372" t="s">
        <v>2150</v>
      </c>
      <c r="D43" s="232"/>
      <c r="E43" s="372" t="s">
        <v>2151</v>
      </c>
      <c r="F43" s="372" t="s">
        <v>2152</v>
      </c>
      <c r="G43" s="372" t="s">
        <v>2153</v>
      </c>
      <c r="H43" s="232"/>
      <c r="I43" s="372" t="s">
        <v>2154</v>
      </c>
      <c r="J43" s="372" t="s">
        <v>2124</v>
      </c>
      <c r="K43" s="372" t="s">
        <v>2071</v>
      </c>
      <c r="L43" s="372" t="s">
        <v>2155</v>
      </c>
      <c r="M43" s="372" t="s">
        <v>2063</v>
      </c>
      <c r="N43" s="372" t="s">
        <v>2156</v>
      </c>
    </row>
    <row r="44" ht="15.75" customHeight="1">
      <c r="A44" s="372" t="s">
        <v>2157</v>
      </c>
      <c r="B44" s="232"/>
      <c r="C44" s="372" t="s">
        <v>2158</v>
      </c>
      <c r="D44" s="232"/>
      <c r="E44" s="372" t="s">
        <v>2159</v>
      </c>
      <c r="F44" s="372" t="s">
        <v>2160</v>
      </c>
      <c r="G44" s="372" t="s">
        <v>2161</v>
      </c>
      <c r="H44" s="232"/>
      <c r="I44" s="372" t="s">
        <v>2162</v>
      </c>
      <c r="J44" s="372" t="s">
        <v>2020</v>
      </c>
      <c r="K44" s="372" t="s">
        <v>2086</v>
      </c>
      <c r="L44" s="372" t="s">
        <v>2163</v>
      </c>
      <c r="M44" s="372" t="s">
        <v>2164</v>
      </c>
      <c r="N44" s="372" t="s">
        <v>2165</v>
      </c>
    </row>
    <row r="45" ht="15.75" customHeight="1">
      <c r="A45" s="372" t="s">
        <v>2166</v>
      </c>
      <c r="B45" s="232"/>
      <c r="C45" s="372" t="s">
        <v>2167</v>
      </c>
      <c r="D45" s="232"/>
      <c r="E45" s="372" t="s">
        <v>2109</v>
      </c>
      <c r="F45" s="372" t="s">
        <v>1875</v>
      </c>
      <c r="G45" s="372" t="s">
        <v>2168</v>
      </c>
      <c r="H45" s="232"/>
      <c r="I45" s="372" t="s">
        <v>2169</v>
      </c>
      <c r="J45" s="372" t="s">
        <v>2135</v>
      </c>
      <c r="K45" s="372" t="s">
        <v>2170</v>
      </c>
      <c r="L45" s="372" t="s">
        <v>2171</v>
      </c>
      <c r="M45" s="372" t="s">
        <v>2172</v>
      </c>
      <c r="N45" s="372" t="s">
        <v>2173</v>
      </c>
    </row>
    <row r="46" ht="15.75" customHeight="1">
      <c r="A46" s="372" t="s">
        <v>2174</v>
      </c>
      <c r="B46" s="232"/>
      <c r="C46" s="372" t="s">
        <v>1852</v>
      </c>
      <c r="D46" s="232"/>
      <c r="E46" s="372" t="s">
        <v>2115</v>
      </c>
      <c r="F46" s="372" t="s">
        <v>2175</v>
      </c>
      <c r="G46" s="372" t="s">
        <v>2176</v>
      </c>
      <c r="H46" s="232"/>
      <c r="I46" s="372" t="s">
        <v>2177</v>
      </c>
      <c r="J46" s="372" t="s">
        <v>2028</v>
      </c>
      <c r="K46" s="372" t="s">
        <v>1940</v>
      </c>
      <c r="L46" s="372" t="s">
        <v>2178</v>
      </c>
      <c r="M46" s="372" t="s">
        <v>2179</v>
      </c>
      <c r="N46" s="372" t="s">
        <v>2180</v>
      </c>
    </row>
    <row r="47" ht="15.75" customHeight="1">
      <c r="A47" s="372" t="s">
        <v>2181</v>
      </c>
      <c r="B47" s="232"/>
      <c r="C47" s="372" t="s">
        <v>2182</v>
      </c>
      <c r="D47" s="232"/>
      <c r="E47" s="372" t="s">
        <v>2183</v>
      </c>
      <c r="F47" s="372" t="s">
        <v>2184</v>
      </c>
      <c r="G47" s="232"/>
      <c r="H47" s="232"/>
      <c r="I47" s="372" t="s">
        <v>2185</v>
      </c>
      <c r="J47" s="372" t="s">
        <v>2186</v>
      </c>
      <c r="K47" s="372" t="s">
        <v>1956</v>
      </c>
      <c r="L47" s="372" t="s">
        <v>2187</v>
      </c>
      <c r="M47" s="372" t="s">
        <v>2188</v>
      </c>
      <c r="N47" s="372" t="s">
        <v>2189</v>
      </c>
    </row>
    <row r="48" ht="15.75" customHeight="1">
      <c r="A48" s="372" t="s">
        <v>2190</v>
      </c>
      <c r="B48" s="232"/>
      <c r="C48" s="372" t="s">
        <v>1865</v>
      </c>
      <c r="D48" s="232"/>
      <c r="E48" s="372" t="s">
        <v>2124</v>
      </c>
      <c r="F48" s="372" t="s">
        <v>2191</v>
      </c>
      <c r="G48" s="232"/>
      <c r="H48" s="232"/>
      <c r="I48" s="372" t="s">
        <v>2192</v>
      </c>
      <c r="J48" s="372" t="s">
        <v>2193</v>
      </c>
      <c r="K48" s="372" t="s">
        <v>1965</v>
      </c>
      <c r="L48" s="372" t="s">
        <v>2194</v>
      </c>
      <c r="M48" s="372" t="s">
        <v>1962</v>
      </c>
      <c r="N48" s="372" t="s">
        <v>1882</v>
      </c>
    </row>
    <row r="49" ht="15.75" customHeight="1">
      <c r="A49" s="372" t="s">
        <v>2195</v>
      </c>
      <c r="B49" s="232"/>
      <c r="C49" s="372" t="s">
        <v>2196</v>
      </c>
      <c r="D49" s="232"/>
      <c r="E49" s="372" t="s">
        <v>2020</v>
      </c>
      <c r="F49" s="372" t="s">
        <v>84</v>
      </c>
      <c r="G49" s="232"/>
      <c r="H49" s="232"/>
      <c r="I49" s="372" t="s">
        <v>2197</v>
      </c>
      <c r="J49" s="372" t="s">
        <v>2059</v>
      </c>
      <c r="K49" s="372" t="s">
        <v>132</v>
      </c>
      <c r="L49" s="372" t="s">
        <v>2198</v>
      </c>
      <c r="M49" s="372" t="s">
        <v>1970</v>
      </c>
      <c r="N49" s="372" t="s">
        <v>2199</v>
      </c>
    </row>
    <row r="50" ht="15.75" customHeight="1">
      <c r="A50" s="372" t="s">
        <v>2200</v>
      </c>
      <c r="B50" s="232"/>
      <c r="C50" s="372" t="s">
        <v>2201</v>
      </c>
      <c r="D50" s="232"/>
      <c r="E50" s="372" t="s">
        <v>2135</v>
      </c>
      <c r="F50" s="372" t="s">
        <v>1945</v>
      </c>
      <c r="G50" s="232"/>
      <c r="H50" s="232"/>
      <c r="I50" s="372" t="s">
        <v>2202</v>
      </c>
      <c r="J50" s="372" t="s">
        <v>1895</v>
      </c>
      <c r="K50" s="372" t="s">
        <v>2203</v>
      </c>
      <c r="L50" s="372" t="s">
        <v>2204</v>
      </c>
      <c r="M50" s="372" t="s">
        <v>1986</v>
      </c>
      <c r="N50" s="372" t="s">
        <v>2205</v>
      </c>
    </row>
    <row r="51" ht="15.75" customHeight="1">
      <c r="A51" s="372" t="s">
        <v>2017</v>
      </c>
      <c r="B51" s="232"/>
      <c r="C51" s="372" t="s">
        <v>2206</v>
      </c>
      <c r="D51" s="232"/>
      <c r="E51" s="372" t="s">
        <v>2059</v>
      </c>
      <c r="F51" s="372" t="s">
        <v>2207</v>
      </c>
      <c r="G51" s="232"/>
      <c r="H51" s="232"/>
      <c r="I51" s="372" t="s">
        <v>2208</v>
      </c>
      <c r="J51" s="372" t="s">
        <v>1936</v>
      </c>
      <c r="K51" s="372" t="s">
        <v>2209</v>
      </c>
      <c r="L51" s="372" t="s">
        <v>2210</v>
      </c>
      <c r="M51" s="372" t="s">
        <v>2060</v>
      </c>
      <c r="N51" s="372" t="s">
        <v>2211</v>
      </c>
    </row>
    <row r="52" ht="15.75" customHeight="1">
      <c r="A52" s="372" t="s">
        <v>2212</v>
      </c>
      <c r="B52" s="232"/>
      <c r="C52" s="372" t="s">
        <v>2213</v>
      </c>
      <c r="D52" s="232"/>
      <c r="E52" s="372" t="s">
        <v>1243</v>
      </c>
      <c r="F52" s="372" t="s">
        <v>2039</v>
      </c>
      <c r="G52" s="232"/>
      <c r="H52" s="232"/>
      <c r="I52" s="372" t="s">
        <v>1939</v>
      </c>
      <c r="J52" s="372" t="s">
        <v>84</v>
      </c>
      <c r="K52" s="372" t="s">
        <v>2190</v>
      </c>
      <c r="L52" s="372" t="s">
        <v>2214</v>
      </c>
      <c r="M52" s="372" t="s">
        <v>252</v>
      </c>
      <c r="N52" s="372" t="s">
        <v>2215</v>
      </c>
    </row>
    <row r="53" ht="15.75" customHeight="1">
      <c r="A53" s="372" t="s">
        <v>183</v>
      </c>
      <c r="B53" s="232"/>
      <c r="C53" s="372" t="s">
        <v>2216</v>
      </c>
      <c r="D53" s="232"/>
      <c r="E53" s="372" t="s">
        <v>1852</v>
      </c>
      <c r="F53" s="372" t="s">
        <v>2048</v>
      </c>
      <c r="G53" s="232"/>
      <c r="H53" s="232"/>
      <c r="I53" s="372" t="s">
        <v>2217</v>
      </c>
      <c r="J53" s="372" t="s">
        <v>1945</v>
      </c>
      <c r="K53" s="372" t="s">
        <v>2218</v>
      </c>
      <c r="L53" s="372" t="s">
        <v>2219</v>
      </c>
      <c r="M53" s="372" t="s">
        <v>2220</v>
      </c>
      <c r="N53" s="372" t="s">
        <v>2221</v>
      </c>
    </row>
    <row r="54" ht="15.75" customHeight="1">
      <c r="A54" s="372" t="s">
        <v>2222</v>
      </c>
      <c r="B54" s="232"/>
      <c r="C54" s="372" t="s">
        <v>2223</v>
      </c>
      <c r="D54" s="232"/>
      <c r="E54" s="372" t="s">
        <v>1865</v>
      </c>
      <c r="F54" s="372" t="s">
        <v>2055</v>
      </c>
      <c r="G54" s="232"/>
      <c r="H54" s="232"/>
      <c r="I54" s="372" t="s">
        <v>2224</v>
      </c>
      <c r="J54" s="372" t="s">
        <v>2225</v>
      </c>
      <c r="K54" s="372" t="s">
        <v>2226</v>
      </c>
      <c r="L54" s="372" t="s">
        <v>2227</v>
      </c>
      <c r="M54" s="372" t="s">
        <v>2228</v>
      </c>
      <c r="N54" s="372" t="s">
        <v>2229</v>
      </c>
    </row>
    <row r="55" ht="15.75" customHeight="1">
      <c r="A55" s="372" t="s">
        <v>2230</v>
      </c>
      <c r="B55" s="232"/>
      <c r="C55" s="372" t="s">
        <v>2231</v>
      </c>
      <c r="D55" s="232"/>
      <c r="E55" s="372" t="s">
        <v>1873</v>
      </c>
      <c r="F55" s="372" t="s">
        <v>2062</v>
      </c>
      <c r="G55" s="232"/>
      <c r="H55" s="232"/>
      <c r="I55" s="372" t="s">
        <v>2232</v>
      </c>
      <c r="J55" s="372" t="s">
        <v>1949</v>
      </c>
      <c r="K55" s="372" t="s">
        <v>2033</v>
      </c>
      <c r="L55" s="372" t="s">
        <v>2060</v>
      </c>
      <c r="M55" s="372" t="s">
        <v>260</v>
      </c>
      <c r="N55" s="372" t="s">
        <v>1962</v>
      </c>
    </row>
    <row r="56" ht="15.75" customHeight="1">
      <c r="A56" s="372" t="s">
        <v>2042</v>
      </c>
      <c r="B56" s="232"/>
      <c r="C56" s="372" t="s">
        <v>2042</v>
      </c>
      <c r="D56" s="232"/>
      <c r="E56" s="372" t="s">
        <v>2233</v>
      </c>
      <c r="F56" s="372" t="s">
        <v>2068</v>
      </c>
      <c r="G56" s="232"/>
      <c r="H56" s="232"/>
      <c r="I56" s="372" t="s">
        <v>2042</v>
      </c>
      <c r="J56" s="372" t="s">
        <v>2234</v>
      </c>
      <c r="K56" s="372" t="s">
        <v>2235</v>
      </c>
      <c r="L56" s="372" t="s">
        <v>2236</v>
      </c>
      <c r="M56" s="372" t="s">
        <v>265</v>
      </c>
      <c r="N56" s="372" t="s">
        <v>1970</v>
      </c>
    </row>
    <row r="57" ht="15.75" customHeight="1">
      <c r="A57" s="372" t="s">
        <v>2050</v>
      </c>
      <c r="B57" s="232"/>
      <c r="C57" s="372" t="s">
        <v>2173</v>
      </c>
      <c r="D57" s="232"/>
      <c r="E57" s="372" t="s">
        <v>1882</v>
      </c>
      <c r="F57" s="372" t="s">
        <v>2074</v>
      </c>
      <c r="G57" s="232"/>
      <c r="H57" s="232"/>
      <c r="I57" s="372" t="s">
        <v>2050</v>
      </c>
      <c r="J57" s="372" t="s">
        <v>95</v>
      </c>
      <c r="K57" s="372" t="s">
        <v>2237</v>
      </c>
      <c r="L57" s="372" t="s">
        <v>252</v>
      </c>
      <c r="M57" s="372" t="s">
        <v>2238</v>
      </c>
      <c r="N57" s="372" t="s">
        <v>2239</v>
      </c>
    </row>
    <row r="58" ht="15.75" customHeight="1">
      <c r="A58" s="372" t="s">
        <v>2057</v>
      </c>
      <c r="B58" s="232"/>
      <c r="C58" s="372" t="s">
        <v>2240</v>
      </c>
      <c r="D58" s="232"/>
      <c r="E58" s="372" t="s">
        <v>2241</v>
      </c>
      <c r="F58" s="372" t="s">
        <v>2083</v>
      </c>
      <c r="G58" s="232"/>
      <c r="H58" s="232"/>
      <c r="I58" s="372" t="s">
        <v>2057</v>
      </c>
      <c r="J58" s="372" t="s">
        <v>2242</v>
      </c>
      <c r="K58" s="372" t="s">
        <v>2243</v>
      </c>
      <c r="L58" s="372" t="s">
        <v>2244</v>
      </c>
      <c r="M58" s="372" t="s">
        <v>1103</v>
      </c>
      <c r="N58" s="372" t="s">
        <v>1978</v>
      </c>
    </row>
    <row r="59" ht="15.75" customHeight="1">
      <c r="A59" s="372" t="s">
        <v>2064</v>
      </c>
      <c r="B59" s="232"/>
      <c r="C59" s="372" t="s">
        <v>2245</v>
      </c>
      <c r="D59" s="232"/>
      <c r="E59" s="372" t="s">
        <v>2246</v>
      </c>
      <c r="F59" s="372" t="s">
        <v>2091</v>
      </c>
      <c r="G59" s="232"/>
      <c r="H59" s="232"/>
      <c r="I59" s="372" t="s">
        <v>2070</v>
      </c>
      <c r="J59" s="372" t="s">
        <v>2005</v>
      </c>
      <c r="K59" s="372" t="s">
        <v>2247</v>
      </c>
      <c r="L59" s="372" t="s">
        <v>2248</v>
      </c>
      <c r="M59" s="372" t="s">
        <v>2003</v>
      </c>
      <c r="N59" s="372" t="s">
        <v>1986</v>
      </c>
    </row>
    <row r="60" ht="15.75" customHeight="1">
      <c r="A60" s="372" t="s">
        <v>2070</v>
      </c>
      <c r="B60" s="232"/>
      <c r="C60" s="372" t="s">
        <v>2249</v>
      </c>
      <c r="D60" s="232"/>
      <c r="E60" s="372" t="s">
        <v>2250</v>
      </c>
      <c r="F60" s="372" t="s">
        <v>2100</v>
      </c>
      <c r="G60" s="232"/>
      <c r="H60" s="232"/>
      <c r="I60" s="372" t="s">
        <v>2076</v>
      </c>
      <c r="J60" s="372" t="s">
        <v>2251</v>
      </c>
      <c r="K60" s="372" t="s">
        <v>2252</v>
      </c>
      <c r="L60" s="372" t="s">
        <v>2253</v>
      </c>
      <c r="M60" s="372" t="s">
        <v>2254</v>
      </c>
      <c r="N60" s="372" t="s">
        <v>2060</v>
      </c>
    </row>
    <row r="61" ht="15.75" customHeight="1">
      <c r="A61" s="372" t="s">
        <v>2076</v>
      </c>
      <c r="B61" s="232"/>
      <c r="C61" s="372" t="s">
        <v>2255</v>
      </c>
      <c r="D61" s="232"/>
      <c r="E61" s="372" t="s">
        <v>252</v>
      </c>
      <c r="F61" s="372" t="s">
        <v>2120</v>
      </c>
      <c r="G61" s="232"/>
      <c r="H61" s="232"/>
      <c r="I61" s="372" t="s">
        <v>2085</v>
      </c>
      <c r="J61" s="372" t="s">
        <v>2256</v>
      </c>
      <c r="K61" s="372" t="s">
        <v>1881</v>
      </c>
      <c r="L61" s="372" t="s">
        <v>2257</v>
      </c>
      <c r="M61" s="372" t="s">
        <v>1918</v>
      </c>
      <c r="N61" s="372" t="s">
        <v>252</v>
      </c>
    </row>
    <row r="62" ht="15.75" customHeight="1">
      <c r="A62" s="372" t="s">
        <v>2085</v>
      </c>
      <c r="B62" s="232"/>
      <c r="C62" s="372" t="s">
        <v>2258</v>
      </c>
      <c r="D62" s="232"/>
      <c r="E62" s="372" t="s">
        <v>2259</v>
      </c>
      <c r="F62" s="372" t="s">
        <v>2260</v>
      </c>
      <c r="G62" s="232"/>
      <c r="H62" s="232"/>
      <c r="I62" s="372" t="s">
        <v>2094</v>
      </c>
      <c r="J62" s="372" t="s">
        <v>1243</v>
      </c>
      <c r="K62" s="372" t="s">
        <v>2261</v>
      </c>
      <c r="L62" s="372" t="s">
        <v>2262</v>
      </c>
      <c r="M62" s="372" t="s">
        <v>1926</v>
      </c>
      <c r="N62" s="372" t="s">
        <v>260</v>
      </c>
    </row>
    <row r="63" ht="15.75" customHeight="1">
      <c r="A63" s="372" t="s">
        <v>2094</v>
      </c>
      <c r="B63" s="232"/>
      <c r="C63" s="372" t="s">
        <v>2263</v>
      </c>
      <c r="D63" s="232"/>
      <c r="E63" s="372" t="s">
        <v>1912</v>
      </c>
      <c r="F63" s="372" t="s">
        <v>117</v>
      </c>
      <c r="G63" s="232"/>
      <c r="H63" s="232"/>
      <c r="I63" s="372" t="s">
        <v>2102</v>
      </c>
      <c r="J63" s="372" t="s">
        <v>2264</v>
      </c>
      <c r="K63" s="372" t="s">
        <v>183</v>
      </c>
      <c r="L63" s="372" t="s">
        <v>2265</v>
      </c>
      <c r="M63" s="372" t="s">
        <v>2266</v>
      </c>
      <c r="N63" s="372" t="s">
        <v>2267</v>
      </c>
    </row>
    <row r="64" ht="15.75" customHeight="1">
      <c r="A64" s="372" t="s">
        <v>2102</v>
      </c>
      <c r="B64" s="232"/>
      <c r="C64" s="372" t="s">
        <v>1882</v>
      </c>
      <c r="D64" s="232"/>
      <c r="E64" s="372" t="s">
        <v>2268</v>
      </c>
      <c r="F64" s="372" t="s">
        <v>2269</v>
      </c>
      <c r="G64" s="232"/>
      <c r="H64" s="232"/>
      <c r="I64" s="372" t="s">
        <v>2108</v>
      </c>
      <c r="J64" s="372" t="s">
        <v>2111</v>
      </c>
      <c r="K64" s="372" t="s">
        <v>2222</v>
      </c>
      <c r="L64" s="372" t="s">
        <v>2270</v>
      </c>
      <c r="M64" s="372" t="s">
        <v>2271</v>
      </c>
      <c r="N64" s="372" t="s">
        <v>265</v>
      </c>
    </row>
    <row r="65" ht="15.75" customHeight="1">
      <c r="A65" s="372" t="s">
        <v>2108</v>
      </c>
      <c r="B65" s="232"/>
      <c r="C65" s="372" t="s">
        <v>2205</v>
      </c>
      <c r="D65" s="232"/>
      <c r="E65" s="372" t="s">
        <v>2272</v>
      </c>
      <c r="F65" s="372" t="s">
        <v>123</v>
      </c>
      <c r="G65" s="232"/>
      <c r="H65" s="232"/>
      <c r="I65" s="372" t="s">
        <v>2114</v>
      </c>
      <c r="J65" s="372" t="s">
        <v>2273</v>
      </c>
      <c r="K65" s="372" t="s">
        <v>2230</v>
      </c>
      <c r="L65" s="372" t="s">
        <v>2274</v>
      </c>
      <c r="M65" s="372" t="s">
        <v>2275</v>
      </c>
      <c r="N65" s="372" t="s">
        <v>2276</v>
      </c>
    </row>
    <row r="66" ht="15.75" customHeight="1">
      <c r="A66" s="372" t="s">
        <v>2114</v>
      </c>
      <c r="B66" s="232"/>
      <c r="C66" s="372" t="s">
        <v>2211</v>
      </c>
      <c r="D66" s="232"/>
      <c r="E66" s="372" t="s">
        <v>2277</v>
      </c>
      <c r="F66" s="372" t="s">
        <v>2278</v>
      </c>
      <c r="G66" s="232"/>
      <c r="H66" s="232"/>
      <c r="I66" s="372" t="s">
        <v>2122</v>
      </c>
      <c r="J66" s="372" t="s">
        <v>2279</v>
      </c>
      <c r="K66" s="372" t="s">
        <v>2042</v>
      </c>
      <c r="L66" s="372" t="s">
        <v>1907</v>
      </c>
      <c r="M66" s="372" t="s">
        <v>2280</v>
      </c>
      <c r="N66" s="372" t="s">
        <v>2238</v>
      </c>
    </row>
    <row r="67" ht="15.75" customHeight="1">
      <c r="A67" s="372" t="s">
        <v>2122</v>
      </c>
      <c r="B67" s="232"/>
      <c r="C67" s="372" t="s">
        <v>2221</v>
      </c>
      <c r="D67" s="232"/>
      <c r="E67" s="372" t="s">
        <v>1933</v>
      </c>
      <c r="F67" s="372" t="s">
        <v>2281</v>
      </c>
      <c r="G67" s="232"/>
      <c r="H67" s="232"/>
      <c r="I67" s="372" t="s">
        <v>2127</v>
      </c>
      <c r="J67" s="372" t="s">
        <v>2142</v>
      </c>
      <c r="K67" s="372" t="s">
        <v>2050</v>
      </c>
      <c r="L67" s="372" t="s">
        <v>2238</v>
      </c>
      <c r="M67" s="372" t="s">
        <v>321</v>
      </c>
      <c r="N67" s="372" t="s">
        <v>2282</v>
      </c>
    </row>
    <row r="68" ht="15.75" customHeight="1">
      <c r="A68" s="372" t="s">
        <v>2127</v>
      </c>
      <c r="B68" s="232"/>
      <c r="C68" s="372" t="s">
        <v>2283</v>
      </c>
      <c r="D68" s="232"/>
      <c r="E68" s="372" t="s">
        <v>2284</v>
      </c>
      <c r="F68" s="372" t="s">
        <v>2285</v>
      </c>
      <c r="G68" s="232"/>
      <c r="H68" s="232"/>
      <c r="I68" s="372" t="s">
        <v>2132</v>
      </c>
      <c r="J68" s="372" t="s">
        <v>2286</v>
      </c>
      <c r="K68" s="372" t="s">
        <v>2057</v>
      </c>
      <c r="L68" s="372" t="s">
        <v>2287</v>
      </c>
      <c r="M68" s="372" t="s">
        <v>2288</v>
      </c>
      <c r="N68" s="372" t="s">
        <v>2289</v>
      </c>
    </row>
    <row r="69" ht="15.75" customHeight="1">
      <c r="A69" s="372" t="s">
        <v>2132</v>
      </c>
      <c r="B69" s="232"/>
      <c r="C69" s="372" t="s">
        <v>2250</v>
      </c>
      <c r="D69" s="232"/>
      <c r="E69" s="372" t="s">
        <v>2290</v>
      </c>
      <c r="F69" s="372" t="s">
        <v>2291</v>
      </c>
      <c r="G69" s="232"/>
      <c r="H69" s="232"/>
      <c r="I69" s="372" t="s">
        <v>2140</v>
      </c>
      <c r="J69" s="372" t="s">
        <v>2158</v>
      </c>
      <c r="K69" s="372" t="s">
        <v>2070</v>
      </c>
      <c r="L69" s="372" t="s">
        <v>2282</v>
      </c>
      <c r="M69" s="372" t="s">
        <v>2292</v>
      </c>
      <c r="N69" s="372" t="s">
        <v>2259</v>
      </c>
    </row>
    <row r="70" ht="15.75" customHeight="1">
      <c r="A70" s="372" t="s">
        <v>2140</v>
      </c>
      <c r="B70" s="232"/>
      <c r="C70" s="372" t="s">
        <v>2293</v>
      </c>
      <c r="D70" s="232"/>
      <c r="E70" s="372" t="s">
        <v>1951</v>
      </c>
      <c r="F70" s="372" t="s">
        <v>2294</v>
      </c>
      <c r="G70" s="232"/>
      <c r="H70" s="232"/>
      <c r="I70" s="372" t="s">
        <v>2148</v>
      </c>
      <c r="J70" s="372" t="s">
        <v>2167</v>
      </c>
      <c r="K70" s="372" t="s">
        <v>2076</v>
      </c>
      <c r="L70" s="372" t="s">
        <v>2259</v>
      </c>
      <c r="M70" s="372" t="s">
        <v>324</v>
      </c>
      <c r="N70" s="372" t="s">
        <v>1912</v>
      </c>
    </row>
    <row r="71" ht="15.75" customHeight="1">
      <c r="A71" s="372" t="s">
        <v>2148</v>
      </c>
      <c r="B71" s="232"/>
      <c r="C71" s="372" t="s">
        <v>2295</v>
      </c>
      <c r="D71" s="232"/>
      <c r="E71" s="372" t="s">
        <v>2296</v>
      </c>
      <c r="F71" s="372" t="s">
        <v>2297</v>
      </c>
      <c r="G71" s="232"/>
      <c r="H71" s="232"/>
      <c r="I71" s="372" t="s">
        <v>2298</v>
      </c>
      <c r="J71" s="372" t="s">
        <v>1852</v>
      </c>
      <c r="K71" s="372" t="s">
        <v>2085</v>
      </c>
      <c r="L71" s="372" t="s">
        <v>2299</v>
      </c>
      <c r="M71" s="372" t="s">
        <v>327</v>
      </c>
      <c r="N71" s="372" t="s">
        <v>2003</v>
      </c>
    </row>
    <row r="72" ht="15.75" customHeight="1">
      <c r="A72" s="372" t="s">
        <v>2298</v>
      </c>
      <c r="B72" s="232"/>
      <c r="C72" s="372" t="s">
        <v>252</v>
      </c>
      <c r="D72" s="232"/>
      <c r="E72" s="372" t="s">
        <v>2300</v>
      </c>
      <c r="F72" s="372" t="s">
        <v>2301</v>
      </c>
      <c r="G72" s="232"/>
      <c r="H72" s="232"/>
      <c r="I72" s="372" t="s">
        <v>2156</v>
      </c>
      <c r="J72" s="372" t="s">
        <v>2302</v>
      </c>
      <c r="K72" s="372" t="s">
        <v>2094</v>
      </c>
      <c r="L72" s="372" t="s">
        <v>2303</v>
      </c>
      <c r="M72" s="372" t="s">
        <v>2304</v>
      </c>
      <c r="N72" s="372" t="s">
        <v>2305</v>
      </c>
    </row>
    <row r="73" ht="15.75" customHeight="1">
      <c r="A73" s="372" t="s">
        <v>2156</v>
      </c>
      <c r="B73" s="232"/>
      <c r="C73" s="372" t="s">
        <v>2220</v>
      </c>
      <c r="D73" s="232"/>
      <c r="E73" s="372" t="s">
        <v>1959</v>
      </c>
      <c r="F73" s="372" t="s">
        <v>150</v>
      </c>
      <c r="G73" s="232"/>
      <c r="H73" s="232"/>
      <c r="I73" s="372" t="s">
        <v>2165</v>
      </c>
      <c r="J73" s="372" t="s">
        <v>2182</v>
      </c>
      <c r="K73" s="372" t="s">
        <v>2102</v>
      </c>
      <c r="L73" s="372" t="s">
        <v>2306</v>
      </c>
      <c r="M73" s="372" t="s">
        <v>2307</v>
      </c>
      <c r="N73" s="372" t="s">
        <v>2308</v>
      </c>
    </row>
    <row r="74" ht="15.75" customHeight="1">
      <c r="A74" s="372" t="s">
        <v>2165</v>
      </c>
      <c r="B74" s="232"/>
      <c r="C74" s="372" t="s">
        <v>260</v>
      </c>
      <c r="D74" s="232"/>
      <c r="E74" s="372" t="s">
        <v>1983</v>
      </c>
      <c r="F74" s="372" t="s">
        <v>2309</v>
      </c>
      <c r="G74" s="232"/>
      <c r="H74" s="232"/>
      <c r="I74" s="372" t="s">
        <v>2310</v>
      </c>
      <c r="J74" s="372" t="s">
        <v>1865</v>
      </c>
      <c r="K74" s="372" t="s">
        <v>2108</v>
      </c>
      <c r="L74" s="372" t="s">
        <v>2311</v>
      </c>
      <c r="M74" s="372" t="s">
        <v>2097</v>
      </c>
      <c r="N74" s="372" t="s">
        <v>1918</v>
      </c>
    </row>
    <row r="75" ht="15.75" customHeight="1">
      <c r="A75" s="372" t="s">
        <v>2312</v>
      </c>
      <c r="B75" s="232"/>
      <c r="C75" s="372" t="s">
        <v>265</v>
      </c>
      <c r="D75" s="232"/>
      <c r="E75" s="372" t="s">
        <v>1993</v>
      </c>
      <c r="F75" s="372" t="s">
        <v>2313</v>
      </c>
      <c r="G75" s="232"/>
      <c r="H75" s="232"/>
      <c r="I75" s="372" t="s">
        <v>2314</v>
      </c>
      <c r="J75" s="372" t="s">
        <v>2315</v>
      </c>
      <c r="K75" s="372" t="s">
        <v>2114</v>
      </c>
      <c r="L75" s="372" t="s">
        <v>2316</v>
      </c>
      <c r="M75" s="372" t="s">
        <v>336</v>
      </c>
      <c r="N75" s="372" t="s">
        <v>2317</v>
      </c>
    </row>
    <row r="76" ht="15.75" customHeight="1">
      <c r="A76" s="372" t="s">
        <v>2318</v>
      </c>
      <c r="B76" s="232"/>
      <c r="C76" s="372" t="s">
        <v>2274</v>
      </c>
      <c r="D76" s="232"/>
      <c r="E76" s="372" t="s">
        <v>2319</v>
      </c>
      <c r="F76" s="372" t="s">
        <v>2320</v>
      </c>
      <c r="G76" s="232"/>
      <c r="H76" s="232"/>
      <c r="I76" s="372" t="s">
        <v>2321</v>
      </c>
      <c r="J76" s="372" t="s">
        <v>2233</v>
      </c>
      <c r="K76" s="372" t="s">
        <v>2122</v>
      </c>
      <c r="L76" s="372" t="s">
        <v>2322</v>
      </c>
      <c r="M76" s="372" t="s">
        <v>2323</v>
      </c>
      <c r="N76" s="372" t="s">
        <v>2324</v>
      </c>
    </row>
    <row r="77" ht="15.75" customHeight="1">
      <c r="A77" s="372" t="s">
        <v>2325</v>
      </c>
      <c r="B77" s="232"/>
      <c r="C77" s="372" t="s">
        <v>2326</v>
      </c>
      <c r="D77" s="232"/>
      <c r="E77" s="372" t="s">
        <v>2327</v>
      </c>
      <c r="F77" s="372" t="s">
        <v>2328</v>
      </c>
      <c r="G77" s="232"/>
      <c r="H77" s="232"/>
      <c r="I77" s="372" t="s">
        <v>1972</v>
      </c>
      <c r="J77" s="372" t="s">
        <v>2329</v>
      </c>
      <c r="K77" s="372" t="s">
        <v>2132</v>
      </c>
      <c r="L77" s="372" t="s">
        <v>1933</v>
      </c>
      <c r="M77" s="372" t="s">
        <v>2330</v>
      </c>
      <c r="N77" s="372" t="s">
        <v>2331</v>
      </c>
    </row>
    <row r="78" ht="15.75" customHeight="1">
      <c r="A78" s="372" t="s">
        <v>2101</v>
      </c>
      <c r="B78" s="232"/>
      <c r="C78" s="372" t="s">
        <v>1918</v>
      </c>
      <c r="D78" s="232"/>
      <c r="E78" s="372" t="s">
        <v>2332</v>
      </c>
      <c r="F78" s="372" t="s">
        <v>2333</v>
      </c>
      <c r="G78" s="232"/>
      <c r="H78" s="232"/>
      <c r="I78" s="372" t="s">
        <v>2334</v>
      </c>
      <c r="J78" s="372" t="s">
        <v>2223</v>
      </c>
      <c r="K78" s="372" t="s">
        <v>2140</v>
      </c>
      <c r="L78" s="372" t="s">
        <v>2335</v>
      </c>
      <c r="M78" s="372" t="s">
        <v>2054</v>
      </c>
      <c r="N78" s="372" t="s">
        <v>1926</v>
      </c>
    </row>
    <row r="79" ht="15.75" customHeight="1">
      <c r="A79" s="372" t="s">
        <v>1882</v>
      </c>
      <c r="B79" s="232"/>
      <c r="C79" s="372" t="s">
        <v>2336</v>
      </c>
      <c r="D79" s="232"/>
      <c r="E79" s="372" t="s">
        <v>2337</v>
      </c>
      <c r="F79" s="372" t="s">
        <v>2338</v>
      </c>
      <c r="G79" s="232"/>
      <c r="H79" s="232"/>
      <c r="I79" s="372" t="s">
        <v>2339</v>
      </c>
      <c r="J79" s="372" t="s">
        <v>2042</v>
      </c>
      <c r="K79" s="372" t="s">
        <v>2156</v>
      </c>
      <c r="L79" s="372" t="s">
        <v>1951</v>
      </c>
      <c r="M79" s="372" t="s">
        <v>2340</v>
      </c>
      <c r="N79" s="372" t="s">
        <v>2341</v>
      </c>
    </row>
    <row r="80" ht="15.75" customHeight="1">
      <c r="A80" s="372" t="s">
        <v>2342</v>
      </c>
      <c r="B80" s="232"/>
      <c r="C80" s="372" t="s">
        <v>2343</v>
      </c>
      <c r="D80" s="232"/>
      <c r="E80" s="372" t="s">
        <v>2344</v>
      </c>
      <c r="F80" s="372" t="s">
        <v>2345</v>
      </c>
      <c r="G80" s="232"/>
      <c r="H80" s="232"/>
      <c r="I80" s="372" t="s">
        <v>2346</v>
      </c>
      <c r="J80" s="372" t="s">
        <v>2240</v>
      </c>
      <c r="K80" s="372" t="s">
        <v>2165</v>
      </c>
      <c r="L80" s="372" t="s">
        <v>2296</v>
      </c>
      <c r="M80" s="372" t="s">
        <v>2347</v>
      </c>
      <c r="N80" s="372" t="s">
        <v>2271</v>
      </c>
    </row>
    <row r="81" ht="15.75" customHeight="1">
      <c r="A81" s="372" t="s">
        <v>2006</v>
      </c>
      <c r="B81" s="232"/>
      <c r="C81" s="372" t="s">
        <v>2348</v>
      </c>
      <c r="D81" s="232"/>
      <c r="E81" s="372" t="s">
        <v>2349</v>
      </c>
      <c r="F81" s="372" t="s">
        <v>2350</v>
      </c>
      <c r="G81" s="232"/>
      <c r="H81" s="232"/>
      <c r="I81" s="372" t="s">
        <v>2351</v>
      </c>
      <c r="J81" s="372" t="s">
        <v>2352</v>
      </c>
      <c r="K81" s="372" t="s">
        <v>2353</v>
      </c>
      <c r="L81" s="372" t="s">
        <v>2300</v>
      </c>
      <c r="M81" s="372" t="s">
        <v>2067</v>
      </c>
      <c r="N81" s="372" t="s">
        <v>2311</v>
      </c>
    </row>
    <row r="82" ht="15.75" customHeight="1">
      <c r="A82" s="372" t="s">
        <v>2354</v>
      </c>
      <c r="B82" s="232"/>
      <c r="C82" s="372" t="s">
        <v>2355</v>
      </c>
      <c r="D82" s="232"/>
      <c r="E82" s="372" t="s">
        <v>2011</v>
      </c>
      <c r="F82" s="372" t="s">
        <v>2247</v>
      </c>
      <c r="G82" s="232"/>
      <c r="H82" s="232"/>
      <c r="I82" s="372" t="s">
        <v>2356</v>
      </c>
      <c r="J82" s="372" t="s">
        <v>2357</v>
      </c>
      <c r="K82" s="372" t="s">
        <v>2358</v>
      </c>
      <c r="L82" s="372" t="s">
        <v>1959</v>
      </c>
      <c r="M82" s="372" t="s">
        <v>1905</v>
      </c>
      <c r="N82" s="372" t="s">
        <v>321</v>
      </c>
    </row>
    <row r="83" ht="15.75" customHeight="1">
      <c r="A83" s="372" t="s">
        <v>2147</v>
      </c>
      <c r="B83" s="232"/>
      <c r="C83" s="372" t="s">
        <v>321</v>
      </c>
      <c r="D83" s="232"/>
      <c r="E83" s="372" t="s">
        <v>1905</v>
      </c>
      <c r="F83" s="372" t="s">
        <v>2359</v>
      </c>
      <c r="G83" s="232"/>
      <c r="H83" s="232"/>
      <c r="I83" s="372" t="s">
        <v>2360</v>
      </c>
      <c r="J83" s="372" t="s">
        <v>2361</v>
      </c>
      <c r="K83" s="372" t="s">
        <v>2362</v>
      </c>
      <c r="L83" s="372" t="s">
        <v>2363</v>
      </c>
      <c r="M83" s="372" t="s">
        <v>1910</v>
      </c>
      <c r="N83" s="372" t="s">
        <v>2364</v>
      </c>
    </row>
    <row r="84" ht="15.75" customHeight="1">
      <c r="A84" s="372" t="s">
        <v>2199</v>
      </c>
      <c r="B84" s="232"/>
      <c r="C84" s="372" t="s">
        <v>2365</v>
      </c>
      <c r="D84" s="232"/>
      <c r="E84" s="372" t="s">
        <v>1910</v>
      </c>
      <c r="F84" s="372" t="s">
        <v>2366</v>
      </c>
      <c r="G84" s="232"/>
      <c r="H84" s="232"/>
      <c r="I84" s="372" t="s">
        <v>1882</v>
      </c>
      <c r="J84" s="372" t="s">
        <v>2367</v>
      </c>
      <c r="K84" s="372" t="s">
        <v>2368</v>
      </c>
      <c r="L84" s="372" t="s">
        <v>2369</v>
      </c>
      <c r="M84" s="372" t="s">
        <v>2370</v>
      </c>
      <c r="N84" s="372" t="s">
        <v>2371</v>
      </c>
    </row>
    <row r="85" ht="15.75" customHeight="1">
      <c r="A85" s="372" t="s">
        <v>2372</v>
      </c>
      <c r="B85" s="232"/>
      <c r="C85" s="372" t="s">
        <v>2097</v>
      </c>
      <c r="D85" s="232"/>
      <c r="E85" s="372" t="s">
        <v>2373</v>
      </c>
      <c r="F85" s="372" t="s">
        <v>2252</v>
      </c>
      <c r="G85" s="232"/>
      <c r="H85" s="232"/>
      <c r="I85" s="372" t="s">
        <v>207</v>
      </c>
      <c r="J85" s="372" t="s">
        <v>2249</v>
      </c>
      <c r="K85" s="372" t="s">
        <v>2374</v>
      </c>
      <c r="L85" s="372" t="s">
        <v>1975</v>
      </c>
      <c r="M85" s="372" t="s">
        <v>2045</v>
      </c>
      <c r="N85" s="372" t="s">
        <v>1933</v>
      </c>
    </row>
    <row r="86" ht="15.75" customHeight="1">
      <c r="A86" s="372" t="s">
        <v>2375</v>
      </c>
      <c r="B86" s="232"/>
      <c r="C86" s="372" t="s">
        <v>1933</v>
      </c>
      <c r="D86" s="232"/>
      <c r="E86" s="372" t="s">
        <v>2376</v>
      </c>
      <c r="F86" s="372" t="s">
        <v>1881</v>
      </c>
      <c r="G86" s="232"/>
      <c r="H86" s="232"/>
      <c r="I86" s="372" t="s">
        <v>2002</v>
      </c>
      <c r="J86" s="372" t="s">
        <v>1882</v>
      </c>
      <c r="K86" s="372" t="s">
        <v>2377</v>
      </c>
      <c r="L86" s="372" t="s">
        <v>1983</v>
      </c>
      <c r="M86" s="372" t="s">
        <v>2378</v>
      </c>
      <c r="N86" s="372" t="s">
        <v>336</v>
      </c>
    </row>
    <row r="87" ht="15.75" customHeight="1">
      <c r="A87" s="372" t="s">
        <v>2379</v>
      </c>
      <c r="B87" s="232"/>
      <c r="C87" s="372" t="s">
        <v>2380</v>
      </c>
      <c r="D87" s="232"/>
      <c r="E87" s="372" t="s">
        <v>2381</v>
      </c>
      <c r="F87" s="372" t="s">
        <v>2382</v>
      </c>
      <c r="G87" s="232"/>
      <c r="H87" s="232"/>
      <c r="I87" s="372" t="s">
        <v>2021</v>
      </c>
      <c r="J87" s="372" t="s">
        <v>2383</v>
      </c>
      <c r="K87" s="372" t="s">
        <v>2384</v>
      </c>
      <c r="L87" s="372" t="s">
        <v>1993</v>
      </c>
      <c r="M87" s="372" t="s">
        <v>2385</v>
      </c>
      <c r="N87" s="372" t="s">
        <v>2335</v>
      </c>
    </row>
    <row r="88" ht="15.75" customHeight="1">
      <c r="A88" s="372" t="s">
        <v>2386</v>
      </c>
      <c r="B88" s="232"/>
      <c r="C88" s="372" t="s">
        <v>2387</v>
      </c>
      <c r="D88" s="232"/>
      <c r="E88" s="372" t="s">
        <v>2388</v>
      </c>
      <c r="F88" s="372" t="s">
        <v>2389</v>
      </c>
      <c r="G88" s="232"/>
      <c r="H88" s="232"/>
      <c r="I88" s="372" t="s">
        <v>2038</v>
      </c>
      <c r="J88" s="372" t="s">
        <v>2390</v>
      </c>
      <c r="K88" s="372" t="s">
        <v>2391</v>
      </c>
      <c r="L88" s="372" t="s">
        <v>2392</v>
      </c>
      <c r="M88" s="372" t="s">
        <v>2051</v>
      </c>
      <c r="N88" s="372" t="s">
        <v>1951</v>
      </c>
    </row>
    <row r="89" ht="15.75" customHeight="1">
      <c r="A89" s="372" t="s">
        <v>2393</v>
      </c>
      <c r="B89" s="232"/>
      <c r="C89" s="372" t="s">
        <v>2335</v>
      </c>
      <c r="D89" s="232"/>
      <c r="E89" s="372" t="s">
        <v>2394</v>
      </c>
      <c r="F89" s="372" t="s">
        <v>2395</v>
      </c>
      <c r="G89" s="232"/>
      <c r="H89" s="232"/>
      <c r="I89" s="372" t="s">
        <v>2396</v>
      </c>
      <c r="J89" s="372" t="s">
        <v>2024</v>
      </c>
      <c r="K89" s="372" t="s">
        <v>2397</v>
      </c>
      <c r="L89" s="372" t="s">
        <v>2398</v>
      </c>
      <c r="M89" s="372" t="s">
        <v>2399</v>
      </c>
      <c r="N89" s="372" t="s">
        <v>2296</v>
      </c>
    </row>
    <row r="90" ht="15.75" customHeight="1">
      <c r="A90" s="372" t="s">
        <v>2400</v>
      </c>
      <c r="B90" s="232"/>
      <c r="C90" s="372" t="s">
        <v>1951</v>
      </c>
      <c r="D90" s="232"/>
      <c r="E90" s="372" t="s">
        <v>2401</v>
      </c>
      <c r="F90" s="372" t="s">
        <v>2402</v>
      </c>
      <c r="G90" s="232"/>
      <c r="H90" s="232"/>
      <c r="I90" s="372" t="s">
        <v>2403</v>
      </c>
      <c r="J90" s="372" t="s">
        <v>2205</v>
      </c>
      <c r="K90" s="372" t="s">
        <v>2404</v>
      </c>
      <c r="L90" s="372" t="s">
        <v>2405</v>
      </c>
      <c r="M90" s="372" t="s">
        <v>390</v>
      </c>
      <c r="N90" s="372" t="s">
        <v>2406</v>
      </c>
    </row>
    <row r="91" ht="15.75" customHeight="1">
      <c r="A91" s="372" t="s">
        <v>2407</v>
      </c>
      <c r="B91" s="232"/>
      <c r="C91" s="372" t="s">
        <v>2296</v>
      </c>
      <c r="D91" s="232"/>
      <c r="E91" s="372" t="s">
        <v>2408</v>
      </c>
      <c r="F91" s="372" t="s">
        <v>2409</v>
      </c>
      <c r="G91" s="232"/>
      <c r="H91" s="232"/>
      <c r="I91" s="372" t="s">
        <v>2410</v>
      </c>
      <c r="J91" s="372" t="s">
        <v>2283</v>
      </c>
      <c r="K91" s="372" t="s">
        <v>2411</v>
      </c>
      <c r="L91" s="372" t="s">
        <v>2412</v>
      </c>
      <c r="M91" s="232"/>
      <c r="N91" s="372" t="s">
        <v>2413</v>
      </c>
    </row>
    <row r="92" ht="15.75" customHeight="1">
      <c r="A92" s="372" t="s">
        <v>2414</v>
      </c>
      <c r="B92" s="232"/>
      <c r="C92" s="372" t="s">
        <v>2406</v>
      </c>
      <c r="D92" s="232"/>
      <c r="E92" s="372" t="s">
        <v>2415</v>
      </c>
      <c r="F92" s="372" t="s">
        <v>2416</v>
      </c>
      <c r="G92" s="232"/>
      <c r="H92" s="232"/>
      <c r="I92" s="372" t="s">
        <v>2417</v>
      </c>
      <c r="J92" s="372" t="s">
        <v>2250</v>
      </c>
      <c r="K92" s="372" t="s">
        <v>2418</v>
      </c>
      <c r="L92" s="372" t="s">
        <v>2330</v>
      </c>
      <c r="M92" s="232"/>
      <c r="N92" s="372" t="s">
        <v>2300</v>
      </c>
    </row>
    <row r="93" ht="15.75" customHeight="1">
      <c r="A93" s="372" t="s">
        <v>2419</v>
      </c>
      <c r="B93" s="232"/>
      <c r="C93" s="372" t="s">
        <v>2413</v>
      </c>
      <c r="D93" s="232"/>
      <c r="E93" s="372" t="s">
        <v>2420</v>
      </c>
      <c r="F93" s="372" t="s">
        <v>2421</v>
      </c>
      <c r="G93" s="232"/>
      <c r="H93" s="232"/>
      <c r="I93" s="372" t="s">
        <v>2422</v>
      </c>
      <c r="J93" s="372" t="s">
        <v>2423</v>
      </c>
      <c r="K93" s="372" t="s">
        <v>2424</v>
      </c>
      <c r="L93" s="372" t="s">
        <v>2425</v>
      </c>
      <c r="M93" s="232"/>
      <c r="N93" s="372" t="s">
        <v>1959</v>
      </c>
    </row>
    <row r="94" ht="15.75" customHeight="1">
      <c r="A94" s="372" t="s">
        <v>2426</v>
      </c>
      <c r="B94" s="232"/>
      <c r="C94" s="372" t="s">
        <v>2300</v>
      </c>
      <c r="D94" s="232"/>
      <c r="E94" s="372" t="s">
        <v>2427</v>
      </c>
      <c r="F94" s="372" t="s">
        <v>2428</v>
      </c>
      <c r="G94" s="232"/>
      <c r="H94" s="232"/>
      <c r="I94" s="372" t="s">
        <v>2147</v>
      </c>
      <c r="J94" s="372" t="s">
        <v>2429</v>
      </c>
      <c r="K94" s="372" t="s">
        <v>2430</v>
      </c>
      <c r="L94" s="372" t="s">
        <v>2431</v>
      </c>
      <c r="M94" s="232"/>
      <c r="N94" s="372" t="s">
        <v>1967</v>
      </c>
    </row>
    <row r="95" ht="15.75" customHeight="1">
      <c r="A95" s="372" t="s">
        <v>1978</v>
      </c>
      <c r="B95" s="232"/>
      <c r="C95" s="372" t="s">
        <v>1959</v>
      </c>
      <c r="D95" s="232"/>
      <c r="E95" s="372" t="s">
        <v>2432</v>
      </c>
      <c r="F95" s="372" t="s">
        <v>2433</v>
      </c>
      <c r="G95" s="232"/>
      <c r="H95" s="232"/>
      <c r="I95" s="372" t="s">
        <v>2434</v>
      </c>
      <c r="J95" s="372" t="s">
        <v>1978</v>
      </c>
      <c r="K95" s="372" t="s">
        <v>2435</v>
      </c>
      <c r="L95" s="372" t="s">
        <v>2436</v>
      </c>
      <c r="M95" s="232"/>
      <c r="N95" s="372" t="s">
        <v>2369</v>
      </c>
    </row>
    <row r="96" ht="15.75" customHeight="1">
      <c r="A96" s="372" t="s">
        <v>1986</v>
      </c>
      <c r="B96" s="232"/>
      <c r="C96" s="372" t="s">
        <v>2363</v>
      </c>
      <c r="D96" s="232"/>
      <c r="E96" s="372" t="s">
        <v>2437</v>
      </c>
      <c r="F96" s="372" t="s">
        <v>2438</v>
      </c>
      <c r="G96" s="232"/>
      <c r="H96" s="232"/>
      <c r="I96" s="372" t="s">
        <v>2024</v>
      </c>
      <c r="J96" s="372" t="s">
        <v>252</v>
      </c>
      <c r="K96" s="372" t="s">
        <v>2439</v>
      </c>
      <c r="L96" s="372" t="s">
        <v>2440</v>
      </c>
      <c r="M96" s="232"/>
      <c r="N96" s="372" t="s">
        <v>1975</v>
      </c>
    </row>
    <row r="97" ht="15.75" customHeight="1">
      <c r="A97" s="372" t="s">
        <v>2060</v>
      </c>
      <c r="B97" s="232"/>
      <c r="C97" s="372" t="s">
        <v>1967</v>
      </c>
      <c r="D97" s="232"/>
      <c r="E97" s="372" t="s">
        <v>2441</v>
      </c>
      <c r="F97" s="372" t="s">
        <v>2442</v>
      </c>
      <c r="G97" s="232"/>
      <c r="H97" s="232"/>
      <c r="I97" s="372" t="s">
        <v>2205</v>
      </c>
      <c r="J97" s="372" t="s">
        <v>2443</v>
      </c>
      <c r="K97" s="372" t="s">
        <v>2444</v>
      </c>
      <c r="L97" s="372" t="s">
        <v>2061</v>
      </c>
      <c r="M97" s="232"/>
      <c r="N97" s="372" t="s">
        <v>1983</v>
      </c>
    </row>
    <row r="98" ht="15.75" customHeight="1">
      <c r="A98" s="372" t="s">
        <v>252</v>
      </c>
      <c r="B98" s="232"/>
      <c r="C98" s="372" t="s">
        <v>2369</v>
      </c>
      <c r="D98" s="232"/>
      <c r="E98" s="372" t="s">
        <v>2445</v>
      </c>
      <c r="F98" s="372" t="s">
        <v>2353</v>
      </c>
      <c r="G98" s="232"/>
      <c r="H98" s="232"/>
      <c r="I98" s="372" t="s">
        <v>2446</v>
      </c>
      <c r="J98" s="372" t="s">
        <v>260</v>
      </c>
      <c r="K98" s="372" t="s">
        <v>2447</v>
      </c>
      <c r="L98" s="372" t="s">
        <v>2448</v>
      </c>
      <c r="M98" s="232"/>
      <c r="N98" s="372" t="s">
        <v>1993</v>
      </c>
    </row>
    <row r="99" ht="15.75" customHeight="1">
      <c r="A99" s="372" t="s">
        <v>2449</v>
      </c>
      <c r="B99" s="232"/>
      <c r="C99" s="372" t="s">
        <v>1975</v>
      </c>
      <c r="D99" s="232"/>
      <c r="E99" s="372" t="s">
        <v>2450</v>
      </c>
      <c r="F99" s="372" t="s">
        <v>2451</v>
      </c>
      <c r="G99" s="232"/>
      <c r="H99" s="232"/>
      <c r="I99" s="372" t="s">
        <v>2452</v>
      </c>
      <c r="J99" s="372" t="s">
        <v>265</v>
      </c>
      <c r="K99" s="372" t="s">
        <v>2453</v>
      </c>
      <c r="L99" s="372" t="s">
        <v>2067</v>
      </c>
      <c r="M99" s="232"/>
      <c r="N99" s="372" t="s">
        <v>2454</v>
      </c>
    </row>
    <row r="100" ht="15.75" customHeight="1">
      <c r="A100" s="372" t="s">
        <v>2455</v>
      </c>
      <c r="B100" s="232"/>
      <c r="C100" s="372" t="s">
        <v>1983</v>
      </c>
      <c r="D100" s="232"/>
      <c r="E100" s="372" t="s">
        <v>2456</v>
      </c>
      <c r="F100" s="372" t="s">
        <v>2457</v>
      </c>
      <c r="G100" s="232"/>
      <c r="H100" s="232"/>
      <c r="I100" s="372" t="s">
        <v>2211</v>
      </c>
      <c r="J100" s="372" t="s">
        <v>2458</v>
      </c>
      <c r="K100" s="372" t="s">
        <v>2459</v>
      </c>
      <c r="L100" s="372" t="s">
        <v>2460</v>
      </c>
      <c r="M100" s="232"/>
      <c r="N100" s="372" t="s">
        <v>2461</v>
      </c>
    </row>
    <row r="101" ht="15.75" customHeight="1">
      <c r="A101" s="372" t="s">
        <v>2462</v>
      </c>
      <c r="B101" s="232"/>
      <c r="C101" s="372" t="s">
        <v>1993</v>
      </c>
      <c r="D101" s="232"/>
      <c r="E101" s="372" t="s">
        <v>2463</v>
      </c>
      <c r="F101" s="372" t="s">
        <v>2464</v>
      </c>
      <c r="G101" s="232"/>
      <c r="H101" s="232"/>
      <c r="I101" s="372" t="s">
        <v>2215</v>
      </c>
      <c r="J101" s="372" t="s">
        <v>2259</v>
      </c>
      <c r="K101" s="372" t="s">
        <v>2465</v>
      </c>
      <c r="L101" s="372" t="s">
        <v>2427</v>
      </c>
      <c r="M101" s="232"/>
      <c r="N101" s="372" t="s">
        <v>2466</v>
      </c>
    </row>
    <row r="102" ht="15.75" customHeight="1">
      <c r="A102" s="372" t="s">
        <v>2467</v>
      </c>
      <c r="B102" s="232"/>
      <c r="C102" s="372" t="s">
        <v>2468</v>
      </c>
      <c r="D102" s="232"/>
      <c r="E102" s="372" t="s">
        <v>2469</v>
      </c>
      <c r="F102" s="372" t="s">
        <v>2470</v>
      </c>
      <c r="G102" s="232"/>
      <c r="H102" s="232"/>
      <c r="I102" s="372" t="s">
        <v>2471</v>
      </c>
      <c r="J102" s="372" t="s">
        <v>1912</v>
      </c>
      <c r="K102" s="372" t="s">
        <v>2472</v>
      </c>
      <c r="L102" s="372" t="s">
        <v>2473</v>
      </c>
      <c r="M102" s="232"/>
      <c r="N102" s="372" t="s">
        <v>2474</v>
      </c>
    </row>
    <row r="103" ht="15.75" customHeight="1">
      <c r="A103" s="372" t="s">
        <v>2228</v>
      </c>
      <c r="B103" s="232"/>
      <c r="C103" s="372" t="s">
        <v>2000</v>
      </c>
      <c r="D103" s="232"/>
      <c r="E103" s="372" t="s">
        <v>2045</v>
      </c>
      <c r="F103" s="372" t="s">
        <v>2180</v>
      </c>
      <c r="G103" s="232"/>
      <c r="H103" s="232"/>
      <c r="I103" s="372" t="s">
        <v>2475</v>
      </c>
      <c r="J103" s="372" t="s">
        <v>1918</v>
      </c>
      <c r="K103" s="372" t="s">
        <v>2476</v>
      </c>
      <c r="L103" s="372" t="s">
        <v>2477</v>
      </c>
      <c r="M103" s="232"/>
      <c r="N103" s="372" t="s">
        <v>2478</v>
      </c>
    </row>
    <row r="104" ht="15.75" customHeight="1">
      <c r="A104" s="372" t="s">
        <v>2479</v>
      </c>
      <c r="B104" s="232"/>
      <c r="C104" s="372" t="s">
        <v>2480</v>
      </c>
      <c r="D104" s="232"/>
      <c r="E104" s="372" t="s">
        <v>375</v>
      </c>
      <c r="F104" s="372" t="s">
        <v>2362</v>
      </c>
      <c r="G104" s="232"/>
      <c r="H104" s="232"/>
      <c r="I104" s="372" t="s">
        <v>2481</v>
      </c>
      <c r="J104" s="372" t="s">
        <v>2482</v>
      </c>
      <c r="K104" s="372" t="s">
        <v>2483</v>
      </c>
      <c r="L104" s="372" t="s">
        <v>2484</v>
      </c>
      <c r="M104" s="232"/>
      <c r="N104" s="372" t="s">
        <v>2485</v>
      </c>
    </row>
    <row r="105" ht="15.75" customHeight="1">
      <c r="A105" s="372" t="s">
        <v>2486</v>
      </c>
      <c r="B105" s="232"/>
      <c r="C105" s="372" t="s">
        <v>2487</v>
      </c>
      <c r="D105" s="232"/>
      <c r="E105" s="372" t="s">
        <v>2488</v>
      </c>
      <c r="F105" s="372" t="s">
        <v>2489</v>
      </c>
      <c r="G105" s="232"/>
      <c r="H105" s="232"/>
      <c r="I105" s="372" t="s">
        <v>2379</v>
      </c>
      <c r="J105" s="372" t="s">
        <v>2490</v>
      </c>
      <c r="K105" s="372" t="s">
        <v>2491</v>
      </c>
      <c r="L105" s="372" t="s">
        <v>2492</v>
      </c>
      <c r="M105" s="232"/>
      <c r="N105" s="372" t="s">
        <v>2425</v>
      </c>
    </row>
    <row r="106" ht="15.75" customHeight="1">
      <c r="A106" s="372" t="s">
        <v>2276</v>
      </c>
      <c r="B106" s="232"/>
      <c r="C106" s="372" t="s">
        <v>2493</v>
      </c>
      <c r="D106" s="232"/>
      <c r="E106" s="372" t="s">
        <v>378</v>
      </c>
      <c r="F106" s="372" t="s">
        <v>2494</v>
      </c>
      <c r="G106" s="232"/>
      <c r="H106" s="232"/>
      <c r="I106" s="372" t="s">
        <v>2250</v>
      </c>
      <c r="J106" s="372" t="s">
        <v>2348</v>
      </c>
      <c r="K106" s="372" t="s">
        <v>1882</v>
      </c>
      <c r="L106" s="372" t="s">
        <v>2495</v>
      </c>
      <c r="M106" s="232"/>
      <c r="N106" s="372" t="s">
        <v>2496</v>
      </c>
    </row>
    <row r="107" ht="15.75" customHeight="1">
      <c r="A107" s="372" t="s">
        <v>2497</v>
      </c>
      <c r="B107" s="232"/>
      <c r="C107" s="372" t="s">
        <v>2054</v>
      </c>
      <c r="D107" s="232"/>
      <c r="E107" s="372" t="s">
        <v>2498</v>
      </c>
      <c r="F107" s="372" t="s">
        <v>2499</v>
      </c>
      <c r="G107" s="232"/>
      <c r="H107" s="232"/>
      <c r="I107" s="372" t="s">
        <v>2414</v>
      </c>
      <c r="J107" s="372" t="s">
        <v>2500</v>
      </c>
      <c r="K107" s="372" t="s">
        <v>2501</v>
      </c>
      <c r="L107" s="372" t="s">
        <v>2045</v>
      </c>
      <c r="M107" s="232"/>
      <c r="N107" s="372" t="s">
        <v>2502</v>
      </c>
    </row>
    <row r="108" ht="15.75" customHeight="1">
      <c r="A108" s="372" t="s">
        <v>2503</v>
      </c>
      <c r="B108" s="232"/>
      <c r="C108" s="372" t="s">
        <v>2340</v>
      </c>
      <c r="D108" s="232"/>
      <c r="E108" s="372" t="s">
        <v>2504</v>
      </c>
      <c r="F108" s="372" t="s">
        <v>2505</v>
      </c>
      <c r="G108" s="232"/>
      <c r="H108" s="232"/>
      <c r="I108" s="372" t="s">
        <v>2293</v>
      </c>
      <c r="J108" s="372" t="s">
        <v>2506</v>
      </c>
      <c r="K108" s="372" t="s">
        <v>2383</v>
      </c>
      <c r="L108" s="372" t="s">
        <v>2507</v>
      </c>
      <c r="M108" s="232"/>
      <c r="N108" s="372" t="s">
        <v>2508</v>
      </c>
    </row>
    <row r="109" ht="15.75" customHeight="1">
      <c r="A109" s="372" t="s">
        <v>2509</v>
      </c>
      <c r="B109" s="232"/>
      <c r="C109" s="372" t="s">
        <v>2510</v>
      </c>
      <c r="D109" s="232"/>
      <c r="E109" s="372" t="s">
        <v>2511</v>
      </c>
      <c r="F109" s="372" t="s">
        <v>2093</v>
      </c>
      <c r="G109" s="232"/>
      <c r="H109" s="232"/>
      <c r="I109" s="372" t="s">
        <v>2512</v>
      </c>
      <c r="J109" s="372" t="s">
        <v>321</v>
      </c>
      <c r="K109" s="372" t="s">
        <v>2513</v>
      </c>
      <c r="L109" s="372" t="s">
        <v>2051</v>
      </c>
      <c r="M109" s="232"/>
      <c r="N109" s="372" t="s">
        <v>2514</v>
      </c>
    </row>
    <row r="110" ht="15.75" customHeight="1">
      <c r="A110" s="372" t="s">
        <v>2003</v>
      </c>
      <c r="B110" s="232"/>
      <c r="C110" s="372" t="s">
        <v>2515</v>
      </c>
      <c r="D110" s="232"/>
      <c r="E110" s="232"/>
      <c r="F110" s="372" t="s">
        <v>2516</v>
      </c>
      <c r="G110" s="232"/>
      <c r="H110" s="232"/>
      <c r="I110" s="372" t="s">
        <v>2517</v>
      </c>
      <c r="J110" s="372" t="s">
        <v>327</v>
      </c>
      <c r="K110" s="372" t="s">
        <v>2006</v>
      </c>
      <c r="L110" s="232"/>
      <c r="M110" s="232"/>
      <c r="N110" s="372" t="s">
        <v>2054</v>
      </c>
    </row>
    <row r="111" ht="15.75" customHeight="1">
      <c r="A111" s="372" t="s">
        <v>2518</v>
      </c>
      <c r="B111" s="232"/>
      <c r="C111" s="372" t="s">
        <v>372</v>
      </c>
      <c r="D111" s="232"/>
      <c r="E111" s="232"/>
      <c r="F111" s="372" t="s">
        <v>2519</v>
      </c>
      <c r="G111" s="232"/>
      <c r="H111" s="232"/>
      <c r="I111" s="372" t="s">
        <v>1962</v>
      </c>
      <c r="J111" s="372" t="s">
        <v>2520</v>
      </c>
      <c r="K111" s="372" t="s">
        <v>2521</v>
      </c>
      <c r="L111" s="232"/>
      <c r="M111" s="232"/>
      <c r="N111" s="372" t="s">
        <v>2340</v>
      </c>
    </row>
    <row r="112" ht="15.75" customHeight="1">
      <c r="A112" s="372" t="s">
        <v>2522</v>
      </c>
      <c r="B112" s="232"/>
      <c r="C112" s="372" t="s">
        <v>2523</v>
      </c>
      <c r="D112" s="232"/>
      <c r="E112" s="232"/>
      <c r="F112" s="372" t="s">
        <v>2374</v>
      </c>
      <c r="G112" s="232"/>
      <c r="H112" s="232"/>
      <c r="I112" s="372" t="s">
        <v>1970</v>
      </c>
      <c r="J112" s="372" t="s">
        <v>1933</v>
      </c>
      <c r="K112" s="372" t="s">
        <v>2199</v>
      </c>
      <c r="L112" s="232"/>
      <c r="M112" s="232"/>
      <c r="N112" s="372" t="s">
        <v>2524</v>
      </c>
    </row>
    <row r="113" ht="15.75" customHeight="1">
      <c r="A113" s="372" t="s">
        <v>2525</v>
      </c>
      <c r="B113" s="232"/>
      <c r="C113" s="372" t="s">
        <v>2526</v>
      </c>
      <c r="D113" s="232"/>
      <c r="E113" s="232"/>
      <c r="F113" s="372" t="s">
        <v>2527</v>
      </c>
      <c r="G113" s="232"/>
      <c r="H113" s="232"/>
      <c r="I113" s="372" t="s">
        <v>1978</v>
      </c>
      <c r="J113" s="372" t="s">
        <v>2528</v>
      </c>
      <c r="K113" s="372" t="s">
        <v>2475</v>
      </c>
      <c r="L113" s="232"/>
      <c r="M113" s="232"/>
      <c r="N113" s="372" t="s">
        <v>2529</v>
      </c>
    </row>
    <row r="114" ht="15.75" customHeight="1">
      <c r="A114" s="372" t="s">
        <v>2530</v>
      </c>
      <c r="B114" s="232"/>
      <c r="C114" s="372" t="s">
        <v>2531</v>
      </c>
      <c r="D114" s="232"/>
      <c r="E114" s="232"/>
      <c r="F114" s="372" t="s">
        <v>2532</v>
      </c>
      <c r="G114" s="232"/>
      <c r="H114" s="232"/>
      <c r="I114" s="372" t="s">
        <v>2533</v>
      </c>
      <c r="J114" s="372" t="s">
        <v>2380</v>
      </c>
      <c r="K114" s="372" t="s">
        <v>2534</v>
      </c>
      <c r="L114" s="232"/>
      <c r="M114" s="232"/>
      <c r="N114" s="372" t="s">
        <v>2061</v>
      </c>
    </row>
    <row r="115" ht="15.75" customHeight="1">
      <c r="A115" s="372" t="s">
        <v>1926</v>
      </c>
      <c r="B115" s="232"/>
      <c r="C115" s="372" t="s">
        <v>2535</v>
      </c>
      <c r="D115" s="232"/>
      <c r="E115" s="232"/>
      <c r="F115" s="372" t="s">
        <v>2536</v>
      </c>
      <c r="G115" s="232"/>
      <c r="H115" s="232"/>
      <c r="I115" s="372" t="s">
        <v>1986</v>
      </c>
      <c r="J115" s="372" t="s">
        <v>2537</v>
      </c>
      <c r="K115" s="372" t="s">
        <v>2538</v>
      </c>
      <c r="L115" s="232"/>
      <c r="M115" s="232"/>
      <c r="N115" s="372" t="s">
        <v>2067</v>
      </c>
    </row>
    <row r="116" ht="15.75" customHeight="1">
      <c r="A116" s="372" t="s">
        <v>2539</v>
      </c>
      <c r="B116" s="232"/>
      <c r="C116" s="372" t="s">
        <v>2540</v>
      </c>
      <c r="D116" s="232"/>
      <c r="E116" s="232"/>
      <c r="F116" s="372" t="s">
        <v>2541</v>
      </c>
      <c r="G116" s="232"/>
      <c r="H116" s="232"/>
      <c r="I116" s="372" t="s">
        <v>252</v>
      </c>
      <c r="J116" s="372" t="s">
        <v>2542</v>
      </c>
      <c r="K116" s="372" t="s">
        <v>2379</v>
      </c>
      <c r="L116" s="232"/>
      <c r="M116" s="232"/>
      <c r="N116" s="372" t="s">
        <v>1905</v>
      </c>
    </row>
    <row r="117" ht="15.75" customHeight="1">
      <c r="A117" s="372" t="s">
        <v>2271</v>
      </c>
      <c r="B117" s="232"/>
      <c r="C117" s="372" t="s">
        <v>2543</v>
      </c>
      <c r="D117" s="232"/>
      <c r="E117" s="232"/>
      <c r="F117" s="372" t="s">
        <v>2391</v>
      </c>
      <c r="G117" s="232"/>
      <c r="H117" s="232"/>
      <c r="I117" s="372" t="s">
        <v>2544</v>
      </c>
      <c r="J117" s="372" t="s">
        <v>2335</v>
      </c>
      <c r="K117" s="372" t="s">
        <v>2386</v>
      </c>
      <c r="L117" s="232"/>
      <c r="M117" s="232"/>
      <c r="N117" s="372" t="s">
        <v>1910</v>
      </c>
    </row>
    <row r="118" ht="15.75" customHeight="1">
      <c r="A118" s="372" t="s">
        <v>2545</v>
      </c>
      <c r="B118" s="232"/>
      <c r="C118" s="372" t="s">
        <v>2546</v>
      </c>
      <c r="D118" s="232"/>
      <c r="E118" s="232"/>
      <c r="F118" s="372" t="s">
        <v>2325</v>
      </c>
      <c r="G118" s="232"/>
      <c r="H118" s="232"/>
      <c r="I118" s="372" t="s">
        <v>260</v>
      </c>
      <c r="J118" s="372" t="s">
        <v>1951</v>
      </c>
      <c r="K118" s="372" t="s">
        <v>2547</v>
      </c>
      <c r="L118" s="232"/>
      <c r="M118" s="232"/>
      <c r="N118" s="372" t="s">
        <v>2526</v>
      </c>
    </row>
    <row r="119" ht="15.75" customHeight="1">
      <c r="A119" s="372" t="s">
        <v>2490</v>
      </c>
      <c r="B119" s="232"/>
      <c r="C119" s="372" t="s">
        <v>2045</v>
      </c>
      <c r="D119" s="232"/>
      <c r="E119" s="232"/>
      <c r="F119" s="372" t="s">
        <v>2548</v>
      </c>
      <c r="G119" s="232"/>
      <c r="H119" s="232"/>
      <c r="I119" s="372" t="s">
        <v>2549</v>
      </c>
      <c r="J119" s="372" t="s">
        <v>2296</v>
      </c>
      <c r="K119" s="372" t="s">
        <v>2407</v>
      </c>
      <c r="L119" s="232"/>
      <c r="M119" s="232"/>
      <c r="N119" s="372" t="s">
        <v>2550</v>
      </c>
    </row>
    <row r="120" ht="15.75" customHeight="1">
      <c r="A120" s="372" t="s">
        <v>321</v>
      </c>
      <c r="B120" s="232"/>
      <c r="C120" s="372" t="s">
        <v>384</v>
      </c>
      <c r="D120" s="232"/>
      <c r="E120" s="232"/>
      <c r="F120" s="372" t="s">
        <v>2551</v>
      </c>
      <c r="G120" s="232"/>
      <c r="H120" s="232"/>
      <c r="I120" s="372" t="s">
        <v>265</v>
      </c>
      <c r="J120" s="372" t="s">
        <v>2406</v>
      </c>
      <c r="K120" s="372" t="s">
        <v>2552</v>
      </c>
      <c r="L120" s="232"/>
      <c r="M120" s="232"/>
      <c r="N120" s="372" t="s">
        <v>2045</v>
      </c>
    </row>
    <row r="121" ht="15.75" customHeight="1">
      <c r="A121" s="372" t="s">
        <v>1933</v>
      </c>
      <c r="B121" s="232"/>
      <c r="C121" s="372" t="s">
        <v>2511</v>
      </c>
      <c r="D121" s="232"/>
      <c r="E121" s="232"/>
      <c r="F121" s="372" t="s">
        <v>2553</v>
      </c>
      <c r="G121" s="232"/>
      <c r="H121" s="232"/>
      <c r="I121" s="372" t="s">
        <v>2554</v>
      </c>
      <c r="J121" s="372" t="s">
        <v>2413</v>
      </c>
      <c r="K121" s="372" t="s">
        <v>2555</v>
      </c>
      <c r="L121" s="232"/>
      <c r="M121" s="232"/>
      <c r="N121" s="372" t="s">
        <v>2556</v>
      </c>
    </row>
    <row r="122" ht="15.75" customHeight="1">
      <c r="A122" s="372" t="s">
        <v>336</v>
      </c>
      <c r="B122" s="232"/>
      <c r="C122" s="372" t="s">
        <v>2051</v>
      </c>
      <c r="D122" s="232"/>
      <c r="E122" s="232"/>
      <c r="F122" s="372" t="s">
        <v>2557</v>
      </c>
      <c r="G122" s="232"/>
      <c r="H122" s="232"/>
      <c r="I122" s="372" t="s">
        <v>2558</v>
      </c>
      <c r="J122" s="372" t="s">
        <v>2300</v>
      </c>
      <c r="K122" s="372" t="s">
        <v>2559</v>
      </c>
      <c r="L122" s="232"/>
      <c r="M122" s="232"/>
      <c r="N122" s="372" t="s">
        <v>2560</v>
      </c>
    </row>
    <row r="123" ht="15.75" customHeight="1">
      <c r="A123" s="372" t="s">
        <v>2561</v>
      </c>
      <c r="B123" s="232"/>
      <c r="C123" s="372" t="s">
        <v>2562</v>
      </c>
      <c r="D123" s="232"/>
      <c r="E123" s="232"/>
      <c r="F123" s="372" t="s">
        <v>2563</v>
      </c>
      <c r="G123" s="232"/>
      <c r="H123" s="232"/>
      <c r="I123" s="372" t="s">
        <v>2238</v>
      </c>
      <c r="J123" s="372" t="s">
        <v>1959</v>
      </c>
      <c r="K123" s="372" t="s">
        <v>2564</v>
      </c>
      <c r="L123" s="232"/>
      <c r="M123" s="232"/>
      <c r="N123" s="372" t="s">
        <v>2565</v>
      </c>
    </row>
    <row r="124" ht="15.75" customHeight="1">
      <c r="A124" s="372" t="s">
        <v>2566</v>
      </c>
      <c r="B124" s="232"/>
      <c r="C124" s="232"/>
      <c r="D124" s="232"/>
      <c r="E124" s="232"/>
      <c r="F124" s="372" t="s">
        <v>2567</v>
      </c>
      <c r="G124" s="232"/>
      <c r="H124" s="232"/>
      <c r="I124" s="372" t="s">
        <v>2289</v>
      </c>
      <c r="J124" s="372" t="s">
        <v>2363</v>
      </c>
      <c r="K124" s="372" t="s">
        <v>2568</v>
      </c>
      <c r="L124" s="232"/>
      <c r="M124" s="232"/>
      <c r="N124" s="372" t="s">
        <v>2399</v>
      </c>
    </row>
    <row r="125" ht="15.75" customHeight="1">
      <c r="A125" s="372" t="s">
        <v>2569</v>
      </c>
      <c r="B125" s="232"/>
      <c r="C125" s="232"/>
      <c r="D125" s="232"/>
      <c r="E125" s="232"/>
      <c r="F125" s="372" t="s">
        <v>2418</v>
      </c>
      <c r="G125" s="232"/>
      <c r="H125" s="232"/>
      <c r="I125" s="372" t="s">
        <v>2326</v>
      </c>
      <c r="J125" s="372" t="s">
        <v>1967</v>
      </c>
      <c r="K125" s="372" t="s">
        <v>2570</v>
      </c>
      <c r="L125" s="232"/>
      <c r="M125" s="232"/>
      <c r="N125" s="372" t="s">
        <v>2571</v>
      </c>
    </row>
    <row r="126" ht="15.75" customHeight="1">
      <c r="A126" s="372" t="s">
        <v>2572</v>
      </c>
      <c r="B126" s="232"/>
      <c r="C126" s="232"/>
      <c r="D126" s="232"/>
      <c r="E126" s="232"/>
      <c r="F126" s="372" t="s">
        <v>2430</v>
      </c>
      <c r="G126" s="232"/>
      <c r="H126" s="232"/>
      <c r="I126" s="372" t="s">
        <v>2573</v>
      </c>
      <c r="J126" s="372" t="s">
        <v>2369</v>
      </c>
      <c r="K126" s="372" t="s">
        <v>2574</v>
      </c>
      <c r="L126" s="232"/>
      <c r="M126" s="232"/>
      <c r="N126" s="372" t="s">
        <v>390</v>
      </c>
    </row>
    <row r="127" ht="15.75" customHeight="1">
      <c r="A127" s="372" t="s">
        <v>2575</v>
      </c>
      <c r="B127" s="232"/>
      <c r="C127" s="232"/>
      <c r="D127" s="232"/>
      <c r="E127" s="232"/>
      <c r="F127" s="372" t="s">
        <v>2576</v>
      </c>
      <c r="G127" s="232"/>
      <c r="H127" s="232"/>
      <c r="I127" s="372" t="s">
        <v>2577</v>
      </c>
      <c r="J127" s="372" t="s">
        <v>1975</v>
      </c>
      <c r="K127" s="372" t="s">
        <v>2578</v>
      </c>
      <c r="L127" s="232"/>
      <c r="M127" s="232"/>
      <c r="N127" s="372" t="s">
        <v>2579</v>
      </c>
    </row>
    <row r="128" ht="15.75" customHeight="1">
      <c r="A128" s="372" t="s">
        <v>2580</v>
      </c>
      <c r="B128" s="232"/>
      <c r="C128" s="232"/>
      <c r="D128" s="232"/>
      <c r="E128" s="232"/>
      <c r="F128" s="372" t="s">
        <v>2581</v>
      </c>
      <c r="G128" s="232"/>
      <c r="H128" s="232"/>
      <c r="I128" s="372" t="s">
        <v>2582</v>
      </c>
      <c r="J128" s="372" t="s">
        <v>1983</v>
      </c>
      <c r="K128" s="372" t="s">
        <v>1978</v>
      </c>
      <c r="L128" s="232"/>
      <c r="M128" s="232"/>
      <c r="N128" s="372" t="s">
        <v>2583</v>
      </c>
    </row>
    <row r="129" ht="15.75" customHeight="1">
      <c r="A129" s="372" t="s">
        <v>2584</v>
      </c>
      <c r="B129" s="232"/>
      <c r="C129" s="232"/>
      <c r="D129" s="232"/>
      <c r="E129" s="232"/>
      <c r="F129" s="372" t="s">
        <v>2439</v>
      </c>
      <c r="G129" s="232"/>
      <c r="H129" s="232"/>
      <c r="I129" s="372" t="s">
        <v>2585</v>
      </c>
      <c r="J129" s="372" t="s">
        <v>1993</v>
      </c>
      <c r="K129" s="372" t="s">
        <v>2586</v>
      </c>
      <c r="L129" s="232"/>
      <c r="M129" s="232"/>
      <c r="N129" s="232"/>
    </row>
    <row r="130" ht="15.75" customHeight="1">
      <c r="A130" s="372" t="s">
        <v>2587</v>
      </c>
      <c r="B130" s="232"/>
      <c r="C130" s="232"/>
      <c r="D130" s="232"/>
      <c r="E130" s="232"/>
      <c r="F130" s="372" t="s">
        <v>2588</v>
      </c>
      <c r="G130" s="232"/>
      <c r="H130" s="232"/>
      <c r="I130" s="372" t="s">
        <v>2259</v>
      </c>
      <c r="J130" s="372" t="s">
        <v>2589</v>
      </c>
      <c r="K130" s="372" t="s">
        <v>1986</v>
      </c>
      <c r="L130" s="232"/>
      <c r="M130" s="232"/>
      <c r="N130" s="232"/>
    </row>
    <row r="131" ht="15.75" customHeight="1">
      <c r="A131" s="372" t="s">
        <v>2590</v>
      </c>
      <c r="B131" s="232"/>
      <c r="C131" s="232"/>
      <c r="D131" s="232"/>
      <c r="E131" s="232"/>
      <c r="F131" s="372" t="s">
        <v>2444</v>
      </c>
      <c r="G131" s="232"/>
      <c r="H131" s="232"/>
      <c r="I131" s="372" t="s">
        <v>2299</v>
      </c>
      <c r="J131" s="372" t="s">
        <v>2591</v>
      </c>
      <c r="K131" s="372" t="s">
        <v>2592</v>
      </c>
      <c r="L131" s="232"/>
      <c r="M131" s="232"/>
      <c r="N131" s="232"/>
    </row>
    <row r="132" ht="15.75" customHeight="1">
      <c r="A132" s="372" t="s">
        <v>2593</v>
      </c>
      <c r="B132" s="232"/>
      <c r="C132" s="232"/>
      <c r="D132" s="232"/>
      <c r="E132" s="232"/>
      <c r="F132" s="372" t="s">
        <v>2594</v>
      </c>
      <c r="G132" s="232"/>
      <c r="H132" s="232"/>
      <c r="I132" s="372" t="s">
        <v>2003</v>
      </c>
      <c r="J132" s="372" t="s">
        <v>2595</v>
      </c>
      <c r="K132" s="372" t="s">
        <v>2171</v>
      </c>
      <c r="L132" s="232"/>
      <c r="M132" s="232"/>
      <c r="N132" s="232"/>
    </row>
    <row r="133" ht="15.75" customHeight="1">
      <c r="A133" s="372" t="s">
        <v>2596</v>
      </c>
      <c r="B133" s="232"/>
      <c r="C133" s="232"/>
      <c r="D133" s="232"/>
      <c r="E133" s="232"/>
      <c r="F133" s="372" t="s">
        <v>2597</v>
      </c>
      <c r="G133" s="232"/>
      <c r="H133" s="232"/>
      <c r="I133" s="372" t="s">
        <v>2598</v>
      </c>
      <c r="J133" s="372" t="s">
        <v>2599</v>
      </c>
      <c r="K133" s="372" t="s">
        <v>2600</v>
      </c>
      <c r="L133" s="232"/>
      <c r="M133" s="232"/>
      <c r="N133" s="232"/>
    </row>
    <row r="134" ht="15.75" customHeight="1">
      <c r="A134" s="372" t="s">
        <v>2601</v>
      </c>
      <c r="B134" s="232"/>
      <c r="C134" s="232"/>
      <c r="D134" s="232"/>
      <c r="E134" s="232"/>
      <c r="F134" s="372" t="s">
        <v>2447</v>
      </c>
      <c r="G134" s="232"/>
      <c r="H134" s="232"/>
      <c r="I134" s="372" t="s">
        <v>1918</v>
      </c>
      <c r="J134" s="372" t="s">
        <v>2000</v>
      </c>
      <c r="K134" s="372" t="s">
        <v>2602</v>
      </c>
      <c r="L134" s="232"/>
      <c r="M134" s="232"/>
      <c r="N134" s="232"/>
    </row>
    <row r="135" ht="15.75" customHeight="1">
      <c r="A135" s="372" t="s">
        <v>2603</v>
      </c>
      <c r="B135" s="232"/>
      <c r="C135" s="232"/>
      <c r="D135" s="232"/>
      <c r="E135" s="232"/>
      <c r="F135" s="372" t="s">
        <v>2453</v>
      </c>
      <c r="G135" s="232"/>
      <c r="H135" s="232"/>
      <c r="I135" s="372" t="s">
        <v>2324</v>
      </c>
      <c r="J135" s="372" t="s">
        <v>2604</v>
      </c>
      <c r="K135" s="372" t="s">
        <v>2605</v>
      </c>
      <c r="L135" s="232"/>
      <c r="M135" s="232"/>
      <c r="N135" s="232"/>
    </row>
    <row r="136" ht="15.75" customHeight="1">
      <c r="A136" s="372" t="s">
        <v>2606</v>
      </c>
      <c r="B136" s="232"/>
      <c r="C136" s="232"/>
      <c r="D136" s="232"/>
      <c r="E136" s="232"/>
      <c r="F136" s="372" t="s">
        <v>2607</v>
      </c>
      <c r="G136" s="232"/>
      <c r="H136" s="232"/>
      <c r="I136" s="372" t="s">
        <v>2608</v>
      </c>
      <c r="J136" s="372" t="s">
        <v>2487</v>
      </c>
      <c r="K136" s="372" t="s">
        <v>2204</v>
      </c>
      <c r="L136" s="232"/>
      <c r="M136" s="232"/>
      <c r="N136" s="232"/>
    </row>
    <row r="137" ht="15.75" customHeight="1">
      <c r="A137" s="372" t="s">
        <v>2609</v>
      </c>
      <c r="B137" s="232"/>
      <c r="C137" s="232"/>
      <c r="D137" s="232"/>
      <c r="E137" s="232"/>
      <c r="F137" s="372" t="s">
        <v>2465</v>
      </c>
      <c r="G137" s="232"/>
      <c r="H137" s="232"/>
      <c r="I137" s="372" t="s">
        <v>1926</v>
      </c>
      <c r="J137" s="372" t="s">
        <v>2493</v>
      </c>
      <c r="K137" s="372" t="s">
        <v>2060</v>
      </c>
      <c r="L137" s="232"/>
      <c r="M137" s="232"/>
      <c r="N137" s="232"/>
    </row>
    <row r="138" ht="15.75" customHeight="1">
      <c r="A138" s="372" t="s">
        <v>2610</v>
      </c>
      <c r="B138" s="232"/>
      <c r="C138" s="232"/>
      <c r="D138" s="232"/>
      <c r="E138" s="232"/>
      <c r="F138" s="372" t="s">
        <v>2472</v>
      </c>
      <c r="G138" s="232"/>
      <c r="H138" s="232"/>
      <c r="I138" s="372" t="s">
        <v>2341</v>
      </c>
      <c r="J138" s="372" t="s">
        <v>2054</v>
      </c>
      <c r="K138" s="372" t="s">
        <v>252</v>
      </c>
      <c r="L138" s="232"/>
      <c r="M138" s="232"/>
      <c r="N138" s="232"/>
    </row>
    <row r="139" ht="15.75" customHeight="1">
      <c r="A139" s="372" t="s">
        <v>2611</v>
      </c>
      <c r="B139" s="232"/>
      <c r="C139" s="232"/>
      <c r="D139" s="232"/>
      <c r="E139" s="232"/>
      <c r="F139" s="372" t="s">
        <v>2612</v>
      </c>
      <c r="G139" s="232"/>
      <c r="H139" s="232"/>
      <c r="I139" s="372" t="s">
        <v>2271</v>
      </c>
      <c r="J139" s="372" t="s">
        <v>2340</v>
      </c>
      <c r="K139" s="372" t="s">
        <v>2613</v>
      </c>
      <c r="L139" s="232"/>
      <c r="M139" s="232"/>
      <c r="N139" s="232"/>
    </row>
    <row r="140" ht="15.75" customHeight="1">
      <c r="A140" s="372" t="s">
        <v>2614</v>
      </c>
      <c r="B140" s="232"/>
      <c r="C140" s="232"/>
      <c r="D140" s="232"/>
      <c r="E140" s="232"/>
      <c r="F140" s="372" t="s">
        <v>2615</v>
      </c>
      <c r="G140" s="232"/>
      <c r="H140" s="232"/>
      <c r="I140" s="372" t="s">
        <v>2311</v>
      </c>
      <c r="J140" s="372" t="s">
        <v>1905</v>
      </c>
      <c r="K140" s="372" t="s">
        <v>2467</v>
      </c>
      <c r="L140" s="232"/>
      <c r="M140" s="232"/>
      <c r="N140" s="232"/>
    </row>
    <row r="141" ht="15.75" customHeight="1">
      <c r="A141" s="372" t="s">
        <v>2616</v>
      </c>
      <c r="B141" s="232"/>
      <c r="C141" s="232"/>
      <c r="D141" s="232"/>
      <c r="E141" s="232"/>
      <c r="F141" s="372" t="s">
        <v>2617</v>
      </c>
      <c r="G141" s="232"/>
      <c r="H141" s="232"/>
      <c r="I141" s="372" t="s">
        <v>2618</v>
      </c>
      <c r="J141" s="372" t="s">
        <v>1910</v>
      </c>
      <c r="K141" s="372" t="s">
        <v>2619</v>
      </c>
      <c r="L141" s="232"/>
      <c r="M141" s="232"/>
      <c r="N141" s="232"/>
    </row>
    <row r="142" ht="15.75" customHeight="1">
      <c r="A142" s="372" t="s">
        <v>2620</v>
      </c>
      <c r="B142" s="232"/>
      <c r="C142" s="232"/>
      <c r="D142" s="232"/>
      <c r="E142" s="232"/>
      <c r="F142" s="372" t="s">
        <v>2621</v>
      </c>
      <c r="G142" s="232"/>
      <c r="H142" s="232"/>
      <c r="I142" s="372" t="s">
        <v>2622</v>
      </c>
      <c r="J142" s="372" t="s">
        <v>2623</v>
      </c>
      <c r="K142" s="372" t="s">
        <v>2624</v>
      </c>
      <c r="L142" s="232"/>
      <c r="M142" s="232"/>
      <c r="N142" s="232"/>
    </row>
    <row r="143" ht="15.75" customHeight="1">
      <c r="A143" s="372" t="s">
        <v>2625</v>
      </c>
      <c r="B143" s="232"/>
      <c r="C143" s="232"/>
      <c r="D143" s="232"/>
      <c r="E143" s="232"/>
      <c r="F143" s="372" t="s">
        <v>2626</v>
      </c>
      <c r="G143" s="232"/>
      <c r="H143" s="232"/>
      <c r="I143" s="372" t="s">
        <v>327</v>
      </c>
      <c r="J143" s="372" t="s">
        <v>2523</v>
      </c>
      <c r="K143" s="372" t="s">
        <v>2276</v>
      </c>
      <c r="L143" s="232"/>
      <c r="M143" s="232"/>
      <c r="N143" s="232"/>
    </row>
    <row r="144" ht="15.75" customHeight="1">
      <c r="A144" s="372" t="s">
        <v>2627</v>
      </c>
      <c r="B144" s="232"/>
      <c r="C144" s="232"/>
      <c r="D144" s="232"/>
      <c r="E144" s="232"/>
      <c r="F144" s="372" t="s">
        <v>2628</v>
      </c>
      <c r="G144" s="232"/>
      <c r="H144" s="232"/>
      <c r="I144" s="372" t="s">
        <v>2629</v>
      </c>
      <c r="J144" s="372" t="s">
        <v>2526</v>
      </c>
      <c r="K144" s="372" t="s">
        <v>2630</v>
      </c>
      <c r="L144" s="232"/>
      <c r="M144" s="232"/>
      <c r="N144" s="232"/>
    </row>
    <row r="145" ht="15.75" customHeight="1">
      <c r="A145" s="372" t="s">
        <v>2631</v>
      </c>
      <c r="B145" s="232"/>
      <c r="C145" s="232"/>
      <c r="D145" s="232"/>
      <c r="E145" s="232"/>
      <c r="F145" s="372" t="s">
        <v>2632</v>
      </c>
      <c r="G145" s="232"/>
      <c r="H145" s="232"/>
      <c r="I145" s="372" t="s">
        <v>1933</v>
      </c>
      <c r="J145" s="372" t="s">
        <v>2633</v>
      </c>
      <c r="K145" s="372" t="s">
        <v>2634</v>
      </c>
      <c r="L145" s="232"/>
      <c r="M145" s="232"/>
      <c r="N145" s="232"/>
    </row>
    <row r="146" ht="15.75" customHeight="1">
      <c r="A146" s="372" t="s">
        <v>2635</v>
      </c>
      <c r="B146" s="232"/>
      <c r="C146" s="232"/>
      <c r="D146" s="232"/>
      <c r="E146" s="232"/>
      <c r="F146" s="372" t="s">
        <v>207</v>
      </c>
      <c r="G146" s="232"/>
      <c r="H146" s="232"/>
      <c r="I146" s="372" t="s">
        <v>2636</v>
      </c>
      <c r="J146" s="372" t="s">
        <v>2037</v>
      </c>
      <c r="K146" s="372" t="s">
        <v>1912</v>
      </c>
      <c r="L146" s="232"/>
      <c r="M146" s="232"/>
      <c r="N146" s="232"/>
    </row>
    <row r="147" ht="15.75" customHeight="1">
      <c r="A147" s="372" t="s">
        <v>2637</v>
      </c>
      <c r="B147" s="232"/>
      <c r="C147" s="232"/>
      <c r="D147" s="232"/>
      <c r="E147" s="232"/>
      <c r="F147" s="372" t="s">
        <v>2638</v>
      </c>
      <c r="G147" s="232"/>
      <c r="H147" s="232"/>
      <c r="I147" s="372" t="s">
        <v>336</v>
      </c>
      <c r="J147" s="372" t="s">
        <v>2535</v>
      </c>
      <c r="K147" s="372" t="s">
        <v>2003</v>
      </c>
      <c r="L147" s="232"/>
      <c r="M147" s="232"/>
      <c r="N147" s="232"/>
    </row>
    <row r="148" ht="15.75" customHeight="1">
      <c r="A148" s="372" t="s">
        <v>2330</v>
      </c>
      <c r="B148" s="232"/>
      <c r="C148" s="232"/>
      <c r="D148" s="232"/>
      <c r="E148" s="232"/>
      <c r="F148" s="372" t="s">
        <v>2639</v>
      </c>
      <c r="G148" s="232"/>
      <c r="H148" s="232"/>
      <c r="I148" s="372" t="s">
        <v>2640</v>
      </c>
      <c r="J148" s="372" t="s">
        <v>2641</v>
      </c>
      <c r="K148" s="372" t="s">
        <v>2642</v>
      </c>
      <c r="L148" s="232"/>
      <c r="M148" s="232"/>
      <c r="N148" s="232"/>
    </row>
    <row r="149" ht="15.75" customHeight="1">
      <c r="A149" s="372" t="s">
        <v>2485</v>
      </c>
      <c r="B149" s="232"/>
      <c r="C149" s="232"/>
      <c r="D149" s="232"/>
      <c r="E149" s="232"/>
      <c r="F149" s="372" t="s">
        <v>2002</v>
      </c>
      <c r="G149" s="232"/>
      <c r="H149" s="232"/>
      <c r="I149" s="372" t="s">
        <v>2643</v>
      </c>
      <c r="J149" s="372" t="s">
        <v>2045</v>
      </c>
      <c r="K149" s="372" t="s">
        <v>2644</v>
      </c>
      <c r="L149" s="232"/>
      <c r="M149" s="232"/>
      <c r="N149" s="232"/>
    </row>
    <row r="150" ht="15.75" customHeight="1">
      <c r="A150" s="372" t="s">
        <v>2645</v>
      </c>
      <c r="B150" s="232"/>
      <c r="C150" s="232"/>
      <c r="D150" s="232"/>
      <c r="E150" s="232"/>
      <c r="F150" s="372" t="s">
        <v>2021</v>
      </c>
      <c r="G150" s="232"/>
      <c r="H150" s="232"/>
      <c r="I150" s="372" t="s">
        <v>2561</v>
      </c>
      <c r="J150" s="372" t="s">
        <v>375</v>
      </c>
      <c r="K150" s="372" t="s">
        <v>2525</v>
      </c>
      <c r="L150" s="232"/>
      <c r="M150" s="232"/>
      <c r="N150" s="232"/>
    </row>
    <row r="151" ht="15.75" customHeight="1">
      <c r="A151" s="372" t="s">
        <v>2646</v>
      </c>
      <c r="B151" s="232"/>
      <c r="C151" s="232"/>
      <c r="D151" s="232"/>
      <c r="E151" s="232"/>
      <c r="F151" s="372" t="s">
        <v>2038</v>
      </c>
      <c r="G151" s="232"/>
      <c r="H151" s="232"/>
      <c r="I151" s="372" t="s">
        <v>2566</v>
      </c>
      <c r="J151" s="372" t="s">
        <v>384</v>
      </c>
      <c r="K151" s="372" t="s">
        <v>2530</v>
      </c>
      <c r="L151" s="232"/>
      <c r="M151" s="232"/>
      <c r="N151" s="232"/>
    </row>
    <row r="152" ht="15.75" customHeight="1">
      <c r="A152" s="372" t="s">
        <v>2647</v>
      </c>
      <c r="B152" s="232"/>
      <c r="C152" s="232"/>
      <c r="D152" s="232"/>
      <c r="E152" s="232"/>
      <c r="F152" s="372" t="s">
        <v>2648</v>
      </c>
      <c r="G152" s="232"/>
      <c r="H152" s="232"/>
      <c r="I152" s="372" t="s">
        <v>2569</v>
      </c>
      <c r="J152" s="372" t="s">
        <v>2511</v>
      </c>
      <c r="K152" s="372" t="s">
        <v>2539</v>
      </c>
      <c r="L152" s="232"/>
      <c r="M152" s="232"/>
      <c r="N152" s="232"/>
    </row>
    <row r="153" ht="15.75" customHeight="1">
      <c r="A153" s="372" t="s">
        <v>2649</v>
      </c>
      <c r="B153" s="232"/>
      <c r="C153" s="232"/>
      <c r="D153" s="232"/>
      <c r="E153" s="232"/>
      <c r="F153" s="372" t="s">
        <v>2049</v>
      </c>
      <c r="G153" s="232"/>
      <c r="H153" s="232"/>
      <c r="I153" s="372" t="s">
        <v>1944</v>
      </c>
      <c r="J153" s="372" t="s">
        <v>2650</v>
      </c>
      <c r="K153" s="372" t="s">
        <v>2271</v>
      </c>
      <c r="L153" s="232"/>
      <c r="M153" s="232"/>
      <c r="N153" s="232"/>
    </row>
    <row r="154" ht="15.75" customHeight="1">
      <c r="A154" s="372" t="s">
        <v>2651</v>
      </c>
      <c r="B154" s="232"/>
      <c r="C154" s="232"/>
      <c r="D154" s="232"/>
      <c r="E154" s="232"/>
      <c r="F154" s="372" t="s">
        <v>2652</v>
      </c>
      <c r="G154" s="232"/>
      <c r="H154" s="232"/>
      <c r="I154" s="372" t="s">
        <v>2653</v>
      </c>
      <c r="J154" s="372" t="s">
        <v>393</v>
      </c>
      <c r="K154" s="372" t="s">
        <v>2654</v>
      </c>
      <c r="L154" s="232"/>
      <c r="M154" s="232"/>
      <c r="N154" s="232"/>
    </row>
    <row r="155" ht="15.75" customHeight="1">
      <c r="A155" s="372" t="s">
        <v>2655</v>
      </c>
      <c r="B155" s="232"/>
      <c r="C155" s="232"/>
      <c r="D155" s="232"/>
      <c r="E155" s="232"/>
      <c r="F155" s="372" t="s">
        <v>2656</v>
      </c>
      <c r="G155" s="232"/>
      <c r="H155" s="232"/>
      <c r="I155" s="372" t="s">
        <v>2657</v>
      </c>
      <c r="J155" s="232"/>
      <c r="K155" s="372" t="s">
        <v>2658</v>
      </c>
      <c r="L155" s="232"/>
      <c r="M155" s="232"/>
      <c r="N155" s="232"/>
    </row>
    <row r="156" ht="15.75" customHeight="1">
      <c r="A156" s="372" t="s">
        <v>2659</v>
      </c>
      <c r="B156" s="232"/>
      <c r="C156" s="232"/>
      <c r="D156" s="232"/>
      <c r="E156" s="232"/>
      <c r="F156" s="372" t="s">
        <v>2660</v>
      </c>
      <c r="G156" s="232"/>
      <c r="H156" s="232"/>
      <c r="I156" s="372" t="s">
        <v>2661</v>
      </c>
      <c r="J156" s="232"/>
      <c r="K156" s="372" t="s">
        <v>2662</v>
      </c>
      <c r="L156" s="232"/>
      <c r="M156" s="232"/>
      <c r="N156" s="232"/>
    </row>
    <row r="157" ht="15.75" customHeight="1">
      <c r="A157" s="372" t="s">
        <v>2663</v>
      </c>
      <c r="B157" s="232"/>
      <c r="C157" s="232"/>
      <c r="D157" s="232"/>
      <c r="E157" s="232"/>
      <c r="F157" s="372" t="s">
        <v>2664</v>
      </c>
      <c r="G157" s="232"/>
      <c r="H157" s="232"/>
      <c r="I157" s="372" t="s">
        <v>1959</v>
      </c>
      <c r="J157" s="232"/>
      <c r="K157" s="372" t="s">
        <v>2665</v>
      </c>
      <c r="L157" s="232"/>
      <c r="M157" s="232"/>
      <c r="N157" s="232"/>
    </row>
    <row r="158" ht="15.75" customHeight="1">
      <c r="A158" s="372" t="s">
        <v>2666</v>
      </c>
      <c r="B158" s="232"/>
      <c r="C158" s="232"/>
      <c r="D158" s="232"/>
      <c r="E158" s="232"/>
      <c r="F158" s="372" t="s">
        <v>2667</v>
      </c>
      <c r="G158" s="232"/>
      <c r="H158" s="232"/>
      <c r="I158" s="372" t="s">
        <v>2392</v>
      </c>
      <c r="J158" s="232"/>
      <c r="K158" s="372" t="s">
        <v>2668</v>
      </c>
      <c r="L158" s="232"/>
      <c r="M158" s="232"/>
      <c r="N158" s="232"/>
    </row>
    <row r="159" ht="15.75" customHeight="1">
      <c r="A159" s="372" t="s">
        <v>2067</v>
      </c>
      <c r="B159" s="232"/>
      <c r="C159" s="232"/>
      <c r="D159" s="232"/>
      <c r="E159" s="232"/>
      <c r="F159" s="372" t="s">
        <v>2669</v>
      </c>
      <c r="G159" s="232"/>
      <c r="H159" s="232"/>
      <c r="I159" s="372" t="s">
        <v>2398</v>
      </c>
      <c r="J159" s="232"/>
      <c r="K159" s="372" t="s">
        <v>2670</v>
      </c>
      <c r="L159" s="232"/>
      <c r="M159" s="232"/>
      <c r="N159" s="232"/>
    </row>
    <row r="160" ht="15.75" customHeight="1">
      <c r="A160" s="372" t="s">
        <v>1905</v>
      </c>
      <c r="B160" s="232"/>
      <c r="C160" s="232"/>
      <c r="D160" s="232"/>
      <c r="E160" s="232"/>
      <c r="F160" s="372" t="s">
        <v>2164</v>
      </c>
      <c r="G160" s="232"/>
      <c r="H160" s="232"/>
      <c r="I160" s="372" t="s">
        <v>2454</v>
      </c>
      <c r="J160" s="232"/>
      <c r="K160" s="372" t="s">
        <v>2671</v>
      </c>
      <c r="L160" s="232"/>
      <c r="M160" s="232"/>
      <c r="N160" s="232"/>
    </row>
    <row r="161" ht="15.75" customHeight="1">
      <c r="A161" s="372" t="s">
        <v>1910</v>
      </c>
      <c r="B161" s="232"/>
      <c r="C161" s="232"/>
      <c r="D161" s="232"/>
      <c r="E161" s="232"/>
      <c r="F161" s="372" t="s">
        <v>2672</v>
      </c>
      <c r="G161" s="232"/>
      <c r="H161" s="232"/>
      <c r="I161" s="372" t="s">
        <v>2474</v>
      </c>
      <c r="J161" s="232"/>
      <c r="K161" s="372" t="s">
        <v>2673</v>
      </c>
      <c r="L161" s="232"/>
      <c r="M161" s="232"/>
      <c r="N161" s="232"/>
    </row>
    <row r="162" ht="15.75" customHeight="1">
      <c r="A162" s="372" t="s">
        <v>2674</v>
      </c>
      <c r="B162" s="232"/>
      <c r="C162" s="232"/>
      <c r="D162" s="232"/>
      <c r="E162" s="232"/>
      <c r="F162" s="372" t="s">
        <v>2293</v>
      </c>
      <c r="G162" s="232"/>
      <c r="H162" s="232"/>
      <c r="I162" s="372" t="s">
        <v>2675</v>
      </c>
      <c r="J162" s="232"/>
      <c r="K162" s="372" t="s">
        <v>2676</v>
      </c>
      <c r="L162" s="232"/>
      <c r="M162" s="232"/>
      <c r="N162" s="232"/>
    </row>
    <row r="163" ht="15.75" customHeight="1">
      <c r="A163" s="372" t="s">
        <v>2677</v>
      </c>
      <c r="B163" s="232"/>
      <c r="C163" s="232"/>
      <c r="D163" s="232"/>
      <c r="E163" s="232"/>
      <c r="F163" s="372" t="s">
        <v>2564</v>
      </c>
      <c r="G163" s="232"/>
      <c r="H163" s="232"/>
      <c r="I163" s="372" t="s">
        <v>2678</v>
      </c>
      <c r="J163" s="232"/>
      <c r="K163" s="372" t="s">
        <v>2500</v>
      </c>
      <c r="L163" s="232"/>
      <c r="M163" s="232"/>
      <c r="N163" s="232"/>
    </row>
    <row r="164" ht="15.75" customHeight="1">
      <c r="A164" s="372" t="s">
        <v>2679</v>
      </c>
      <c r="B164" s="232"/>
      <c r="C164" s="232"/>
      <c r="D164" s="232"/>
      <c r="E164" s="232"/>
      <c r="F164" s="372" t="s">
        <v>2680</v>
      </c>
      <c r="G164" s="232"/>
      <c r="H164" s="232"/>
      <c r="I164" s="372" t="s">
        <v>2330</v>
      </c>
      <c r="J164" s="232"/>
      <c r="K164" s="372" t="s">
        <v>2316</v>
      </c>
      <c r="L164" s="232"/>
      <c r="M164" s="232"/>
      <c r="N164" s="232"/>
    </row>
    <row r="165" ht="15.75" customHeight="1">
      <c r="A165" s="372" t="s">
        <v>2681</v>
      </c>
      <c r="B165" s="232"/>
      <c r="C165" s="232"/>
      <c r="D165" s="232"/>
      <c r="E165" s="232"/>
      <c r="F165" s="372" t="s">
        <v>2682</v>
      </c>
      <c r="G165" s="232"/>
      <c r="H165" s="232"/>
      <c r="I165" s="372" t="s">
        <v>2683</v>
      </c>
      <c r="J165" s="232"/>
      <c r="K165" s="372" t="s">
        <v>2684</v>
      </c>
      <c r="L165" s="232"/>
      <c r="M165" s="232"/>
      <c r="N165" s="232"/>
    </row>
    <row r="166" ht="15.75" customHeight="1">
      <c r="A166" s="372" t="s">
        <v>2045</v>
      </c>
      <c r="B166" s="232"/>
      <c r="C166" s="232"/>
      <c r="D166" s="232"/>
      <c r="E166" s="232"/>
      <c r="F166" s="372" t="s">
        <v>2685</v>
      </c>
      <c r="G166" s="232"/>
      <c r="H166" s="232"/>
      <c r="I166" s="372" t="s">
        <v>2686</v>
      </c>
      <c r="J166" s="232"/>
      <c r="K166" s="372" t="s">
        <v>2687</v>
      </c>
      <c r="L166" s="232"/>
      <c r="M166" s="232"/>
      <c r="N166" s="232"/>
    </row>
    <row r="167" ht="15.75" customHeight="1">
      <c r="A167" s="372" t="s">
        <v>2688</v>
      </c>
      <c r="B167" s="232"/>
      <c r="C167" s="232"/>
      <c r="D167" s="232"/>
      <c r="E167" s="232"/>
      <c r="F167" s="372" t="s">
        <v>2689</v>
      </c>
      <c r="G167" s="232"/>
      <c r="H167" s="232"/>
      <c r="I167" s="372" t="s">
        <v>2431</v>
      </c>
      <c r="J167" s="232"/>
      <c r="K167" s="372" t="s">
        <v>2690</v>
      </c>
      <c r="L167" s="232"/>
      <c r="M167" s="232"/>
      <c r="N167" s="232"/>
    </row>
    <row r="168" ht="15.75" customHeight="1">
      <c r="A168" s="372" t="s">
        <v>390</v>
      </c>
      <c r="B168" s="232"/>
      <c r="C168" s="232"/>
      <c r="D168" s="232"/>
      <c r="E168" s="232"/>
      <c r="F168" s="372" t="s">
        <v>2691</v>
      </c>
      <c r="G168" s="232"/>
      <c r="H168" s="232"/>
      <c r="I168" s="372" t="s">
        <v>2692</v>
      </c>
      <c r="J168" s="232"/>
      <c r="K168" s="372" t="s">
        <v>2693</v>
      </c>
      <c r="L168" s="232"/>
      <c r="M168" s="232"/>
      <c r="N168" s="232"/>
    </row>
    <row r="169" ht="15.75" customHeight="1">
      <c r="A169" s="232"/>
      <c r="B169" s="232"/>
      <c r="C169" s="232"/>
      <c r="D169" s="232"/>
      <c r="E169" s="232"/>
      <c r="F169" s="372" t="s">
        <v>2694</v>
      </c>
      <c r="G169" s="232"/>
      <c r="H169" s="232"/>
      <c r="I169" s="372" t="s">
        <v>2496</v>
      </c>
      <c r="J169" s="232"/>
      <c r="K169" s="372" t="s">
        <v>2695</v>
      </c>
      <c r="L169" s="232"/>
      <c r="M169" s="232"/>
      <c r="N169" s="232"/>
    </row>
    <row r="170" ht="15.75" customHeight="1">
      <c r="A170" s="232"/>
      <c r="B170" s="232"/>
      <c r="C170" s="232"/>
      <c r="D170" s="232"/>
      <c r="E170" s="232"/>
      <c r="F170" s="372" t="s">
        <v>2570</v>
      </c>
      <c r="G170" s="232"/>
      <c r="H170" s="232"/>
      <c r="I170" s="372" t="s">
        <v>2696</v>
      </c>
      <c r="J170" s="232"/>
      <c r="K170" s="372" t="s">
        <v>2697</v>
      </c>
      <c r="L170" s="232"/>
      <c r="M170" s="232"/>
      <c r="N170" s="232"/>
    </row>
    <row r="171" ht="15.75" customHeight="1">
      <c r="A171" s="232"/>
      <c r="B171" s="232"/>
      <c r="C171" s="232"/>
      <c r="D171" s="232"/>
      <c r="E171" s="232"/>
      <c r="F171" s="372" t="s">
        <v>2172</v>
      </c>
      <c r="G171" s="232"/>
      <c r="H171" s="232"/>
      <c r="I171" s="372" t="s">
        <v>354</v>
      </c>
      <c r="J171" s="232"/>
      <c r="K171" s="372" t="s">
        <v>1933</v>
      </c>
      <c r="L171" s="232"/>
      <c r="M171" s="232"/>
      <c r="N171" s="232"/>
    </row>
    <row r="172" ht="15.75" customHeight="1">
      <c r="A172" s="232"/>
      <c r="B172" s="232"/>
      <c r="C172" s="232"/>
      <c r="D172" s="232"/>
      <c r="E172" s="232"/>
      <c r="F172" s="372" t="s">
        <v>2179</v>
      </c>
      <c r="G172" s="232"/>
      <c r="H172" s="232"/>
      <c r="I172" s="372" t="s">
        <v>2054</v>
      </c>
      <c r="J172" s="232"/>
      <c r="K172" s="372" t="s">
        <v>336</v>
      </c>
      <c r="L172" s="232"/>
      <c r="M172" s="232"/>
      <c r="N172" s="232"/>
    </row>
    <row r="173" ht="15.75" customHeight="1">
      <c r="A173" s="232"/>
      <c r="B173" s="232"/>
      <c r="C173" s="232"/>
      <c r="D173" s="232"/>
      <c r="E173" s="232"/>
      <c r="F173" s="372" t="s">
        <v>2698</v>
      </c>
      <c r="G173" s="232"/>
      <c r="H173" s="232"/>
      <c r="I173" s="372" t="s">
        <v>2340</v>
      </c>
      <c r="J173" s="232"/>
      <c r="K173" s="372" t="s">
        <v>2699</v>
      </c>
      <c r="L173" s="232"/>
      <c r="M173" s="232"/>
      <c r="N173" s="232"/>
    </row>
    <row r="174" ht="15.75" customHeight="1">
      <c r="A174" s="232"/>
      <c r="B174" s="232"/>
      <c r="C174" s="232"/>
      <c r="D174" s="232"/>
      <c r="E174" s="232"/>
      <c r="F174" s="372" t="s">
        <v>2700</v>
      </c>
      <c r="G174" s="232"/>
      <c r="H174" s="232"/>
      <c r="I174" s="372" t="s">
        <v>2529</v>
      </c>
      <c r="J174" s="232"/>
      <c r="K174" s="372" t="s">
        <v>2561</v>
      </c>
      <c r="L174" s="232"/>
      <c r="M174" s="232"/>
      <c r="N174" s="232"/>
    </row>
    <row r="175" ht="15.75" customHeight="1">
      <c r="A175" s="232"/>
      <c r="B175" s="232"/>
      <c r="C175" s="232"/>
      <c r="D175" s="232"/>
      <c r="E175" s="232"/>
      <c r="F175" s="372" t="s">
        <v>2701</v>
      </c>
      <c r="G175" s="232"/>
      <c r="H175" s="232"/>
      <c r="I175" s="372" t="s">
        <v>2440</v>
      </c>
      <c r="J175" s="232"/>
      <c r="K175" s="372" t="s">
        <v>2387</v>
      </c>
      <c r="L175" s="232"/>
      <c r="M175" s="232"/>
      <c r="N175" s="232"/>
    </row>
    <row r="176" ht="15.75" customHeight="1">
      <c r="A176" s="232"/>
      <c r="B176" s="232"/>
      <c r="C176" s="232"/>
      <c r="D176" s="232"/>
      <c r="E176" s="232"/>
      <c r="F176" s="372" t="s">
        <v>2702</v>
      </c>
      <c r="G176" s="232"/>
      <c r="H176" s="232"/>
      <c r="I176" s="372" t="s">
        <v>2061</v>
      </c>
      <c r="J176" s="232"/>
      <c r="K176" s="372" t="s">
        <v>2569</v>
      </c>
      <c r="L176" s="232"/>
      <c r="M176" s="232"/>
      <c r="N176" s="232"/>
    </row>
    <row r="177" ht="15.75" customHeight="1">
      <c r="A177" s="232"/>
      <c r="B177" s="232"/>
      <c r="C177" s="232"/>
      <c r="D177" s="232"/>
      <c r="E177" s="232"/>
      <c r="F177" s="372" t="s">
        <v>1986</v>
      </c>
      <c r="G177" s="232"/>
      <c r="H177" s="232"/>
      <c r="I177" s="372" t="s">
        <v>2703</v>
      </c>
      <c r="J177" s="232"/>
      <c r="K177" s="372" t="s">
        <v>1944</v>
      </c>
      <c r="L177" s="232"/>
      <c r="M177" s="232"/>
      <c r="N177" s="232"/>
    </row>
    <row r="178" ht="15.75" customHeight="1">
      <c r="A178" s="232"/>
      <c r="B178" s="232"/>
      <c r="C178" s="232"/>
      <c r="D178" s="232"/>
      <c r="E178" s="232"/>
      <c r="F178" s="372" t="s">
        <v>2060</v>
      </c>
      <c r="G178" s="232"/>
      <c r="H178" s="232"/>
      <c r="I178" s="372" t="s">
        <v>1905</v>
      </c>
      <c r="J178" s="232"/>
      <c r="K178" s="372" t="s">
        <v>2704</v>
      </c>
      <c r="L178" s="232"/>
      <c r="M178" s="232"/>
      <c r="N178" s="232"/>
    </row>
    <row r="179" ht="15.75" customHeight="1">
      <c r="A179" s="232"/>
      <c r="B179" s="232"/>
      <c r="C179" s="232"/>
      <c r="D179" s="232"/>
      <c r="E179" s="232"/>
      <c r="F179" s="372" t="s">
        <v>252</v>
      </c>
      <c r="G179" s="232"/>
      <c r="H179" s="232"/>
      <c r="I179" s="372" t="s">
        <v>1910</v>
      </c>
      <c r="J179" s="232"/>
      <c r="K179" s="372" t="s">
        <v>2572</v>
      </c>
      <c r="L179" s="232"/>
      <c r="M179" s="232"/>
      <c r="N179" s="232"/>
    </row>
    <row r="180" ht="15.75" customHeight="1">
      <c r="A180" s="232"/>
      <c r="B180" s="232"/>
      <c r="C180" s="232"/>
      <c r="D180" s="232"/>
      <c r="E180" s="232"/>
      <c r="F180" s="372" t="s">
        <v>2705</v>
      </c>
      <c r="G180" s="232"/>
      <c r="H180" s="232"/>
      <c r="I180" s="372" t="s">
        <v>2706</v>
      </c>
      <c r="J180" s="232"/>
      <c r="K180" s="372" t="s">
        <v>2575</v>
      </c>
      <c r="L180" s="232"/>
      <c r="M180" s="232"/>
      <c r="N180" s="232"/>
    </row>
    <row r="181" ht="15.75" customHeight="1">
      <c r="A181" s="232"/>
      <c r="B181" s="232"/>
      <c r="C181" s="232"/>
      <c r="D181" s="232"/>
      <c r="E181" s="232"/>
      <c r="F181" s="372" t="s">
        <v>2707</v>
      </c>
      <c r="G181" s="232"/>
      <c r="H181" s="232"/>
      <c r="I181" s="372" t="s">
        <v>2523</v>
      </c>
      <c r="J181" s="232"/>
      <c r="K181" s="372" t="s">
        <v>2580</v>
      </c>
      <c r="L181" s="232"/>
      <c r="M181" s="232"/>
      <c r="N181" s="232"/>
    </row>
    <row r="182" ht="15.75" customHeight="1">
      <c r="A182" s="232"/>
      <c r="B182" s="232"/>
      <c r="C182" s="232"/>
      <c r="D182" s="232"/>
      <c r="E182" s="232"/>
      <c r="F182" s="372" t="s">
        <v>2708</v>
      </c>
      <c r="G182" s="232"/>
      <c r="H182" s="232"/>
      <c r="I182" s="372" t="s">
        <v>2709</v>
      </c>
      <c r="J182" s="232"/>
      <c r="K182" s="372" t="s">
        <v>2474</v>
      </c>
      <c r="L182" s="232"/>
      <c r="M182" s="232"/>
      <c r="N182" s="232"/>
    </row>
    <row r="183" ht="15.75" customHeight="1">
      <c r="A183" s="232"/>
      <c r="B183" s="232"/>
      <c r="C183" s="232"/>
      <c r="D183" s="232"/>
      <c r="E183" s="232"/>
      <c r="F183" s="372" t="s">
        <v>2710</v>
      </c>
      <c r="G183" s="232"/>
      <c r="H183" s="232"/>
      <c r="I183" s="372" t="s">
        <v>2711</v>
      </c>
      <c r="J183" s="232"/>
      <c r="K183" s="372" t="s">
        <v>2587</v>
      </c>
      <c r="L183" s="232"/>
      <c r="M183" s="232"/>
      <c r="N183" s="232"/>
    </row>
    <row r="184" ht="15.75" customHeight="1">
      <c r="A184" s="232"/>
      <c r="B184" s="232"/>
      <c r="C184" s="232"/>
      <c r="D184" s="232"/>
      <c r="E184" s="232"/>
      <c r="F184" s="372" t="s">
        <v>2630</v>
      </c>
      <c r="G184" s="232"/>
      <c r="H184" s="232"/>
      <c r="I184" s="372" t="s">
        <v>2526</v>
      </c>
      <c r="J184" s="232"/>
      <c r="K184" s="372" t="s">
        <v>2712</v>
      </c>
      <c r="L184" s="232"/>
      <c r="M184" s="232"/>
      <c r="N184" s="232"/>
    </row>
    <row r="185" ht="15.75" customHeight="1">
      <c r="A185" s="232"/>
      <c r="B185" s="232"/>
      <c r="C185" s="232"/>
      <c r="D185" s="232"/>
      <c r="E185" s="232"/>
      <c r="F185" s="372" t="s">
        <v>2713</v>
      </c>
      <c r="G185" s="232"/>
      <c r="H185" s="232"/>
      <c r="I185" s="372" t="s">
        <v>2370</v>
      </c>
      <c r="J185" s="232"/>
      <c r="K185" s="372" t="s">
        <v>2593</v>
      </c>
      <c r="L185" s="232"/>
      <c r="M185" s="232"/>
      <c r="N185" s="232"/>
    </row>
    <row r="186" ht="15.75" customHeight="1">
      <c r="A186" s="232"/>
      <c r="B186" s="232"/>
      <c r="C186" s="232"/>
      <c r="D186" s="232"/>
      <c r="E186" s="232"/>
      <c r="F186" s="372" t="s">
        <v>2714</v>
      </c>
      <c r="G186" s="232"/>
      <c r="H186" s="232"/>
      <c r="I186" s="372" t="s">
        <v>2715</v>
      </c>
      <c r="J186" s="232"/>
      <c r="K186" s="372" t="s">
        <v>2596</v>
      </c>
      <c r="L186" s="232"/>
      <c r="M186" s="232"/>
      <c r="N186" s="232"/>
    </row>
    <row r="187" ht="15.75" customHeight="1">
      <c r="A187" s="232"/>
      <c r="B187" s="232"/>
      <c r="C187" s="232"/>
      <c r="D187" s="232"/>
      <c r="E187" s="232"/>
      <c r="F187" s="372" t="s">
        <v>2716</v>
      </c>
      <c r="G187" s="232"/>
      <c r="H187" s="232"/>
      <c r="I187" s="372" t="s">
        <v>2717</v>
      </c>
      <c r="J187" s="232"/>
      <c r="K187" s="372" t="s">
        <v>2601</v>
      </c>
      <c r="L187" s="232"/>
      <c r="M187" s="232"/>
      <c r="N187" s="232"/>
    </row>
    <row r="188" ht="15.75" customHeight="1">
      <c r="A188" s="232"/>
      <c r="B188" s="232"/>
      <c r="C188" s="232"/>
      <c r="D188" s="232"/>
      <c r="E188" s="232"/>
      <c r="F188" s="372" t="s">
        <v>2718</v>
      </c>
      <c r="G188" s="232"/>
      <c r="H188" s="232"/>
      <c r="I188" s="372" t="s">
        <v>2045</v>
      </c>
      <c r="J188" s="232"/>
      <c r="K188" s="372" t="s">
        <v>2719</v>
      </c>
      <c r="L188" s="232"/>
      <c r="M188" s="232"/>
      <c r="N188" s="232"/>
    </row>
    <row r="189" ht="15.75" customHeight="1">
      <c r="A189" s="232"/>
      <c r="B189" s="232"/>
      <c r="C189" s="232"/>
      <c r="D189" s="232"/>
      <c r="E189" s="232"/>
      <c r="F189" s="372" t="s">
        <v>2720</v>
      </c>
      <c r="G189" s="232"/>
      <c r="H189" s="232"/>
      <c r="I189" s="372" t="s">
        <v>2721</v>
      </c>
      <c r="J189" s="232"/>
      <c r="K189" s="372" t="s">
        <v>2609</v>
      </c>
      <c r="L189" s="232"/>
      <c r="M189" s="232"/>
      <c r="N189" s="232"/>
    </row>
    <row r="190" ht="15.75" customHeight="1">
      <c r="A190" s="232"/>
      <c r="B190" s="232"/>
      <c r="C190" s="232"/>
      <c r="D190" s="232"/>
      <c r="E190" s="232"/>
      <c r="F190" s="372" t="s">
        <v>2722</v>
      </c>
      <c r="G190" s="232"/>
      <c r="H190" s="232"/>
      <c r="I190" s="372" t="s">
        <v>2556</v>
      </c>
      <c r="J190" s="232"/>
      <c r="K190" s="372" t="s">
        <v>2610</v>
      </c>
      <c r="L190" s="232"/>
      <c r="M190" s="232"/>
      <c r="N190" s="232"/>
    </row>
    <row r="191" ht="15.75" customHeight="1">
      <c r="A191" s="232"/>
      <c r="B191" s="232"/>
      <c r="C191" s="232"/>
      <c r="D191" s="232"/>
      <c r="E191" s="232"/>
      <c r="F191" s="372" t="s">
        <v>2723</v>
      </c>
      <c r="G191" s="232"/>
      <c r="H191" s="232"/>
      <c r="I191" s="372" t="s">
        <v>390</v>
      </c>
      <c r="J191" s="232"/>
      <c r="K191" s="372" t="s">
        <v>2611</v>
      </c>
      <c r="L191" s="232"/>
      <c r="M191" s="232"/>
      <c r="N191" s="232"/>
    </row>
    <row r="192" ht="15.75" customHeight="1">
      <c r="A192" s="232"/>
      <c r="B192" s="232"/>
      <c r="C192" s="232"/>
      <c r="D192" s="232"/>
      <c r="E192" s="232"/>
      <c r="F192" s="372" t="s">
        <v>2724</v>
      </c>
      <c r="G192" s="232"/>
      <c r="H192" s="232"/>
      <c r="I192" s="232"/>
      <c r="J192" s="232"/>
      <c r="K192" s="372" t="s">
        <v>2614</v>
      </c>
      <c r="L192" s="232"/>
      <c r="M192" s="232"/>
      <c r="N192" s="232"/>
    </row>
    <row r="193" ht="15.75" customHeight="1">
      <c r="A193" s="232"/>
      <c r="B193" s="232"/>
      <c r="C193" s="232"/>
      <c r="D193" s="232"/>
      <c r="E193" s="232"/>
      <c r="F193" s="372" t="s">
        <v>2725</v>
      </c>
      <c r="G193" s="232"/>
      <c r="H193" s="232"/>
      <c r="I193" s="232"/>
      <c r="J193" s="232"/>
      <c r="K193" s="372" t="s">
        <v>2616</v>
      </c>
      <c r="L193" s="232"/>
      <c r="M193" s="232"/>
      <c r="N193" s="232"/>
    </row>
    <row r="194" ht="15.75" customHeight="1">
      <c r="A194" s="232"/>
      <c r="B194" s="232"/>
      <c r="C194" s="232"/>
      <c r="D194" s="232"/>
      <c r="E194" s="232"/>
      <c r="F194" s="372" t="s">
        <v>2726</v>
      </c>
      <c r="G194" s="232"/>
      <c r="H194" s="232"/>
      <c r="I194" s="232"/>
      <c r="J194" s="232"/>
      <c r="K194" s="372" t="s">
        <v>2625</v>
      </c>
      <c r="L194" s="232"/>
      <c r="M194" s="232"/>
      <c r="N194" s="232"/>
    </row>
    <row r="195" ht="15.75" customHeight="1">
      <c r="A195" s="232"/>
      <c r="B195" s="232"/>
      <c r="C195" s="232"/>
      <c r="D195" s="232"/>
      <c r="E195" s="232"/>
      <c r="F195" s="372" t="s">
        <v>2727</v>
      </c>
      <c r="G195" s="232"/>
      <c r="H195" s="232"/>
      <c r="I195" s="232"/>
      <c r="J195" s="232"/>
      <c r="K195" s="372" t="s">
        <v>2330</v>
      </c>
      <c r="L195" s="232"/>
      <c r="M195" s="232"/>
      <c r="N195" s="232"/>
    </row>
    <row r="196" ht="15.75" customHeight="1">
      <c r="A196" s="232"/>
      <c r="B196" s="232"/>
      <c r="C196" s="232"/>
      <c r="D196" s="232"/>
      <c r="E196" s="232"/>
      <c r="F196" s="372" t="s">
        <v>2728</v>
      </c>
      <c r="G196" s="232"/>
      <c r="H196" s="232"/>
      <c r="I196" s="232"/>
      <c r="J196" s="232"/>
      <c r="K196" s="372" t="s">
        <v>2485</v>
      </c>
      <c r="L196" s="232"/>
      <c r="M196" s="232"/>
      <c r="N196" s="232"/>
    </row>
    <row r="197" ht="15.75" customHeight="1">
      <c r="A197" s="232"/>
      <c r="B197" s="232"/>
      <c r="C197" s="232"/>
      <c r="D197" s="232"/>
      <c r="E197" s="232"/>
      <c r="F197" s="372" t="s">
        <v>306</v>
      </c>
      <c r="G197" s="232"/>
      <c r="H197" s="232"/>
      <c r="I197" s="232"/>
      <c r="J197" s="232"/>
      <c r="K197" s="372" t="s">
        <v>2729</v>
      </c>
      <c r="L197" s="232"/>
      <c r="M197" s="232"/>
      <c r="N197" s="232"/>
    </row>
    <row r="198" ht="15.75" customHeight="1">
      <c r="A198" s="232"/>
      <c r="B198" s="232"/>
      <c r="C198" s="232"/>
      <c r="D198" s="232"/>
      <c r="E198" s="232"/>
      <c r="F198" s="372" t="s">
        <v>2730</v>
      </c>
      <c r="G198" s="232"/>
      <c r="H198" s="232"/>
      <c r="I198" s="232"/>
      <c r="J198" s="232"/>
      <c r="K198" s="372" t="s">
        <v>2425</v>
      </c>
      <c r="L198" s="232"/>
      <c r="M198" s="232"/>
      <c r="N198" s="232"/>
    </row>
    <row r="199" ht="15.75" customHeight="1">
      <c r="A199" s="232"/>
      <c r="B199" s="232"/>
      <c r="C199" s="232"/>
      <c r="D199" s="232"/>
      <c r="E199" s="232"/>
      <c r="F199" s="372" t="s">
        <v>2731</v>
      </c>
      <c r="G199" s="232"/>
      <c r="H199" s="232"/>
      <c r="I199" s="232"/>
      <c r="J199" s="232"/>
      <c r="K199" s="372" t="s">
        <v>2732</v>
      </c>
      <c r="L199" s="232"/>
      <c r="M199" s="232"/>
      <c r="N199" s="232"/>
    </row>
    <row r="200" ht="15.75" customHeight="1">
      <c r="A200" s="232"/>
      <c r="B200" s="232"/>
      <c r="C200" s="232"/>
      <c r="D200" s="232"/>
      <c r="E200" s="232"/>
      <c r="F200" s="372" t="s">
        <v>2288</v>
      </c>
      <c r="G200" s="232"/>
      <c r="H200" s="232"/>
      <c r="I200" s="232"/>
      <c r="J200" s="232"/>
      <c r="K200" s="372" t="s">
        <v>2733</v>
      </c>
      <c r="L200" s="232"/>
      <c r="M200" s="232"/>
      <c r="N200" s="232"/>
    </row>
    <row r="201" ht="15.75" customHeight="1">
      <c r="A201" s="232"/>
      <c r="B201" s="232"/>
      <c r="C201" s="232"/>
      <c r="D201" s="232"/>
      <c r="E201" s="232"/>
      <c r="F201" s="372" t="s">
        <v>2734</v>
      </c>
      <c r="G201" s="232"/>
      <c r="H201" s="232"/>
      <c r="I201" s="232"/>
      <c r="J201" s="232"/>
      <c r="K201" s="372" t="s">
        <v>2496</v>
      </c>
      <c r="L201" s="232"/>
      <c r="M201" s="232"/>
      <c r="N201" s="232"/>
    </row>
    <row r="202" ht="15.75" customHeight="1">
      <c r="A202" s="232"/>
      <c r="B202" s="232"/>
      <c r="C202" s="232"/>
      <c r="D202" s="232"/>
      <c r="E202" s="232"/>
      <c r="F202" s="372" t="s">
        <v>2735</v>
      </c>
      <c r="G202" s="232"/>
      <c r="H202" s="232"/>
      <c r="I202" s="232"/>
      <c r="J202" s="232"/>
      <c r="K202" s="372" t="s">
        <v>2508</v>
      </c>
      <c r="L202" s="232"/>
      <c r="M202" s="232"/>
      <c r="N202" s="232"/>
    </row>
    <row r="203" ht="15.75" customHeight="1">
      <c r="A203" s="232"/>
      <c r="B203" s="232"/>
      <c r="C203" s="232"/>
      <c r="D203" s="232"/>
      <c r="E203" s="232"/>
      <c r="F203" s="372" t="s">
        <v>2736</v>
      </c>
      <c r="G203" s="232"/>
      <c r="H203" s="232"/>
      <c r="I203" s="232"/>
      <c r="J203" s="232"/>
      <c r="K203" s="372" t="s">
        <v>2737</v>
      </c>
      <c r="L203" s="232"/>
      <c r="M203" s="232"/>
      <c r="N203" s="232"/>
    </row>
    <row r="204" ht="15.75" customHeight="1">
      <c r="A204" s="232"/>
      <c r="B204" s="232"/>
      <c r="C204" s="232"/>
      <c r="D204" s="232"/>
      <c r="E204" s="232"/>
      <c r="F204" s="372" t="s">
        <v>2738</v>
      </c>
      <c r="G204" s="232"/>
      <c r="H204" s="232"/>
      <c r="I204" s="232"/>
      <c r="J204" s="232"/>
      <c r="K204" s="372" t="s">
        <v>2739</v>
      </c>
      <c r="L204" s="232"/>
      <c r="M204" s="232"/>
      <c r="N204" s="232"/>
    </row>
    <row r="205" ht="15.75" customHeight="1">
      <c r="A205" s="232"/>
      <c r="B205" s="232"/>
      <c r="C205" s="232"/>
      <c r="D205" s="232"/>
      <c r="E205" s="232"/>
      <c r="F205" s="372" t="s">
        <v>2740</v>
      </c>
      <c r="G205" s="232"/>
      <c r="H205" s="232"/>
      <c r="I205" s="232"/>
      <c r="J205" s="232"/>
      <c r="K205" s="372" t="s">
        <v>2741</v>
      </c>
      <c r="L205" s="232"/>
      <c r="M205" s="232"/>
      <c r="N205" s="232"/>
    </row>
    <row r="206" ht="15.75" customHeight="1">
      <c r="A206" s="232"/>
      <c r="B206" s="232"/>
      <c r="C206" s="232"/>
      <c r="D206" s="232"/>
      <c r="E206" s="232"/>
      <c r="F206" s="372" t="s">
        <v>2742</v>
      </c>
      <c r="G206" s="232"/>
      <c r="H206" s="232"/>
      <c r="I206" s="232"/>
      <c r="J206" s="232"/>
      <c r="K206" s="372" t="s">
        <v>2743</v>
      </c>
      <c r="L206" s="232"/>
      <c r="M206" s="232"/>
      <c r="N206" s="232"/>
    </row>
    <row r="207" ht="15.75" customHeight="1">
      <c r="A207" s="232"/>
      <c r="B207" s="232"/>
      <c r="C207" s="232"/>
      <c r="D207" s="232"/>
      <c r="E207" s="232"/>
      <c r="F207" s="372" t="s">
        <v>2744</v>
      </c>
      <c r="G207" s="232"/>
      <c r="H207" s="232"/>
      <c r="I207" s="232"/>
      <c r="J207" s="232"/>
      <c r="K207" s="372" t="s">
        <v>2666</v>
      </c>
      <c r="L207" s="232"/>
      <c r="M207" s="232"/>
      <c r="N207" s="232"/>
    </row>
    <row r="208" ht="15.75" customHeight="1">
      <c r="A208" s="232"/>
      <c r="B208" s="232"/>
      <c r="C208" s="232"/>
      <c r="D208" s="232"/>
      <c r="E208" s="232"/>
      <c r="F208" s="372" t="s">
        <v>2745</v>
      </c>
      <c r="G208" s="232"/>
      <c r="H208" s="232"/>
      <c r="I208" s="232"/>
      <c r="J208" s="232"/>
      <c r="K208" s="372" t="s">
        <v>2067</v>
      </c>
      <c r="L208" s="232"/>
      <c r="M208" s="232"/>
      <c r="N208" s="232"/>
    </row>
    <row r="209" ht="15.75" customHeight="1">
      <c r="A209" s="232"/>
      <c r="B209" s="232"/>
      <c r="C209" s="232"/>
      <c r="D209" s="232"/>
      <c r="E209" s="232"/>
      <c r="F209" s="372" t="s">
        <v>2746</v>
      </c>
      <c r="G209" s="232"/>
      <c r="H209" s="232"/>
      <c r="I209" s="232"/>
      <c r="J209" s="232"/>
      <c r="K209" s="372" t="s">
        <v>1905</v>
      </c>
      <c r="L209" s="232"/>
      <c r="M209" s="232"/>
      <c r="N209" s="232"/>
    </row>
    <row r="210" ht="15.75" customHeight="1">
      <c r="A210" s="232"/>
      <c r="B210" s="232"/>
      <c r="C210" s="232"/>
      <c r="D210" s="232"/>
      <c r="E210" s="232"/>
      <c r="F210" s="372" t="s">
        <v>2747</v>
      </c>
      <c r="G210" s="232"/>
      <c r="H210" s="232"/>
      <c r="I210" s="232"/>
      <c r="J210" s="232"/>
      <c r="K210" s="372" t="s">
        <v>1910</v>
      </c>
      <c r="L210" s="232"/>
      <c r="M210" s="232"/>
      <c r="N210" s="232"/>
    </row>
    <row r="211" ht="15.75" customHeight="1">
      <c r="A211" s="232"/>
      <c r="B211" s="232"/>
      <c r="C211" s="232"/>
      <c r="D211" s="232"/>
      <c r="E211" s="232"/>
      <c r="F211" s="372" t="s">
        <v>2748</v>
      </c>
      <c r="G211" s="232"/>
      <c r="H211" s="232"/>
      <c r="I211" s="232"/>
      <c r="J211" s="232"/>
      <c r="K211" s="372" t="s">
        <v>2749</v>
      </c>
      <c r="L211" s="232"/>
      <c r="M211" s="232"/>
      <c r="N211" s="232"/>
    </row>
    <row r="212" ht="15.75" customHeight="1">
      <c r="A212" s="232"/>
      <c r="B212" s="232"/>
      <c r="C212" s="232"/>
      <c r="D212" s="232"/>
      <c r="E212" s="232"/>
      <c r="F212" s="372" t="s">
        <v>2268</v>
      </c>
      <c r="G212" s="232"/>
      <c r="H212" s="232"/>
      <c r="I212" s="232"/>
      <c r="J212" s="232"/>
      <c r="K212" s="372" t="s">
        <v>2381</v>
      </c>
      <c r="L212" s="232"/>
      <c r="M212" s="232"/>
      <c r="N212" s="232"/>
    </row>
    <row r="213" ht="15.75" customHeight="1">
      <c r="A213" s="232"/>
      <c r="B213" s="232"/>
      <c r="C213" s="232"/>
      <c r="D213" s="232"/>
      <c r="E213" s="232"/>
      <c r="F213" s="372" t="s">
        <v>2272</v>
      </c>
      <c r="G213" s="232"/>
      <c r="H213" s="232"/>
      <c r="I213" s="232"/>
      <c r="J213" s="232"/>
      <c r="K213" s="372" t="s">
        <v>2388</v>
      </c>
      <c r="L213" s="232"/>
      <c r="M213" s="232"/>
      <c r="N213" s="232"/>
    </row>
    <row r="214" ht="15.75" customHeight="1">
      <c r="A214" s="232"/>
      <c r="B214" s="232"/>
      <c r="C214" s="232"/>
      <c r="D214" s="232"/>
      <c r="E214" s="232"/>
      <c r="F214" s="372" t="s">
        <v>2097</v>
      </c>
      <c r="G214" s="232"/>
      <c r="H214" s="232"/>
      <c r="I214" s="232"/>
      <c r="J214" s="232"/>
      <c r="K214" s="372" t="s">
        <v>2394</v>
      </c>
      <c r="L214" s="232"/>
      <c r="M214" s="232"/>
      <c r="N214" s="232"/>
    </row>
    <row r="215" ht="15.75" customHeight="1">
      <c r="A215" s="232"/>
      <c r="B215" s="232"/>
      <c r="C215" s="232"/>
      <c r="D215" s="232"/>
      <c r="E215" s="232"/>
      <c r="F215" s="372" t="s">
        <v>2110</v>
      </c>
      <c r="G215" s="232"/>
      <c r="H215" s="232"/>
      <c r="I215" s="232"/>
      <c r="J215" s="232"/>
      <c r="K215" s="372" t="s">
        <v>2401</v>
      </c>
      <c r="L215" s="232"/>
      <c r="M215" s="232"/>
      <c r="N215" s="232"/>
    </row>
    <row r="216" ht="15.75" customHeight="1">
      <c r="A216" s="232"/>
      <c r="B216" s="232"/>
      <c r="C216" s="232"/>
      <c r="D216" s="232"/>
      <c r="E216" s="232"/>
      <c r="F216" s="372" t="s">
        <v>2750</v>
      </c>
      <c r="G216" s="232"/>
      <c r="H216" s="232"/>
      <c r="I216" s="232"/>
      <c r="J216" s="232"/>
      <c r="K216" s="372" t="s">
        <v>2420</v>
      </c>
      <c r="L216" s="232"/>
      <c r="M216" s="232"/>
      <c r="N216" s="232"/>
    </row>
    <row r="217" ht="15.75" customHeight="1">
      <c r="A217" s="232"/>
      <c r="B217" s="232"/>
      <c r="C217" s="232"/>
      <c r="D217" s="232"/>
      <c r="E217" s="232"/>
      <c r="F217" s="372" t="s">
        <v>2277</v>
      </c>
      <c r="G217" s="232"/>
      <c r="H217" s="232"/>
      <c r="I217" s="232"/>
      <c r="J217" s="232"/>
      <c r="K217" s="372" t="s">
        <v>2168</v>
      </c>
      <c r="L217" s="232"/>
      <c r="M217" s="232"/>
      <c r="N217" s="232"/>
    </row>
    <row r="218" ht="15.75" customHeight="1">
      <c r="A218" s="232"/>
      <c r="B218" s="232"/>
      <c r="C218" s="232"/>
      <c r="D218" s="232"/>
      <c r="E218" s="232"/>
      <c r="F218" s="372" t="s">
        <v>2751</v>
      </c>
      <c r="G218" s="232"/>
      <c r="H218" s="232"/>
      <c r="I218" s="232"/>
      <c r="J218" s="232"/>
      <c r="K218" s="372" t="s">
        <v>2752</v>
      </c>
      <c r="L218" s="232"/>
      <c r="M218" s="232"/>
      <c r="N218" s="232"/>
    </row>
    <row r="219" ht="15.75" customHeight="1">
      <c r="A219" s="232"/>
      <c r="B219" s="232"/>
      <c r="C219" s="232"/>
      <c r="D219" s="232"/>
      <c r="E219" s="232"/>
      <c r="F219" s="372" t="s">
        <v>1933</v>
      </c>
      <c r="G219" s="232"/>
      <c r="H219" s="232"/>
      <c r="I219" s="232"/>
      <c r="J219" s="232"/>
      <c r="K219" s="372" t="s">
        <v>2753</v>
      </c>
      <c r="L219" s="232"/>
      <c r="M219" s="232"/>
      <c r="N219" s="232"/>
    </row>
    <row r="220" ht="15.75" customHeight="1">
      <c r="A220" s="232"/>
      <c r="B220" s="232"/>
      <c r="C220" s="232"/>
      <c r="D220" s="232"/>
      <c r="E220" s="232"/>
      <c r="F220" s="372" t="s">
        <v>2284</v>
      </c>
      <c r="G220" s="232"/>
      <c r="H220" s="232"/>
      <c r="I220" s="232"/>
      <c r="J220" s="232"/>
      <c r="K220" s="372" t="s">
        <v>2754</v>
      </c>
      <c r="L220" s="232"/>
      <c r="M220" s="232"/>
      <c r="N220" s="232"/>
    </row>
    <row r="221" ht="15.75" customHeight="1">
      <c r="A221" s="232"/>
      <c r="B221" s="232"/>
      <c r="C221" s="232"/>
      <c r="D221" s="232"/>
      <c r="E221" s="232"/>
      <c r="F221" s="372" t="s">
        <v>2290</v>
      </c>
      <c r="G221" s="232"/>
      <c r="H221" s="232"/>
      <c r="I221" s="232"/>
      <c r="J221" s="232"/>
      <c r="K221" s="372" t="s">
        <v>2755</v>
      </c>
      <c r="L221" s="232"/>
      <c r="M221" s="232"/>
      <c r="N221" s="232"/>
    </row>
    <row r="222" ht="15.75" customHeight="1">
      <c r="A222" s="232"/>
      <c r="B222" s="232"/>
      <c r="C222" s="232"/>
      <c r="D222" s="232"/>
      <c r="E222" s="232"/>
      <c r="F222" s="372" t="s">
        <v>2319</v>
      </c>
      <c r="G222" s="232"/>
      <c r="H222" s="232"/>
      <c r="I222" s="232"/>
      <c r="J222" s="232"/>
      <c r="K222" s="372" t="s">
        <v>2756</v>
      </c>
      <c r="L222" s="232"/>
      <c r="M222" s="232"/>
      <c r="N222" s="232"/>
    </row>
    <row r="223" ht="15.75" customHeight="1">
      <c r="A223" s="232"/>
      <c r="B223" s="232"/>
      <c r="C223" s="232"/>
      <c r="D223" s="232"/>
      <c r="E223" s="232"/>
      <c r="F223" s="372" t="s">
        <v>2327</v>
      </c>
      <c r="G223" s="232"/>
      <c r="H223" s="232"/>
      <c r="I223" s="232"/>
      <c r="J223" s="232"/>
      <c r="K223" s="372" t="s">
        <v>2757</v>
      </c>
      <c r="L223" s="232"/>
      <c r="M223" s="232"/>
      <c r="N223" s="232"/>
    </row>
    <row r="224" ht="15.75" customHeight="1">
      <c r="A224" s="232"/>
      <c r="B224" s="232"/>
      <c r="C224" s="232"/>
      <c r="D224" s="232"/>
      <c r="E224" s="232"/>
      <c r="F224" s="372" t="s">
        <v>2332</v>
      </c>
      <c r="G224" s="232"/>
      <c r="H224" s="232"/>
      <c r="I224" s="232"/>
      <c r="J224" s="232"/>
      <c r="K224" s="372" t="s">
        <v>2758</v>
      </c>
      <c r="L224" s="232"/>
      <c r="M224" s="232"/>
      <c r="N224" s="232"/>
    </row>
    <row r="225" ht="15.75" customHeight="1">
      <c r="A225" s="232"/>
      <c r="B225" s="232"/>
      <c r="C225" s="232"/>
      <c r="D225" s="232"/>
      <c r="E225" s="232"/>
      <c r="F225" s="372" t="s">
        <v>2337</v>
      </c>
      <c r="G225" s="232"/>
      <c r="H225" s="232"/>
      <c r="I225" s="232"/>
      <c r="J225" s="232"/>
      <c r="K225" s="372" t="s">
        <v>2759</v>
      </c>
      <c r="L225" s="232"/>
      <c r="M225" s="232"/>
      <c r="N225" s="232"/>
    </row>
    <row r="226" ht="15.75" customHeight="1">
      <c r="A226" s="232"/>
      <c r="B226" s="232"/>
      <c r="C226" s="232"/>
      <c r="D226" s="232"/>
      <c r="E226" s="232"/>
      <c r="F226" s="372" t="s">
        <v>2344</v>
      </c>
      <c r="G226" s="232"/>
      <c r="H226" s="232"/>
      <c r="I226" s="232"/>
      <c r="J226" s="232"/>
      <c r="K226" s="372" t="s">
        <v>2760</v>
      </c>
      <c r="L226" s="232"/>
      <c r="M226" s="232"/>
      <c r="N226" s="232"/>
    </row>
    <row r="227" ht="15.75" customHeight="1">
      <c r="A227" s="232"/>
      <c r="B227" s="232"/>
      <c r="C227" s="232"/>
      <c r="D227" s="232"/>
      <c r="E227" s="232"/>
      <c r="F227" s="372" t="s">
        <v>2761</v>
      </c>
      <c r="G227" s="232"/>
      <c r="H227" s="232"/>
      <c r="I227" s="232"/>
      <c r="J227" s="232"/>
      <c r="K227" s="372" t="s">
        <v>2762</v>
      </c>
      <c r="L227" s="232"/>
      <c r="M227" s="232"/>
      <c r="N227" s="232"/>
    </row>
    <row r="228" ht="15.75" customHeight="1">
      <c r="A228" s="232"/>
      <c r="B228" s="232"/>
      <c r="C228" s="232"/>
      <c r="D228" s="232"/>
      <c r="E228" s="232"/>
      <c r="F228" s="372" t="s">
        <v>2340</v>
      </c>
      <c r="G228" s="232"/>
      <c r="H228" s="232"/>
      <c r="I228" s="232"/>
      <c r="J228" s="232"/>
      <c r="K228" s="372" t="s">
        <v>2763</v>
      </c>
      <c r="L228" s="232"/>
      <c r="M228" s="232"/>
      <c r="N228" s="232"/>
    </row>
    <row r="229" ht="15.75" customHeight="1">
      <c r="A229" s="232"/>
      <c r="B229" s="232"/>
      <c r="C229" s="232"/>
      <c r="D229" s="232"/>
      <c r="E229" s="232"/>
      <c r="F229" s="372" t="s">
        <v>2764</v>
      </c>
      <c r="G229" s="232"/>
      <c r="H229" s="232"/>
      <c r="I229" s="232"/>
      <c r="J229" s="232"/>
      <c r="K229" s="372" t="s">
        <v>2765</v>
      </c>
      <c r="L229" s="232"/>
      <c r="M229" s="232"/>
      <c r="N229" s="232"/>
    </row>
    <row r="230" ht="15.75" customHeight="1">
      <c r="A230" s="232"/>
      <c r="B230" s="232"/>
      <c r="C230" s="232"/>
      <c r="D230" s="232"/>
      <c r="E230" s="232"/>
      <c r="F230" s="372" t="s">
        <v>2766</v>
      </c>
      <c r="G230" s="232"/>
      <c r="H230" s="232"/>
      <c r="I230" s="232"/>
      <c r="J230" s="232"/>
      <c r="K230" s="372" t="s">
        <v>2045</v>
      </c>
      <c r="L230" s="232"/>
      <c r="M230" s="232"/>
      <c r="N230" s="232"/>
    </row>
    <row r="231" ht="15.75" customHeight="1">
      <c r="A231" s="232"/>
      <c r="B231" s="232"/>
      <c r="C231" s="232"/>
      <c r="D231" s="232"/>
      <c r="E231" s="232"/>
      <c r="F231" s="372" t="s">
        <v>2349</v>
      </c>
      <c r="G231" s="232"/>
      <c r="H231" s="232"/>
      <c r="I231" s="232"/>
      <c r="J231" s="232"/>
      <c r="K231" s="372" t="s">
        <v>2767</v>
      </c>
      <c r="L231" s="232"/>
      <c r="M231" s="232"/>
      <c r="N231" s="232"/>
    </row>
    <row r="232" ht="15.75" customHeight="1">
      <c r="A232" s="232"/>
      <c r="B232" s="232"/>
      <c r="C232" s="232"/>
      <c r="D232" s="232"/>
      <c r="E232" s="232"/>
      <c r="F232" s="372" t="s">
        <v>1905</v>
      </c>
      <c r="G232" s="232"/>
      <c r="H232" s="232"/>
      <c r="I232" s="232"/>
      <c r="J232" s="232"/>
      <c r="K232" s="372" t="s">
        <v>2768</v>
      </c>
      <c r="L232" s="232"/>
      <c r="M232" s="232"/>
      <c r="N232" s="232"/>
    </row>
    <row r="233" ht="15.75" customHeight="1">
      <c r="A233" s="232"/>
      <c r="B233" s="232"/>
      <c r="C233" s="232"/>
      <c r="D233" s="232"/>
      <c r="E233" s="232"/>
      <c r="F233" s="372" t="s">
        <v>1910</v>
      </c>
      <c r="G233" s="232"/>
      <c r="H233" s="232"/>
      <c r="I233" s="232"/>
      <c r="J233" s="232"/>
      <c r="K233" s="372" t="s">
        <v>2769</v>
      </c>
      <c r="L233" s="232"/>
      <c r="M233" s="232"/>
      <c r="N233" s="232"/>
    </row>
    <row r="234" ht="15.75" customHeight="1">
      <c r="A234" s="232"/>
      <c r="B234" s="232"/>
      <c r="C234" s="232"/>
      <c r="D234" s="232"/>
      <c r="E234" s="232"/>
      <c r="F234" s="372" t="s">
        <v>2153</v>
      </c>
      <c r="G234" s="232"/>
      <c r="H234" s="232"/>
      <c r="I234" s="232"/>
      <c r="J234" s="232"/>
      <c r="K234" s="372" t="s">
        <v>2770</v>
      </c>
      <c r="L234" s="232"/>
      <c r="M234" s="232"/>
      <c r="N234" s="232"/>
    </row>
    <row r="235" ht="15.75" customHeight="1">
      <c r="A235" s="232"/>
      <c r="B235" s="232"/>
      <c r="C235" s="232"/>
      <c r="D235" s="232"/>
      <c r="E235" s="232"/>
      <c r="F235" s="372" t="s">
        <v>2373</v>
      </c>
      <c r="G235" s="232"/>
      <c r="H235" s="232"/>
      <c r="I235" s="232"/>
      <c r="J235" s="232"/>
      <c r="K235" s="372" t="s">
        <v>2771</v>
      </c>
      <c r="L235" s="232"/>
      <c r="M235" s="232"/>
      <c r="N235" s="232"/>
    </row>
    <row r="236" ht="15.75" customHeight="1">
      <c r="A236" s="232"/>
      <c r="B236" s="232"/>
      <c r="C236" s="232"/>
      <c r="D236" s="232"/>
      <c r="E236" s="232"/>
      <c r="F236" s="372" t="s">
        <v>2376</v>
      </c>
      <c r="G236" s="232"/>
      <c r="H236" s="232"/>
      <c r="I236" s="232"/>
      <c r="J236" s="232"/>
      <c r="K236" s="372" t="s">
        <v>2772</v>
      </c>
      <c r="L236" s="232"/>
      <c r="M236" s="232"/>
      <c r="N236" s="232"/>
    </row>
    <row r="237" ht="15.75" customHeight="1">
      <c r="A237" s="232"/>
      <c r="B237" s="232"/>
      <c r="C237" s="232"/>
      <c r="D237" s="232"/>
      <c r="E237" s="232"/>
      <c r="F237" s="372" t="s">
        <v>2381</v>
      </c>
      <c r="G237" s="232"/>
      <c r="H237" s="232"/>
      <c r="I237" s="232"/>
      <c r="J237" s="232"/>
      <c r="K237" s="372" t="s">
        <v>2773</v>
      </c>
      <c r="L237" s="232"/>
      <c r="M237" s="232"/>
      <c r="N237" s="232"/>
    </row>
    <row r="238" ht="15.75" customHeight="1">
      <c r="A238" s="232"/>
      <c r="B238" s="232"/>
      <c r="C238" s="232"/>
      <c r="D238" s="232"/>
      <c r="E238" s="232"/>
      <c r="F238" s="372" t="s">
        <v>2388</v>
      </c>
      <c r="G238" s="232"/>
      <c r="H238" s="232"/>
      <c r="I238" s="232"/>
      <c r="J238" s="232"/>
      <c r="K238" s="372" t="s">
        <v>2774</v>
      </c>
      <c r="L238" s="232"/>
      <c r="M238" s="232"/>
      <c r="N238" s="232"/>
    </row>
    <row r="239" ht="15.75" customHeight="1">
      <c r="A239" s="232"/>
      <c r="B239" s="232"/>
      <c r="C239" s="232"/>
      <c r="D239" s="232"/>
      <c r="E239" s="232"/>
      <c r="F239" s="372" t="s">
        <v>2394</v>
      </c>
      <c r="G239" s="232"/>
      <c r="H239" s="232"/>
      <c r="I239" s="232"/>
      <c r="J239" s="232"/>
      <c r="K239" s="372" t="s">
        <v>2775</v>
      </c>
      <c r="L239" s="232"/>
      <c r="M239" s="232"/>
      <c r="N239" s="232"/>
    </row>
    <row r="240" ht="15.75" customHeight="1">
      <c r="A240" s="232"/>
      <c r="B240" s="232"/>
      <c r="C240" s="232"/>
      <c r="D240" s="232"/>
      <c r="E240" s="232"/>
      <c r="F240" s="372" t="s">
        <v>2401</v>
      </c>
      <c r="G240" s="232"/>
      <c r="H240" s="232"/>
      <c r="I240" s="232"/>
      <c r="J240" s="232"/>
      <c r="K240" s="372" t="s">
        <v>2776</v>
      </c>
      <c r="L240" s="232"/>
      <c r="M240" s="232"/>
      <c r="N240" s="232"/>
    </row>
    <row r="241" ht="15.75" customHeight="1">
      <c r="A241" s="232"/>
      <c r="B241" s="232"/>
      <c r="C241" s="232"/>
      <c r="D241" s="232"/>
      <c r="E241" s="232"/>
      <c r="F241" s="372" t="s">
        <v>2408</v>
      </c>
      <c r="G241" s="232"/>
      <c r="H241" s="232"/>
      <c r="I241" s="232"/>
      <c r="J241" s="232"/>
      <c r="K241" s="372" t="s">
        <v>2777</v>
      </c>
      <c r="L241" s="232"/>
      <c r="M241" s="232"/>
      <c r="N241" s="232"/>
    </row>
    <row r="242" ht="15.75" customHeight="1">
      <c r="A242" s="232"/>
      <c r="B242" s="232"/>
      <c r="C242" s="232"/>
      <c r="D242" s="232"/>
      <c r="E242" s="232"/>
      <c r="F242" s="372" t="s">
        <v>2415</v>
      </c>
      <c r="G242" s="232"/>
      <c r="H242" s="232"/>
      <c r="I242" s="232"/>
      <c r="J242" s="232"/>
      <c r="K242" s="372" t="s">
        <v>2778</v>
      </c>
      <c r="L242" s="232"/>
      <c r="M242" s="232"/>
      <c r="N242" s="232"/>
    </row>
    <row r="243" ht="15.75" customHeight="1">
      <c r="A243" s="232"/>
      <c r="B243" s="232"/>
      <c r="C243" s="232"/>
      <c r="D243" s="232"/>
      <c r="E243" s="232"/>
      <c r="F243" s="372" t="s">
        <v>2420</v>
      </c>
      <c r="G243" s="232"/>
      <c r="H243" s="232"/>
      <c r="I243" s="232"/>
      <c r="J243" s="232"/>
      <c r="K243" s="372" t="s">
        <v>2779</v>
      </c>
      <c r="L243" s="232"/>
      <c r="M243" s="232"/>
      <c r="N243" s="232"/>
    </row>
    <row r="244" ht="15.75" customHeight="1">
      <c r="A244" s="232"/>
      <c r="B244" s="232"/>
      <c r="C244" s="232"/>
      <c r="D244" s="232"/>
      <c r="E244" s="232"/>
      <c r="F244" s="372" t="s">
        <v>2550</v>
      </c>
      <c r="G244" s="232"/>
      <c r="H244" s="232"/>
      <c r="I244" s="232"/>
      <c r="J244" s="232"/>
      <c r="K244" s="372" t="s">
        <v>2780</v>
      </c>
      <c r="L244" s="232"/>
      <c r="M244" s="232"/>
      <c r="N244" s="232"/>
    </row>
    <row r="245" ht="15.75" customHeight="1">
      <c r="A245" s="232"/>
      <c r="B245" s="232"/>
      <c r="C245" s="232"/>
      <c r="D245" s="232"/>
      <c r="E245" s="232"/>
      <c r="F245" s="372" t="s">
        <v>2427</v>
      </c>
      <c r="G245" s="232"/>
      <c r="H245" s="232"/>
      <c r="I245" s="232"/>
      <c r="J245" s="232"/>
      <c r="K245" s="372" t="s">
        <v>2781</v>
      </c>
      <c r="L245" s="232"/>
      <c r="M245" s="232"/>
      <c r="N245" s="232"/>
    </row>
    <row r="246" ht="15.75" customHeight="1">
      <c r="A246" s="232"/>
      <c r="B246" s="232"/>
      <c r="C246" s="232"/>
      <c r="D246" s="232"/>
      <c r="E246" s="232"/>
      <c r="F246" s="372" t="s">
        <v>2432</v>
      </c>
      <c r="G246" s="232"/>
      <c r="H246" s="232"/>
      <c r="I246" s="232"/>
      <c r="J246" s="232"/>
      <c r="K246" s="372" t="s">
        <v>2782</v>
      </c>
      <c r="L246" s="232"/>
      <c r="M246" s="232"/>
      <c r="N246" s="232"/>
    </row>
    <row r="247" ht="15.75" customHeight="1">
      <c r="A247" s="232"/>
      <c r="B247" s="232"/>
      <c r="C247" s="232"/>
      <c r="D247" s="232"/>
      <c r="E247" s="232"/>
      <c r="F247" s="372" t="s">
        <v>2437</v>
      </c>
      <c r="G247" s="232"/>
      <c r="H247" s="232"/>
      <c r="I247" s="232"/>
      <c r="J247" s="232"/>
      <c r="K247" s="372" t="s">
        <v>2783</v>
      </c>
      <c r="L247" s="232"/>
      <c r="M247" s="232"/>
      <c r="N247" s="232"/>
    </row>
    <row r="248" ht="15.75" customHeight="1">
      <c r="A248" s="232"/>
      <c r="B248" s="232"/>
      <c r="C248" s="232"/>
      <c r="D248" s="232"/>
      <c r="E248" s="232"/>
      <c r="F248" s="372" t="s">
        <v>2441</v>
      </c>
      <c r="G248" s="232"/>
      <c r="H248" s="232"/>
      <c r="I248" s="232"/>
      <c r="J248" s="232"/>
      <c r="K248" s="372" t="s">
        <v>390</v>
      </c>
      <c r="L248" s="232"/>
      <c r="M248" s="232"/>
      <c r="N248" s="232"/>
    </row>
    <row r="249" ht="15.75" customHeight="1">
      <c r="A249" s="232"/>
      <c r="B249" s="232"/>
      <c r="C249" s="232"/>
      <c r="D249" s="232"/>
      <c r="E249" s="232"/>
      <c r="F249" s="372" t="s">
        <v>2445</v>
      </c>
      <c r="G249" s="232"/>
      <c r="H249" s="232"/>
      <c r="I249" s="232"/>
      <c r="J249" s="232"/>
      <c r="K249" s="232"/>
      <c r="L249" s="232"/>
      <c r="M249" s="232"/>
      <c r="N249" s="232"/>
    </row>
    <row r="250" ht="15.75" customHeight="1">
      <c r="A250" s="232"/>
      <c r="B250" s="232"/>
      <c r="C250" s="232"/>
      <c r="D250" s="232"/>
      <c r="E250" s="232"/>
      <c r="F250" s="372" t="s">
        <v>2450</v>
      </c>
      <c r="G250" s="232"/>
      <c r="H250" s="232"/>
      <c r="I250" s="232"/>
      <c r="J250" s="232"/>
      <c r="K250" s="232"/>
      <c r="L250" s="232"/>
      <c r="M250" s="232"/>
      <c r="N250" s="232"/>
    </row>
    <row r="251" ht="15.75" customHeight="1">
      <c r="A251" s="232"/>
      <c r="B251" s="232"/>
      <c r="C251" s="232"/>
      <c r="D251" s="232"/>
      <c r="E251" s="232"/>
      <c r="F251" s="372" t="s">
        <v>2456</v>
      </c>
      <c r="G251" s="232"/>
      <c r="H251" s="232"/>
      <c r="I251" s="232"/>
      <c r="J251" s="232"/>
      <c r="K251" s="232"/>
      <c r="L251" s="232"/>
      <c r="M251" s="232"/>
      <c r="N251" s="232"/>
    </row>
    <row r="252" ht="15.75" customHeight="1">
      <c r="A252" s="232"/>
      <c r="B252" s="232"/>
      <c r="C252" s="232"/>
      <c r="D252" s="232"/>
      <c r="E252" s="232"/>
      <c r="F252" s="372" t="s">
        <v>2463</v>
      </c>
      <c r="G252" s="232"/>
      <c r="H252" s="232"/>
      <c r="I252" s="232"/>
      <c r="J252" s="232"/>
      <c r="K252" s="232"/>
      <c r="L252" s="232"/>
      <c r="M252" s="232"/>
      <c r="N252" s="232"/>
    </row>
    <row r="253" ht="15.75" customHeight="1">
      <c r="A253" s="232"/>
      <c r="B253" s="232"/>
      <c r="C253" s="232"/>
      <c r="D253" s="232"/>
      <c r="E253" s="232"/>
      <c r="F253" s="372" t="s">
        <v>2469</v>
      </c>
      <c r="G253" s="232"/>
      <c r="H253" s="232"/>
      <c r="I253" s="232"/>
      <c r="J253" s="232"/>
      <c r="K253" s="232"/>
      <c r="L253" s="232"/>
      <c r="M253" s="232"/>
      <c r="N253" s="232"/>
    </row>
    <row r="254" ht="15.75" customHeight="1">
      <c r="A254" s="232"/>
      <c r="B254" s="232"/>
      <c r="C254" s="232"/>
      <c r="D254" s="232"/>
      <c r="E254" s="232"/>
      <c r="F254" s="372" t="s">
        <v>2045</v>
      </c>
      <c r="G254" s="232"/>
      <c r="H254" s="232"/>
      <c r="I254" s="232"/>
      <c r="J254" s="232"/>
      <c r="K254" s="232"/>
      <c r="L254" s="232"/>
      <c r="M254" s="232"/>
      <c r="N254" s="232"/>
    </row>
    <row r="255" ht="15.75" customHeight="1">
      <c r="A255" s="232"/>
      <c r="B255" s="232"/>
      <c r="C255" s="232"/>
      <c r="D255" s="232"/>
      <c r="E255" s="232"/>
      <c r="F255" s="372" t="s">
        <v>375</v>
      </c>
      <c r="G255" s="232"/>
      <c r="H255" s="232"/>
      <c r="I255" s="232"/>
      <c r="J255" s="232"/>
      <c r="K255" s="232"/>
      <c r="L255" s="232"/>
      <c r="M255" s="232"/>
      <c r="N255" s="232"/>
    </row>
    <row r="256" ht="15.75" customHeight="1">
      <c r="A256" s="232"/>
      <c r="B256" s="232"/>
      <c r="C256" s="232"/>
      <c r="D256" s="232"/>
      <c r="E256" s="232"/>
      <c r="F256" s="372" t="s">
        <v>2488</v>
      </c>
      <c r="G256" s="232"/>
      <c r="H256" s="232"/>
      <c r="I256" s="232"/>
      <c r="J256" s="232"/>
      <c r="K256" s="232"/>
      <c r="L256" s="232"/>
      <c r="M256" s="232"/>
      <c r="N256" s="232"/>
    </row>
    <row r="257" ht="15.75" customHeight="1">
      <c r="A257" s="232"/>
      <c r="B257" s="232"/>
      <c r="C257" s="232"/>
      <c r="D257" s="232"/>
      <c r="E257" s="232"/>
      <c r="F257" s="372" t="s">
        <v>378</v>
      </c>
      <c r="G257" s="232"/>
      <c r="H257" s="232"/>
      <c r="I257" s="232"/>
      <c r="J257" s="232"/>
      <c r="K257" s="232"/>
      <c r="L257" s="232"/>
      <c r="M257" s="232"/>
      <c r="N257" s="232"/>
    </row>
    <row r="258" ht="15.75" customHeight="1">
      <c r="A258" s="232"/>
      <c r="B258" s="232"/>
      <c r="C258" s="232"/>
      <c r="D258" s="232"/>
      <c r="E258" s="232"/>
      <c r="F258" s="372" t="s">
        <v>2498</v>
      </c>
      <c r="G258" s="232"/>
      <c r="H258" s="232"/>
      <c r="I258" s="232"/>
      <c r="J258" s="232"/>
      <c r="K258" s="232"/>
      <c r="L258" s="232"/>
      <c r="M258" s="232"/>
      <c r="N258" s="232"/>
    </row>
    <row r="259" ht="15.75" customHeight="1">
      <c r="A259" s="232"/>
      <c r="B259" s="232"/>
      <c r="C259" s="232"/>
      <c r="D259" s="232"/>
      <c r="E259" s="232"/>
      <c r="F259" s="372" t="s">
        <v>2504</v>
      </c>
      <c r="G259" s="232"/>
      <c r="H259" s="232"/>
      <c r="I259" s="232"/>
      <c r="J259" s="232"/>
      <c r="K259" s="232"/>
      <c r="L259" s="232"/>
      <c r="M259" s="232"/>
      <c r="N259" s="232"/>
    </row>
    <row r="260" ht="15.75" customHeight="1">
      <c r="A260" s="232"/>
      <c r="B260" s="232"/>
      <c r="C260" s="232"/>
      <c r="D260" s="232"/>
      <c r="E260" s="232"/>
      <c r="F260" s="372" t="s">
        <v>2579</v>
      </c>
      <c r="G260" s="232"/>
      <c r="H260" s="232"/>
      <c r="I260" s="232"/>
      <c r="J260" s="232"/>
      <c r="K260" s="232"/>
      <c r="L260" s="232"/>
      <c r="M260" s="232"/>
      <c r="N260" s="232"/>
    </row>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N1"/>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5.13"/>
    <col customWidth="1" min="2" max="2" width="15.88"/>
    <col customWidth="1" min="3" max="3" width="39.5"/>
    <col customWidth="1" min="4" max="4" width="13.75"/>
    <col customWidth="1" min="5" max="6" width="12.63"/>
    <col customWidth="1" min="7" max="7" width="22.25"/>
    <col customWidth="1" min="8" max="8" width="27.25"/>
  </cols>
  <sheetData>
    <row r="1">
      <c r="A1" s="373" t="s">
        <v>2784</v>
      </c>
      <c r="F1" s="374"/>
      <c r="G1" s="374" t="s">
        <v>2785</v>
      </c>
      <c r="H1" s="375" t="s">
        <v>2786</v>
      </c>
      <c r="I1" s="374"/>
      <c r="J1" s="374"/>
      <c r="K1" s="376"/>
      <c r="L1" s="374"/>
      <c r="M1" s="374" t="s">
        <v>84</v>
      </c>
      <c r="N1" s="374"/>
      <c r="O1" s="374"/>
      <c r="P1" s="374"/>
      <c r="Q1" s="374"/>
      <c r="R1" s="374"/>
      <c r="S1" s="374"/>
      <c r="T1" s="374"/>
      <c r="U1" s="374"/>
      <c r="V1" s="374"/>
      <c r="W1" s="374"/>
      <c r="X1" s="374"/>
      <c r="Y1" s="65"/>
      <c r="Z1" s="65"/>
    </row>
    <row r="2">
      <c r="A2" s="373" t="s">
        <v>1542</v>
      </c>
      <c r="B2" s="373" t="s">
        <v>2787</v>
      </c>
      <c r="C2" s="373" t="s">
        <v>2788</v>
      </c>
      <c r="D2" s="374" t="s">
        <v>1637</v>
      </c>
      <c r="E2" s="376" t="s">
        <v>2789</v>
      </c>
      <c r="F2" s="374"/>
      <c r="G2" s="374" t="s">
        <v>84</v>
      </c>
      <c r="H2" s="374" t="s">
        <v>2790</v>
      </c>
      <c r="I2" s="374"/>
      <c r="J2" s="374"/>
      <c r="K2" s="376"/>
      <c r="L2" s="374"/>
      <c r="M2" s="374" t="s">
        <v>95</v>
      </c>
      <c r="N2" s="374"/>
      <c r="O2" s="374"/>
      <c r="P2" s="374"/>
      <c r="Q2" s="374"/>
      <c r="R2" s="374"/>
      <c r="S2" s="374"/>
      <c r="T2" s="374"/>
      <c r="U2" s="374"/>
      <c r="V2" s="374"/>
      <c r="W2" s="374"/>
      <c r="X2" s="374"/>
      <c r="Y2" s="65"/>
      <c r="Z2" s="65"/>
    </row>
    <row r="3">
      <c r="A3" s="376" t="s">
        <v>84</v>
      </c>
      <c r="B3" s="376" t="s">
        <v>2791</v>
      </c>
      <c r="C3" s="376" t="s">
        <v>1639</v>
      </c>
      <c r="D3" s="374" t="s">
        <v>1634</v>
      </c>
      <c r="E3" s="374" t="s">
        <v>2792</v>
      </c>
      <c r="F3" s="374"/>
      <c r="G3" s="374" t="s">
        <v>95</v>
      </c>
      <c r="H3" s="374" t="s">
        <v>2793</v>
      </c>
      <c r="I3" s="374"/>
      <c r="J3" s="374"/>
      <c r="K3" s="376"/>
      <c r="L3" s="374"/>
      <c r="M3" s="374" t="s">
        <v>107</v>
      </c>
      <c r="N3" s="374"/>
      <c r="O3" s="374"/>
      <c r="P3" s="374"/>
      <c r="Q3" s="374"/>
      <c r="R3" s="374"/>
      <c r="S3" s="374"/>
      <c r="T3" s="374"/>
      <c r="U3" s="374"/>
      <c r="V3" s="374"/>
      <c r="W3" s="374"/>
      <c r="X3" s="374"/>
      <c r="Y3" s="65"/>
      <c r="Z3" s="65"/>
    </row>
    <row r="4">
      <c r="A4" s="376" t="s">
        <v>84</v>
      </c>
      <c r="B4" s="376" t="s">
        <v>2794</v>
      </c>
      <c r="C4" s="376" t="s">
        <v>1642</v>
      </c>
      <c r="D4" s="374" t="s">
        <v>1639</v>
      </c>
      <c r="E4" s="374" t="s">
        <v>2791</v>
      </c>
      <c r="F4" s="374"/>
      <c r="G4" s="374" t="s">
        <v>107</v>
      </c>
      <c r="H4" s="374" t="s">
        <v>2795</v>
      </c>
      <c r="I4" s="374"/>
      <c r="J4" s="374"/>
      <c r="K4" s="376"/>
      <c r="L4" s="374"/>
      <c r="M4" s="374" t="s">
        <v>114</v>
      </c>
      <c r="N4" s="374"/>
      <c r="O4" s="374"/>
      <c r="P4" s="374"/>
      <c r="Q4" s="374"/>
      <c r="R4" s="374"/>
      <c r="S4" s="374"/>
      <c r="T4" s="374"/>
      <c r="U4" s="374"/>
      <c r="V4" s="374"/>
      <c r="W4" s="374"/>
      <c r="X4" s="374"/>
      <c r="Y4" s="65"/>
      <c r="Z4" s="65"/>
    </row>
    <row r="5">
      <c r="A5" s="376" t="s">
        <v>84</v>
      </c>
      <c r="B5" s="376" t="s">
        <v>2796</v>
      </c>
      <c r="C5" s="376" t="s">
        <v>1650</v>
      </c>
      <c r="D5" s="374" t="s">
        <v>1640</v>
      </c>
      <c r="E5" s="374" t="s">
        <v>2797</v>
      </c>
      <c r="F5" s="374"/>
      <c r="G5" s="374" t="s">
        <v>107</v>
      </c>
      <c r="H5" s="374" t="s">
        <v>2798</v>
      </c>
      <c r="I5" s="374"/>
      <c r="J5" s="374"/>
      <c r="K5" s="376"/>
      <c r="L5" s="374"/>
      <c r="M5" s="374" t="s">
        <v>117</v>
      </c>
      <c r="N5" s="374"/>
      <c r="O5" s="374"/>
      <c r="P5" s="374"/>
      <c r="Q5" s="374"/>
      <c r="R5" s="374"/>
      <c r="S5" s="374"/>
      <c r="T5" s="374"/>
      <c r="U5" s="374"/>
      <c r="V5" s="374"/>
      <c r="W5" s="374"/>
      <c r="X5" s="374"/>
      <c r="Y5" s="65"/>
      <c r="Z5" s="65"/>
    </row>
    <row r="6">
      <c r="A6" s="377" t="s">
        <v>84</v>
      </c>
      <c r="B6" s="374" t="s">
        <v>2799</v>
      </c>
      <c r="C6" s="374" t="s">
        <v>1641</v>
      </c>
      <c r="D6" s="377" t="s">
        <v>2800</v>
      </c>
      <c r="E6" s="374" t="s">
        <v>2801</v>
      </c>
      <c r="F6" s="374"/>
      <c r="G6" s="374" t="s">
        <v>107</v>
      </c>
      <c r="H6" s="374" t="s">
        <v>1646</v>
      </c>
      <c r="I6" s="374"/>
      <c r="J6" s="374"/>
      <c r="K6" s="376"/>
      <c r="L6" s="374"/>
      <c r="M6" s="374" t="s">
        <v>120</v>
      </c>
      <c r="N6" s="374"/>
      <c r="O6" s="374"/>
      <c r="P6" s="374"/>
      <c r="Q6" s="374"/>
      <c r="R6" s="374"/>
      <c r="S6" s="374"/>
      <c r="T6" s="374"/>
      <c r="U6" s="374"/>
      <c r="V6" s="374"/>
      <c r="W6" s="374"/>
      <c r="X6" s="374"/>
      <c r="Y6" s="65"/>
      <c r="Z6" s="65"/>
    </row>
    <row r="7">
      <c r="A7" s="376" t="s">
        <v>84</v>
      </c>
      <c r="B7" s="376" t="s">
        <v>2802</v>
      </c>
      <c r="C7" s="376" t="s">
        <v>1646</v>
      </c>
      <c r="D7" s="377" t="s">
        <v>1642</v>
      </c>
      <c r="E7" s="374" t="s">
        <v>2794</v>
      </c>
      <c r="F7" s="374"/>
      <c r="G7" s="374" t="s">
        <v>107</v>
      </c>
      <c r="H7" s="374" t="s">
        <v>1651</v>
      </c>
      <c r="I7" s="374"/>
      <c r="J7" s="374"/>
      <c r="K7" s="376"/>
      <c r="L7" s="374"/>
      <c r="M7" s="374" t="s">
        <v>123</v>
      </c>
      <c r="N7" s="374"/>
      <c r="O7" s="374"/>
      <c r="P7" s="374"/>
      <c r="Q7" s="374"/>
      <c r="R7" s="374"/>
      <c r="S7" s="374"/>
      <c r="T7" s="374"/>
      <c r="U7" s="374"/>
      <c r="V7" s="374"/>
      <c r="W7" s="374"/>
      <c r="X7" s="374"/>
      <c r="Y7" s="65"/>
      <c r="Z7" s="65"/>
    </row>
    <row r="8">
      <c r="A8" s="376" t="s">
        <v>84</v>
      </c>
      <c r="B8" s="376" t="s">
        <v>2803</v>
      </c>
      <c r="C8" s="376" t="s">
        <v>1651</v>
      </c>
      <c r="D8" s="377" t="s">
        <v>1636</v>
      </c>
      <c r="E8" s="374" t="s">
        <v>2804</v>
      </c>
      <c r="F8" s="374"/>
      <c r="G8" s="374" t="s">
        <v>132</v>
      </c>
      <c r="H8" s="374" t="s">
        <v>2805</v>
      </c>
      <c r="I8" s="374"/>
      <c r="J8" s="374"/>
      <c r="K8" s="377"/>
      <c r="L8" s="374"/>
      <c r="M8" s="374" t="s">
        <v>132</v>
      </c>
      <c r="N8" s="374"/>
      <c r="O8" s="374"/>
      <c r="P8" s="374"/>
      <c r="Q8" s="374"/>
      <c r="R8" s="374"/>
      <c r="S8" s="374"/>
      <c r="T8" s="374"/>
      <c r="U8" s="374"/>
      <c r="V8" s="374"/>
      <c r="W8" s="374"/>
      <c r="X8" s="374"/>
      <c r="Y8" s="65"/>
      <c r="Z8" s="65"/>
    </row>
    <row r="9">
      <c r="A9" s="376" t="s">
        <v>84</v>
      </c>
      <c r="B9" s="376" t="s">
        <v>2806</v>
      </c>
      <c r="C9" s="376" t="s">
        <v>2807</v>
      </c>
      <c r="D9" s="377" t="s">
        <v>1644</v>
      </c>
      <c r="E9" s="374" t="s">
        <v>2808</v>
      </c>
      <c r="F9" s="374"/>
      <c r="G9" s="374" t="s">
        <v>132</v>
      </c>
      <c r="H9" s="374" t="s">
        <v>1647</v>
      </c>
      <c r="I9" s="374"/>
      <c r="J9" s="374"/>
      <c r="K9" s="376"/>
      <c r="L9" s="374"/>
      <c r="M9" s="374" t="s">
        <v>135</v>
      </c>
      <c r="N9" s="374"/>
      <c r="O9" s="374"/>
      <c r="P9" s="374"/>
      <c r="Q9" s="374"/>
      <c r="R9" s="374"/>
      <c r="S9" s="374"/>
      <c r="T9" s="374"/>
      <c r="U9" s="374"/>
      <c r="V9" s="374"/>
      <c r="W9" s="374"/>
      <c r="X9" s="374"/>
      <c r="Y9" s="65"/>
      <c r="Z9" s="65"/>
    </row>
    <row r="10">
      <c r="A10" s="376" t="s">
        <v>84</v>
      </c>
      <c r="B10" s="376" t="s">
        <v>2809</v>
      </c>
      <c r="C10" s="376" t="s">
        <v>2810</v>
      </c>
      <c r="D10" s="377" t="s">
        <v>1641</v>
      </c>
      <c r="E10" s="374" t="s">
        <v>2799</v>
      </c>
      <c r="F10" s="374"/>
      <c r="G10" s="374" t="s">
        <v>132</v>
      </c>
      <c r="H10" s="374" t="s">
        <v>1651</v>
      </c>
      <c r="I10" s="374"/>
      <c r="J10" s="374"/>
      <c r="K10" s="376"/>
      <c r="L10" s="374"/>
      <c r="M10" s="374" t="s">
        <v>138</v>
      </c>
      <c r="N10" s="374"/>
      <c r="O10" s="374"/>
      <c r="P10" s="374"/>
      <c r="Q10" s="374"/>
      <c r="R10" s="374"/>
      <c r="S10" s="374"/>
      <c r="T10" s="374"/>
      <c r="U10" s="374"/>
      <c r="V10" s="374"/>
      <c r="W10" s="374"/>
      <c r="X10" s="374"/>
      <c r="Y10" s="65"/>
      <c r="Z10" s="65"/>
    </row>
    <row r="11">
      <c r="A11" s="376" t="s">
        <v>84</v>
      </c>
      <c r="B11" s="376" t="s">
        <v>2811</v>
      </c>
      <c r="C11" s="376" t="s">
        <v>2812</v>
      </c>
      <c r="D11" s="377" t="s">
        <v>1646</v>
      </c>
      <c r="E11" s="374" t="s">
        <v>2802</v>
      </c>
      <c r="F11" s="374"/>
      <c r="G11" s="374" t="s">
        <v>132</v>
      </c>
      <c r="H11" s="374" t="s">
        <v>2813</v>
      </c>
      <c r="I11" s="374"/>
      <c r="J11" s="374"/>
      <c r="K11" s="376"/>
      <c r="L11" s="374"/>
      <c r="M11" s="374" t="s">
        <v>150</v>
      </c>
      <c r="N11" s="374"/>
      <c r="O11" s="374"/>
      <c r="P11" s="374"/>
      <c r="Q11" s="374"/>
      <c r="R11" s="374"/>
      <c r="S11" s="374"/>
      <c r="T11" s="374"/>
      <c r="U11" s="374"/>
      <c r="V11" s="374"/>
      <c r="W11" s="374"/>
      <c r="X11" s="374"/>
      <c r="Y11" s="65"/>
      <c r="Z11" s="65"/>
    </row>
    <row r="12">
      <c r="A12" s="376" t="s">
        <v>84</v>
      </c>
      <c r="B12" s="376" t="s">
        <v>2814</v>
      </c>
      <c r="C12" s="376" t="s">
        <v>2815</v>
      </c>
      <c r="D12" s="377" t="s">
        <v>1635</v>
      </c>
      <c r="E12" s="374" t="s">
        <v>2816</v>
      </c>
      <c r="F12" s="374"/>
      <c r="G12" s="374" t="s">
        <v>135</v>
      </c>
      <c r="H12" s="374" t="s">
        <v>2795</v>
      </c>
      <c r="I12" s="374"/>
      <c r="J12" s="374"/>
      <c r="K12" s="376"/>
      <c r="L12" s="374"/>
      <c r="M12" s="374" t="s">
        <v>156</v>
      </c>
      <c r="N12" s="374"/>
      <c r="O12" s="374"/>
      <c r="P12" s="374"/>
      <c r="Q12" s="374"/>
      <c r="R12" s="374"/>
      <c r="S12" s="374"/>
      <c r="T12" s="374"/>
      <c r="U12" s="374"/>
      <c r="V12" s="374"/>
      <c r="W12" s="374"/>
      <c r="X12" s="374"/>
      <c r="Y12" s="65"/>
      <c r="Z12" s="65"/>
    </row>
    <row r="13">
      <c r="A13" s="376" t="s">
        <v>84</v>
      </c>
      <c r="B13" s="376" t="s">
        <v>2797</v>
      </c>
      <c r="C13" s="376" t="s">
        <v>1640</v>
      </c>
      <c r="D13" s="377" t="s">
        <v>1647</v>
      </c>
      <c r="E13" s="374" t="s">
        <v>2817</v>
      </c>
      <c r="F13" s="374"/>
      <c r="G13" s="374" t="s">
        <v>150</v>
      </c>
      <c r="H13" s="374" t="s">
        <v>1635</v>
      </c>
      <c r="I13" s="374"/>
      <c r="J13" s="374"/>
      <c r="K13" s="377"/>
      <c r="L13" s="374"/>
      <c r="M13" s="374" t="s">
        <v>165</v>
      </c>
      <c r="N13" s="374"/>
      <c r="O13" s="374"/>
      <c r="P13" s="374"/>
      <c r="Q13" s="374"/>
      <c r="R13" s="374"/>
      <c r="S13" s="374"/>
      <c r="T13" s="374"/>
      <c r="U13" s="374"/>
      <c r="V13" s="374"/>
      <c r="W13" s="374"/>
      <c r="X13" s="374"/>
      <c r="Y13" s="65"/>
      <c r="Z13" s="65"/>
    </row>
    <row r="14">
      <c r="A14" s="376" t="s">
        <v>84</v>
      </c>
      <c r="B14" s="376" t="s">
        <v>2818</v>
      </c>
      <c r="C14" s="376" t="s">
        <v>2819</v>
      </c>
      <c r="D14" s="377" t="s">
        <v>1649</v>
      </c>
      <c r="E14" s="374" t="s">
        <v>2820</v>
      </c>
      <c r="F14" s="374"/>
      <c r="G14" s="374" t="s">
        <v>156</v>
      </c>
      <c r="H14" s="374" t="s">
        <v>1638</v>
      </c>
      <c r="I14" s="374"/>
      <c r="J14" s="374"/>
      <c r="K14" s="376"/>
      <c r="L14" s="374"/>
      <c r="M14" s="374" t="s">
        <v>183</v>
      </c>
      <c r="N14" s="374"/>
      <c r="O14" s="374"/>
      <c r="P14" s="374"/>
      <c r="Q14" s="374"/>
      <c r="R14" s="374"/>
      <c r="S14" s="374"/>
      <c r="T14" s="374"/>
      <c r="U14" s="374"/>
      <c r="V14" s="374"/>
      <c r="W14" s="374"/>
      <c r="X14" s="374"/>
      <c r="Y14" s="65"/>
      <c r="Z14" s="65"/>
    </row>
    <row r="15">
      <c r="A15" s="376" t="s">
        <v>84</v>
      </c>
      <c r="B15" s="376" t="s">
        <v>2816</v>
      </c>
      <c r="C15" s="376" t="s">
        <v>1635</v>
      </c>
      <c r="D15" s="377" t="s">
        <v>1650</v>
      </c>
      <c r="E15" s="374" t="s">
        <v>2796</v>
      </c>
      <c r="F15" s="374"/>
      <c r="G15" s="374" t="s">
        <v>156</v>
      </c>
      <c r="H15" s="374" t="s">
        <v>1650</v>
      </c>
      <c r="I15" s="374"/>
      <c r="J15" s="374"/>
      <c r="K15" s="376"/>
      <c r="L15" s="374"/>
      <c r="M15" s="374" t="s">
        <v>201</v>
      </c>
      <c r="N15" s="374"/>
      <c r="O15" s="374"/>
      <c r="P15" s="374"/>
      <c r="Q15" s="374"/>
      <c r="R15" s="374"/>
      <c r="S15" s="374"/>
      <c r="T15" s="374"/>
      <c r="U15" s="374"/>
      <c r="V15" s="374"/>
      <c r="W15" s="374"/>
      <c r="X15" s="374"/>
      <c r="Y15" s="65"/>
      <c r="Z15" s="65"/>
    </row>
    <row r="16">
      <c r="A16" s="376" t="s">
        <v>84</v>
      </c>
      <c r="B16" s="376" t="s">
        <v>2821</v>
      </c>
      <c r="C16" s="376" t="s">
        <v>2822</v>
      </c>
      <c r="D16" s="377" t="s">
        <v>1651</v>
      </c>
      <c r="E16" s="374" t="s">
        <v>2803</v>
      </c>
      <c r="F16" s="374"/>
      <c r="G16" s="374" t="s">
        <v>156</v>
      </c>
      <c r="H16" s="374" t="s">
        <v>1651</v>
      </c>
      <c r="I16" s="374"/>
      <c r="J16" s="374"/>
      <c r="K16" s="376"/>
      <c r="L16" s="374"/>
      <c r="M16" s="374" t="s">
        <v>207</v>
      </c>
      <c r="N16" s="374"/>
      <c r="O16" s="374"/>
      <c r="P16" s="374"/>
      <c r="Q16" s="374"/>
      <c r="R16" s="374"/>
      <c r="S16" s="374"/>
      <c r="T16" s="374"/>
      <c r="U16" s="374"/>
      <c r="V16" s="374"/>
      <c r="W16" s="374"/>
      <c r="X16" s="374"/>
      <c r="Y16" s="65"/>
      <c r="Z16" s="65"/>
    </row>
    <row r="17">
      <c r="A17" s="376" t="s">
        <v>84</v>
      </c>
      <c r="B17" s="376" t="s">
        <v>2823</v>
      </c>
      <c r="C17" s="376" t="s">
        <v>2824</v>
      </c>
      <c r="D17" s="374"/>
      <c r="E17" s="374"/>
      <c r="F17" s="374"/>
      <c r="G17" s="374" t="s">
        <v>156</v>
      </c>
      <c r="H17" s="374" t="s">
        <v>2825</v>
      </c>
      <c r="I17" s="374"/>
      <c r="J17" s="374"/>
      <c r="K17" s="377"/>
      <c r="L17" s="374"/>
      <c r="M17" s="374" t="s">
        <v>213</v>
      </c>
      <c r="N17" s="374"/>
      <c r="O17" s="374"/>
      <c r="P17" s="374"/>
      <c r="Q17" s="374"/>
      <c r="R17" s="374"/>
      <c r="S17" s="374"/>
      <c r="T17" s="374"/>
      <c r="U17" s="374"/>
      <c r="V17" s="374"/>
      <c r="W17" s="374"/>
      <c r="X17" s="374"/>
      <c r="Y17" s="65"/>
      <c r="Z17" s="65"/>
    </row>
    <row r="18">
      <c r="A18" s="376" t="s">
        <v>84</v>
      </c>
      <c r="B18" s="376" t="s">
        <v>2826</v>
      </c>
      <c r="C18" s="376" t="s">
        <v>2827</v>
      </c>
      <c r="D18" s="374"/>
      <c r="E18" s="374"/>
      <c r="F18" s="374"/>
      <c r="G18" s="374" t="s">
        <v>171</v>
      </c>
      <c r="H18" s="374" t="s">
        <v>1637</v>
      </c>
      <c r="I18" s="374"/>
      <c r="J18" s="374"/>
      <c r="K18" s="376"/>
      <c r="L18" s="374"/>
      <c r="M18" s="374" t="s">
        <v>216</v>
      </c>
      <c r="N18" s="374"/>
      <c r="O18" s="374"/>
      <c r="P18" s="374"/>
      <c r="Q18" s="374"/>
      <c r="R18" s="374"/>
      <c r="S18" s="374"/>
      <c r="T18" s="374"/>
      <c r="U18" s="374"/>
      <c r="V18" s="374"/>
      <c r="W18" s="374"/>
      <c r="X18" s="374"/>
      <c r="Y18" s="65"/>
      <c r="Z18" s="65"/>
    </row>
    <row r="19">
      <c r="A19" s="376" t="s">
        <v>84</v>
      </c>
      <c r="B19" s="376" t="s">
        <v>2828</v>
      </c>
      <c r="C19" s="376" t="s">
        <v>2829</v>
      </c>
      <c r="D19" s="374"/>
      <c r="E19" s="374"/>
      <c r="F19" s="374"/>
      <c r="G19" s="374" t="s">
        <v>186</v>
      </c>
      <c r="H19" s="374" t="s">
        <v>1650</v>
      </c>
      <c r="I19" s="374"/>
      <c r="J19" s="374"/>
      <c r="K19" s="376"/>
      <c r="L19" s="374"/>
      <c r="M19" s="374" t="s">
        <v>222</v>
      </c>
      <c r="N19" s="374"/>
      <c r="O19" s="374"/>
      <c r="P19" s="374"/>
      <c r="Q19" s="374"/>
      <c r="R19" s="374"/>
      <c r="S19" s="374"/>
      <c r="T19" s="374"/>
      <c r="U19" s="374"/>
      <c r="V19" s="374"/>
      <c r="W19" s="374"/>
      <c r="X19" s="374"/>
      <c r="Y19" s="65"/>
      <c r="Z19" s="65"/>
    </row>
    <row r="20">
      <c r="A20" s="377" t="s">
        <v>84</v>
      </c>
      <c r="B20" s="374" t="s">
        <v>2830</v>
      </c>
      <c r="C20" s="374" t="s">
        <v>2831</v>
      </c>
      <c r="D20" s="374"/>
      <c r="E20" s="374"/>
      <c r="F20" s="374"/>
      <c r="G20" s="374" t="s">
        <v>201</v>
      </c>
      <c r="H20" s="374" t="s">
        <v>1637</v>
      </c>
      <c r="I20" s="374"/>
      <c r="J20" s="374"/>
      <c r="K20" s="376"/>
      <c r="L20" s="374"/>
      <c r="M20" s="374" t="s">
        <v>228</v>
      </c>
      <c r="N20" s="374"/>
      <c r="O20" s="374"/>
      <c r="P20" s="374"/>
      <c r="Q20" s="374"/>
      <c r="R20" s="374"/>
      <c r="S20" s="374"/>
      <c r="T20" s="374"/>
      <c r="U20" s="374"/>
      <c r="V20" s="374"/>
      <c r="W20" s="374"/>
      <c r="X20" s="374"/>
      <c r="Y20" s="65"/>
      <c r="Z20" s="65"/>
    </row>
    <row r="21" ht="15.75" customHeight="1">
      <c r="A21" s="376" t="s">
        <v>84</v>
      </c>
      <c r="B21" s="376" t="s">
        <v>2832</v>
      </c>
      <c r="C21" s="376" t="s">
        <v>2833</v>
      </c>
      <c r="D21" s="374"/>
      <c r="E21" s="374"/>
      <c r="F21" s="374"/>
      <c r="G21" s="374" t="s">
        <v>201</v>
      </c>
      <c r="H21" s="374" t="s">
        <v>1640</v>
      </c>
      <c r="I21" s="374"/>
      <c r="J21" s="374"/>
      <c r="K21" s="376"/>
      <c r="L21" s="374"/>
      <c r="M21" s="374" t="s">
        <v>237</v>
      </c>
      <c r="N21" s="374"/>
      <c r="O21" s="374"/>
      <c r="P21" s="374"/>
      <c r="Q21" s="374"/>
      <c r="R21" s="374"/>
      <c r="S21" s="374"/>
      <c r="T21" s="374"/>
      <c r="U21" s="374"/>
      <c r="V21" s="374"/>
      <c r="W21" s="374"/>
      <c r="X21" s="374"/>
      <c r="Y21" s="65"/>
      <c r="Z21" s="65"/>
    </row>
    <row r="22" ht="15.75" customHeight="1">
      <c r="A22" s="376" t="s">
        <v>84</v>
      </c>
      <c r="B22" s="376" t="s">
        <v>2834</v>
      </c>
      <c r="C22" s="376" t="s">
        <v>2835</v>
      </c>
      <c r="D22" s="374"/>
      <c r="E22" s="374"/>
      <c r="F22" s="374"/>
      <c r="G22" s="374" t="s">
        <v>201</v>
      </c>
      <c r="H22" s="374" t="s">
        <v>2805</v>
      </c>
      <c r="I22" s="374"/>
      <c r="J22" s="374"/>
      <c r="K22" s="376"/>
      <c r="L22" s="374"/>
      <c r="M22" s="374" t="s">
        <v>240</v>
      </c>
      <c r="N22" s="374"/>
      <c r="O22" s="374"/>
      <c r="P22" s="374"/>
      <c r="Q22" s="374"/>
      <c r="R22" s="374"/>
      <c r="S22" s="374"/>
      <c r="T22" s="374"/>
      <c r="U22" s="374"/>
      <c r="V22" s="374"/>
      <c r="W22" s="374"/>
      <c r="X22" s="374"/>
      <c r="Y22" s="65"/>
      <c r="Z22" s="65"/>
    </row>
    <row r="23" ht="15.75" customHeight="1">
      <c r="A23" s="376" t="s">
        <v>84</v>
      </c>
      <c r="B23" s="376" t="s">
        <v>2836</v>
      </c>
      <c r="C23" s="376" t="s">
        <v>2837</v>
      </c>
      <c r="D23" s="374"/>
      <c r="E23" s="374"/>
      <c r="F23" s="374"/>
      <c r="G23" s="374" t="s">
        <v>201</v>
      </c>
      <c r="H23" s="374" t="s">
        <v>1647</v>
      </c>
      <c r="I23" s="374"/>
      <c r="J23" s="374"/>
      <c r="K23" s="65"/>
      <c r="L23" s="374"/>
      <c r="M23" s="374" t="s">
        <v>243</v>
      </c>
      <c r="N23" s="374"/>
      <c r="O23" s="374"/>
      <c r="P23" s="374"/>
      <c r="Q23" s="374"/>
      <c r="R23" s="374"/>
      <c r="S23" s="374"/>
      <c r="T23" s="374"/>
      <c r="U23" s="374"/>
      <c r="V23" s="374"/>
      <c r="W23" s="374"/>
      <c r="X23" s="374"/>
      <c r="Y23" s="65"/>
      <c r="Z23" s="65"/>
    </row>
    <row r="24" ht="15.75" customHeight="1">
      <c r="A24" s="376" t="s">
        <v>84</v>
      </c>
      <c r="B24" s="376" t="s">
        <v>2838</v>
      </c>
      <c r="C24" s="376" t="s">
        <v>2839</v>
      </c>
      <c r="D24" s="374"/>
      <c r="E24" s="374"/>
      <c r="F24" s="374"/>
      <c r="G24" s="374" t="s">
        <v>201</v>
      </c>
      <c r="H24" s="374" t="s">
        <v>2840</v>
      </c>
      <c r="I24" s="374"/>
      <c r="J24" s="374"/>
      <c r="K24" s="65"/>
      <c r="L24" s="374"/>
      <c r="M24" s="374" t="s">
        <v>260</v>
      </c>
      <c r="N24" s="374"/>
      <c r="O24" s="374"/>
      <c r="P24" s="374"/>
      <c r="Q24" s="374"/>
      <c r="R24" s="374"/>
      <c r="S24" s="374"/>
      <c r="T24" s="374"/>
      <c r="U24" s="374"/>
      <c r="V24" s="374"/>
      <c r="W24" s="374"/>
      <c r="X24" s="374"/>
      <c r="Y24" s="65"/>
      <c r="Z24" s="65"/>
    </row>
    <row r="25" ht="15.75" customHeight="1">
      <c r="A25" s="376" t="s">
        <v>84</v>
      </c>
      <c r="B25" s="376" t="s">
        <v>2841</v>
      </c>
      <c r="C25" s="376" t="s">
        <v>2842</v>
      </c>
      <c r="D25" s="374"/>
      <c r="E25" s="374"/>
      <c r="F25" s="374"/>
      <c r="G25" s="374" t="s">
        <v>201</v>
      </c>
      <c r="H25" s="374" t="s">
        <v>2843</v>
      </c>
      <c r="I25" s="374"/>
      <c r="J25" s="374"/>
      <c r="K25" s="65"/>
      <c r="L25" s="374"/>
      <c r="M25" s="374" t="s">
        <v>265</v>
      </c>
      <c r="N25" s="374"/>
      <c r="O25" s="374"/>
      <c r="P25" s="374"/>
      <c r="Q25" s="374"/>
      <c r="R25" s="374"/>
      <c r="S25" s="374"/>
      <c r="T25" s="374"/>
      <c r="U25" s="374"/>
      <c r="V25" s="374"/>
      <c r="W25" s="374"/>
      <c r="X25" s="374"/>
      <c r="Y25" s="65"/>
      <c r="Z25" s="65"/>
    </row>
    <row r="26" ht="15.75" customHeight="1">
      <c r="A26" s="376" t="s">
        <v>84</v>
      </c>
      <c r="B26" s="376" t="s">
        <v>2844</v>
      </c>
      <c r="C26" s="376" t="s">
        <v>2845</v>
      </c>
      <c r="D26" s="374"/>
      <c r="E26" s="374"/>
      <c r="F26" s="374"/>
      <c r="G26" s="374" t="s">
        <v>207</v>
      </c>
      <c r="H26" s="374" t="s">
        <v>1637</v>
      </c>
      <c r="I26" s="374"/>
      <c r="J26" s="374"/>
      <c r="K26" s="65"/>
      <c r="L26" s="374"/>
      <c r="M26" s="374" t="s">
        <v>268</v>
      </c>
      <c r="N26" s="374"/>
      <c r="O26" s="374"/>
      <c r="P26" s="374"/>
      <c r="Q26" s="374"/>
      <c r="R26" s="374"/>
      <c r="S26" s="374"/>
      <c r="T26" s="374"/>
      <c r="U26" s="374"/>
      <c r="V26" s="374"/>
      <c r="W26" s="374"/>
      <c r="X26" s="374"/>
      <c r="Y26" s="65"/>
      <c r="Z26" s="65"/>
    </row>
    <row r="27" ht="15.75" customHeight="1">
      <c r="A27" s="376" t="s">
        <v>84</v>
      </c>
      <c r="B27" s="376" t="s">
        <v>2846</v>
      </c>
      <c r="C27" s="376" t="s">
        <v>2847</v>
      </c>
      <c r="D27" s="374"/>
      <c r="E27" s="374"/>
      <c r="F27" s="374"/>
      <c r="G27" s="374" t="s">
        <v>207</v>
      </c>
      <c r="H27" s="374" t="s">
        <v>1640</v>
      </c>
      <c r="I27" s="374"/>
      <c r="J27" s="374"/>
      <c r="K27" s="65"/>
      <c r="L27" s="374"/>
      <c r="M27" s="374" t="s">
        <v>277</v>
      </c>
      <c r="N27" s="374"/>
      <c r="O27" s="374"/>
      <c r="P27" s="374"/>
      <c r="Q27" s="374"/>
      <c r="R27" s="374"/>
      <c r="S27" s="374"/>
      <c r="T27" s="374"/>
      <c r="U27" s="374"/>
      <c r="V27" s="374"/>
      <c r="W27" s="374"/>
      <c r="X27" s="374"/>
      <c r="Y27" s="65"/>
      <c r="Z27" s="65"/>
    </row>
    <row r="28" ht="15.75" customHeight="1">
      <c r="A28" s="376" t="s">
        <v>95</v>
      </c>
      <c r="B28" s="376" t="s">
        <v>2817</v>
      </c>
      <c r="C28" s="376" t="s">
        <v>1647</v>
      </c>
      <c r="D28" s="374"/>
      <c r="E28" s="374"/>
      <c r="F28" s="374"/>
      <c r="G28" s="374" t="s">
        <v>207</v>
      </c>
      <c r="H28" s="374" t="s">
        <v>2848</v>
      </c>
      <c r="I28" s="374"/>
      <c r="J28" s="374"/>
      <c r="K28" s="65"/>
      <c r="L28" s="374"/>
      <c r="M28" s="374" t="s">
        <v>300</v>
      </c>
      <c r="N28" s="374"/>
      <c r="O28" s="374"/>
      <c r="P28" s="374"/>
      <c r="Q28" s="374"/>
      <c r="R28" s="374"/>
      <c r="S28" s="374"/>
      <c r="T28" s="374"/>
      <c r="U28" s="374"/>
      <c r="V28" s="374"/>
      <c r="W28" s="374"/>
      <c r="X28" s="374"/>
      <c r="Y28" s="65"/>
      <c r="Z28" s="65"/>
    </row>
    <row r="29" ht="15.75" customHeight="1">
      <c r="A29" s="376" t="s">
        <v>95</v>
      </c>
      <c r="B29" s="376" t="s">
        <v>2849</v>
      </c>
      <c r="C29" s="376" t="s">
        <v>2850</v>
      </c>
      <c r="D29" s="374"/>
      <c r="E29" s="374"/>
      <c r="F29" s="374"/>
      <c r="G29" s="374" t="s">
        <v>207</v>
      </c>
      <c r="H29" s="374" t="s">
        <v>1641</v>
      </c>
      <c r="I29" s="374"/>
      <c r="J29" s="374"/>
      <c r="K29" s="65"/>
      <c r="L29" s="374"/>
      <c r="M29" s="374" t="s">
        <v>303</v>
      </c>
      <c r="N29" s="374"/>
      <c r="O29" s="374"/>
      <c r="P29" s="374"/>
      <c r="Q29" s="374"/>
      <c r="R29" s="374"/>
      <c r="S29" s="374"/>
      <c r="T29" s="374"/>
      <c r="U29" s="374"/>
      <c r="V29" s="374"/>
      <c r="W29" s="374"/>
      <c r="X29" s="374"/>
      <c r="Y29" s="65"/>
      <c r="Z29" s="65"/>
    </row>
    <row r="30" ht="15.75" customHeight="1">
      <c r="A30" s="376" t="s">
        <v>95</v>
      </c>
      <c r="B30" s="376" t="s">
        <v>2791</v>
      </c>
      <c r="C30" s="376" t="s">
        <v>1639</v>
      </c>
      <c r="D30" s="374"/>
      <c r="E30" s="374"/>
      <c r="F30" s="374"/>
      <c r="G30" s="374" t="s">
        <v>207</v>
      </c>
      <c r="H30" s="374" t="s">
        <v>1635</v>
      </c>
      <c r="I30" s="374"/>
      <c r="J30" s="374"/>
      <c r="K30" s="65"/>
      <c r="L30" s="374"/>
      <c r="M30" s="374" t="s">
        <v>306</v>
      </c>
      <c r="N30" s="374"/>
      <c r="O30" s="374"/>
      <c r="P30" s="374"/>
      <c r="Q30" s="374"/>
      <c r="R30" s="374"/>
      <c r="S30" s="374"/>
      <c r="T30" s="374"/>
      <c r="U30" s="374"/>
      <c r="V30" s="374"/>
      <c r="W30" s="374"/>
      <c r="X30" s="374"/>
      <c r="Y30" s="65"/>
      <c r="Z30" s="65"/>
    </row>
    <row r="31" ht="15.75" customHeight="1">
      <c r="A31" s="376" t="s">
        <v>95</v>
      </c>
      <c r="B31" s="376" t="s">
        <v>2796</v>
      </c>
      <c r="C31" s="376" t="s">
        <v>1650</v>
      </c>
      <c r="D31" s="374"/>
      <c r="E31" s="374"/>
      <c r="F31" s="374"/>
      <c r="G31" s="374" t="s">
        <v>210</v>
      </c>
      <c r="H31" s="374" t="s">
        <v>1634</v>
      </c>
      <c r="I31" s="374"/>
      <c r="J31" s="374"/>
      <c r="K31" s="65"/>
      <c r="L31" s="374"/>
      <c r="M31" s="374" t="s">
        <v>321</v>
      </c>
      <c r="N31" s="374"/>
      <c r="O31" s="374"/>
      <c r="P31" s="374"/>
      <c r="Q31" s="374"/>
      <c r="R31" s="374"/>
      <c r="S31" s="374"/>
      <c r="T31" s="374"/>
      <c r="U31" s="374"/>
      <c r="V31" s="374"/>
      <c r="W31" s="374"/>
      <c r="X31" s="374"/>
      <c r="Y31" s="65"/>
      <c r="Z31" s="65"/>
    </row>
    <row r="32" ht="15.75" customHeight="1">
      <c r="A32" s="376" t="s">
        <v>95</v>
      </c>
      <c r="B32" s="376" t="s">
        <v>2820</v>
      </c>
      <c r="C32" s="376" t="s">
        <v>1649</v>
      </c>
      <c r="D32" s="374"/>
      <c r="E32" s="374"/>
      <c r="F32" s="374"/>
      <c r="G32" s="374" t="s">
        <v>210</v>
      </c>
      <c r="H32" s="374" t="s">
        <v>712</v>
      </c>
      <c r="I32" s="374"/>
      <c r="J32" s="374"/>
      <c r="K32" s="65"/>
      <c r="L32" s="374"/>
      <c r="M32" s="374" t="s">
        <v>324</v>
      </c>
      <c r="N32" s="374"/>
      <c r="O32" s="374"/>
      <c r="P32" s="374"/>
      <c r="Q32" s="374"/>
      <c r="R32" s="374"/>
      <c r="S32" s="374"/>
      <c r="T32" s="374"/>
      <c r="U32" s="374"/>
      <c r="V32" s="374"/>
      <c r="W32" s="374"/>
      <c r="X32" s="374"/>
      <c r="Y32" s="65"/>
      <c r="Z32" s="65"/>
    </row>
    <row r="33" ht="15.75" customHeight="1">
      <c r="A33" s="376" t="s">
        <v>95</v>
      </c>
      <c r="B33" s="376" t="s">
        <v>2789</v>
      </c>
      <c r="C33" s="376" t="s">
        <v>1637</v>
      </c>
      <c r="D33" s="374"/>
      <c r="E33" s="374"/>
      <c r="F33" s="374"/>
      <c r="G33" s="374" t="s">
        <v>210</v>
      </c>
      <c r="H33" s="374" t="s">
        <v>2800</v>
      </c>
      <c r="I33" s="374"/>
      <c r="J33" s="374"/>
      <c r="K33" s="65"/>
      <c r="L33" s="374"/>
      <c r="M33" s="374" t="s">
        <v>327</v>
      </c>
      <c r="N33" s="374"/>
      <c r="O33" s="374"/>
      <c r="P33" s="374"/>
      <c r="Q33" s="374"/>
      <c r="R33" s="374"/>
      <c r="S33" s="374"/>
      <c r="T33" s="374"/>
      <c r="U33" s="374"/>
      <c r="V33" s="374"/>
      <c r="W33" s="374"/>
      <c r="X33" s="374"/>
      <c r="Y33" s="65"/>
      <c r="Z33" s="65"/>
    </row>
    <row r="34" ht="15.75" customHeight="1">
      <c r="A34" s="376" t="s">
        <v>95</v>
      </c>
      <c r="B34" s="376" t="s">
        <v>2802</v>
      </c>
      <c r="C34" s="376" t="s">
        <v>1646</v>
      </c>
      <c r="D34" s="374"/>
      <c r="E34" s="374"/>
      <c r="F34" s="374"/>
      <c r="G34" s="374" t="s">
        <v>240</v>
      </c>
      <c r="H34" s="374" t="s">
        <v>2851</v>
      </c>
      <c r="I34" s="374"/>
      <c r="J34" s="374"/>
      <c r="K34" s="65"/>
      <c r="L34" s="374"/>
      <c r="M34" s="374" t="s">
        <v>333</v>
      </c>
      <c r="N34" s="374"/>
      <c r="O34" s="374"/>
      <c r="P34" s="374"/>
      <c r="Q34" s="374"/>
      <c r="R34" s="374"/>
      <c r="S34" s="374"/>
      <c r="T34" s="374"/>
      <c r="U34" s="374"/>
      <c r="V34" s="374"/>
      <c r="W34" s="374"/>
      <c r="X34" s="374"/>
      <c r="Y34" s="65"/>
      <c r="Z34" s="65"/>
    </row>
    <row r="35" ht="15.75" customHeight="1">
      <c r="A35" s="376" t="s">
        <v>95</v>
      </c>
      <c r="B35" s="376" t="s">
        <v>2803</v>
      </c>
      <c r="C35" s="376" t="s">
        <v>1651</v>
      </c>
      <c r="D35" s="374"/>
      <c r="E35" s="374"/>
      <c r="F35" s="374"/>
      <c r="G35" s="374" t="s">
        <v>240</v>
      </c>
      <c r="H35" s="374" t="s">
        <v>1640</v>
      </c>
      <c r="I35" s="374"/>
      <c r="J35" s="374"/>
      <c r="K35" s="65"/>
      <c r="L35" s="374"/>
      <c r="M35" s="374" t="s">
        <v>339</v>
      </c>
      <c r="N35" s="374"/>
      <c r="O35" s="374"/>
      <c r="P35" s="374"/>
      <c r="Q35" s="374"/>
      <c r="R35" s="374"/>
      <c r="S35" s="374"/>
      <c r="T35" s="374"/>
      <c r="U35" s="374"/>
      <c r="V35" s="374"/>
      <c r="W35" s="374"/>
      <c r="X35" s="374"/>
      <c r="Y35" s="65"/>
      <c r="Z35" s="65"/>
    </row>
    <row r="36" ht="15.75" customHeight="1">
      <c r="A36" s="376" t="s">
        <v>95</v>
      </c>
      <c r="B36" s="376" t="s">
        <v>2852</v>
      </c>
      <c r="C36" s="376" t="s">
        <v>2853</v>
      </c>
      <c r="D36" s="374"/>
      <c r="E36" s="374"/>
      <c r="F36" s="374"/>
      <c r="G36" s="374" t="s">
        <v>240</v>
      </c>
      <c r="H36" s="374" t="s">
        <v>1643</v>
      </c>
      <c r="I36" s="374"/>
      <c r="J36" s="374"/>
      <c r="K36" s="65"/>
      <c r="L36" s="374"/>
      <c r="M36" s="374" t="s">
        <v>348</v>
      </c>
      <c r="N36" s="374"/>
      <c r="O36" s="374"/>
      <c r="P36" s="374"/>
      <c r="Q36" s="374"/>
      <c r="R36" s="374"/>
      <c r="S36" s="374"/>
      <c r="T36" s="374"/>
      <c r="U36" s="374"/>
      <c r="V36" s="374"/>
      <c r="W36" s="374"/>
      <c r="X36" s="374"/>
      <c r="Y36" s="65"/>
      <c r="Z36" s="65"/>
    </row>
    <row r="37" ht="15.75" customHeight="1">
      <c r="A37" s="376" t="s">
        <v>95</v>
      </c>
      <c r="B37" s="376" t="s">
        <v>2821</v>
      </c>
      <c r="C37" s="376" t="s">
        <v>2822</v>
      </c>
      <c r="D37" s="374"/>
      <c r="E37" s="374"/>
      <c r="F37" s="374"/>
      <c r="G37" s="374" t="s">
        <v>240</v>
      </c>
      <c r="H37" s="374" t="s">
        <v>2854</v>
      </c>
      <c r="I37" s="374"/>
      <c r="J37" s="374"/>
      <c r="K37" s="65"/>
      <c r="L37" s="374"/>
      <c r="M37" s="374" t="s">
        <v>351</v>
      </c>
      <c r="N37" s="374"/>
      <c r="O37" s="374"/>
      <c r="P37" s="374"/>
      <c r="Q37" s="374"/>
      <c r="R37" s="374"/>
      <c r="S37" s="374"/>
      <c r="T37" s="374"/>
      <c r="U37" s="374"/>
      <c r="V37" s="374"/>
      <c r="W37" s="374"/>
      <c r="X37" s="374"/>
      <c r="Y37" s="65"/>
      <c r="Z37" s="65"/>
    </row>
    <row r="38" ht="15.75" customHeight="1">
      <c r="A38" s="376" t="s">
        <v>95</v>
      </c>
      <c r="B38" s="376" t="s">
        <v>2823</v>
      </c>
      <c r="C38" s="376" t="s">
        <v>2824</v>
      </c>
      <c r="D38" s="374"/>
      <c r="E38" s="374"/>
      <c r="F38" s="374"/>
      <c r="G38" s="374" t="s">
        <v>240</v>
      </c>
      <c r="H38" s="374" t="s">
        <v>1646</v>
      </c>
      <c r="I38" s="374"/>
      <c r="J38" s="374"/>
      <c r="K38" s="65"/>
      <c r="L38" s="374"/>
      <c r="M38" s="374" t="s">
        <v>354</v>
      </c>
      <c r="N38" s="374"/>
      <c r="O38" s="374"/>
      <c r="P38" s="374"/>
      <c r="Q38" s="374"/>
      <c r="R38" s="374"/>
      <c r="S38" s="374"/>
      <c r="T38" s="374"/>
      <c r="U38" s="374"/>
      <c r="V38" s="374"/>
      <c r="W38" s="374"/>
      <c r="X38" s="374"/>
      <c r="Y38" s="65"/>
      <c r="Z38" s="65"/>
    </row>
    <row r="39" ht="15.75" customHeight="1">
      <c r="A39" s="376" t="s">
        <v>107</v>
      </c>
      <c r="B39" s="376" t="s">
        <v>2855</v>
      </c>
      <c r="C39" s="376" t="s">
        <v>2856</v>
      </c>
      <c r="D39" s="374"/>
      <c r="E39" s="374"/>
      <c r="F39" s="374"/>
      <c r="G39" s="374" t="s">
        <v>240</v>
      </c>
      <c r="H39" s="374" t="s">
        <v>1649</v>
      </c>
      <c r="I39" s="374"/>
      <c r="J39" s="374"/>
      <c r="K39" s="65"/>
      <c r="L39" s="374"/>
      <c r="M39" s="374" t="s">
        <v>357</v>
      </c>
      <c r="N39" s="374"/>
      <c r="O39" s="374"/>
      <c r="P39" s="374"/>
      <c r="Q39" s="374"/>
      <c r="R39" s="374"/>
      <c r="S39" s="374"/>
      <c r="T39" s="374"/>
      <c r="U39" s="374"/>
      <c r="V39" s="374"/>
      <c r="W39" s="374"/>
      <c r="X39" s="374"/>
      <c r="Y39" s="65"/>
      <c r="Z39" s="65"/>
    </row>
    <row r="40" ht="15.75" customHeight="1">
      <c r="A40" s="376" t="s">
        <v>114</v>
      </c>
      <c r="B40" s="376" t="s">
        <v>2857</v>
      </c>
      <c r="C40" s="376" t="s">
        <v>2858</v>
      </c>
      <c r="D40" s="374"/>
      <c r="E40" s="374"/>
      <c r="F40" s="374"/>
      <c r="G40" s="374" t="s">
        <v>240</v>
      </c>
      <c r="H40" s="374" t="s">
        <v>1651</v>
      </c>
      <c r="I40" s="374"/>
      <c r="J40" s="374"/>
      <c r="K40" s="65"/>
      <c r="L40" s="374"/>
      <c r="M40" s="374" t="s">
        <v>360</v>
      </c>
      <c r="N40" s="374"/>
      <c r="O40" s="374"/>
      <c r="P40" s="374"/>
      <c r="Q40" s="374"/>
      <c r="R40" s="374"/>
      <c r="S40" s="374"/>
      <c r="T40" s="374"/>
      <c r="U40" s="374"/>
      <c r="V40" s="374"/>
      <c r="W40" s="374"/>
      <c r="X40" s="374"/>
      <c r="Y40" s="65"/>
      <c r="Z40" s="65"/>
    </row>
    <row r="41" ht="15.75" customHeight="1">
      <c r="A41" s="377" t="s">
        <v>114</v>
      </c>
      <c r="B41" s="374" t="s">
        <v>2859</v>
      </c>
      <c r="C41" s="374" t="s">
        <v>2860</v>
      </c>
      <c r="D41" s="374"/>
      <c r="E41" s="374"/>
      <c r="F41" s="374"/>
      <c r="G41" s="374" t="s">
        <v>268</v>
      </c>
      <c r="H41" s="374" t="s">
        <v>2861</v>
      </c>
      <c r="I41" s="374"/>
      <c r="J41" s="374"/>
      <c r="K41" s="65"/>
      <c r="L41" s="374"/>
      <c r="M41" s="374" t="s">
        <v>363</v>
      </c>
      <c r="N41" s="374"/>
      <c r="O41" s="374"/>
      <c r="P41" s="374"/>
      <c r="Q41" s="374"/>
      <c r="R41" s="374"/>
      <c r="S41" s="374"/>
      <c r="T41" s="374"/>
      <c r="U41" s="374"/>
      <c r="V41" s="374"/>
      <c r="W41" s="374"/>
      <c r="X41" s="374"/>
      <c r="Y41" s="65"/>
      <c r="Z41" s="65"/>
    </row>
    <row r="42" ht="15.75" customHeight="1">
      <c r="A42" s="376" t="s">
        <v>114</v>
      </c>
      <c r="B42" s="376" t="s">
        <v>2862</v>
      </c>
      <c r="C42" s="376" t="s">
        <v>2863</v>
      </c>
      <c r="D42" s="374"/>
      <c r="E42" s="374"/>
      <c r="F42" s="374"/>
      <c r="G42" s="374" t="s">
        <v>268</v>
      </c>
      <c r="H42" s="374" t="s">
        <v>2864</v>
      </c>
      <c r="I42" s="374"/>
      <c r="J42" s="374"/>
      <c r="K42" s="65"/>
      <c r="L42" s="374"/>
      <c r="M42" s="374" t="s">
        <v>366</v>
      </c>
      <c r="N42" s="374"/>
      <c r="O42" s="374"/>
      <c r="P42" s="374"/>
      <c r="Q42" s="374"/>
      <c r="R42" s="374"/>
      <c r="S42" s="374"/>
      <c r="T42" s="374"/>
      <c r="U42" s="374"/>
      <c r="V42" s="374"/>
      <c r="W42" s="374"/>
      <c r="X42" s="374"/>
      <c r="Y42" s="65"/>
      <c r="Z42" s="65"/>
    </row>
    <row r="43" ht="15.75" customHeight="1">
      <c r="A43" s="376" t="s">
        <v>114</v>
      </c>
      <c r="B43" s="376" t="s">
        <v>2865</v>
      </c>
      <c r="C43" s="376" t="s">
        <v>2866</v>
      </c>
      <c r="D43" s="374"/>
      <c r="E43" s="374"/>
      <c r="F43" s="374"/>
      <c r="G43" s="374" t="s">
        <v>268</v>
      </c>
      <c r="H43" s="374" t="s">
        <v>1639</v>
      </c>
      <c r="I43" s="374"/>
      <c r="J43" s="374"/>
      <c r="K43" s="65"/>
      <c r="L43" s="374"/>
      <c r="M43" s="374" t="s">
        <v>372</v>
      </c>
      <c r="N43" s="374"/>
      <c r="O43" s="374"/>
      <c r="P43" s="374"/>
      <c r="Q43" s="374"/>
      <c r="R43" s="374"/>
      <c r="S43" s="374"/>
      <c r="T43" s="374"/>
      <c r="U43" s="374"/>
      <c r="V43" s="374"/>
      <c r="W43" s="374"/>
      <c r="X43" s="374"/>
      <c r="Y43" s="65"/>
      <c r="Z43" s="65"/>
    </row>
    <row r="44" ht="15.75" customHeight="1">
      <c r="A44" s="376" t="s">
        <v>114</v>
      </c>
      <c r="B44" s="376" t="s">
        <v>2867</v>
      </c>
      <c r="C44" s="376" t="s">
        <v>2868</v>
      </c>
      <c r="D44" s="374"/>
      <c r="E44" s="374"/>
      <c r="F44" s="374"/>
      <c r="G44" s="374" t="s">
        <v>268</v>
      </c>
      <c r="H44" s="374" t="s">
        <v>2869</v>
      </c>
      <c r="I44" s="374"/>
      <c r="J44" s="374"/>
      <c r="K44" s="65"/>
      <c r="L44" s="374"/>
      <c r="M44" s="374" t="s">
        <v>375</v>
      </c>
      <c r="N44" s="374"/>
      <c r="O44" s="374"/>
      <c r="P44" s="374"/>
      <c r="Q44" s="374"/>
      <c r="R44" s="374"/>
      <c r="S44" s="374"/>
      <c r="T44" s="374"/>
      <c r="U44" s="374"/>
      <c r="V44" s="374"/>
      <c r="W44" s="374"/>
      <c r="X44" s="374"/>
      <c r="Y44" s="65"/>
      <c r="Z44" s="65"/>
    </row>
    <row r="45" ht="15.75" customHeight="1">
      <c r="A45" s="376" t="s">
        <v>114</v>
      </c>
      <c r="B45" s="376" t="s">
        <v>2870</v>
      </c>
      <c r="C45" s="376" t="s">
        <v>2871</v>
      </c>
      <c r="D45" s="374"/>
      <c r="E45" s="374"/>
      <c r="F45" s="374"/>
      <c r="G45" s="374" t="s">
        <v>268</v>
      </c>
      <c r="H45" s="374" t="s">
        <v>2872</v>
      </c>
      <c r="I45" s="374"/>
      <c r="J45" s="374"/>
      <c r="K45" s="65"/>
      <c r="L45" s="374"/>
      <c r="M45" s="374" t="s">
        <v>378</v>
      </c>
      <c r="N45" s="374"/>
      <c r="O45" s="374"/>
      <c r="P45" s="374"/>
      <c r="Q45" s="374"/>
      <c r="R45" s="374"/>
      <c r="S45" s="374"/>
      <c r="T45" s="374"/>
      <c r="U45" s="374"/>
      <c r="V45" s="374"/>
      <c r="W45" s="374"/>
      <c r="X45" s="374"/>
      <c r="Y45" s="65"/>
      <c r="Z45" s="65"/>
    </row>
    <row r="46" ht="15.75" customHeight="1">
      <c r="A46" s="376" t="s">
        <v>114</v>
      </c>
      <c r="B46" s="376" t="s">
        <v>2821</v>
      </c>
      <c r="C46" s="376" t="s">
        <v>2822</v>
      </c>
      <c r="D46" s="374"/>
      <c r="E46" s="374"/>
      <c r="F46" s="374"/>
      <c r="G46" s="374" t="s">
        <v>268</v>
      </c>
      <c r="H46" s="374" t="s">
        <v>2873</v>
      </c>
      <c r="I46" s="374"/>
      <c r="J46" s="374"/>
      <c r="K46" s="65"/>
      <c r="L46" s="374"/>
      <c r="M46" s="374" t="s">
        <v>384</v>
      </c>
      <c r="N46" s="374"/>
      <c r="O46" s="374"/>
      <c r="P46" s="374"/>
      <c r="Q46" s="374"/>
      <c r="R46" s="374"/>
      <c r="S46" s="374"/>
      <c r="T46" s="374"/>
      <c r="U46" s="374"/>
      <c r="V46" s="374"/>
      <c r="W46" s="374"/>
      <c r="X46" s="374"/>
      <c r="Y46" s="65"/>
      <c r="Z46" s="65"/>
    </row>
    <row r="47" ht="15.75" customHeight="1">
      <c r="A47" s="376" t="s">
        <v>114</v>
      </c>
      <c r="B47" s="376" t="s">
        <v>2826</v>
      </c>
      <c r="C47" s="376" t="s">
        <v>2827</v>
      </c>
      <c r="D47" s="374"/>
      <c r="E47" s="374"/>
      <c r="F47" s="374"/>
      <c r="G47" s="374" t="s">
        <v>268</v>
      </c>
      <c r="H47" s="374" t="s">
        <v>1643</v>
      </c>
      <c r="I47" s="374"/>
      <c r="J47" s="374"/>
      <c r="K47" s="65"/>
      <c r="L47" s="374"/>
      <c r="M47" s="374" t="s">
        <v>390</v>
      </c>
      <c r="N47" s="374"/>
      <c r="O47" s="374"/>
      <c r="P47" s="374"/>
      <c r="Q47" s="374"/>
      <c r="R47" s="374"/>
      <c r="S47" s="374"/>
      <c r="T47" s="374"/>
      <c r="U47" s="374"/>
      <c r="V47" s="374"/>
      <c r="W47" s="374"/>
      <c r="X47" s="374"/>
      <c r="Y47" s="65"/>
      <c r="Z47" s="65"/>
    </row>
    <row r="48" ht="15.75" customHeight="1">
      <c r="A48" s="376" t="s">
        <v>117</v>
      </c>
      <c r="B48" s="376" t="s">
        <v>2817</v>
      </c>
      <c r="C48" s="376" t="s">
        <v>1647</v>
      </c>
      <c r="D48" s="374"/>
      <c r="E48" s="374"/>
      <c r="F48" s="374"/>
      <c r="G48" s="374" t="s">
        <v>268</v>
      </c>
      <c r="H48" s="374" t="s">
        <v>2805</v>
      </c>
      <c r="I48" s="374"/>
      <c r="J48" s="374"/>
      <c r="K48" s="65"/>
      <c r="L48" s="374"/>
      <c r="M48" s="374" t="s">
        <v>393</v>
      </c>
      <c r="N48" s="374"/>
      <c r="O48" s="374"/>
      <c r="P48" s="374"/>
      <c r="Q48" s="374"/>
      <c r="R48" s="374"/>
      <c r="S48" s="374"/>
      <c r="T48" s="374"/>
      <c r="U48" s="374"/>
      <c r="V48" s="374"/>
      <c r="W48" s="374"/>
      <c r="X48" s="374"/>
      <c r="Y48" s="65"/>
      <c r="Z48" s="65"/>
    </row>
    <row r="49" ht="15.75" customHeight="1">
      <c r="A49" s="376" t="s">
        <v>117</v>
      </c>
      <c r="B49" s="376" t="s">
        <v>2796</v>
      </c>
      <c r="C49" s="376" t="s">
        <v>1650</v>
      </c>
      <c r="D49" s="374"/>
      <c r="E49" s="374"/>
      <c r="F49" s="374"/>
      <c r="G49" s="374" t="s">
        <v>268</v>
      </c>
      <c r="H49" s="374" t="s">
        <v>2793</v>
      </c>
      <c r="I49" s="374"/>
      <c r="J49" s="374"/>
      <c r="K49" s="65"/>
      <c r="L49" s="374"/>
      <c r="M49" s="65"/>
      <c r="N49" s="374"/>
      <c r="O49" s="374"/>
      <c r="P49" s="374"/>
      <c r="Q49" s="374"/>
      <c r="R49" s="374"/>
      <c r="S49" s="374"/>
      <c r="T49" s="374"/>
      <c r="U49" s="374"/>
      <c r="V49" s="374"/>
      <c r="W49" s="374"/>
      <c r="X49" s="374"/>
      <c r="Y49" s="65"/>
      <c r="Z49" s="65"/>
    </row>
    <row r="50" ht="15.75" customHeight="1">
      <c r="A50" s="376" t="s">
        <v>117</v>
      </c>
      <c r="B50" s="376" t="s">
        <v>2799</v>
      </c>
      <c r="C50" s="376" t="s">
        <v>1641</v>
      </c>
      <c r="D50" s="374"/>
      <c r="E50" s="374"/>
      <c r="F50" s="374"/>
      <c r="G50" s="374" t="s">
        <v>268</v>
      </c>
      <c r="H50" s="374" t="s">
        <v>1646</v>
      </c>
      <c r="I50" s="374"/>
      <c r="J50" s="374"/>
      <c r="K50" s="65"/>
      <c r="L50" s="374"/>
      <c r="M50" s="65"/>
      <c r="N50" s="374"/>
      <c r="O50" s="374"/>
      <c r="P50" s="374"/>
      <c r="Q50" s="374"/>
      <c r="R50" s="374"/>
      <c r="S50" s="374"/>
      <c r="T50" s="374"/>
      <c r="U50" s="374"/>
      <c r="V50" s="374"/>
      <c r="W50" s="374"/>
      <c r="X50" s="374"/>
      <c r="Y50" s="65"/>
      <c r="Z50" s="65"/>
    </row>
    <row r="51" ht="15.75" customHeight="1">
      <c r="A51" s="376" t="s">
        <v>117</v>
      </c>
      <c r="B51" s="376" t="s">
        <v>2789</v>
      </c>
      <c r="C51" s="376" t="s">
        <v>1637</v>
      </c>
      <c r="D51" s="374"/>
      <c r="E51" s="374"/>
      <c r="F51" s="374"/>
      <c r="G51" s="374" t="s">
        <v>268</v>
      </c>
      <c r="H51" s="374" t="s">
        <v>2874</v>
      </c>
      <c r="I51" s="374"/>
      <c r="J51" s="374"/>
      <c r="K51" s="65"/>
      <c r="L51" s="374"/>
      <c r="M51" s="65"/>
      <c r="N51" s="374"/>
      <c r="O51" s="374"/>
      <c r="P51" s="374"/>
      <c r="Q51" s="374"/>
      <c r="R51" s="374"/>
      <c r="S51" s="374"/>
      <c r="T51" s="374"/>
      <c r="U51" s="374"/>
      <c r="V51" s="374"/>
      <c r="W51" s="374"/>
      <c r="X51" s="374"/>
      <c r="Y51" s="65"/>
      <c r="Z51" s="65"/>
    </row>
    <row r="52" ht="15.75" customHeight="1">
      <c r="A52" s="376" t="s">
        <v>117</v>
      </c>
      <c r="B52" s="376" t="s">
        <v>2802</v>
      </c>
      <c r="C52" s="376" t="s">
        <v>1646</v>
      </c>
      <c r="D52" s="374"/>
      <c r="E52" s="374"/>
      <c r="F52" s="374"/>
      <c r="G52" s="374" t="s">
        <v>268</v>
      </c>
      <c r="H52" s="374" t="s">
        <v>2875</v>
      </c>
      <c r="I52" s="374"/>
      <c r="J52" s="374"/>
      <c r="K52" s="65"/>
      <c r="L52" s="374"/>
      <c r="M52" s="65"/>
      <c r="N52" s="374"/>
      <c r="O52" s="374"/>
      <c r="P52" s="374"/>
      <c r="Q52" s="374"/>
      <c r="R52" s="374"/>
      <c r="S52" s="374"/>
      <c r="T52" s="374"/>
      <c r="U52" s="374"/>
      <c r="V52" s="374"/>
      <c r="W52" s="374"/>
      <c r="X52" s="374"/>
      <c r="Y52" s="65"/>
      <c r="Z52" s="65"/>
    </row>
    <row r="53" ht="15.75" customHeight="1">
      <c r="A53" s="376" t="s">
        <v>117</v>
      </c>
      <c r="B53" s="376" t="s">
        <v>2803</v>
      </c>
      <c r="C53" s="376" t="s">
        <v>1651</v>
      </c>
      <c r="D53" s="374"/>
      <c r="E53" s="374"/>
      <c r="F53" s="374"/>
      <c r="G53" s="374" t="s">
        <v>268</v>
      </c>
      <c r="H53" s="374" t="s">
        <v>2876</v>
      </c>
      <c r="I53" s="374"/>
      <c r="J53" s="374"/>
      <c r="K53" s="65"/>
      <c r="L53" s="374"/>
      <c r="M53" s="65"/>
      <c r="N53" s="374"/>
      <c r="O53" s="374"/>
      <c r="P53" s="374"/>
      <c r="Q53" s="374"/>
      <c r="R53" s="374"/>
      <c r="S53" s="374"/>
      <c r="T53" s="374"/>
      <c r="U53" s="374"/>
      <c r="V53" s="374"/>
      <c r="W53" s="374"/>
      <c r="X53" s="374"/>
      <c r="Y53" s="65"/>
      <c r="Z53" s="65"/>
    </row>
    <row r="54" ht="15.75" customHeight="1">
      <c r="A54" s="376" t="s">
        <v>117</v>
      </c>
      <c r="B54" s="376" t="s">
        <v>2877</v>
      </c>
      <c r="C54" s="376" t="s">
        <v>2878</v>
      </c>
      <c r="D54" s="374"/>
      <c r="E54" s="374"/>
      <c r="F54" s="374"/>
      <c r="G54" s="374" t="s">
        <v>268</v>
      </c>
      <c r="H54" s="374" t="s">
        <v>1647</v>
      </c>
      <c r="I54" s="374"/>
      <c r="J54" s="374"/>
      <c r="K54" s="65"/>
      <c r="L54" s="374"/>
      <c r="M54" s="65"/>
      <c r="N54" s="374"/>
      <c r="O54" s="374"/>
      <c r="P54" s="374"/>
      <c r="Q54" s="374"/>
      <c r="R54" s="374"/>
      <c r="S54" s="374"/>
      <c r="T54" s="374"/>
      <c r="U54" s="374"/>
      <c r="V54" s="374"/>
      <c r="W54" s="374"/>
      <c r="X54" s="374"/>
      <c r="Y54" s="65"/>
      <c r="Z54" s="65"/>
    </row>
    <row r="55" ht="15.75" customHeight="1">
      <c r="A55" s="376" t="s">
        <v>117</v>
      </c>
      <c r="B55" s="376" t="s">
        <v>2857</v>
      </c>
      <c r="C55" s="376" t="s">
        <v>2858</v>
      </c>
      <c r="D55" s="374"/>
      <c r="E55" s="374"/>
      <c r="F55" s="374"/>
      <c r="G55" s="374" t="s">
        <v>268</v>
      </c>
      <c r="H55" s="374" t="s">
        <v>1649</v>
      </c>
      <c r="I55" s="374"/>
      <c r="J55" s="374"/>
      <c r="K55" s="65"/>
      <c r="L55" s="374"/>
      <c r="M55" s="65"/>
      <c r="N55" s="374"/>
      <c r="O55" s="374"/>
      <c r="P55" s="374"/>
      <c r="Q55" s="374"/>
      <c r="R55" s="374"/>
      <c r="S55" s="374"/>
      <c r="T55" s="374"/>
      <c r="U55" s="374"/>
      <c r="V55" s="374"/>
      <c r="W55" s="374"/>
      <c r="X55" s="374"/>
      <c r="Y55" s="65"/>
      <c r="Z55" s="65"/>
    </row>
    <row r="56" ht="15.75" customHeight="1">
      <c r="A56" s="376" t="s">
        <v>117</v>
      </c>
      <c r="B56" s="376" t="s">
        <v>2879</v>
      </c>
      <c r="C56" s="376" t="s">
        <v>2880</v>
      </c>
      <c r="D56" s="374"/>
      <c r="E56" s="374"/>
      <c r="F56" s="374"/>
      <c r="G56" s="374" t="s">
        <v>268</v>
      </c>
      <c r="H56" s="374" t="s">
        <v>2881</v>
      </c>
      <c r="I56" s="374"/>
      <c r="J56" s="374"/>
      <c r="K56" s="65"/>
      <c r="L56" s="374"/>
      <c r="M56" s="65"/>
      <c r="N56" s="374"/>
      <c r="O56" s="374"/>
      <c r="P56" s="374"/>
      <c r="Q56" s="374"/>
      <c r="R56" s="374"/>
      <c r="S56" s="374"/>
      <c r="T56" s="374"/>
      <c r="U56" s="374"/>
      <c r="V56" s="374"/>
      <c r="W56" s="374"/>
      <c r="X56" s="374"/>
      <c r="Y56" s="65"/>
      <c r="Z56" s="65"/>
    </row>
    <row r="57" ht="15.75" customHeight="1">
      <c r="A57" s="377" t="s">
        <v>117</v>
      </c>
      <c r="B57" s="374" t="s">
        <v>2879</v>
      </c>
      <c r="C57" s="374" t="s">
        <v>2880</v>
      </c>
      <c r="D57" s="374"/>
      <c r="E57" s="374"/>
      <c r="F57" s="374"/>
      <c r="G57" s="374" t="s">
        <v>268</v>
      </c>
      <c r="H57" s="374" t="s">
        <v>2882</v>
      </c>
      <c r="I57" s="374"/>
      <c r="J57" s="374"/>
      <c r="K57" s="65"/>
      <c r="L57" s="374"/>
      <c r="M57" s="65"/>
      <c r="N57" s="374"/>
      <c r="O57" s="374"/>
      <c r="P57" s="374"/>
      <c r="Q57" s="374"/>
      <c r="R57" s="374"/>
      <c r="S57" s="374"/>
      <c r="T57" s="374"/>
      <c r="U57" s="374"/>
      <c r="V57" s="374"/>
      <c r="W57" s="374"/>
      <c r="X57" s="374"/>
      <c r="Y57" s="65"/>
      <c r="Z57" s="65"/>
    </row>
    <row r="58" ht="15.75" customHeight="1">
      <c r="A58" s="376" t="s">
        <v>117</v>
      </c>
      <c r="B58" s="376" t="s">
        <v>2879</v>
      </c>
      <c r="C58" s="376" t="s">
        <v>2880</v>
      </c>
      <c r="D58" s="374"/>
      <c r="E58" s="374"/>
      <c r="F58" s="374"/>
      <c r="G58" s="374" t="s">
        <v>268</v>
      </c>
      <c r="H58" s="374" t="s">
        <v>2883</v>
      </c>
      <c r="I58" s="374"/>
      <c r="J58" s="374"/>
      <c r="K58" s="65"/>
      <c r="L58" s="374"/>
      <c r="M58" s="65"/>
      <c r="N58" s="374"/>
      <c r="O58" s="374"/>
      <c r="P58" s="374"/>
      <c r="Q58" s="374"/>
      <c r="R58" s="374"/>
      <c r="S58" s="374"/>
      <c r="T58" s="374"/>
      <c r="U58" s="374"/>
      <c r="V58" s="374"/>
      <c r="W58" s="374"/>
      <c r="X58" s="374"/>
      <c r="Y58" s="65"/>
      <c r="Z58" s="65"/>
    </row>
    <row r="59" ht="15.75" customHeight="1">
      <c r="A59" s="376" t="s">
        <v>117</v>
      </c>
      <c r="B59" s="376" t="s">
        <v>2859</v>
      </c>
      <c r="C59" s="376" t="s">
        <v>2860</v>
      </c>
      <c r="D59" s="374"/>
      <c r="E59" s="374"/>
      <c r="F59" s="374"/>
      <c r="G59" s="374" t="s">
        <v>268</v>
      </c>
      <c r="H59" s="374" t="s">
        <v>2843</v>
      </c>
      <c r="I59" s="374"/>
      <c r="J59" s="374"/>
      <c r="K59" s="65"/>
      <c r="L59" s="374"/>
      <c r="M59" s="65"/>
      <c r="N59" s="374"/>
      <c r="O59" s="374"/>
      <c r="P59" s="374"/>
      <c r="Q59" s="374"/>
      <c r="R59" s="374"/>
      <c r="S59" s="374"/>
      <c r="T59" s="374"/>
      <c r="U59" s="374"/>
      <c r="V59" s="374"/>
      <c r="W59" s="374"/>
      <c r="X59" s="374"/>
      <c r="Y59" s="65"/>
      <c r="Z59" s="65"/>
    </row>
    <row r="60" ht="15.75" customHeight="1">
      <c r="A60" s="377" t="s">
        <v>117</v>
      </c>
      <c r="B60" s="374" t="s">
        <v>2884</v>
      </c>
      <c r="C60" s="374" t="s">
        <v>2885</v>
      </c>
      <c r="D60" s="374"/>
      <c r="E60" s="374"/>
      <c r="F60" s="374"/>
      <c r="G60" s="374" t="s">
        <v>268</v>
      </c>
      <c r="H60" s="374" t="s">
        <v>706</v>
      </c>
      <c r="I60" s="374"/>
      <c r="J60" s="374"/>
      <c r="K60" s="65"/>
      <c r="L60" s="374"/>
      <c r="M60" s="65"/>
      <c r="N60" s="374"/>
      <c r="O60" s="374"/>
      <c r="P60" s="374"/>
      <c r="Q60" s="374"/>
      <c r="R60" s="374"/>
      <c r="S60" s="374"/>
      <c r="T60" s="374"/>
      <c r="U60" s="374"/>
      <c r="V60" s="374"/>
      <c r="W60" s="374"/>
      <c r="X60" s="374"/>
      <c r="Y60" s="65"/>
      <c r="Z60" s="65"/>
    </row>
    <row r="61" ht="15.75" customHeight="1">
      <c r="A61" s="376" t="s">
        <v>117</v>
      </c>
      <c r="B61" s="376" t="s">
        <v>2886</v>
      </c>
      <c r="C61" s="376" t="s">
        <v>2887</v>
      </c>
      <c r="D61" s="374"/>
      <c r="E61" s="374"/>
      <c r="F61" s="374"/>
      <c r="G61" s="374" t="s">
        <v>268</v>
      </c>
      <c r="H61" s="374" t="s">
        <v>2888</v>
      </c>
      <c r="I61" s="374"/>
      <c r="J61" s="374"/>
      <c r="K61" s="65"/>
      <c r="L61" s="374"/>
      <c r="M61" s="65"/>
      <c r="N61" s="374"/>
      <c r="O61" s="374"/>
      <c r="P61" s="374"/>
      <c r="Q61" s="374"/>
      <c r="R61" s="374"/>
      <c r="S61" s="374"/>
      <c r="T61" s="374"/>
      <c r="U61" s="374"/>
      <c r="V61" s="374"/>
      <c r="W61" s="374"/>
      <c r="X61" s="374"/>
      <c r="Y61" s="65"/>
      <c r="Z61" s="65"/>
    </row>
    <row r="62" ht="15.75" customHeight="1">
      <c r="A62" s="376" t="s">
        <v>117</v>
      </c>
      <c r="B62" s="376" t="s">
        <v>2889</v>
      </c>
      <c r="C62" s="376" t="s">
        <v>2890</v>
      </c>
      <c r="D62" s="374"/>
      <c r="E62" s="374"/>
      <c r="F62" s="374"/>
      <c r="G62" s="374" t="s">
        <v>268</v>
      </c>
      <c r="H62" s="374" t="s">
        <v>1651</v>
      </c>
      <c r="I62" s="374"/>
      <c r="J62" s="374"/>
      <c r="K62" s="65"/>
      <c r="L62" s="374"/>
      <c r="M62" s="65"/>
      <c r="N62" s="374"/>
      <c r="O62" s="374"/>
      <c r="P62" s="374"/>
      <c r="Q62" s="374"/>
      <c r="R62" s="374"/>
      <c r="S62" s="374"/>
      <c r="T62" s="374"/>
      <c r="U62" s="374"/>
      <c r="V62" s="374"/>
      <c r="W62" s="374"/>
      <c r="X62" s="374"/>
      <c r="Y62" s="65"/>
      <c r="Z62" s="65"/>
    </row>
    <row r="63" ht="15.75" customHeight="1">
      <c r="A63" s="376" t="s">
        <v>117</v>
      </c>
      <c r="B63" s="376" t="s">
        <v>2891</v>
      </c>
      <c r="C63" s="376" t="s">
        <v>2892</v>
      </c>
      <c r="D63" s="374"/>
      <c r="E63" s="374"/>
      <c r="F63" s="374"/>
      <c r="G63" s="374" t="s">
        <v>268</v>
      </c>
      <c r="H63" s="374" t="s">
        <v>732</v>
      </c>
      <c r="I63" s="374"/>
      <c r="J63" s="374"/>
      <c r="K63" s="65"/>
      <c r="L63" s="374"/>
      <c r="M63" s="65"/>
      <c r="N63" s="374"/>
      <c r="O63" s="374"/>
      <c r="P63" s="374"/>
      <c r="Q63" s="374"/>
      <c r="R63" s="374"/>
      <c r="S63" s="374"/>
      <c r="T63" s="374"/>
      <c r="U63" s="374"/>
      <c r="V63" s="374"/>
      <c r="W63" s="374"/>
      <c r="X63" s="374"/>
      <c r="Y63" s="65"/>
      <c r="Z63" s="65"/>
    </row>
    <row r="64" ht="15.75" customHeight="1">
      <c r="A64" s="376" t="s">
        <v>117</v>
      </c>
      <c r="B64" s="376" t="s">
        <v>2893</v>
      </c>
      <c r="C64" s="376" t="s">
        <v>2894</v>
      </c>
      <c r="D64" s="374"/>
      <c r="E64" s="374"/>
      <c r="F64" s="374"/>
      <c r="G64" s="374" t="s">
        <v>268</v>
      </c>
      <c r="H64" s="374" t="s">
        <v>2895</v>
      </c>
      <c r="I64" s="374"/>
      <c r="J64" s="374"/>
      <c r="K64" s="65"/>
      <c r="L64" s="374"/>
      <c r="M64" s="65"/>
      <c r="N64" s="374"/>
      <c r="O64" s="374"/>
      <c r="P64" s="374"/>
      <c r="Q64" s="374"/>
      <c r="R64" s="374"/>
      <c r="S64" s="374"/>
      <c r="T64" s="374"/>
      <c r="U64" s="374"/>
      <c r="V64" s="374"/>
      <c r="W64" s="374"/>
      <c r="X64" s="374"/>
      <c r="Y64" s="65"/>
      <c r="Z64" s="65"/>
    </row>
    <row r="65" ht="15.75" customHeight="1">
      <c r="A65" s="376" t="s">
        <v>117</v>
      </c>
      <c r="B65" s="376" t="s">
        <v>2797</v>
      </c>
      <c r="C65" s="376" t="s">
        <v>1640</v>
      </c>
      <c r="D65" s="374"/>
      <c r="E65" s="374"/>
      <c r="F65" s="374"/>
      <c r="G65" s="374" t="s">
        <v>274</v>
      </c>
      <c r="H65" s="374" t="s">
        <v>2896</v>
      </c>
      <c r="I65" s="374"/>
      <c r="J65" s="374"/>
      <c r="K65" s="65"/>
      <c r="L65" s="374"/>
      <c r="M65" s="65"/>
      <c r="N65" s="374"/>
      <c r="O65" s="374"/>
      <c r="P65" s="374"/>
      <c r="Q65" s="374"/>
      <c r="R65" s="374"/>
      <c r="S65" s="374"/>
      <c r="T65" s="374"/>
      <c r="U65" s="374"/>
      <c r="V65" s="374"/>
      <c r="W65" s="374"/>
      <c r="X65" s="374"/>
      <c r="Y65" s="65"/>
      <c r="Z65" s="65"/>
    </row>
    <row r="66" ht="15.75" customHeight="1">
      <c r="A66" s="376" t="s">
        <v>117</v>
      </c>
      <c r="B66" s="376" t="s">
        <v>2897</v>
      </c>
      <c r="C66" s="376" t="s">
        <v>2898</v>
      </c>
      <c r="D66" s="374"/>
      <c r="E66" s="374"/>
      <c r="F66" s="374"/>
      <c r="G66" s="374" t="s">
        <v>274</v>
      </c>
      <c r="H66" s="374" t="s">
        <v>704</v>
      </c>
      <c r="I66" s="374"/>
      <c r="J66" s="374"/>
      <c r="K66" s="65"/>
      <c r="L66" s="374"/>
      <c r="M66" s="65"/>
      <c r="N66" s="374"/>
      <c r="O66" s="374"/>
      <c r="P66" s="374"/>
      <c r="Q66" s="374"/>
      <c r="R66" s="374"/>
      <c r="S66" s="374"/>
      <c r="T66" s="374"/>
      <c r="U66" s="374"/>
      <c r="V66" s="374"/>
      <c r="W66" s="374"/>
      <c r="X66" s="374"/>
      <c r="Y66" s="65"/>
      <c r="Z66" s="65"/>
    </row>
    <row r="67" ht="15.75" customHeight="1">
      <c r="A67" s="376" t="s">
        <v>117</v>
      </c>
      <c r="B67" s="376" t="s">
        <v>2899</v>
      </c>
      <c r="C67" s="376" t="s">
        <v>2900</v>
      </c>
      <c r="D67" s="374"/>
      <c r="E67" s="374"/>
      <c r="F67" s="374"/>
      <c r="G67" s="374" t="s">
        <v>274</v>
      </c>
      <c r="H67" s="374" t="s">
        <v>705</v>
      </c>
      <c r="I67" s="374"/>
      <c r="J67" s="374"/>
      <c r="K67" s="65"/>
      <c r="L67" s="374"/>
      <c r="M67" s="65"/>
      <c r="N67" s="374"/>
      <c r="O67" s="374"/>
      <c r="P67" s="374"/>
      <c r="Q67" s="374"/>
      <c r="R67" s="374"/>
      <c r="S67" s="374"/>
      <c r="T67" s="374"/>
      <c r="U67" s="374"/>
      <c r="V67" s="374"/>
      <c r="W67" s="374"/>
      <c r="X67" s="374"/>
      <c r="Y67" s="65"/>
      <c r="Z67" s="65"/>
    </row>
    <row r="68" ht="15.75" customHeight="1">
      <c r="A68" s="376" t="s">
        <v>117</v>
      </c>
      <c r="B68" s="376" t="s">
        <v>2901</v>
      </c>
      <c r="C68" s="376" t="s">
        <v>2902</v>
      </c>
      <c r="D68" s="374"/>
      <c r="E68" s="374"/>
      <c r="F68" s="374"/>
      <c r="G68" s="374" t="s">
        <v>274</v>
      </c>
      <c r="H68" s="374" t="s">
        <v>706</v>
      </c>
      <c r="I68" s="374"/>
      <c r="J68" s="374"/>
      <c r="K68" s="65"/>
      <c r="L68" s="374"/>
      <c r="M68" s="65"/>
      <c r="N68" s="374"/>
      <c r="O68" s="374"/>
      <c r="P68" s="374"/>
      <c r="Q68" s="374"/>
      <c r="R68" s="374"/>
      <c r="S68" s="374"/>
      <c r="T68" s="374"/>
      <c r="U68" s="374"/>
      <c r="V68" s="374"/>
      <c r="W68" s="374"/>
      <c r="X68" s="374"/>
      <c r="Y68" s="65"/>
      <c r="Z68" s="65"/>
    </row>
    <row r="69" ht="15.75" customHeight="1">
      <c r="A69" s="376" t="s">
        <v>117</v>
      </c>
      <c r="B69" s="376" t="s">
        <v>2903</v>
      </c>
      <c r="C69" s="376" t="s">
        <v>2904</v>
      </c>
      <c r="D69" s="374"/>
      <c r="E69" s="374"/>
      <c r="F69" s="374"/>
      <c r="G69" s="374" t="s">
        <v>274</v>
      </c>
      <c r="H69" s="374" t="s">
        <v>707</v>
      </c>
      <c r="I69" s="374"/>
      <c r="J69" s="374"/>
      <c r="K69" s="65"/>
      <c r="L69" s="374"/>
      <c r="M69" s="65"/>
      <c r="N69" s="374"/>
      <c r="O69" s="374"/>
      <c r="P69" s="374"/>
      <c r="Q69" s="374"/>
      <c r="R69" s="374"/>
      <c r="S69" s="374"/>
      <c r="T69" s="374"/>
      <c r="U69" s="374"/>
      <c r="V69" s="374"/>
      <c r="W69" s="374"/>
      <c r="X69" s="374"/>
      <c r="Y69" s="65"/>
      <c r="Z69" s="65"/>
    </row>
    <row r="70" ht="15.75" customHeight="1">
      <c r="A70" s="376" t="s">
        <v>117</v>
      </c>
      <c r="B70" s="376" t="s">
        <v>2905</v>
      </c>
      <c r="C70" s="376" t="s">
        <v>2906</v>
      </c>
      <c r="D70" s="374"/>
      <c r="E70" s="374"/>
      <c r="F70" s="374"/>
      <c r="G70" s="374" t="s">
        <v>306</v>
      </c>
      <c r="H70" s="374" t="s">
        <v>732</v>
      </c>
      <c r="I70" s="374"/>
      <c r="J70" s="374"/>
      <c r="K70" s="65"/>
      <c r="L70" s="374"/>
      <c r="M70" s="65"/>
      <c r="N70" s="374"/>
      <c r="O70" s="374"/>
      <c r="P70" s="374"/>
      <c r="Q70" s="374"/>
      <c r="R70" s="374"/>
      <c r="S70" s="374"/>
      <c r="T70" s="374"/>
      <c r="U70" s="374"/>
      <c r="V70" s="374"/>
      <c r="W70" s="374"/>
      <c r="X70" s="374"/>
      <c r="Y70" s="65"/>
      <c r="Z70" s="65"/>
    </row>
    <row r="71" ht="15.75" customHeight="1">
      <c r="A71" s="376" t="s">
        <v>117</v>
      </c>
      <c r="B71" s="376" t="s">
        <v>2907</v>
      </c>
      <c r="C71" s="376" t="s">
        <v>2908</v>
      </c>
      <c r="D71" s="374"/>
      <c r="E71" s="374"/>
      <c r="F71" s="374"/>
      <c r="G71" s="374" t="s">
        <v>324</v>
      </c>
      <c r="H71" s="374" t="s">
        <v>2896</v>
      </c>
      <c r="I71" s="374"/>
      <c r="J71" s="374"/>
      <c r="K71" s="65"/>
      <c r="L71" s="374"/>
      <c r="M71" s="65"/>
      <c r="N71" s="374"/>
      <c r="O71" s="374"/>
      <c r="P71" s="374"/>
      <c r="Q71" s="374"/>
      <c r="R71" s="374"/>
      <c r="S71" s="374"/>
      <c r="T71" s="374"/>
      <c r="U71" s="374"/>
      <c r="V71" s="374"/>
      <c r="W71" s="374"/>
      <c r="X71" s="374"/>
      <c r="Y71" s="65"/>
      <c r="Z71" s="65"/>
    </row>
    <row r="72" ht="15.75" customHeight="1">
      <c r="A72" s="376" t="s">
        <v>120</v>
      </c>
      <c r="B72" s="376" t="s">
        <v>2857</v>
      </c>
      <c r="C72" s="376" t="s">
        <v>2858</v>
      </c>
      <c r="D72" s="374"/>
      <c r="E72" s="374"/>
      <c r="F72" s="374"/>
      <c r="G72" s="374" t="s">
        <v>324</v>
      </c>
      <c r="H72" s="374" t="s">
        <v>2864</v>
      </c>
      <c r="I72" s="374"/>
      <c r="J72" s="374"/>
      <c r="K72" s="65"/>
      <c r="L72" s="374"/>
      <c r="M72" s="65"/>
      <c r="N72" s="374"/>
      <c r="O72" s="374"/>
      <c r="P72" s="374"/>
      <c r="Q72" s="374"/>
      <c r="R72" s="374"/>
      <c r="S72" s="374"/>
      <c r="T72" s="374"/>
      <c r="U72" s="374"/>
      <c r="V72" s="374"/>
      <c r="W72" s="374"/>
      <c r="X72" s="374"/>
      <c r="Y72" s="65"/>
      <c r="Z72" s="65"/>
    </row>
    <row r="73" ht="15.75" customHeight="1">
      <c r="A73" s="376" t="s">
        <v>120</v>
      </c>
      <c r="B73" s="376" t="s">
        <v>2909</v>
      </c>
      <c r="C73" s="376" t="s">
        <v>2910</v>
      </c>
      <c r="D73" s="374"/>
      <c r="E73" s="374"/>
      <c r="F73" s="374"/>
      <c r="G73" s="374" t="s">
        <v>324</v>
      </c>
      <c r="H73" s="374" t="s">
        <v>2911</v>
      </c>
      <c r="I73" s="374"/>
      <c r="J73" s="374"/>
      <c r="K73" s="65"/>
      <c r="L73" s="374"/>
      <c r="M73" s="65"/>
      <c r="N73" s="374"/>
      <c r="O73" s="374"/>
      <c r="P73" s="374"/>
      <c r="Q73" s="374"/>
      <c r="R73" s="374"/>
      <c r="S73" s="374"/>
      <c r="T73" s="374"/>
      <c r="U73" s="374"/>
      <c r="V73" s="374"/>
      <c r="W73" s="374"/>
      <c r="X73" s="374"/>
      <c r="Y73" s="65"/>
      <c r="Z73" s="65"/>
    </row>
    <row r="74" ht="15.75" customHeight="1">
      <c r="A74" s="376" t="s">
        <v>123</v>
      </c>
      <c r="B74" s="376" t="s">
        <v>2799</v>
      </c>
      <c r="C74" s="376" t="s">
        <v>1641</v>
      </c>
      <c r="D74" s="374"/>
      <c r="E74" s="374"/>
      <c r="F74" s="374"/>
      <c r="G74" s="374" t="s">
        <v>324</v>
      </c>
      <c r="H74" s="374" t="s">
        <v>2912</v>
      </c>
      <c r="I74" s="374"/>
      <c r="J74" s="374"/>
      <c r="K74" s="65"/>
      <c r="L74" s="374"/>
      <c r="M74" s="65"/>
      <c r="N74" s="374"/>
      <c r="O74" s="374"/>
      <c r="P74" s="374"/>
      <c r="Q74" s="374"/>
      <c r="R74" s="374"/>
      <c r="S74" s="374"/>
      <c r="T74" s="374"/>
      <c r="U74" s="374"/>
      <c r="V74" s="374"/>
      <c r="W74" s="374"/>
      <c r="X74" s="374"/>
      <c r="Y74" s="65"/>
      <c r="Z74" s="65"/>
    </row>
    <row r="75" ht="15.75" customHeight="1">
      <c r="A75" s="376" t="s">
        <v>123</v>
      </c>
      <c r="B75" s="376" t="s">
        <v>2913</v>
      </c>
      <c r="C75" s="376" t="s">
        <v>2914</v>
      </c>
      <c r="D75" s="374"/>
      <c r="E75" s="374"/>
      <c r="F75" s="374"/>
      <c r="G75" s="374" t="s">
        <v>324</v>
      </c>
      <c r="H75" s="374" t="s">
        <v>2915</v>
      </c>
      <c r="I75" s="374"/>
      <c r="J75" s="374"/>
      <c r="K75" s="65"/>
      <c r="L75" s="374"/>
      <c r="M75" s="65"/>
      <c r="N75" s="374"/>
      <c r="O75" s="374"/>
      <c r="P75" s="374"/>
      <c r="Q75" s="374"/>
      <c r="R75" s="374"/>
      <c r="S75" s="374"/>
      <c r="T75" s="374"/>
      <c r="U75" s="374"/>
      <c r="V75" s="374"/>
      <c r="W75" s="374"/>
      <c r="X75" s="374"/>
      <c r="Y75" s="65"/>
      <c r="Z75" s="65"/>
    </row>
    <row r="76" ht="15.75" customHeight="1">
      <c r="A76" s="376" t="s">
        <v>123</v>
      </c>
      <c r="B76" s="376" t="s">
        <v>2916</v>
      </c>
      <c r="C76" s="376" t="s">
        <v>2917</v>
      </c>
      <c r="D76" s="374"/>
      <c r="E76" s="374"/>
      <c r="F76" s="374"/>
      <c r="G76" s="374" t="s">
        <v>324</v>
      </c>
      <c r="H76" s="374" t="s">
        <v>1639</v>
      </c>
      <c r="I76" s="374"/>
      <c r="J76" s="374"/>
      <c r="K76" s="65"/>
      <c r="L76" s="374"/>
      <c r="M76" s="65"/>
      <c r="N76" s="374"/>
      <c r="O76" s="374"/>
      <c r="P76" s="374"/>
      <c r="Q76" s="374"/>
      <c r="R76" s="374"/>
      <c r="S76" s="374"/>
      <c r="T76" s="374"/>
      <c r="U76" s="374"/>
      <c r="V76" s="374"/>
      <c r="W76" s="374"/>
      <c r="X76" s="374"/>
      <c r="Y76" s="65"/>
      <c r="Z76" s="65"/>
    </row>
    <row r="77" ht="15.75" customHeight="1">
      <c r="A77" s="376" t="s">
        <v>132</v>
      </c>
      <c r="B77" s="376" t="s">
        <v>2817</v>
      </c>
      <c r="C77" s="376" t="s">
        <v>1647</v>
      </c>
      <c r="D77" s="374"/>
      <c r="E77" s="374"/>
      <c r="F77" s="374"/>
      <c r="G77" s="374" t="s">
        <v>324</v>
      </c>
      <c r="H77" s="374" t="s">
        <v>2805</v>
      </c>
      <c r="I77" s="374"/>
      <c r="J77" s="374"/>
      <c r="K77" s="65"/>
      <c r="L77" s="374"/>
      <c r="M77" s="65"/>
      <c r="N77" s="374"/>
      <c r="O77" s="374"/>
      <c r="P77" s="374"/>
      <c r="Q77" s="374"/>
      <c r="R77" s="374"/>
      <c r="S77" s="374"/>
      <c r="T77" s="374"/>
      <c r="U77" s="374"/>
      <c r="V77" s="374"/>
      <c r="W77" s="374"/>
      <c r="X77" s="374"/>
      <c r="Y77" s="65"/>
      <c r="Z77" s="65"/>
    </row>
    <row r="78" ht="15.75" customHeight="1">
      <c r="A78" s="376" t="s">
        <v>132</v>
      </c>
      <c r="B78" s="376" t="s">
        <v>2849</v>
      </c>
      <c r="C78" s="376" t="s">
        <v>2850</v>
      </c>
      <c r="D78" s="374"/>
      <c r="E78" s="374"/>
      <c r="F78" s="374"/>
      <c r="G78" s="374" t="s">
        <v>324</v>
      </c>
      <c r="H78" s="374" t="s">
        <v>2793</v>
      </c>
      <c r="I78" s="374"/>
      <c r="J78" s="374"/>
      <c r="K78" s="65"/>
      <c r="L78" s="374"/>
      <c r="M78" s="65"/>
      <c r="N78" s="374"/>
      <c r="O78" s="374"/>
      <c r="P78" s="374"/>
      <c r="Q78" s="374"/>
      <c r="R78" s="374"/>
      <c r="S78" s="374"/>
      <c r="T78" s="374"/>
      <c r="U78" s="374"/>
      <c r="V78" s="374"/>
      <c r="W78" s="374"/>
      <c r="X78" s="374"/>
      <c r="Y78" s="65"/>
      <c r="Z78" s="65"/>
    </row>
    <row r="79" ht="15.75" customHeight="1">
      <c r="A79" s="376" t="s">
        <v>132</v>
      </c>
      <c r="B79" s="376" t="s">
        <v>2796</v>
      </c>
      <c r="C79" s="376" t="s">
        <v>1650</v>
      </c>
      <c r="D79" s="374"/>
      <c r="E79" s="374"/>
      <c r="F79" s="374"/>
      <c r="G79" s="374" t="s">
        <v>324</v>
      </c>
      <c r="H79" s="374" t="s">
        <v>1650</v>
      </c>
      <c r="I79" s="374"/>
      <c r="J79" s="374"/>
      <c r="K79" s="65"/>
      <c r="L79" s="374"/>
      <c r="M79" s="65"/>
      <c r="N79" s="374"/>
      <c r="O79" s="374"/>
      <c r="P79" s="374"/>
      <c r="Q79" s="374"/>
      <c r="R79" s="374"/>
      <c r="S79" s="374"/>
      <c r="T79" s="374"/>
      <c r="U79" s="374"/>
      <c r="V79" s="374"/>
      <c r="W79" s="374"/>
      <c r="X79" s="374"/>
      <c r="Y79" s="65"/>
      <c r="Z79" s="65"/>
    </row>
    <row r="80" ht="15.75" customHeight="1">
      <c r="A80" s="376" t="s">
        <v>132</v>
      </c>
      <c r="B80" s="376" t="s">
        <v>2918</v>
      </c>
      <c r="C80" s="376" t="s">
        <v>2919</v>
      </c>
      <c r="D80" s="374"/>
      <c r="E80" s="374"/>
      <c r="F80" s="374"/>
      <c r="G80" s="374" t="s">
        <v>324</v>
      </c>
      <c r="H80" s="374" t="s">
        <v>1651</v>
      </c>
      <c r="I80" s="374"/>
      <c r="J80" s="374"/>
      <c r="K80" s="65"/>
      <c r="L80" s="374"/>
      <c r="M80" s="65"/>
      <c r="N80" s="374"/>
      <c r="O80" s="374"/>
      <c r="P80" s="374"/>
      <c r="Q80" s="374"/>
      <c r="R80" s="374"/>
      <c r="S80" s="374"/>
      <c r="T80" s="374"/>
      <c r="U80" s="374"/>
      <c r="V80" s="374"/>
      <c r="W80" s="374"/>
      <c r="X80" s="374"/>
      <c r="Y80" s="65"/>
      <c r="Z80" s="65"/>
    </row>
    <row r="81" ht="15.75" customHeight="1">
      <c r="A81" s="376" t="s">
        <v>132</v>
      </c>
      <c r="B81" s="376" t="s">
        <v>2802</v>
      </c>
      <c r="C81" s="376" t="s">
        <v>1646</v>
      </c>
      <c r="D81" s="374"/>
      <c r="E81" s="374"/>
      <c r="F81" s="374"/>
      <c r="G81" s="374" t="s">
        <v>324</v>
      </c>
      <c r="H81" s="374" t="s">
        <v>2920</v>
      </c>
      <c r="I81" s="374"/>
      <c r="J81" s="374"/>
      <c r="K81" s="65"/>
      <c r="L81" s="374"/>
      <c r="M81" s="65"/>
      <c r="N81" s="374"/>
      <c r="O81" s="374"/>
      <c r="P81" s="374"/>
      <c r="Q81" s="374"/>
      <c r="R81" s="374"/>
      <c r="S81" s="374"/>
      <c r="T81" s="374"/>
      <c r="U81" s="374"/>
      <c r="V81" s="374"/>
      <c r="W81" s="374"/>
      <c r="X81" s="374"/>
      <c r="Y81" s="65"/>
      <c r="Z81" s="65"/>
    </row>
    <row r="82" ht="15.75" customHeight="1">
      <c r="A82" s="377" t="s">
        <v>132</v>
      </c>
      <c r="B82" s="374" t="s">
        <v>2803</v>
      </c>
      <c r="C82" s="374" t="s">
        <v>1651</v>
      </c>
      <c r="D82" s="374"/>
      <c r="E82" s="374"/>
      <c r="F82" s="374"/>
      <c r="G82" s="374" t="s">
        <v>327</v>
      </c>
      <c r="H82" s="374" t="s">
        <v>2921</v>
      </c>
      <c r="I82" s="374"/>
      <c r="J82" s="374"/>
      <c r="K82" s="65"/>
      <c r="L82" s="374"/>
      <c r="M82" s="65"/>
      <c r="N82" s="374"/>
      <c r="O82" s="374"/>
      <c r="P82" s="374"/>
      <c r="Q82" s="374"/>
      <c r="R82" s="374"/>
      <c r="S82" s="374"/>
      <c r="T82" s="374"/>
      <c r="U82" s="374"/>
      <c r="V82" s="374"/>
      <c r="W82" s="374"/>
      <c r="X82" s="374"/>
      <c r="Y82" s="65"/>
      <c r="Z82" s="65"/>
    </row>
    <row r="83" ht="15.75" customHeight="1">
      <c r="A83" s="376" t="s">
        <v>132</v>
      </c>
      <c r="B83" s="376" t="s">
        <v>2922</v>
      </c>
      <c r="C83" s="376" t="s">
        <v>2923</v>
      </c>
      <c r="D83" s="374"/>
      <c r="E83" s="374"/>
      <c r="F83" s="374"/>
      <c r="G83" s="374" t="s">
        <v>327</v>
      </c>
      <c r="H83" s="374" t="s">
        <v>2924</v>
      </c>
      <c r="I83" s="374"/>
      <c r="J83" s="374"/>
      <c r="K83" s="65"/>
      <c r="L83" s="374"/>
      <c r="M83" s="65"/>
      <c r="N83" s="374"/>
      <c r="O83" s="374"/>
      <c r="P83" s="374"/>
      <c r="Q83" s="374"/>
      <c r="R83" s="374"/>
      <c r="S83" s="374"/>
      <c r="T83" s="374"/>
      <c r="U83" s="374"/>
      <c r="V83" s="374"/>
      <c r="W83" s="374"/>
      <c r="X83" s="374"/>
      <c r="Y83" s="65"/>
      <c r="Z83" s="65"/>
    </row>
    <row r="84" ht="15.75" customHeight="1">
      <c r="A84" s="376" t="s">
        <v>132</v>
      </c>
      <c r="B84" s="376" t="s">
        <v>2925</v>
      </c>
      <c r="C84" s="376" t="s">
        <v>2926</v>
      </c>
      <c r="D84" s="374"/>
      <c r="E84" s="374"/>
      <c r="F84" s="374"/>
      <c r="G84" s="374" t="s">
        <v>333</v>
      </c>
      <c r="H84" s="374" t="s">
        <v>2793</v>
      </c>
      <c r="I84" s="374"/>
      <c r="J84" s="374"/>
      <c r="K84" s="65"/>
      <c r="L84" s="374"/>
      <c r="M84" s="65"/>
      <c r="N84" s="374"/>
      <c r="O84" s="374"/>
      <c r="P84" s="374"/>
      <c r="Q84" s="374"/>
      <c r="R84" s="374"/>
      <c r="S84" s="374"/>
      <c r="T84" s="374"/>
      <c r="U84" s="374"/>
      <c r="V84" s="374"/>
      <c r="W84" s="374"/>
      <c r="X84" s="374"/>
      <c r="Y84" s="65"/>
      <c r="Z84" s="65"/>
    </row>
    <row r="85" ht="15.75" customHeight="1">
      <c r="A85" s="376" t="s">
        <v>132</v>
      </c>
      <c r="B85" s="376" t="s">
        <v>2927</v>
      </c>
      <c r="C85" s="376" t="s">
        <v>2928</v>
      </c>
      <c r="D85" s="374"/>
      <c r="E85" s="374"/>
      <c r="F85" s="374"/>
      <c r="G85" s="374" t="s">
        <v>333</v>
      </c>
      <c r="H85" s="374" t="s">
        <v>2929</v>
      </c>
      <c r="I85" s="374"/>
      <c r="J85" s="374"/>
      <c r="K85" s="65"/>
      <c r="L85" s="374"/>
      <c r="M85" s="65"/>
      <c r="N85" s="374"/>
      <c r="O85" s="374"/>
      <c r="P85" s="374"/>
      <c r="Q85" s="374"/>
      <c r="R85" s="374"/>
      <c r="S85" s="374"/>
      <c r="T85" s="374"/>
      <c r="U85" s="374"/>
      <c r="V85" s="374"/>
      <c r="W85" s="374"/>
      <c r="X85" s="374"/>
      <c r="Y85" s="65"/>
      <c r="Z85" s="65"/>
    </row>
    <row r="86" ht="15.75" customHeight="1">
      <c r="A86" s="376" t="s">
        <v>132</v>
      </c>
      <c r="B86" s="376" t="s">
        <v>2927</v>
      </c>
      <c r="C86" s="376" t="s">
        <v>2928</v>
      </c>
      <c r="D86" s="374"/>
      <c r="E86" s="374"/>
      <c r="F86" s="374"/>
      <c r="G86" s="374" t="s">
        <v>333</v>
      </c>
      <c r="H86" s="374" t="s">
        <v>2930</v>
      </c>
      <c r="I86" s="374"/>
      <c r="J86" s="374"/>
      <c r="K86" s="65"/>
      <c r="L86" s="374"/>
      <c r="M86" s="65"/>
      <c r="N86" s="374"/>
      <c r="O86" s="374"/>
      <c r="P86" s="374"/>
      <c r="Q86" s="374"/>
      <c r="R86" s="374"/>
      <c r="S86" s="374"/>
      <c r="T86" s="374"/>
      <c r="U86" s="374"/>
      <c r="V86" s="374"/>
      <c r="W86" s="374"/>
      <c r="X86" s="374"/>
      <c r="Y86" s="65"/>
      <c r="Z86" s="65"/>
    </row>
    <row r="87" ht="15.75" customHeight="1">
      <c r="A87" s="376" t="s">
        <v>132</v>
      </c>
      <c r="B87" s="376" t="s">
        <v>2797</v>
      </c>
      <c r="C87" s="376" t="s">
        <v>1640</v>
      </c>
      <c r="D87" s="374"/>
      <c r="E87" s="374"/>
      <c r="F87" s="374"/>
      <c r="G87" s="374" t="s">
        <v>333</v>
      </c>
      <c r="H87" s="374" t="s">
        <v>1651</v>
      </c>
      <c r="I87" s="374"/>
      <c r="J87" s="374"/>
      <c r="K87" s="65"/>
      <c r="L87" s="374"/>
      <c r="M87" s="65"/>
      <c r="N87" s="374"/>
      <c r="O87" s="374"/>
      <c r="P87" s="374"/>
      <c r="Q87" s="374"/>
      <c r="R87" s="374"/>
      <c r="S87" s="374"/>
      <c r="T87" s="374"/>
      <c r="U87" s="374"/>
      <c r="V87" s="374"/>
      <c r="W87" s="374"/>
      <c r="X87" s="374"/>
      <c r="Y87" s="65"/>
      <c r="Z87" s="65"/>
    </row>
    <row r="88" ht="15.75" customHeight="1">
      <c r="A88" s="376" t="s">
        <v>132</v>
      </c>
      <c r="B88" s="376" t="s">
        <v>2821</v>
      </c>
      <c r="C88" s="376" t="s">
        <v>2822</v>
      </c>
      <c r="D88" s="374"/>
      <c r="E88" s="374"/>
      <c r="F88" s="374"/>
      <c r="G88" s="374" t="s">
        <v>342</v>
      </c>
      <c r="H88" s="374" t="s">
        <v>2793</v>
      </c>
      <c r="I88" s="374"/>
      <c r="J88" s="374"/>
      <c r="K88" s="65"/>
      <c r="L88" s="374"/>
      <c r="M88" s="65"/>
      <c r="N88" s="374"/>
      <c r="O88" s="374"/>
      <c r="P88" s="374"/>
      <c r="Q88" s="374"/>
      <c r="R88" s="374"/>
      <c r="S88" s="374"/>
      <c r="T88" s="374"/>
      <c r="U88" s="374"/>
      <c r="V88" s="374"/>
      <c r="W88" s="374"/>
      <c r="X88" s="374"/>
      <c r="Y88" s="65"/>
      <c r="Z88" s="65"/>
    </row>
    <row r="89" ht="15.75" customHeight="1">
      <c r="A89" s="376" t="s">
        <v>132</v>
      </c>
      <c r="B89" s="376" t="s">
        <v>2826</v>
      </c>
      <c r="C89" s="376" t="s">
        <v>2827</v>
      </c>
      <c r="D89" s="374"/>
      <c r="E89" s="374"/>
      <c r="F89" s="374"/>
      <c r="G89" s="374" t="s">
        <v>342</v>
      </c>
      <c r="H89" s="374" t="s">
        <v>1646</v>
      </c>
      <c r="I89" s="374"/>
      <c r="J89" s="374"/>
      <c r="K89" s="65"/>
      <c r="L89" s="374"/>
      <c r="M89" s="65"/>
      <c r="N89" s="374"/>
      <c r="O89" s="374"/>
      <c r="P89" s="374"/>
      <c r="Q89" s="374"/>
      <c r="R89" s="374"/>
      <c r="S89" s="374"/>
      <c r="T89" s="374"/>
      <c r="U89" s="374"/>
      <c r="V89" s="374"/>
      <c r="W89" s="374"/>
      <c r="X89" s="374"/>
      <c r="Y89" s="65"/>
      <c r="Z89" s="65"/>
    </row>
    <row r="90" ht="15.75" customHeight="1">
      <c r="A90" s="376" t="s">
        <v>132</v>
      </c>
      <c r="B90" s="376" t="s">
        <v>2931</v>
      </c>
      <c r="C90" s="376" t="s">
        <v>2932</v>
      </c>
      <c r="D90" s="374"/>
      <c r="E90" s="374"/>
      <c r="F90" s="374"/>
      <c r="G90" s="374" t="s">
        <v>342</v>
      </c>
      <c r="H90" s="374" t="s">
        <v>2874</v>
      </c>
      <c r="I90" s="374"/>
      <c r="J90" s="374"/>
      <c r="K90" s="65"/>
      <c r="L90" s="374"/>
      <c r="M90" s="65"/>
      <c r="N90" s="374"/>
      <c r="O90" s="374"/>
      <c r="P90" s="374"/>
      <c r="Q90" s="374"/>
      <c r="R90" s="374"/>
      <c r="S90" s="374"/>
      <c r="T90" s="374"/>
      <c r="U90" s="374"/>
      <c r="V90" s="374"/>
      <c r="W90" s="374"/>
      <c r="X90" s="374"/>
      <c r="Y90" s="65"/>
      <c r="Z90" s="65"/>
    </row>
    <row r="91" ht="15.75" customHeight="1">
      <c r="A91" s="376" t="s">
        <v>135</v>
      </c>
      <c r="B91" s="376" t="s">
        <v>2796</v>
      </c>
      <c r="C91" s="376" t="s">
        <v>1650</v>
      </c>
      <c r="D91" s="374"/>
      <c r="E91" s="374"/>
      <c r="F91" s="374"/>
      <c r="G91" s="374" t="s">
        <v>342</v>
      </c>
      <c r="H91" s="374" t="s">
        <v>2933</v>
      </c>
      <c r="I91" s="374"/>
      <c r="J91" s="374"/>
      <c r="K91" s="65"/>
      <c r="L91" s="374"/>
      <c r="M91" s="65"/>
      <c r="N91" s="374"/>
      <c r="O91" s="374"/>
      <c r="P91" s="374"/>
      <c r="Q91" s="374"/>
      <c r="R91" s="374"/>
      <c r="S91" s="374"/>
      <c r="T91" s="374"/>
      <c r="U91" s="374"/>
      <c r="V91" s="374"/>
      <c r="W91" s="374"/>
      <c r="X91" s="374"/>
      <c r="Y91" s="65"/>
      <c r="Z91" s="65"/>
    </row>
    <row r="92" ht="15.75" customHeight="1">
      <c r="A92" s="376" t="s">
        <v>135</v>
      </c>
      <c r="B92" s="376" t="s">
        <v>2802</v>
      </c>
      <c r="C92" s="376" t="s">
        <v>1646</v>
      </c>
      <c r="D92" s="374"/>
      <c r="E92" s="374"/>
      <c r="F92" s="374"/>
      <c r="G92" s="374" t="s">
        <v>342</v>
      </c>
      <c r="H92" s="374" t="s">
        <v>2934</v>
      </c>
      <c r="I92" s="374"/>
      <c r="J92" s="374"/>
      <c r="K92" s="65"/>
      <c r="L92" s="374"/>
      <c r="M92" s="65"/>
      <c r="N92" s="374"/>
      <c r="O92" s="374"/>
      <c r="P92" s="374"/>
      <c r="Q92" s="374"/>
      <c r="R92" s="374"/>
      <c r="S92" s="374"/>
      <c r="T92" s="374"/>
      <c r="U92" s="374"/>
      <c r="V92" s="374"/>
      <c r="W92" s="374"/>
      <c r="X92" s="374"/>
      <c r="Y92" s="65"/>
      <c r="Z92" s="65"/>
    </row>
    <row r="93" ht="15.75" customHeight="1">
      <c r="A93" s="376" t="s">
        <v>135</v>
      </c>
      <c r="B93" s="376" t="s">
        <v>2803</v>
      </c>
      <c r="C93" s="376" t="s">
        <v>1651</v>
      </c>
      <c r="D93" s="374"/>
      <c r="E93" s="374"/>
      <c r="F93" s="374"/>
      <c r="G93" s="374" t="s">
        <v>342</v>
      </c>
      <c r="H93" s="374" t="s">
        <v>1651</v>
      </c>
      <c r="I93" s="374"/>
      <c r="J93" s="374"/>
      <c r="K93" s="65"/>
      <c r="L93" s="374"/>
      <c r="M93" s="65"/>
      <c r="N93" s="374"/>
      <c r="O93" s="374"/>
      <c r="P93" s="374"/>
      <c r="Q93" s="374"/>
      <c r="R93" s="374"/>
      <c r="S93" s="374"/>
      <c r="T93" s="374"/>
      <c r="U93" s="374"/>
      <c r="V93" s="374"/>
      <c r="W93" s="374"/>
      <c r="X93" s="374"/>
      <c r="Y93" s="65"/>
      <c r="Z93" s="65"/>
    </row>
    <row r="94" ht="15.75" customHeight="1">
      <c r="A94" s="376" t="s">
        <v>135</v>
      </c>
      <c r="B94" s="376" t="s">
        <v>2852</v>
      </c>
      <c r="C94" s="376" t="s">
        <v>2853</v>
      </c>
      <c r="D94" s="374"/>
      <c r="E94" s="374"/>
      <c r="F94" s="374"/>
      <c r="G94" s="374" t="s">
        <v>342</v>
      </c>
      <c r="H94" s="374" t="s">
        <v>2935</v>
      </c>
      <c r="I94" s="374"/>
      <c r="J94" s="374"/>
      <c r="K94" s="65"/>
      <c r="L94" s="374"/>
      <c r="M94" s="65"/>
      <c r="N94" s="374"/>
      <c r="O94" s="374"/>
      <c r="P94" s="374"/>
      <c r="Q94" s="374"/>
      <c r="R94" s="374"/>
      <c r="S94" s="374"/>
      <c r="T94" s="374"/>
      <c r="U94" s="374"/>
      <c r="V94" s="374"/>
      <c r="W94" s="374"/>
      <c r="X94" s="374"/>
      <c r="Y94" s="65"/>
      <c r="Z94" s="65"/>
    </row>
    <row r="95" ht="15.75" customHeight="1">
      <c r="A95" s="376" t="s">
        <v>138</v>
      </c>
      <c r="B95" s="376" t="s">
        <v>2936</v>
      </c>
      <c r="C95" s="376" t="s">
        <v>2937</v>
      </c>
      <c r="D95" s="374"/>
      <c r="E95" s="374"/>
      <c r="F95" s="374"/>
      <c r="G95" s="374" t="s">
        <v>342</v>
      </c>
      <c r="H95" s="374" t="s">
        <v>2813</v>
      </c>
      <c r="I95" s="374"/>
      <c r="J95" s="374"/>
      <c r="K95" s="65"/>
      <c r="L95" s="374"/>
      <c r="M95" s="65"/>
      <c r="N95" s="374"/>
      <c r="O95" s="374"/>
      <c r="P95" s="374"/>
      <c r="Q95" s="374"/>
      <c r="R95" s="374"/>
      <c r="S95" s="374"/>
      <c r="T95" s="374"/>
      <c r="U95" s="374"/>
      <c r="V95" s="374"/>
      <c r="W95" s="374"/>
      <c r="X95" s="374"/>
      <c r="Y95" s="65"/>
      <c r="Z95" s="65"/>
    </row>
    <row r="96" ht="15.75" customHeight="1">
      <c r="A96" s="377" t="s">
        <v>138</v>
      </c>
      <c r="B96" s="374" t="s">
        <v>2938</v>
      </c>
      <c r="C96" s="374" t="s">
        <v>2939</v>
      </c>
      <c r="D96" s="374"/>
      <c r="E96" s="374"/>
      <c r="F96" s="374"/>
      <c r="G96" s="374" t="s">
        <v>342</v>
      </c>
      <c r="H96" s="374" t="s">
        <v>2895</v>
      </c>
      <c r="I96" s="374"/>
      <c r="J96" s="374"/>
      <c r="K96" s="65"/>
      <c r="L96" s="374"/>
      <c r="M96" s="65"/>
      <c r="N96" s="374"/>
      <c r="O96" s="374"/>
      <c r="P96" s="374"/>
      <c r="Q96" s="374"/>
      <c r="R96" s="374"/>
      <c r="S96" s="374"/>
      <c r="T96" s="374"/>
      <c r="U96" s="374"/>
      <c r="V96" s="374"/>
      <c r="W96" s="374"/>
      <c r="X96" s="374"/>
      <c r="Y96" s="65"/>
      <c r="Z96" s="65"/>
    </row>
    <row r="97" ht="15.75" customHeight="1">
      <c r="A97" s="376" t="s">
        <v>150</v>
      </c>
      <c r="B97" s="376" t="s">
        <v>2799</v>
      </c>
      <c r="C97" s="376" t="s">
        <v>1641</v>
      </c>
      <c r="D97" s="374"/>
      <c r="E97" s="374"/>
      <c r="F97" s="374"/>
      <c r="G97" s="374" t="s">
        <v>348</v>
      </c>
      <c r="H97" s="374" t="s">
        <v>732</v>
      </c>
      <c r="I97" s="374"/>
      <c r="J97" s="374"/>
      <c r="K97" s="65"/>
      <c r="L97" s="374"/>
      <c r="M97" s="65"/>
      <c r="N97" s="374"/>
      <c r="O97" s="374"/>
      <c r="P97" s="374"/>
      <c r="Q97" s="374"/>
      <c r="R97" s="374"/>
      <c r="S97" s="374"/>
      <c r="T97" s="374"/>
      <c r="U97" s="374"/>
      <c r="V97" s="374"/>
      <c r="W97" s="374"/>
      <c r="X97" s="374"/>
      <c r="Y97" s="65"/>
      <c r="Z97" s="65"/>
    </row>
    <row r="98" ht="15.75" customHeight="1">
      <c r="A98" s="376" t="s">
        <v>150</v>
      </c>
      <c r="B98" s="376" t="s">
        <v>2940</v>
      </c>
      <c r="C98" s="376" t="s">
        <v>2941</v>
      </c>
      <c r="D98" s="374"/>
      <c r="E98" s="374"/>
      <c r="F98" s="374"/>
      <c r="G98" s="374" t="s">
        <v>354</v>
      </c>
      <c r="H98" s="374" t="s">
        <v>2942</v>
      </c>
      <c r="I98" s="374"/>
      <c r="J98" s="374"/>
      <c r="K98" s="65"/>
      <c r="L98" s="374"/>
      <c r="M98" s="65"/>
      <c r="N98" s="374"/>
      <c r="O98" s="374"/>
      <c r="P98" s="374"/>
      <c r="Q98" s="374"/>
      <c r="R98" s="374"/>
      <c r="S98" s="374"/>
      <c r="T98" s="374"/>
      <c r="U98" s="374"/>
      <c r="V98" s="374"/>
      <c r="W98" s="374"/>
      <c r="X98" s="374"/>
      <c r="Y98" s="65"/>
      <c r="Z98" s="65"/>
    </row>
    <row r="99" ht="15.75" customHeight="1">
      <c r="A99" s="376" t="s">
        <v>150</v>
      </c>
      <c r="B99" s="376" t="s">
        <v>2877</v>
      </c>
      <c r="C99" s="376" t="s">
        <v>2878</v>
      </c>
      <c r="D99" s="374"/>
      <c r="E99" s="374"/>
      <c r="F99" s="374"/>
      <c r="G99" s="374" t="s">
        <v>354</v>
      </c>
      <c r="H99" s="374" t="s">
        <v>2943</v>
      </c>
      <c r="I99" s="374"/>
      <c r="J99" s="374"/>
      <c r="K99" s="65"/>
      <c r="L99" s="374"/>
      <c r="M99" s="65"/>
      <c r="N99" s="374"/>
      <c r="O99" s="374"/>
      <c r="P99" s="374"/>
      <c r="Q99" s="374"/>
      <c r="R99" s="374"/>
      <c r="S99" s="374"/>
      <c r="T99" s="374"/>
      <c r="U99" s="374"/>
      <c r="V99" s="374"/>
      <c r="W99" s="374"/>
      <c r="X99" s="374"/>
      <c r="Y99" s="65"/>
      <c r="Z99" s="65"/>
    </row>
    <row r="100" ht="15.75" customHeight="1">
      <c r="A100" s="376" t="s">
        <v>150</v>
      </c>
      <c r="B100" s="376" t="s">
        <v>2944</v>
      </c>
      <c r="C100" s="376" t="s">
        <v>2945</v>
      </c>
      <c r="D100" s="374"/>
      <c r="E100" s="374"/>
      <c r="F100" s="374"/>
      <c r="G100" s="374" t="s">
        <v>354</v>
      </c>
      <c r="H100" s="374" t="s">
        <v>2946</v>
      </c>
      <c r="I100" s="374"/>
      <c r="J100" s="374"/>
      <c r="K100" s="65"/>
      <c r="L100" s="374"/>
      <c r="M100" s="65"/>
      <c r="N100" s="374"/>
      <c r="O100" s="374"/>
      <c r="P100" s="374"/>
      <c r="Q100" s="374"/>
      <c r="R100" s="374"/>
      <c r="S100" s="374"/>
      <c r="T100" s="374"/>
      <c r="U100" s="374"/>
      <c r="V100" s="374"/>
      <c r="W100" s="374"/>
      <c r="X100" s="374"/>
      <c r="Y100" s="65"/>
      <c r="Z100" s="65"/>
    </row>
    <row r="101" ht="15.75" customHeight="1">
      <c r="A101" s="376" t="s">
        <v>150</v>
      </c>
      <c r="B101" s="376" t="s">
        <v>2816</v>
      </c>
      <c r="C101" s="376" t="s">
        <v>1635</v>
      </c>
      <c r="D101" s="374"/>
      <c r="E101" s="374"/>
      <c r="F101" s="374"/>
      <c r="G101" s="374" t="s">
        <v>372</v>
      </c>
      <c r="H101" s="374" t="s">
        <v>2896</v>
      </c>
      <c r="I101" s="374"/>
      <c r="J101" s="374"/>
      <c r="K101" s="65"/>
      <c r="L101" s="374"/>
      <c r="M101" s="65"/>
      <c r="N101" s="374"/>
      <c r="O101" s="374"/>
      <c r="P101" s="374"/>
      <c r="Q101" s="374"/>
      <c r="R101" s="374"/>
      <c r="S101" s="374"/>
      <c r="T101" s="374"/>
      <c r="U101" s="374"/>
      <c r="V101" s="374"/>
      <c r="W101" s="374"/>
      <c r="X101" s="374"/>
      <c r="Y101" s="65"/>
      <c r="Z101" s="65"/>
    </row>
    <row r="102" ht="15.75" customHeight="1">
      <c r="A102" s="376" t="s">
        <v>150</v>
      </c>
      <c r="B102" s="376" t="s">
        <v>2947</v>
      </c>
      <c r="C102" s="376" t="s">
        <v>2948</v>
      </c>
      <c r="D102" s="374"/>
      <c r="E102" s="374"/>
      <c r="F102" s="374"/>
      <c r="G102" s="374" t="s">
        <v>372</v>
      </c>
      <c r="H102" s="374" t="s">
        <v>704</v>
      </c>
      <c r="I102" s="374"/>
      <c r="J102" s="374"/>
      <c r="K102" s="65"/>
      <c r="L102" s="374"/>
      <c r="M102" s="65"/>
      <c r="N102" s="374"/>
      <c r="O102" s="374"/>
      <c r="P102" s="374"/>
      <c r="Q102" s="374"/>
      <c r="R102" s="374"/>
      <c r="S102" s="374"/>
      <c r="T102" s="374"/>
      <c r="U102" s="374"/>
      <c r="V102" s="374"/>
      <c r="W102" s="374"/>
      <c r="X102" s="374"/>
      <c r="Y102" s="65"/>
      <c r="Z102" s="65"/>
    </row>
    <row r="103" ht="15.75" customHeight="1">
      <c r="A103" s="376" t="s">
        <v>156</v>
      </c>
      <c r="B103" s="376" t="s">
        <v>2949</v>
      </c>
      <c r="C103" s="376" t="s">
        <v>2950</v>
      </c>
      <c r="D103" s="374"/>
      <c r="E103" s="374"/>
      <c r="F103" s="374"/>
      <c r="G103" s="374" t="s">
        <v>372</v>
      </c>
      <c r="H103" s="374" t="s">
        <v>705</v>
      </c>
      <c r="I103" s="374"/>
      <c r="J103" s="374"/>
      <c r="K103" s="65"/>
      <c r="L103" s="374"/>
      <c r="M103" s="65"/>
      <c r="N103" s="374"/>
      <c r="O103" s="374"/>
      <c r="P103" s="374"/>
      <c r="Q103" s="374"/>
      <c r="R103" s="374"/>
      <c r="S103" s="374"/>
      <c r="T103" s="374"/>
      <c r="U103" s="374"/>
      <c r="V103" s="374"/>
      <c r="W103" s="374"/>
      <c r="X103" s="374"/>
      <c r="Y103" s="65"/>
      <c r="Z103" s="65"/>
    </row>
    <row r="104" ht="15.75" customHeight="1">
      <c r="A104" s="376" t="s">
        <v>156</v>
      </c>
      <c r="B104" s="376" t="s">
        <v>2949</v>
      </c>
      <c r="C104" s="376" t="s">
        <v>2950</v>
      </c>
      <c r="D104" s="374"/>
      <c r="E104" s="374"/>
      <c r="F104" s="374"/>
      <c r="G104" s="374" t="s">
        <v>372</v>
      </c>
      <c r="H104" s="374" t="s">
        <v>2843</v>
      </c>
      <c r="I104" s="374"/>
      <c r="J104" s="374"/>
      <c r="K104" s="65"/>
      <c r="L104" s="374"/>
      <c r="M104" s="65"/>
      <c r="N104" s="374"/>
      <c r="O104" s="374"/>
      <c r="P104" s="374"/>
      <c r="Q104" s="374"/>
      <c r="R104" s="374"/>
      <c r="S104" s="374"/>
      <c r="T104" s="374"/>
      <c r="U104" s="374"/>
      <c r="V104" s="374"/>
      <c r="W104" s="374"/>
      <c r="X104" s="374"/>
      <c r="Y104" s="65"/>
      <c r="Z104" s="65"/>
    </row>
    <row r="105" ht="15.75" customHeight="1">
      <c r="A105" s="376" t="s">
        <v>156</v>
      </c>
      <c r="B105" s="376" t="s">
        <v>2951</v>
      </c>
      <c r="C105" s="376" t="s">
        <v>2952</v>
      </c>
      <c r="D105" s="374"/>
      <c r="E105" s="374"/>
      <c r="F105" s="374"/>
      <c r="G105" s="374" t="s">
        <v>372</v>
      </c>
      <c r="H105" s="374" t="s">
        <v>706</v>
      </c>
      <c r="I105" s="374"/>
      <c r="J105" s="374"/>
      <c r="K105" s="65"/>
      <c r="L105" s="374"/>
      <c r="M105" s="65"/>
      <c r="N105" s="374"/>
      <c r="O105" s="374"/>
      <c r="P105" s="374"/>
      <c r="Q105" s="374"/>
      <c r="R105" s="374"/>
      <c r="S105" s="374"/>
      <c r="T105" s="374"/>
      <c r="U105" s="374"/>
      <c r="V105" s="374"/>
      <c r="W105" s="374"/>
      <c r="X105" s="374"/>
      <c r="Y105" s="65"/>
      <c r="Z105" s="65"/>
    </row>
    <row r="106" ht="15.75" customHeight="1">
      <c r="A106" s="376" t="s">
        <v>156</v>
      </c>
      <c r="B106" s="376" t="s">
        <v>2953</v>
      </c>
      <c r="C106" s="376" t="s">
        <v>2954</v>
      </c>
      <c r="D106" s="374"/>
      <c r="E106" s="374"/>
      <c r="F106" s="374"/>
      <c r="G106" s="374" t="s">
        <v>372</v>
      </c>
      <c r="H106" s="374" t="s">
        <v>707</v>
      </c>
      <c r="I106" s="374"/>
      <c r="J106" s="374"/>
      <c r="K106" s="65"/>
      <c r="L106" s="374"/>
      <c r="M106" s="65"/>
      <c r="N106" s="374"/>
      <c r="O106" s="374"/>
      <c r="P106" s="374"/>
      <c r="Q106" s="374"/>
      <c r="R106" s="374"/>
      <c r="S106" s="374"/>
      <c r="T106" s="374"/>
      <c r="U106" s="374"/>
      <c r="V106" s="374"/>
      <c r="W106" s="374"/>
      <c r="X106" s="374"/>
      <c r="Y106" s="65"/>
      <c r="Z106" s="65"/>
    </row>
    <row r="107" ht="15.75" customHeight="1">
      <c r="A107" s="376" t="s">
        <v>156</v>
      </c>
      <c r="B107" s="376" t="s">
        <v>2955</v>
      </c>
      <c r="C107" s="376" t="s">
        <v>2956</v>
      </c>
      <c r="D107" s="374"/>
      <c r="E107" s="374"/>
      <c r="F107" s="374"/>
      <c r="G107" s="374" t="s">
        <v>372</v>
      </c>
      <c r="H107" s="374" t="s">
        <v>2957</v>
      </c>
      <c r="I107" s="374"/>
      <c r="J107" s="374"/>
      <c r="K107" s="65"/>
      <c r="L107" s="374"/>
      <c r="M107" s="65"/>
      <c r="N107" s="374"/>
      <c r="O107" s="374"/>
      <c r="P107" s="374"/>
      <c r="Q107" s="374"/>
      <c r="R107" s="374"/>
      <c r="S107" s="374"/>
      <c r="T107" s="374"/>
      <c r="U107" s="374"/>
      <c r="V107" s="374"/>
      <c r="W107" s="374"/>
      <c r="X107" s="374"/>
      <c r="Y107" s="65"/>
      <c r="Z107" s="65"/>
    </row>
    <row r="108" ht="15.75" customHeight="1">
      <c r="A108" s="376" t="s">
        <v>165</v>
      </c>
      <c r="B108" s="376" t="s">
        <v>2958</v>
      </c>
      <c r="C108" s="376" t="s">
        <v>2959</v>
      </c>
      <c r="D108" s="374"/>
      <c r="E108" s="374"/>
      <c r="F108" s="374"/>
      <c r="G108" s="374" t="s">
        <v>375</v>
      </c>
      <c r="H108" s="374" t="s">
        <v>2861</v>
      </c>
      <c r="I108" s="374"/>
      <c r="J108" s="374"/>
      <c r="K108" s="65"/>
      <c r="L108" s="374"/>
      <c r="M108" s="65"/>
      <c r="N108" s="374"/>
      <c r="O108" s="374"/>
      <c r="P108" s="374"/>
      <c r="Q108" s="374"/>
      <c r="R108" s="374"/>
      <c r="S108" s="374"/>
      <c r="T108" s="374"/>
      <c r="U108" s="374"/>
      <c r="V108" s="374"/>
      <c r="W108" s="374"/>
      <c r="X108" s="374"/>
      <c r="Y108" s="65"/>
      <c r="Z108" s="65"/>
    </row>
    <row r="109" ht="15.75" customHeight="1">
      <c r="A109" s="376" t="s">
        <v>165</v>
      </c>
      <c r="B109" s="376" t="s">
        <v>2958</v>
      </c>
      <c r="C109" s="376" t="s">
        <v>2959</v>
      </c>
      <c r="D109" s="374"/>
      <c r="E109" s="374"/>
      <c r="F109" s="374"/>
      <c r="G109" s="374" t="s">
        <v>375</v>
      </c>
      <c r="H109" s="374" t="s">
        <v>2896</v>
      </c>
      <c r="I109" s="374"/>
      <c r="J109" s="374"/>
      <c r="K109" s="65"/>
      <c r="L109" s="374"/>
      <c r="M109" s="65"/>
      <c r="N109" s="374"/>
      <c r="O109" s="374"/>
      <c r="P109" s="374"/>
      <c r="Q109" s="374"/>
      <c r="R109" s="374"/>
      <c r="S109" s="374"/>
      <c r="T109" s="374"/>
      <c r="U109" s="374"/>
      <c r="V109" s="374"/>
      <c r="W109" s="374"/>
      <c r="X109" s="374"/>
      <c r="Y109" s="65"/>
      <c r="Z109" s="65"/>
    </row>
    <row r="110" ht="15.75" customHeight="1">
      <c r="A110" s="377" t="s">
        <v>165</v>
      </c>
      <c r="B110" s="374" t="s">
        <v>2960</v>
      </c>
      <c r="C110" s="374" t="s">
        <v>2961</v>
      </c>
      <c r="D110" s="374"/>
      <c r="E110" s="374"/>
      <c r="F110" s="374"/>
      <c r="G110" s="374" t="s">
        <v>375</v>
      </c>
      <c r="H110" s="374" t="s">
        <v>2864</v>
      </c>
      <c r="I110" s="374"/>
      <c r="J110" s="374"/>
      <c r="K110" s="65"/>
      <c r="L110" s="374"/>
      <c r="M110" s="65"/>
      <c r="N110" s="374"/>
      <c r="O110" s="374"/>
      <c r="P110" s="374"/>
      <c r="Q110" s="374"/>
      <c r="R110" s="374"/>
      <c r="S110" s="374"/>
      <c r="T110" s="374"/>
      <c r="U110" s="374"/>
      <c r="V110" s="374"/>
      <c r="W110" s="374"/>
      <c r="X110" s="374"/>
      <c r="Y110" s="65"/>
      <c r="Z110" s="65"/>
    </row>
    <row r="111" ht="15.75" customHeight="1">
      <c r="A111" s="376" t="s">
        <v>165</v>
      </c>
      <c r="B111" s="376" t="s">
        <v>2962</v>
      </c>
      <c r="C111" s="376" t="s">
        <v>2963</v>
      </c>
      <c r="D111" s="374"/>
      <c r="E111" s="374"/>
      <c r="F111" s="374"/>
      <c r="G111" s="374" t="s">
        <v>375</v>
      </c>
      <c r="H111" s="374" t="s">
        <v>1639</v>
      </c>
      <c r="I111" s="374"/>
      <c r="J111" s="374"/>
      <c r="K111" s="65"/>
      <c r="L111" s="374"/>
      <c r="M111" s="65"/>
      <c r="N111" s="374"/>
      <c r="O111" s="374"/>
      <c r="P111" s="374"/>
      <c r="Q111" s="374"/>
      <c r="R111" s="374"/>
      <c r="S111" s="374"/>
      <c r="T111" s="374"/>
      <c r="U111" s="374"/>
      <c r="V111" s="374"/>
      <c r="W111" s="374"/>
      <c r="X111" s="374"/>
      <c r="Y111" s="65"/>
      <c r="Z111" s="65"/>
    </row>
    <row r="112" ht="15.75" customHeight="1">
      <c r="A112" s="376" t="s">
        <v>165</v>
      </c>
      <c r="B112" s="376" t="s">
        <v>2964</v>
      </c>
      <c r="C112" s="376" t="s">
        <v>2965</v>
      </c>
      <c r="D112" s="374"/>
      <c r="E112" s="374"/>
      <c r="F112" s="374"/>
      <c r="G112" s="374" t="s">
        <v>375</v>
      </c>
      <c r="H112" s="374" t="s">
        <v>2843</v>
      </c>
      <c r="I112" s="374"/>
      <c r="J112" s="374"/>
      <c r="K112" s="65"/>
      <c r="L112" s="374"/>
      <c r="M112" s="65"/>
      <c r="N112" s="374"/>
      <c r="O112" s="374"/>
      <c r="P112" s="374"/>
      <c r="Q112" s="374"/>
      <c r="R112" s="374"/>
      <c r="S112" s="374"/>
      <c r="T112" s="374"/>
      <c r="U112" s="374"/>
      <c r="V112" s="374"/>
      <c r="W112" s="374"/>
      <c r="X112" s="374"/>
      <c r="Y112" s="65"/>
      <c r="Z112" s="65"/>
    </row>
    <row r="113" ht="15.75" customHeight="1">
      <c r="A113" s="376" t="s">
        <v>165</v>
      </c>
      <c r="B113" s="376" t="s">
        <v>2964</v>
      </c>
      <c r="C113" s="376" t="s">
        <v>2965</v>
      </c>
      <c r="D113" s="374"/>
      <c r="E113" s="374"/>
      <c r="F113" s="374"/>
      <c r="G113" s="374" t="s">
        <v>375</v>
      </c>
      <c r="H113" s="374" t="s">
        <v>1651</v>
      </c>
      <c r="I113" s="374"/>
      <c r="J113" s="374"/>
      <c r="K113" s="65"/>
      <c r="L113" s="374"/>
      <c r="M113" s="65"/>
      <c r="N113" s="374"/>
      <c r="O113" s="374"/>
      <c r="P113" s="374"/>
      <c r="Q113" s="374"/>
      <c r="R113" s="374"/>
      <c r="S113" s="374"/>
      <c r="T113" s="374"/>
      <c r="U113" s="374"/>
      <c r="V113" s="374"/>
      <c r="W113" s="374"/>
      <c r="X113" s="374"/>
      <c r="Y113" s="65"/>
      <c r="Z113" s="65"/>
    </row>
    <row r="114" ht="15.75" customHeight="1">
      <c r="A114" s="376" t="s">
        <v>165</v>
      </c>
      <c r="B114" s="376" t="s">
        <v>2966</v>
      </c>
      <c r="C114" s="376" t="s">
        <v>2967</v>
      </c>
      <c r="D114" s="374"/>
      <c r="E114" s="374"/>
      <c r="F114" s="374"/>
      <c r="G114" s="374" t="s">
        <v>384</v>
      </c>
      <c r="H114" s="374" t="s">
        <v>2861</v>
      </c>
      <c r="I114" s="374"/>
      <c r="J114" s="374"/>
      <c r="K114" s="65"/>
      <c r="L114" s="374"/>
      <c r="M114" s="65"/>
      <c r="N114" s="374"/>
      <c r="O114" s="374"/>
      <c r="P114" s="374"/>
      <c r="Q114" s="374"/>
      <c r="R114" s="374"/>
      <c r="S114" s="374"/>
      <c r="T114" s="374"/>
      <c r="U114" s="374"/>
      <c r="V114" s="374"/>
      <c r="W114" s="374"/>
      <c r="X114" s="374"/>
      <c r="Y114" s="65"/>
      <c r="Z114" s="65"/>
    </row>
    <row r="115" ht="15.75" customHeight="1">
      <c r="A115" s="376" t="s">
        <v>165</v>
      </c>
      <c r="B115" s="376" t="s">
        <v>2966</v>
      </c>
      <c r="C115" s="376" t="s">
        <v>2967</v>
      </c>
      <c r="D115" s="374"/>
      <c r="E115" s="374"/>
      <c r="F115" s="374"/>
      <c r="G115" s="374" t="s">
        <v>384</v>
      </c>
      <c r="H115" s="374" t="s">
        <v>2968</v>
      </c>
      <c r="I115" s="374"/>
      <c r="J115" s="374"/>
      <c r="K115" s="65"/>
      <c r="L115" s="374"/>
      <c r="M115" s="65"/>
      <c r="N115" s="374"/>
      <c r="O115" s="374"/>
      <c r="P115" s="374"/>
      <c r="Q115" s="374"/>
      <c r="R115" s="374"/>
      <c r="S115" s="374"/>
      <c r="T115" s="374"/>
      <c r="U115" s="374"/>
      <c r="V115" s="374"/>
      <c r="W115" s="374"/>
      <c r="X115" s="374"/>
      <c r="Y115" s="65"/>
      <c r="Z115" s="65"/>
    </row>
    <row r="116" ht="15.75" customHeight="1">
      <c r="A116" s="376" t="s">
        <v>165</v>
      </c>
      <c r="B116" s="376" t="s">
        <v>2969</v>
      </c>
      <c r="C116" s="376" t="s">
        <v>2970</v>
      </c>
      <c r="D116" s="374"/>
      <c r="E116" s="374"/>
      <c r="F116" s="374"/>
      <c r="G116" s="374" t="s">
        <v>384</v>
      </c>
      <c r="H116" s="374" t="s">
        <v>2896</v>
      </c>
      <c r="I116" s="374"/>
      <c r="J116" s="374"/>
      <c r="K116" s="65"/>
      <c r="L116" s="374"/>
      <c r="M116" s="65"/>
      <c r="N116" s="374"/>
      <c r="O116" s="374"/>
      <c r="P116" s="374"/>
      <c r="Q116" s="374"/>
      <c r="R116" s="374"/>
      <c r="S116" s="374"/>
      <c r="T116" s="374"/>
      <c r="U116" s="374"/>
      <c r="V116" s="374"/>
      <c r="W116" s="374"/>
      <c r="X116" s="374"/>
      <c r="Y116" s="65"/>
      <c r="Z116" s="65"/>
    </row>
    <row r="117" ht="15.75" customHeight="1">
      <c r="A117" s="376" t="s">
        <v>165</v>
      </c>
      <c r="B117" s="376" t="s">
        <v>2969</v>
      </c>
      <c r="C117" s="376" t="s">
        <v>2970</v>
      </c>
      <c r="D117" s="374"/>
      <c r="E117" s="374"/>
      <c r="F117" s="374"/>
      <c r="G117" s="374" t="s">
        <v>384</v>
      </c>
      <c r="H117" s="374" t="s">
        <v>2971</v>
      </c>
      <c r="I117" s="374"/>
      <c r="J117" s="374"/>
      <c r="K117" s="65"/>
      <c r="L117" s="374"/>
      <c r="M117" s="65"/>
      <c r="N117" s="374"/>
      <c r="O117" s="374"/>
      <c r="P117" s="374"/>
      <c r="Q117" s="374"/>
      <c r="R117" s="374"/>
      <c r="S117" s="374"/>
      <c r="T117" s="374"/>
      <c r="U117" s="374"/>
      <c r="V117" s="374"/>
      <c r="W117" s="374"/>
      <c r="X117" s="374"/>
      <c r="Y117" s="65"/>
      <c r="Z117" s="65"/>
    </row>
    <row r="118" ht="15.75" customHeight="1">
      <c r="A118" s="376" t="s">
        <v>165</v>
      </c>
      <c r="B118" s="376" t="s">
        <v>2972</v>
      </c>
      <c r="C118" s="376" t="s">
        <v>2973</v>
      </c>
      <c r="D118" s="374"/>
      <c r="E118" s="374"/>
      <c r="F118" s="374"/>
      <c r="G118" s="374" t="s">
        <v>384</v>
      </c>
      <c r="H118" s="374" t="s">
        <v>2869</v>
      </c>
      <c r="I118" s="374"/>
      <c r="J118" s="374"/>
      <c r="K118" s="65"/>
      <c r="L118" s="374"/>
      <c r="M118" s="65"/>
      <c r="N118" s="374"/>
      <c r="O118" s="374"/>
      <c r="P118" s="374"/>
      <c r="Q118" s="374"/>
      <c r="R118" s="374"/>
      <c r="S118" s="374"/>
      <c r="T118" s="374"/>
      <c r="U118" s="374"/>
      <c r="V118" s="374"/>
      <c r="W118" s="374"/>
      <c r="X118" s="374"/>
      <c r="Y118" s="65"/>
      <c r="Z118" s="65"/>
    </row>
    <row r="119" ht="15.75" customHeight="1">
      <c r="A119" s="377" t="s">
        <v>165</v>
      </c>
      <c r="B119" s="374" t="s">
        <v>2972</v>
      </c>
      <c r="C119" s="374" t="s">
        <v>2973</v>
      </c>
      <c r="D119" s="374"/>
      <c r="E119" s="374"/>
      <c r="F119" s="374"/>
      <c r="G119" s="374" t="s">
        <v>384</v>
      </c>
      <c r="H119" s="374" t="s">
        <v>2872</v>
      </c>
      <c r="I119" s="374"/>
      <c r="J119" s="374"/>
      <c r="K119" s="65"/>
      <c r="L119" s="374"/>
      <c r="M119" s="65"/>
      <c r="N119" s="374"/>
      <c r="O119" s="374"/>
      <c r="P119" s="374"/>
      <c r="Q119" s="374"/>
      <c r="R119" s="374"/>
      <c r="S119" s="374"/>
      <c r="T119" s="374"/>
      <c r="U119" s="374"/>
      <c r="V119" s="374"/>
      <c r="W119" s="374"/>
      <c r="X119" s="374"/>
      <c r="Y119" s="65"/>
      <c r="Z119" s="65"/>
    </row>
    <row r="120" ht="15.75" customHeight="1">
      <c r="A120" s="377" t="s">
        <v>183</v>
      </c>
      <c r="B120" s="374" t="s">
        <v>2817</v>
      </c>
      <c r="C120" s="374" t="s">
        <v>1647</v>
      </c>
      <c r="D120" s="374"/>
      <c r="E120" s="374"/>
      <c r="F120" s="374"/>
      <c r="G120" s="374" t="s">
        <v>384</v>
      </c>
      <c r="H120" s="374" t="s">
        <v>2873</v>
      </c>
      <c r="I120" s="374"/>
      <c r="J120" s="374"/>
      <c r="K120" s="65"/>
      <c r="L120" s="374"/>
      <c r="M120" s="65"/>
      <c r="N120" s="374"/>
      <c r="O120" s="374"/>
      <c r="P120" s="374"/>
      <c r="Q120" s="374"/>
      <c r="R120" s="374"/>
      <c r="S120" s="374"/>
      <c r="T120" s="374"/>
      <c r="U120" s="374"/>
      <c r="V120" s="374"/>
      <c r="W120" s="374"/>
      <c r="X120" s="374"/>
      <c r="Y120" s="65"/>
      <c r="Z120" s="65"/>
    </row>
    <row r="121" ht="15.75" customHeight="1">
      <c r="A121" s="376" t="s">
        <v>183</v>
      </c>
      <c r="B121" s="376" t="s">
        <v>2796</v>
      </c>
      <c r="C121" s="376" t="s">
        <v>1650</v>
      </c>
      <c r="D121" s="374"/>
      <c r="E121" s="374"/>
      <c r="F121" s="374"/>
      <c r="G121" s="374" t="s">
        <v>384</v>
      </c>
      <c r="H121" s="374" t="s">
        <v>1643</v>
      </c>
      <c r="I121" s="374"/>
      <c r="J121" s="374"/>
      <c r="K121" s="65"/>
      <c r="L121" s="374"/>
      <c r="M121" s="65"/>
      <c r="N121" s="374"/>
      <c r="O121" s="374"/>
      <c r="P121" s="374"/>
      <c r="Q121" s="374"/>
      <c r="R121" s="374"/>
      <c r="S121" s="374"/>
      <c r="T121" s="374"/>
      <c r="U121" s="374"/>
      <c r="V121" s="374"/>
      <c r="W121" s="374"/>
      <c r="X121" s="374"/>
      <c r="Y121" s="65"/>
      <c r="Z121" s="65"/>
    </row>
    <row r="122" ht="15.75" customHeight="1">
      <c r="A122" s="376" t="s">
        <v>183</v>
      </c>
      <c r="B122" s="376" t="s">
        <v>2974</v>
      </c>
      <c r="C122" s="376" t="s">
        <v>2975</v>
      </c>
      <c r="D122" s="374"/>
      <c r="E122" s="374"/>
      <c r="F122" s="374"/>
      <c r="G122" s="374" t="s">
        <v>384</v>
      </c>
      <c r="H122" s="374" t="s">
        <v>2976</v>
      </c>
      <c r="I122" s="374"/>
      <c r="J122" s="374"/>
      <c r="K122" s="65"/>
      <c r="L122" s="374"/>
      <c r="M122" s="65"/>
      <c r="N122" s="374"/>
      <c r="O122" s="374"/>
      <c r="P122" s="374"/>
      <c r="Q122" s="374"/>
      <c r="R122" s="374"/>
      <c r="S122" s="374"/>
      <c r="T122" s="374"/>
      <c r="U122" s="374"/>
      <c r="V122" s="374"/>
      <c r="W122" s="374"/>
      <c r="X122" s="374"/>
      <c r="Y122" s="65"/>
      <c r="Z122" s="65"/>
    </row>
    <row r="123" ht="15.75" customHeight="1">
      <c r="A123" s="376" t="s">
        <v>183</v>
      </c>
      <c r="B123" s="376" t="s">
        <v>2951</v>
      </c>
      <c r="C123" s="376" t="s">
        <v>2952</v>
      </c>
      <c r="D123" s="374"/>
      <c r="E123" s="374"/>
      <c r="F123" s="374"/>
      <c r="G123" s="374" t="s">
        <v>384</v>
      </c>
      <c r="H123" s="374" t="s">
        <v>2793</v>
      </c>
      <c r="I123" s="374"/>
      <c r="J123" s="374"/>
      <c r="K123" s="65"/>
      <c r="L123" s="374"/>
      <c r="M123" s="65"/>
      <c r="N123" s="374"/>
      <c r="O123" s="374"/>
      <c r="P123" s="374"/>
      <c r="Q123" s="374"/>
      <c r="R123" s="374"/>
      <c r="S123" s="374"/>
      <c r="T123" s="374"/>
      <c r="U123" s="374"/>
      <c r="V123" s="374"/>
      <c r="W123" s="374"/>
      <c r="X123" s="374"/>
      <c r="Y123" s="65"/>
      <c r="Z123" s="65"/>
    </row>
    <row r="124" ht="15.75" customHeight="1">
      <c r="A124" s="377" t="s">
        <v>183</v>
      </c>
      <c r="B124" s="374" t="s">
        <v>2789</v>
      </c>
      <c r="C124" s="374" t="s">
        <v>1637</v>
      </c>
      <c r="D124" s="374"/>
      <c r="E124" s="374"/>
      <c r="F124" s="374"/>
      <c r="G124" s="374" t="s">
        <v>384</v>
      </c>
      <c r="H124" s="374" t="s">
        <v>1649</v>
      </c>
      <c r="I124" s="374"/>
      <c r="J124" s="374"/>
      <c r="K124" s="65"/>
      <c r="L124" s="374"/>
      <c r="M124" s="65"/>
      <c r="N124" s="374"/>
      <c r="O124" s="374"/>
      <c r="P124" s="374"/>
      <c r="Q124" s="374"/>
      <c r="R124" s="374"/>
      <c r="S124" s="374"/>
      <c r="T124" s="374"/>
      <c r="U124" s="374"/>
      <c r="V124" s="374"/>
      <c r="W124" s="374"/>
      <c r="X124" s="374"/>
      <c r="Y124" s="65"/>
      <c r="Z124" s="65"/>
    </row>
    <row r="125" ht="15.75" customHeight="1">
      <c r="A125" s="376" t="s">
        <v>183</v>
      </c>
      <c r="B125" s="376" t="s">
        <v>2977</v>
      </c>
      <c r="C125" s="376" t="s">
        <v>2978</v>
      </c>
      <c r="D125" s="374"/>
      <c r="E125" s="374"/>
      <c r="F125" s="374"/>
      <c r="G125" s="374" t="s">
        <v>384</v>
      </c>
      <c r="H125" s="374" t="s">
        <v>2881</v>
      </c>
      <c r="I125" s="374"/>
      <c r="J125" s="374"/>
      <c r="K125" s="65"/>
      <c r="L125" s="374"/>
      <c r="M125" s="65"/>
      <c r="N125" s="374"/>
      <c r="O125" s="374"/>
      <c r="P125" s="374"/>
      <c r="Q125" s="374"/>
      <c r="R125" s="374"/>
      <c r="S125" s="374"/>
      <c r="T125" s="374"/>
      <c r="U125" s="374"/>
      <c r="V125" s="374"/>
      <c r="W125" s="374"/>
      <c r="X125" s="374"/>
      <c r="Y125" s="65"/>
      <c r="Z125" s="65"/>
    </row>
    <row r="126" ht="15.75" customHeight="1">
      <c r="A126" s="376" t="s">
        <v>183</v>
      </c>
      <c r="B126" s="376" t="s">
        <v>2979</v>
      </c>
      <c r="C126" s="376" t="s">
        <v>2980</v>
      </c>
      <c r="D126" s="374"/>
      <c r="E126" s="374"/>
      <c r="F126" s="374"/>
      <c r="G126" s="374" t="s">
        <v>384</v>
      </c>
      <c r="H126" s="374" t="s">
        <v>2981</v>
      </c>
      <c r="I126" s="374"/>
      <c r="J126" s="374"/>
      <c r="K126" s="65"/>
      <c r="L126" s="374"/>
      <c r="M126" s="65"/>
      <c r="N126" s="374"/>
      <c r="O126" s="374"/>
      <c r="P126" s="374"/>
      <c r="Q126" s="374"/>
      <c r="R126" s="374"/>
      <c r="S126" s="374"/>
      <c r="T126" s="374"/>
      <c r="U126" s="374"/>
      <c r="V126" s="374"/>
      <c r="W126" s="374"/>
      <c r="X126" s="374"/>
      <c r="Y126" s="65"/>
      <c r="Z126" s="65"/>
    </row>
    <row r="127" ht="15.75" customHeight="1">
      <c r="A127" s="376" t="s">
        <v>183</v>
      </c>
      <c r="B127" s="376" t="s">
        <v>2982</v>
      </c>
      <c r="C127" s="376" t="s">
        <v>2983</v>
      </c>
      <c r="D127" s="374"/>
      <c r="E127" s="374"/>
      <c r="F127" s="374"/>
      <c r="G127" s="374" t="s">
        <v>384</v>
      </c>
      <c r="H127" s="374" t="s">
        <v>2843</v>
      </c>
      <c r="I127" s="374"/>
      <c r="J127" s="374"/>
      <c r="K127" s="65"/>
      <c r="L127" s="374"/>
      <c r="M127" s="65"/>
      <c r="N127" s="374"/>
      <c r="O127" s="374"/>
      <c r="P127" s="374"/>
      <c r="Q127" s="374"/>
      <c r="R127" s="374"/>
      <c r="S127" s="374"/>
      <c r="T127" s="374"/>
      <c r="U127" s="374"/>
      <c r="V127" s="374"/>
      <c r="W127" s="374"/>
      <c r="X127" s="374"/>
      <c r="Y127" s="65"/>
      <c r="Z127" s="65"/>
    </row>
    <row r="128" ht="15.75" customHeight="1">
      <c r="A128" s="376" t="s">
        <v>183</v>
      </c>
      <c r="B128" s="376" t="s">
        <v>2984</v>
      </c>
      <c r="C128" s="376" t="s">
        <v>2985</v>
      </c>
      <c r="D128" s="374"/>
      <c r="E128" s="374"/>
      <c r="F128" s="374"/>
      <c r="G128" s="374" t="s">
        <v>384</v>
      </c>
      <c r="H128" s="374" t="s">
        <v>706</v>
      </c>
      <c r="I128" s="374"/>
      <c r="J128" s="374"/>
      <c r="K128" s="65"/>
      <c r="L128" s="374"/>
      <c r="M128" s="65"/>
      <c r="N128" s="374"/>
      <c r="O128" s="374"/>
      <c r="P128" s="374"/>
      <c r="Q128" s="374"/>
      <c r="R128" s="374"/>
      <c r="S128" s="374"/>
      <c r="T128" s="374"/>
      <c r="U128" s="374"/>
      <c r="V128" s="374"/>
      <c r="W128" s="374"/>
      <c r="X128" s="374"/>
      <c r="Y128" s="65"/>
      <c r="Z128" s="65"/>
    </row>
    <row r="129" ht="15.75" customHeight="1">
      <c r="A129" s="376" t="s">
        <v>183</v>
      </c>
      <c r="B129" s="376" t="s">
        <v>2797</v>
      </c>
      <c r="C129" s="376" t="s">
        <v>1640</v>
      </c>
      <c r="D129" s="374"/>
      <c r="E129" s="374"/>
      <c r="F129" s="374"/>
      <c r="G129" s="374" t="s">
        <v>384</v>
      </c>
      <c r="H129" s="374" t="s">
        <v>2888</v>
      </c>
      <c r="I129" s="374"/>
      <c r="J129" s="374"/>
      <c r="K129" s="65"/>
      <c r="L129" s="374"/>
      <c r="M129" s="65"/>
      <c r="N129" s="374"/>
      <c r="O129" s="374"/>
      <c r="P129" s="374"/>
      <c r="Q129" s="374"/>
      <c r="R129" s="374"/>
      <c r="S129" s="374"/>
      <c r="T129" s="374"/>
      <c r="U129" s="374"/>
      <c r="V129" s="374"/>
      <c r="W129" s="374"/>
      <c r="X129" s="374"/>
      <c r="Y129" s="65"/>
      <c r="Z129" s="65"/>
    </row>
    <row r="130" ht="15.75" customHeight="1">
      <c r="A130" s="376" t="s">
        <v>183</v>
      </c>
      <c r="B130" s="376" t="s">
        <v>2986</v>
      </c>
      <c r="C130" s="376" t="s">
        <v>2987</v>
      </c>
      <c r="D130" s="374"/>
      <c r="E130" s="374"/>
      <c r="F130" s="374"/>
      <c r="G130" s="374" t="s">
        <v>384</v>
      </c>
      <c r="H130" s="374" t="s">
        <v>707</v>
      </c>
      <c r="I130" s="374"/>
      <c r="J130" s="374"/>
      <c r="K130" s="65"/>
      <c r="L130" s="374"/>
      <c r="M130" s="65"/>
      <c r="N130" s="374"/>
      <c r="O130" s="374"/>
      <c r="P130" s="374"/>
      <c r="Q130" s="374"/>
      <c r="R130" s="374"/>
      <c r="S130" s="374"/>
      <c r="T130" s="374"/>
      <c r="U130" s="374"/>
      <c r="V130" s="374"/>
      <c r="W130" s="374"/>
      <c r="X130" s="374"/>
      <c r="Y130" s="65"/>
      <c r="Z130" s="65"/>
    </row>
    <row r="131" ht="15.75" customHeight="1">
      <c r="A131" s="376" t="s">
        <v>183</v>
      </c>
      <c r="B131" s="376" t="s">
        <v>2988</v>
      </c>
      <c r="C131" s="376" t="s">
        <v>2989</v>
      </c>
      <c r="D131" s="374"/>
      <c r="E131" s="374"/>
      <c r="F131" s="374"/>
      <c r="G131" s="374" t="s">
        <v>384</v>
      </c>
      <c r="H131" s="374" t="s">
        <v>2957</v>
      </c>
      <c r="I131" s="374"/>
      <c r="J131" s="374"/>
      <c r="K131" s="65"/>
      <c r="L131" s="374"/>
      <c r="M131" s="65"/>
      <c r="N131" s="374"/>
      <c r="O131" s="374"/>
      <c r="P131" s="374"/>
      <c r="Q131" s="374"/>
      <c r="R131" s="374"/>
      <c r="S131" s="374"/>
      <c r="T131" s="374"/>
      <c r="U131" s="374"/>
      <c r="V131" s="374"/>
      <c r="W131" s="374"/>
      <c r="X131" s="374"/>
      <c r="Y131" s="65"/>
      <c r="Z131" s="65"/>
    </row>
    <row r="132" ht="15.75" customHeight="1">
      <c r="A132" s="376" t="s">
        <v>183</v>
      </c>
      <c r="B132" s="376" t="s">
        <v>2990</v>
      </c>
      <c r="C132" s="376" t="s">
        <v>2991</v>
      </c>
      <c r="D132" s="374"/>
      <c r="E132" s="374"/>
      <c r="F132" s="374"/>
      <c r="G132" s="374" t="s">
        <v>384</v>
      </c>
      <c r="H132" s="374" t="s">
        <v>1651</v>
      </c>
      <c r="I132" s="374"/>
      <c r="J132" s="374"/>
      <c r="K132" s="65"/>
      <c r="L132" s="374"/>
      <c r="M132" s="65"/>
      <c r="N132" s="374"/>
      <c r="O132" s="374"/>
      <c r="P132" s="374"/>
      <c r="Q132" s="374"/>
      <c r="R132" s="374"/>
      <c r="S132" s="374"/>
      <c r="T132" s="374"/>
      <c r="U132" s="374"/>
      <c r="V132" s="374"/>
      <c r="W132" s="374"/>
      <c r="X132" s="374"/>
      <c r="Y132" s="65"/>
      <c r="Z132" s="65"/>
    </row>
    <row r="133" ht="15.75" customHeight="1">
      <c r="A133" s="376" t="s">
        <v>183</v>
      </c>
      <c r="B133" s="376" t="s">
        <v>2992</v>
      </c>
      <c r="C133" s="376" t="s">
        <v>2993</v>
      </c>
      <c r="D133" s="374"/>
      <c r="E133" s="374"/>
      <c r="F133" s="374"/>
      <c r="G133" s="374" t="s">
        <v>384</v>
      </c>
      <c r="H133" s="374" t="s">
        <v>732</v>
      </c>
      <c r="I133" s="374"/>
      <c r="J133" s="374"/>
      <c r="K133" s="65"/>
      <c r="L133" s="374"/>
      <c r="M133" s="65"/>
      <c r="N133" s="374"/>
      <c r="O133" s="374"/>
      <c r="P133" s="374"/>
      <c r="Q133" s="374"/>
      <c r="R133" s="374"/>
      <c r="S133" s="374"/>
      <c r="T133" s="374"/>
      <c r="U133" s="374"/>
      <c r="V133" s="374"/>
      <c r="W133" s="374"/>
      <c r="X133" s="374"/>
      <c r="Y133" s="65"/>
      <c r="Z133" s="65"/>
    </row>
    <row r="134" ht="15.75" customHeight="1">
      <c r="A134" s="376" t="s">
        <v>183</v>
      </c>
      <c r="B134" s="376" t="s">
        <v>2994</v>
      </c>
      <c r="C134" s="376" t="s">
        <v>2995</v>
      </c>
      <c r="D134" s="374"/>
      <c r="E134" s="374"/>
      <c r="F134" s="374"/>
      <c r="G134" s="374" t="s">
        <v>393</v>
      </c>
      <c r="H134" s="374" t="s">
        <v>2861</v>
      </c>
      <c r="I134" s="374"/>
      <c r="J134" s="374"/>
      <c r="K134" s="65"/>
      <c r="L134" s="374"/>
      <c r="M134" s="65"/>
      <c r="N134" s="374"/>
      <c r="O134" s="374"/>
      <c r="P134" s="374"/>
      <c r="Q134" s="374"/>
      <c r="R134" s="374"/>
      <c r="S134" s="374"/>
      <c r="T134" s="374"/>
      <c r="U134" s="374"/>
      <c r="V134" s="374"/>
      <c r="W134" s="374"/>
      <c r="X134" s="374"/>
      <c r="Y134" s="65"/>
      <c r="Z134" s="65"/>
    </row>
    <row r="135" ht="15.75" customHeight="1">
      <c r="A135" s="376" t="s">
        <v>183</v>
      </c>
      <c r="B135" s="376" t="s">
        <v>2996</v>
      </c>
      <c r="C135" s="376" t="s">
        <v>2997</v>
      </c>
      <c r="D135" s="374"/>
      <c r="E135" s="374"/>
      <c r="F135" s="374"/>
      <c r="G135" s="374" t="s">
        <v>393</v>
      </c>
      <c r="H135" s="374" t="s">
        <v>2896</v>
      </c>
      <c r="I135" s="374"/>
      <c r="J135" s="374"/>
      <c r="K135" s="65"/>
      <c r="L135" s="374"/>
      <c r="M135" s="65"/>
      <c r="N135" s="374"/>
      <c r="O135" s="374"/>
      <c r="P135" s="374"/>
      <c r="Q135" s="374"/>
      <c r="R135" s="374"/>
      <c r="S135" s="374"/>
      <c r="T135" s="374"/>
      <c r="U135" s="374"/>
      <c r="V135" s="374"/>
      <c r="W135" s="374"/>
      <c r="X135" s="374"/>
      <c r="Y135" s="65"/>
      <c r="Z135" s="65"/>
    </row>
    <row r="136" ht="15.75" customHeight="1">
      <c r="A136" s="376" t="s">
        <v>183</v>
      </c>
      <c r="B136" s="376" t="s">
        <v>2821</v>
      </c>
      <c r="C136" s="376" t="s">
        <v>2822</v>
      </c>
      <c r="D136" s="374"/>
      <c r="E136" s="374"/>
      <c r="F136" s="374"/>
      <c r="G136" s="374" t="s">
        <v>393</v>
      </c>
      <c r="H136" s="374" t="s">
        <v>2864</v>
      </c>
      <c r="I136" s="374"/>
      <c r="J136" s="374"/>
      <c r="K136" s="65"/>
      <c r="L136" s="374"/>
      <c r="M136" s="65"/>
      <c r="N136" s="374"/>
      <c r="O136" s="374"/>
      <c r="P136" s="374"/>
      <c r="Q136" s="374"/>
      <c r="R136" s="374"/>
      <c r="S136" s="374"/>
      <c r="T136" s="374"/>
      <c r="U136" s="374"/>
      <c r="V136" s="374"/>
      <c r="W136" s="374"/>
      <c r="X136" s="374"/>
      <c r="Y136" s="65"/>
      <c r="Z136" s="65"/>
    </row>
    <row r="137" ht="15.75" customHeight="1">
      <c r="A137" s="376" t="s">
        <v>183</v>
      </c>
      <c r="B137" s="376" t="s">
        <v>2823</v>
      </c>
      <c r="C137" s="376" t="s">
        <v>2824</v>
      </c>
      <c r="D137" s="374"/>
      <c r="E137" s="374"/>
      <c r="F137" s="374"/>
      <c r="G137" s="374" t="s">
        <v>393</v>
      </c>
      <c r="H137" s="374" t="s">
        <v>1639</v>
      </c>
      <c r="I137" s="374"/>
      <c r="J137" s="374"/>
      <c r="K137" s="65"/>
      <c r="L137" s="374"/>
      <c r="M137" s="65"/>
      <c r="N137" s="374"/>
      <c r="O137" s="374"/>
      <c r="P137" s="374"/>
      <c r="Q137" s="374"/>
      <c r="R137" s="374"/>
      <c r="S137" s="374"/>
      <c r="T137" s="374"/>
      <c r="U137" s="374"/>
      <c r="V137" s="374"/>
      <c r="W137" s="374"/>
      <c r="X137" s="374"/>
      <c r="Y137" s="65"/>
      <c r="Z137" s="65"/>
    </row>
    <row r="138" ht="15.75" customHeight="1">
      <c r="A138" s="376" t="s">
        <v>183</v>
      </c>
      <c r="B138" s="376" t="s">
        <v>2998</v>
      </c>
      <c r="C138" s="376" t="s">
        <v>2999</v>
      </c>
      <c r="D138" s="374"/>
      <c r="E138" s="374"/>
      <c r="F138" s="374"/>
      <c r="G138" s="374" t="s">
        <v>393</v>
      </c>
      <c r="H138" s="374" t="s">
        <v>2793</v>
      </c>
      <c r="I138" s="374"/>
      <c r="J138" s="374"/>
      <c r="K138" s="65"/>
      <c r="L138" s="374"/>
      <c r="M138" s="65"/>
      <c r="N138" s="374"/>
      <c r="O138" s="374"/>
      <c r="P138" s="374"/>
      <c r="Q138" s="374"/>
      <c r="R138" s="374"/>
      <c r="S138" s="374"/>
      <c r="T138" s="374"/>
      <c r="U138" s="374"/>
      <c r="V138" s="374"/>
      <c r="W138" s="374"/>
      <c r="X138" s="374"/>
      <c r="Y138" s="65"/>
      <c r="Z138" s="65"/>
    </row>
    <row r="139" ht="15.75" customHeight="1">
      <c r="A139" s="376" t="s">
        <v>201</v>
      </c>
      <c r="B139" s="376" t="s">
        <v>3000</v>
      </c>
      <c r="C139" s="376" t="s">
        <v>3001</v>
      </c>
      <c r="D139" s="374"/>
      <c r="E139" s="374"/>
      <c r="F139" s="374"/>
      <c r="G139" s="374" t="s">
        <v>393</v>
      </c>
      <c r="H139" s="374" t="s">
        <v>706</v>
      </c>
      <c r="I139" s="374"/>
      <c r="J139" s="374"/>
      <c r="K139" s="65"/>
      <c r="L139" s="374"/>
      <c r="M139" s="65"/>
      <c r="N139" s="374"/>
      <c r="O139" s="374"/>
      <c r="P139" s="374"/>
      <c r="Q139" s="374"/>
      <c r="R139" s="374"/>
      <c r="S139" s="374"/>
      <c r="T139" s="374"/>
      <c r="U139" s="374"/>
      <c r="V139" s="374"/>
      <c r="W139" s="374"/>
      <c r="X139" s="374"/>
      <c r="Y139" s="65"/>
      <c r="Z139" s="65"/>
    </row>
    <row r="140" ht="15.75" customHeight="1">
      <c r="A140" s="376" t="s">
        <v>207</v>
      </c>
      <c r="B140" s="376" t="s">
        <v>2796</v>
      </c>
      <c r="C140" s="376" t="s">
        <v>1650</v>
      </c>
      <c r="D140" s="374"/>
      <c r="E140" s="374"/>
      <c r="F140" s="374"/>
      <c r="G140" s="374" t="s">
        <v>393</v>
      </c>
      <c r="H140" s="374" t="s">
        <v>1651</v>
      </c>
      <c r="I140" s="374"/>
      <c r="J140" s="374"/>
      <c r="K140" s="65"/>
      <c r="L140" s="374"/>
      <c r="M140" s="65"/>
      <c r="N140" s="374"/>
      <c r="O140" s="374"/>
      <c r="P140" s="374"/>
      <c r="Q140" s="374"/>
      <c r="R140" s="374"/>
      <c r="S140" s="374"/>
      <c r="T140" s="374"/>
      <c r="U140" s="374"/>
      <c r="V140" s="374"/>
      <c r="W140" s="374"/>
      <c r="X140" s="374"/>
      <c r="Y140" s="65"/>
      <c r="Z140" s="65"/>
    </row>
    <row r="141" ht="15.75" customHeight="1">
      <c r="A141" s="376" t="s">
        <v>207</v>
      </c>
      <c r="B141" s="376" t="s">
        <v>2960</v>
      </c>
      <c r="C141" s="376" t="s">
        <v>2961</v>
      </c>
      <c r="D141" s="374"/>
      <c r="E141" s="374"/>
      <c r="F141" s="374"/>
      <c r="G141" s="374" t="s">
        <v>393</v>
      </c>
      <c r="H141" s="374" t="s">
        <v>2895</v>
      </c>
      <c r="I141" s="374"/>
      <c r="J141" s="374"/>
      <c r="K141" s="65"/>
      <c r="L141" s="374"/>
      <c r="M141" s="65"/>
      <c r="N141" s="374"/>
      <c r="O141" s="374"/>
      <c r="P141" s="374"/>
      <c r="Q141" s="374"/>
      <c r="R141" s="374"/>
      <c r="S141" s="374"/>
      <c r="T141" s="374"/>
      <c r="U141" s="374"/>
      <c r="V141" s="374"/>
      <c r="W141" s="374"/>
      <c r="X141" s="374"/>
      <c r="Y141" s="65"/>
      <c r="Z141" s="65"/>
    </row>
    <row r="142" ht="15.75" customHeight="1">
      <c r="A142" s="376" t="s">
        <v>207</v>
      </c>
      <c r="B142" s="376" t="s">
        <v>2951</v>
      </c>
      <c r="C142" s="376" t="s">
        <v>2952</v>
      </c>
      <c r="D142" s="374"/>
      <c r="E142" s="374"/>
      <c r="F142" s="374"/>
      <c r="I142" s="374"/>
      <c r="J142" s="374"/>
      <c r="K142" s="65"/>
      <c r="L142" s="374"/>
      <c r="M142" s="65"/>
      <c r="N142" s="374"/>
      <c r="O142" s="374"/>
      <c r="P142" s="374"/>
      <c r="Q142" s="374"/>
      <c r="R142" s="374"/>
      <c r="S142" s="374"/>
      <c r="T142" s="374"/>
      <c r="U142" s="374"/>
      <c r="V142" s="374"/>
      <c r="W142" s="374"/>
      <c r="X142" s="374"/>
      <c r="Y142" s="65"/>
      <c r="Z142" s="65"/>
    </row>
    <row r="143" ht="15.75" customHeight="1">
      <c r="A143" s="376" t="s">
        <v>207</v>
      </c>
      <c r="B143" s="376" t="s">
        <v>2799</v>
      </c>
      <c r="C143" s="376" t="s">
        <v>1641</v>
      </c>
      <c r="D143" s="374"/>
      <c r="E143" s="374"/>
      <c r="F143" s="374"/>
      <c r="I143" s="374"/>
      <c r="J143" s="374"/>
      <c r="K143" s="65"/>
      <c r="L143" s="374"/>
      <c r="M143" s="65"/>
      <c r="N143" s="374"/>
      <c r="O143" s="374"/>
      <c r="P143" s="374"/>
      <c r="Q143" s="374"/>
      <c r="R143" s="374"/>
      <c r="S143" s="374"/>
      <c r="T143" s="374"/>
      <c r="U143" s="374"/>
      <c r="V143" s="374"/>
      <c r="W143" s="374"/>
      <c r="X143" s="374"/>
      <c r="Y143" s="65"/>
      <c r="Z143" s="65"/>
    </row>
    <row r="144" ht="15.75" customHeight="1">
      <c r="A144" s="376" t="s">
        <v>207</v>
      </c>
      <c r="B144" s="376" t="s">
        <v>2802</v>
      </c>
      <c r="C144" s="376" t="s">
        <v>1646</v>
      </c>
      <c r="D144" s="374"/>
      <c r="E144" s="374"/>
      <c r="F144" s="374"/>
      <c r="I144" s="374"/>
      <c r="J144" s="374"/>
      <c r="K144" s="65"/>
      <c r="L144" s="374"/>
      <c r="M144" s="65"/>
      <c r="N144" s="374"/>
      <c r="O144" s="374"/>
      <c r="P144" s="374"/>
      <c r="Q144" s="374"/>
      <c r="R144" s="374"/>
      <c r="S144" s="374"/>
      <c r="T144" s="374"/>
      <c r="U144" s="374"/>
      <c r="V144" s="374"/>
      <c r="W144" s="374"/>
      <c r="X144" s="374"/>
      <c r="Y144" s="65"/>
      <c r="Z144" s="65"/>
    </row>
    <row r="145" ht="15.75" customHeight="1">
      <c r="A145" s="376" t="s">
        <v>207</v>
      </c>
      <c r="B145" s="376" t="s">
        <v>3002</v>
      </c>
      <c r="C145" s="376" t="s">
        <v>3003</v>
      </c>
      <c r="D145" s="374"/>
      <c r="E145" s="374"/>
      <c r="F145" s="374"/>
      <c r="I145" s="374"/>
      <c r="J145" s="374"/>
      <c r="K145" s="65"/>
      <c r="L145" s="374"/>
      <c r="M145" s="65"/>
      <c r="N145" s="374"/>
      <c r="O145" s="374"/>
      <c r="P145" s="374"/>
      <c r="Q145" s="374"/>
      <c r="R145" s="374"/>
      <c r="S145" s="374"/>
      <c r="T145" s="374"/>
      <c r="U145" s="374"/>
      <c r="V145" s="374"/>
      <c r="W145" s="374"/>
      <c r="X145" s="374"/>
      <c r="Y145" s="65"/>
      <c r="Z145" s="65"/>
    </row>
    <row r="146" ht="15.75" customHeight="1">
      <c r="A146" s="376" t="s">
        <v>207</v>
      </c>
      <c r="B146" s="376" t="s">
        <v>3004</v>
      </c>
      <c r="C146" s="376" t="s">
        <v>3005</v>
      </c>
      <c r="D146" s="374"/>
      <c r="E146" s="374"/>
      <c r="F146" s="374"/>
      <c r="I146" s="374"/>
      <c r="J146" s="374"/>
      <c r="K146" s="65"/>
      <c r="L146" s="374"/>
      <c r="M146" s="65"/>
      <c r="N146" s="374"/>
      <c r="O146" s="374"/>
      <c r="P146" s="374"/>
      <c r="Q146" s="374"/>
      <c r="R146" s="374"/>
      <c r="S146" s="374"/>
      <c r="T146" s="374"/>
      <c r="U146" s="374"/>
      <c r="V146" s="374"/>
      <c r="W146" s="374"/>
      <c r="X146" s="374"/>
      <c r="Y146" s="65"/>
      <c r="Z146" s="65"/>
    </row>
    <row r="147" ht="15.75" customHeight="1">
      <c r="A147" s="376" t="s">
        <v>207</v>
      </c>
      <c r="B147" s="376" t="s">
        <v>3006</v>
      </c>
      <c r="C147" s="376" t="s">
        <v>3007</v>
      </c>
      <c r="D147" s="374"/>
      <c r="E147" s="374"/>
      <c r="F147" s="374"/>
      <c r="I147" s="374"/>
      <c r="J147" s="374"/>
      <c r="K147" s="65"/>
      <c r="L147" s="374"/>
      <c r="M147" s="65"/>
      <c r="N147" s="374"/>
      <c r="O147" s="374"/>
      <c r="P147" s="374"/>
      <c r="Q147" s="374"/>
      <c r="R147" s="374"/>
      <c r="S147" s="374"/>
      <c r="T147" s="374"/>
      <c r="U147" s="374"/>
      <c r="V147" s="374"/>
      <c r="W147" s="374"/>
      <c r="X147" s="374"/>
      <c r="Y147" s="65"/>
      <c r="Z147" s="65"/>
    </row>
    <row r="148" ht="15.75" customHeight="1">
      <c r="A148" s="376" t="s">
        <v>207</v>
      </c>
      <c r="B148" s="376" t="s">
        <v>3008</v>
      </c>
      <c r="C148" s="376" t="s">
        <v>3009</v>
      </c>
      <c r="D148" s="374"/>
      <c r="E148" s="374"/>
      <c r="F148" s="374"/>
      <c r="I148" s="374"/>
      <c r="J148" s="374"/>
      <c r="K148" s="65"/>
      <c r="L148" s="374"/>
      <c r="M148" s="65"/>
      <c r="N148" s="374"/>
      <c r="O148" s="374"/>
      <c r="P148" s="374"/>
      <c r="Q148" s="374"/>
      <c r="R148" s="374"/>
      <c r="S148" s="374"/>
      <c r="T148" s="374"/>
      <c r="U148" s="374"/>
      <c r="V148" s="374"/>
      <c r="W148" s="374"/>
      <c r="X148" s="374"/>
      <c r="Y148" s="65"/>
      <c r="Z148" s="65"/>
    </row>
    <row r="149" ht="15.75" customHeight="1">
      <c r="A149" s="376" t="s">
        <v>207</v>
      </c>
      <c r="B149" s="376" t="s">
        <v>3010</v>
      </c>
      <c r="C149" s="376" t="s">
        <v>3011</v>
      </c>
      <c r="D149" s="374"/>
      <c r="E149" s="374"/>
      <c r="F149" s="374"/>
      <c r="I149" s="374"/>
      <c r="J149" s="374"/>
      <c r="K149" s="65"/>
      <c r="L149" s="374"/>
      <c r="M149" s="65"/>
      <c r="N149" s="374"/>
      <c r="O149" s="374"/>
      <c r="P149" s="374"/>
      <c r="Q149" s="374"/>
      <c r="R149" s="374"/>
      <c r="S149" s="374"/>
      <c r="T149" s="374"/>
      <c r="U149" s="374"/>
      <c r="V149" s="374"/>
      <c r="W149" s="374"/>
      <c r="X149" s="374"/>
      <c r="Y149" s="65"/>
      <c r="Z149" s="65"/>
    </row>
    <row r="150" ht="15.75" customHeight="1">
      <c r="A150" s="376" t="s">
        <v>207</v>
      </c>
      <c r="B150" s="376" t="s">
        <v>3012</v>
      </c>
      <c r="C150" s="376" t="s">
        <v>3013</v>
      </c>
      <c r="D150" s="374"/>
      <c r="E150" s="374"/>
      <c r="F150" s="374"/>
      <c r="I150" s="374"/>
      <c r="J150" s="374"/>
      <c r="K150" s="65"/>
      <c r="L150" s="374"/>
      <c r="M150" s="65"/>
      <c r="N150" s="374"/>
      <c r="O150" s="374"/>
      <c r="P150" s="374"/>
      <c r="Q150" s="374"/>
      <c r="R150" s="374"/>
      <c r="S150" s="374"/>
      <c r="T150" s="374"/>
      <c r="U150" s="374"/>
      <c r="V150" s="374"/>
      <c r="W150" s="374"/>
      <c r="X150" s="374"/>
      <c r="Y150" s="65"/>
      <c r="Z150" s="65"/>
    </row>
    <row r="151" ht="15.75" customHeight="1">
      <c r="A151" s="376" t="s">
        <v>207</v>
      </c>
      <c r="B151" s="376" t="s">
        <v>2879</v>
      </c>
      <c r="C151" s="376" t="s">
        <v>2880</v>
      </c>
      <c r="D151" s="374"/>
      <c r="E151" s="374"/>
      <c r="F151" s="374"/>
      <c r="I151" s="374"/>
      <c r="J151" s="374"/>
      <c r="K151" s="65"/>
      <c r="L151" s="374"/>
      <c r="M151" s="65"/>
      <c r="N151" s="374"/>
      <c r="O151" s="374"/>
      <c r="P151" s="374"/>
      <c r="Q151" s="374"/>
      <c r="R151" s="374"/>
      <c r="S151" s="374"/>
      <c r="T151" s="374"/>
      <c r="U151" s="374"/>
      <c r="V151" s="374"/>
      <c r="W151" s="374"/>
      <c r="X151" s="374"/>
      <c r="Y151" s="65"/>
      <c r="Z151" s="65"/>
    </row>
    <row r="152" ht="15.75" customHeight="1">
      <c r="A152" s="376" t="s">
        <v>207</v>
      </c>
      <c r="B152" s="376" t="s">
        <v>3014</v>
      </c>
      <c r="C152" s="376" t="s">
        <v>3015</v>
      </c>
      <c r="D152" s="374"/>
      <c r="E152" s="374"/>
      <c r="F152" s="374"/>
      <c r="I152" s="374"/>
      <c r="J152" s="374"/>
      <c r="K152" s="65"/>
      <c r="L152" s="374"/>
      <c r="M152" s="65"/>
      <c r="N152" s="374"/>
      <c r="O152" s="374"/>
      <c r="P152" s="374"/>
      <c r="Q152" s="374"/>
      <c r="R152" s="374"/>
      <c r="S152" s="374"/>
      <c r="T152" s="374"/>
      <c r="U152" s="374"/>
      <c r="V152" s="374"/>
      <c r="W152" s="374"/>
      <c r="X152" s="374"/>
      <c r="Y152" s="65"/>
      <c r="Z152" s="65"/>
    </row>
    <row r="153" ht="15.75" customHeight="1">
      <c r="A153" s="377" t="s">
        <v>207</v>
      </c>
      <c r="B153" s="374" t="s">
        <v>3016</v>
      </c>
      <c r="C153" s="374" t="s">
        <v>3017</v>
      </c>
      <c r="D153" s="374"/>
      <c r="E153" s="374"/>
      <c r="F153" s="374"/>
      <c r="I153" s="374"/>
      <c r="J153" s="374"/>
      <c r="K153" s="65"/>
      <c r="L153" s="374"/>
      <c r="M153" s="65"/>
      <c r="N153" s="374"/>
      <c r="O153" s="374"/>
      <c r="P153" s="374"/>
      <c r="Q153" s="374"/>
      <c r="R153" s="374"/>
      <c r="S153" s="374"/>
      <c r="T153" s="374"/>
      <c r="U153" s="374"/>
      <c r="V153" s="374"/>
      <c r="W153" s="374"/>
      <c r="X153" s="374"/>
      <c r="Y153" s="65"/>
      <c r="Z153" s="65"/>
    </row>
    <row r="154" ht="15.75" customHeight="1">
      <c r="A154" s="376" t="s">
        <v>207</v>
      </c>
      <c r="B154" s="376" t="s">
        <v>3018</v>
      </c>
      <c r="C154" s="376" t="s">
        <v>3019</v>
      </c>
      <c r="D154" s="374"/>
      <c r="E154" s="374"/>
      <c r="F154" s="374"/>
      <c r="I154" s="374"/>
      <c r="J154" s="374"/>
      <c r="K154" s="65"/>
      <c r="L154" s="374"/>
      <c r="M154" s="65"/>
      <c r="N154" s="374"/>
      <c r="O154" s="374"/>
      <c r="P154" s="374"/>
      <c r="Q154" s="374"/>
      <c r="R154" s="374"/>
      <c r="S154" s="374"/>
      <c r="T154" s="374"/>
      <c r="U154" s="374"/>
      <c r="V154" s="374"/>
      <c r="W154" s="374"/>
      <c r="X154" s="374"/>
      <c r="Y154" s="65"/>
      <c r="Z154" s="65"/>
    </row>
    <row r="155" ht="15.75" customHeight="1">
      <c r="A155" s="376" t="s">
        <v>207</v>
      </c>
      <c r="B155" s="376" t="s">
        <v>3020</v>
      </c>
      <c r="C155" s="376" t="s">
        <v>3021</v>
      </c>
      <c r="D155" s="374"/>
      <c r="E155" s="374"/>
      <c r="F155" s="374"/>
      <c r="I155" s="374"/>
      <c r="J155" s="374"/>
      <c r="K155" s="65"/>
      <c r="L155" s="374"/>
      <c r="M155" s="65"/>
      <c r="N155" s="374"/>
      <c r="O155" s="374"/>
      <c r="P155" s="374"/>
      <c r="Q155" s="374"/>
      <c r="R155" s="374"/>
      <c r="S155" s="374"/>
      <c r="T155" s="374"/>
      <c r="U155" s="374"/>
      <c r="V155" s="374"/>
      <c r="W155" s="374"/>
      <c r="X155" s="374"/>
      <c r="Y155" s="65"/>
      <c r="Z155" s="65"/>
    </row>
    <row r="156" ht="15.75" customHeight="1">
      <c r="A156" s="376" t="s">
        <v>207</v>
      </c>
      <c r="B156" s="376" t="s">
        <v>3022</v>
      </c>
      <c r="C156" s="376" t="s">
        <v>3023</v>
      </c>
      <c r="D156" s="374"/>
      <c r="E156" s="374"/>
      <c r="F156" s="374"/>
      <c r="I156" s="374"/>
      <c r="J156" s="374"/>
      <c r="K156" s="65"/>
      <c r="L156" s="374"/>
      <c r="M156" s="65"/>
      <c r="N156" s="374"/>
      <c r="O156" s="374"/>
      <c r="P156" s="374"/>
      <c r="Q156" s="374"/>
      <c r="R156" s="374"/>
      <c r="S156" s="374"/>
      <c r="T156" s="374"/>
      <c r="U156" s="374"/>
      <c r="V156" s="374"/>
      <c r="W156" s="374"/>
      <c r="X156" s="374"/>
      <c r="Y156" s="65"/>
      <c r="Z156" s="65"/>
    </row>
    <row r="157" ht="15.75" customHeight="1">
      <c r="A157" s="376" t="s">
        <v>207</v>
      </c>
      <c r="B157" s="376" t="s">
        <v>3024</v>
      </c>
      <c r="C157" s="376" t="s">
        <v>3025</v>
      </c>
      <c r="D157" s="374"/>
      <c r="E157" s="374"/>
      <c r="F157" s="374"/>
      <c r="I157" s="374"/>
      <c r="J157" s="374"/>
      <c r="K157" s="65"/>
      <c r="L157" s="374"/>
      <c r="M157" s="65"/>
      <c r="N157" s="374"/>
      <c r="O157" s="374"/>
      <c r="P157" s="374"/>
      <c r="Q157" s="374"/>
      <c r="R157" s="374"/>
      <c r="S157" s="374"/>
      <c r="T157" s="374"/>
      <c r="U157" s="374"/>
      <c r="V157" s="374"/>
      <c r="W157" s="374"/>
      <c r="X157" s="374"/>
      <c r="Y157" s="65"/>
      <c r="Z157" s="65"/>
    </row>
    <row r="158" ht="15.75" customHeight="1">
      <c r="A158" s="376" t="s">
        <v>207</v>
      </c>
      <c r="B158" s="376" t="s">
        <v>2816</v>
      </c>
      <c r="C158" s="376" t="s">
        <v>1635</v>
      </c>
      <c r="D158" s="374"/>
      <c r="E158" s="374"/>
      <c r="F158" s="374"/>
      <c r="I158" s="374"/>
      <c r="J158" s="374"/>
      <c r="K158" s="65"/>
      <c r="L158" s="374"/>
      <c r="M158" s="65"/>
      <c r="N158" s="374"/>
      <c r="O158" s="374"/>
      <c r="P158" s="374"/>
      <c r="Q158" s="374"/>
      <c r="R158" s="374"/>
      <c r="S158" s="374"/>
      <c r="T158" s="374"/>
      <c r="U158" s="374"/>
      <c r="V158" s="374"/>
      <c r="W158" s="374"/>
      <c r="X158" s="374"/>
      <c r="Y158" s="65"/>
      <c r="Z158" s="65"/>
    </row>
    <row r="159" ht="15.75" customHeight="1">
      <c r="A159" s="376" t="s">
        <v>207</v>
      </c>
      <c r="B159" s="376" t="s">
        <v>2947</v>
      </c>
      <c r="C159" s="376" t="s">
        <v>2948</v>
      </c>
      <c r="D159" s="374"/>
      <c r="E159" s="374"/>
      <c r="F159" s="374"/>
      <c r="I159" s="374"/>
      <c r="J159" s="374"/>
      <c r="K159" s="65"/>
      <c r="L159" s="374"/>
      <c r="M159" s="65"/>
      <c r="N159" s="374"/>
      <c r="O159" s="374"/>
      <c r="P159" s="374"/>
      <c r="Q159" s="374"/>
      <c r="R159" s="374"/>
      <c r="S159" s="374"/>
      <c r="T159" s="374"/>
      <c r="U159" s="374"/>
      <c r="V159" s="374"/>
      <c r="W159" s="374"/>
      <c r="X159" s="374"/>
      <c r="Y159" s="65"/>
      <c r="Z159" s="65"/>
    </row>
    <row r="160" ht="15.75" customHeight="1">
      <c r="A160" s="376" t="s">
        <v>207</v>
      </c>
      <c r="B160" s="376" t="s">
        <v>2821</v>
      </c>
      <c r="C160" s="376" t="s">
        <v>2822</v>
      </c>
      <c r="D160" s="374"/>
      <c r="E160" s="374"/>
      <c r="F160" s="374"/>
      <c r="I160" s="374"/>
      <c r="J160" s="374"/>
      <c r="K160" s="65"/>
      <c r="L160" s="374"/>
      <c r="M160" s="65"/>
      <c r="N160" s="374"/>
      <c r="O160" s="374"/>
      <c r="P160" s="374"/>
      <c r="Q160" s="374"/>
      <c r="R160" s="374"/>
      <c r="S160" s="374"/>
      <c r="T160" s="374"/>
      <c r="U160" s="374"/>
      <c r="V160" s="374"/>
      <c r="W160" s="374"/>
      <c r="X160" s="374"/>
      <c r="Y160" s="65"/>
      <c r="Z160" s="65"/>
    </row>
    <row r="161" ht="15.75" customHeight="1">
      <c r="A161" s="376" t="s">
        <v>207</v>
      </c>
      <c r="B161" s="376" t="s">
        <v>3026</v>
      </c>
      <c r="C161" s="376" t="s">
        <v>3027</v>
      </c>
      <c r="D161" s="374"/>
      <c r="E161" s="374"/>
      <c r="F161" s="374"/>
      <c r="I161" s="374"/>
      <c r="J161" s="374"/>
      <c r="K161" s="65"/>
      <c r="L161" s="374"/>
      <c r="M161" s="65"/>
      <c r="N161" s="374"/>
      <c r="O161" s="374"/>
      <c r="P161" s="374"/>
      <c r="Q161" s="374"/>
      <c r="R161" s="374"/>
      <c r="S161" s="374"/>
      <c r="T161" s="374"/>
      <c r="U161" s="374"/>
      <c r="V161" s="374"/>
      <c r="W161" s="374"/>
      <c r="X161" s="374"/>
      <c r="Y161" s="65"/>
      <c r="Z161" s="65"/>
    </row>
    <row r="162" ht="15.75" customHeight="1">
      <c r="A162" s="376" t="s">
        <v>213</v>
      </c>
      <c r="B162" s="376" t="s">
        <v>3028</v>
      </c>
      <c r="C162" s="376" t="s">
        <v>3029</v>
      </c>
      <c r="D162" s="374"/>
      <c r="E162" s="374"/>
      <c r="F162" s="374"/>
      <c r="I162" s="374"/>
      <c r="J162" s="374"/>
      <c r="K162" s="65"/>
      <c r="L162" s="374"/>
      <c r="M162" s="65"/>
      <c r="N162" s="374"/>
      <c r="O162" s="374"/>
      <c r="P162" s="374"/>
      <c r="Q162" s="374"/>
      <c r="R162" s="374"/>
      <c r="S162" s="374"/>
      <c r="T162" s="374"/>
      <c r="U162" s="374"/>
      <c r="V162" s="374"/>
      <c r="W162" s="374"/>
      <c r="X162" s="374"/>
      <c r="Y162" s="65"/>
      <c r="Z162" s="65"/>
    </row>
    <row r="163" ht="15.75" customHeight="1">
      <c r="A163" s="376" t="s">
        <v>216</v>
      </c>
      <c r="B163" s="376" t="s">
        <v>3030</v>
      </c>
      <c r="C163" s="376" t="s">
        <v>3031</v>
      </c>
      <c r="D163" s="374"/>
      <c r="E163" s="374"/>
      <c r="F163" s="374"/>
      <c r="I163" s="374"/>
      <c r="J163" s="374"/>
      <c r="K163" s="65"/>
      <c r="L163" s="374"/>
      <c r="M163" s="65"/>
      <c r="N163" s="374"/>
      <c r="O163" s="374"/>
      <c r="P163" s="374"/>
      <c r="Q163" s="374"/>
      <c r="R163" s="374"/>
      <c r="S163" s="374"/>
      <c r="T163" s="374"/>
      <c r="U163" s="374"/>
      <c r="V163" s="374"/>
      <c r="W163" s="374"/>
      <c r="X163" s="374"/>
      <c r="Y163" s="65"/>
      <c r="Z163" s="65"/>
    </row>
    <row r="164" ht="15.75" customHeight="1">
      <c r="A164" s="376" t="s">
        <v>216</v>
      </c>
      <c r="B164" s="376" t="s">
        <v>3032</v>
      </c>
      <c r="C164" s="376" t="s">
        <v>3033</v>
      </c>
      <c r="D164" s="374"/>
      <c r="E164" s="374"/>
      <c r="F164" s="374"/>
      <c r="I164" s="374"/>
      <c r="J164" s="374"/>
      <c r="K164" s="65"/>
      <c r="L164" s="374"/>
      <c r="M164" s="65"/>
      <c r="N164" s="374"/>
      <c r="O164" s="374"/>
      <c r="P164" s="374"/>
      <c r="Q164" s="374"/>
      <c r="R164" s="374"/>
      <c r="S164" s="374"/>
      <c r="T164" s="374"/>
      <c r="U164" s="374"/>
      <c r="V164" s="374"/>
      <c r="W164" s="374"/>
      <c r="X164" s="374"/>
      <c r="Y164" s="65"/>
      <c r="Z164" s="65"/>
    </row>
    <row r="165" ht="15.75" customHeight="1">
      <c r="A165" s="376" t="s">
        <v>216</v>
      </c>
      <c r="B165" s="376" t="s">
        <v>3034</v>
      </c>
      <c r="C165" s="376" t="s">
        <v>3035</v>
      </c>
      <c r="D165" s="374"/>
      <c r="E165" s="374"/>
      <c r="F165" s="374"/>
      <c r="I165" s="374"/>
      <c r="J165" s="374"/>
      <c r="K165" s="65"/>
      <c r="L165" s="374"/>
      <c r="M165" s="65"/>
      <c r="N165" s="374"/>
      <c r="O165" s="374"/>
      <c r="P165" s="374"/>
      <c r="Q165" s="374"/>
      <c r="R165" s="374"/>
      <c r="S165" s="374"/>
      <c r="T165" s="374"/>
      <c r="U165" s="374"/>
      <c r="V165" s="374"/>
      <c r="W165" s="374"/>
      <c r="X165" s="374"/>
      <c r="Y165" s="65"/>
      <c r="Z165" s="65"/>
    </row>
    <row r="166" ht="15.75" customHeight="1">
      <c r="A166" s="376" t="s">
        <v>216</v>
      </c>
      <c r="B166" s="376" t="s">
        <v>3028</v>
      </c>
      <c r="C166" s="376" t="s">
        <v>3029</v>
      </c>
      <c r="D166" s="374"/>
      <c r="E166" s="374"/>
      <c r="F166" s="374"/>
      <c r="I166" s="374"/>
      <c r="J166" s="374"/>
      <c r="K166" s="65"/>
      <c r="L166" s="374"/>
      <c r="M166" s="65"/>
      <c r="N166" s="374"/>
      <c r="O166" s="374"/>
      <c r="P166" s="374"/>
      <c r="Q166" s="374"/>
      <c r="R166" s="374"/>
      <c r="S166" s="374"/>
      <c r="T166" s="374"/>
      <c r="U166" s="374"/>
      <c r="V166" s="374"/>
      <c r="W166" s="374"/>
      <c r="X166" s="374"/>
      <c r="Y166" s="65"/>
      <c r="Z166" s="65"/>
    </row>
    <row r="167" ht="15.75" customHeight="1">
      <c r="A167" s="377" t="s">
        <v>222</v>
      </c>
      <c r="B167" s="374" t="s">
        <v>2951</v>
      </c>
      <c r="C167" s="374" t="s">
        <v>2952</v>
      </c>
      <c r="D167" s="374"/>
      <c r="E167" s="374"/>
      <c r="F167" s="374"/>
      <c r="I167" s="374"/>
      <c r="J167" s="374"/>
      <c r="K167" s="65"/>
      <c r="L167" s="374"/>
      <c r="M167" s="65"/>
      <c r="N167" s="374"/>
      <c r="O167" s="374"/>
      <c r="P167" s="374"/>
      <c r="Q167" s="374"/>
      <c r="R167" s="374"/>
      <c r="S167" s="374"/>
      <c r="T167" s="374"/>
      <c r="U167" s="374"/>
      <c r="V167" s="374"/>
      <c r="W167" s="374"/>
      <c r="X167" s="374"/>
      <c r="Y167" s="65"/>
      <c r="Z167" s="65"/>
    </row>
    <row r="168" ht="15.75" customHeight="1">
      <c r="A168" s="376" t="s">
        <v>222</v>
      </c>
      <c r="B168" s="376" t="s">
        <v>3036</v>
      </c>
      <c r="C168" s="376" t="s">
        <v>3037</v>
      </c>
      <c r="D168" s="374"/>
      <c r="E168" s="374"/>
      <c r="F168" s="374"/>
      <c r="I168" s="374"/>
      <c r="J168" s="374"/>
      <c r="K168" s="65"/>
      <c r="L168" s="374"/>
      <c r="M168" s="65"/>
      <c r="N168" s="374"/>
      <c r="O168" s="374"/>
      <c r="P168" s="374"/>
      <c r="Q168" s="374"/>
      <c r="R168" s="374"/>
      <c r="S168" s="374"/>
      <c r="T168" s="374"/>
      <c r="U168" s="374"/>
      <c r="V168" s="374"/>
      <c r="W168" s="374"/>
      <c r="X168" s="374"/>
      <c r="Y168" s="65"/>
      <c r="Z168" s="65"/>
    </row>
    <row r="169" ht="15.75" customHeight="1">
      <c r="A169" s="376" t="s">
        <v>228</v>
      </c>
      <c r="B169" s="376" t="s">
        <v>3038</v>
      </c>
      <c r="C169" s="376" t="s">
        <v>3039</v>
      </c>
      <c r="D169" s="374"/>
      <c r="E169" s="374"/>
      <c r="F169" s="374"/>
      <c r="I169" s="374"/>
      <c r="J169" s="374"/>
      <c r="K169" s="65"/>
      <c r="L169" s="374"/>
      <c r="M169" s="65"/>
      <c r="N169" s="374"/>
      <c r="O169" s="374"/>
      <c r="P169" s="374"/>
      <c r="Q169" s="374"/>
      <c r="R169" s="374"/>
      <c r="S169" s="374"/>
      <c r="T169" s="374"/>
      <c r="U169" s="374"/>
      <c r="V169" s="374"/>
      <c r="W169" s="374"/>
      <c r="X169" s="374"/>
      <c r="Y169" s="65"/>
      <c r="Z169" s="65"/>
    </row>
    <row r="170" ht="15.75" customHeight="1">
      <c r="A170" s="376" t="s">
        <v>228</v>
      </c>
      <c r="B170" s="376" t="s">
        <v>3040</v>
      </c>
      <c r="C170" s="376" t="s">
        <v>3041</v>
      </c>
      <c r="D170" s="374"/>
      <c r="E170" s="374"/>
      <c r="F170" s="374"/>
      <c r="I170" s="374"/>
      <c r="J170" s="374"/>
      <c r="K170" s="65"/>
      <c r="L170" s="374"/>
      <c r="M170" s="65"/>
      <c r="N170" s="374"/>
      <c r="O170" s="374"/>
      <c r="P170" s="374"/>
      <c r="Q170" s="374"/>
      <c r="R170" s="374"/>
      <c r="S170" s="374"/>
      <c r="T170" s="374"/>
      <c r="U170" s="374"/>
      <c r="V170" s="374"/>
      <c r="W170" s="374"/>
      <c r="X170" s="374"/>
      <c r="Y170" s="65"/>
      <c r="Z170" s="65"/>
    </row>
    <row r="171" ht="15.75" customHeight="1">
      <c r="A171" s="376" t="s">
        <v>237</v>
      </c>
      <c r="B171" s="376" t="s">
        <v>2955</v>
      </c>
      <c r="C171" s="376" t="s">
        <v>2956</v>
      </c>
      <c r="D171" s="374"/>
      <c r="E171" s="374"/>
      <c r="F171" s="374"/>
      <c r="I171" s="374"/>
      <c r="J171" s="374"/>
      <c r="K171" s="65"/>
      <c r="L171" s="374"/>
      <c r="M171" s="65"/>
      <c r="N171" s="374"/>
      <c r="O171" s="374"/>
      <c r="P171" s="374"/>
      <c r="Q171" s="374"/>
      <c r="R171" s="374"/>
      <c r="S171" s="374"/>
      <c r="T171" s="374"/>
      <c r="U171" s="374"/>
      <c r="V171" s="374"/>
      <c r="W171" s="374"/>
      <c r="X171" s="374"/>
      <c r="Y171" s="65"/>
      <c r="Z171" s="65"/>
    </row>
    <row r="172" ht="15.75" customHeight="1">
      <c r="A172" s="376" t="s">
        <v>237</v>
      </c>
      <c r="B172" s="376" t="s">
        <v>3042</v>
      </c>
      <c r="C172" s="376" t="s">
        <v>3043</v>
      </c>
      <c r="D172" s="374"/>
      <c r="E172" s="374"/>
      <c r="F172" s="374"/>
      <c r="I172" s="374"/>
      <c r="J172" s="374"/>
      <c r="K172" s="65"/>
      <c r="L172" s="374"/>
      <c r="M172" s="65"/>
      <c r="N172" s="374"/>
      <c r="O172" s="374"/>
      <c r="P172" s="374"/>
      <c r="Q172" s="374"/>
      <c r="R172" s="374"/>
      <c r="S172" s="374"/>
      <c r="T172" s="374"/>
      <c r="U172" s="374"/>
      <c r="V172" s="374"/>
      <c r="W172" s="374"/>
      <c r="X172" s="374"/>
      <c r="Y172" s="65"/>
      <c r="Z172" s="65"/>
    </row>
    <row r="173" ht="15.75" customHeight="1">
      <c r="A173" s="376" t="s">
        <v>240</v>
      </c>
      <c r="B173" s="376" t="s">
        <v>3044</v>
      </c>
      <c r="C173" s="376" t="s">
        <v>3045</v>
      </c>
      <c r="D173" s="374"/>
      <c r="E173" s="374"/>
      <c r="F173" s="374"/>
      <c r="I173" s="374"/>
      <c r="J173" s="374"/>
      <c r="K173" s="65"/>
      <c r="L173" s="374"/>
      <c r="M173" s="65"/>
      <c r="N173" s="374"/>
      <c r="O173" s="374"/>
      <c r="P173" s="374"/>
      <c r="Q173" s="374"/>
      <c r="R173" s="374"/>
      <c r="S173" s="374"/>
      <c r="T173" s="374"/>
      <c r="U173" s="374"/>
      <c r="V173" s="374"/>
      <c r="W173" s="374"/>
      <c r="X173" s="374"/>
      <c r="Y173" s="65"/>
      <c r="Z173" s="65"/>
    </row>
    <row r="174" ht="15.75" customHeight="1">
      <c r="A174" s="376" t="s">
        <v>240</v>
      </c>
      <c r="B174" s="376" t="s">
        <v>3044</v>
      </c>
      <c r="C174" s="376" t="s">
        <v>3045</v>
      </c>
      <c r="D174" s="374"/>
      <c r="E174" s="374"/>
      <c r="F174" s="374"/>
      <c r="I174" s="374"/>
      <c r="J174" s="374"/>
      <c r="K174" s="65"/>
      <c r="L174" s="374"/>
      <c r="M174" s="65"/>
      <c r="N174" s="374"/>
      <c r="O174" s="374"/>
      <c r="P174" s="374"/>
      <c r="Q174" s="374"/>
      <c r="R174" s="374"/>
      <c r="S174" s="374"/>
      <c r="T174" s="374"/>
      <c r="U174" s="374"/>
      <c r="V174" s="374"/>
      <c r="W174" s="374"/>
      <c r="X174" s="374"/>
      <c r="Y174" s="65"/>
      <c r="Z174" s="65"/>
    </row>
    <row r="175" ht="15.75" customHeight="1">
      <c r="A175" s="376" t="s">
        <v>240</v>
      </c>
      <c r="B175" s="376" t="s">
        <v>3046</v>
      </c>
      <c r="C175" s="376" t="s">
        <v>3047</v>
      </c>
      <c r="D175" s="374"/>
      <c r="E175" s="374"/>
      <c r="F175" s="374"/>
      <c r="I175" s="374"/>
      <c r="J175" s="374"/>
      <c r="K175" s="65"/>
      <c r="L175" s="374"/>
      <c r="M175" s="65"/>
      <c r="N175" s="374"/>
      <c r="O175" s="374"/>
      <c r="P175" s="374"/>
      <c r="Q175" s="374"/>
      <c r="R175" s="374"/>
      <c r="S175" s="374"/>
      <c r="T175" s="374"/>
      <c r="U175" s="374"/>
      <c r="V175" s="374"/>
      <c r="W175" s="374"/>
      <c r="X175" s="374"/>
      <c r="Y175" s="65"/>
      <c r="Z175" s="65"/>
    </row>
    <row r="176" ht="15.75" customHeight="1">
      <c r="A176" s="376" t="s">
        <v>240</v>
      </c>
      <c r="B176" s="376" t="s">
        <v>2922</v>
      </c>
      <c r="C176" s="376" t="s">
        <v>2923</v>
      </c>
      <c r="D176" s="374"/>
      <c r="E176" s="374"/>
      <c r="F176" s="374"/>
      <c r="I176" s="374"/>
      <c r="J176" s="374"/>
      <c r="K176" s="65"/>
      <c r="L176" s="374"/>
      <c r="M176" s="65"/>
      <c r="N176" s="374"/>
      <c r="O176" s="374"/>
      <c r="P176" s="374"/>
      <c r="Q176" s="374"/>
      <c r="R176" s="374"/>
      <c r="S176" s="374"/>
      <c r="T176" s="374"/>
      <c r="U176" s="374"/>
      <c r="V176" s="374"/>
      <c r="W176" s="374"/>
      <c r="X176" s="374"/>
      <c r="Y176" s="65"/>
      <c r="Z176" s="65"/>
    </row>
    <row r="177" ht="15.75" customHeight="1">
      <c r="A177" s="376" t="s">
        <v>240</v>
      </c>
      <c r="B177" s="376" t="s">
        <v>2852</v>
      </c>
      <c r="C177" s="376" t="s">
        <v>2853</v>
      </c>
      <c r="D177" s="374"/>
      <c r="E177" s="374"/>
      <c r="F177" s="374"/>
      <c r="I177" s="374"/>
      <c r="J177" s="374"/>
      <c r="K177" s="65"/>
      <c r="L177" s="374"/>
      <c r="M177" s="65"/>
      <c r="N177" s="374"/>
      <c r="O177" s="374"/>
      <c r="P177" s="374"/>
      <c r="Q177" s="374"/>
      <c r="R177" s="374"/>
      <c r="S177" s="374"/>
      <c r="T177" s="374"/>
      <c r="U177" s="374"/>
      <c r="V177" s="374"/>
      <c r="W177" s="374"/>
      <c r="X177" s="374"/>
      <c r="Y177" s="65"/>
      <c r="Z177" s="65"/>
    </row>
    <row r="178" ht="15.75" customHeight="1">
      <c r="A178" s="376" t="s">
        <v>240</v>
      </c>
      <c r="B178" s="376" t="s">
        <v>3048</v>
      </c>
      <c r="C178" s="376" t="s">
        <v>3049</v>
      </c>
      <c r="D178" s="374"/>
      <c r="E178" s="374"/>
      <c r="F178" s="374"/>
      <c r="I178" s="374"/>
      <c r="J178" s="374"/>
      <c r="K178" s="65"/>
      <c r="L178" s="374"/>
      <c r="M178" s="65"/>
      <c r="N178" s="374"/>
      <c r="O178" s="374"/>
      <c r="P178" s="374"/>
      <c r="Q178" s="374"/>
      <c r="R178" s="374"/>
      <c r="S178" s="374"/>
      <c r="T178" s="374"/>
      <c r="U178" s="374"/>
      <c r="V178" s="374"/>
      <c r="W178" s="374"/>
      <c r="X178" s="374"/>
      <c r="Y178" s="65"/>
      <c r="Z178" s="65"/>
    </row>
    <row r="179" ht="15.75" customHeight="1">
      <c r="A179" s="376" t="s">
        <v>240</v>
      </c>
      <c r="B179" s="376" t="s">
        <v>3048</v>
      </c>
      <c r="C179" s="376" t="s">
        <v>3049</v>
      </c>
      <c r="D179" s="374"/>
      <c r="E179" s="374"/>
      <c r="F179" s="374"/>
      <c r="I179" s="374"/>
      <c r="J179" s="374"/>
      <c r="K179" s="65"/>
      <c r="L179" s="374"/>
      <c r="M179" s="65"/>
      <c r="N179" s="374"/>
      <c r="O179" s="374"/>
      <c r="P179" s="374"/>
      <c r="Q179" s="374"/>
      <c r="R179" s="374"/>
      <c r="S179" s="374"/>
      <c r="T179" s="374"/>
      <c r="U179" s="374"/>
      <c r="V179" s="374"/>
      <c r="W179" s="374"/>
      <c r="X179" s="374"/>
      <c r="Y179" s="65"/>
      <c r="Z179" s="65"/>
    </row>
    <row r="180" ht="15.75" customHeight="1">
      <c r="A180" s="377" t="s">
        <v>240</v>
      </c>
      <c r="B180" s="374" t="s">
        <v>3050</v>
      </c>
      <c r="C180" s="374" t="s">
        <v>3051</v>
      </c>
      <c r="D180" s="374"/>
      <c r="E180" s="374"/>
      <c r="F180" s="374"/>
      <c r="I180" s="374"/>
      <c r="J180" s="374"/>
      <c r="K180" s="65"/>
      <c r="L180" s="374"/>
      <c r="M180" s="65"/>
      <c r="N180" s="374"/>
      <c r="O180" s="374"/>
      <c r="P180" s="374"/>
      <c r="Q180" s="374"/>
      <c r="R180" s="374"/>
      <c r="S180" s="374"/>
      <c r="T180" s="374"/>
      <c r="U180" s="374"/>
      <c r="V180" s="374"/>
      <c r="W180" s="374"/>
      <c r="X180" s="374"/>
      <c r="Y180" s="65"/>
      <c r="Z180" s="65"/>
    </row>
    <row r="181" ht="15.75" customHeight="1">
      <c r="A181" s="376" t="s">
        <v>240</v>
      </c>
      <c r="B181" s="376" t="s">
        <v>3050</v>
      </c>
      <c r="C181" s="376" t="s">
        <v>3051</v>
      </c>
      <c r="D181" s="374"/>
      <c r="E181" s="374"/>
      <c r="F181" s="374"/>
      <c r="I181" s="374"/>
      <c r="J181" s="374"/>
      <c r="K181" s="65"/>
      <c r="L181" s="374"/>
      <c r="M181" s="65"/>
      <c r="N181" s="374"/>
      <c r="O181" s="374"/>
      <c r="P181" s="374"/>
      <c r="Q181" s="374"/>
      <c r="R181" s="374"/>
      <c r="S181" s="374"/>
      <c r="T181" s="374"/>
      <c r="U181" s="374"/>
      <c r="V181" s="374"/>
      <c r="W181" s="374"/>
      <c r="X181" s="374"/>
      <c r="Y181" s="65"/>
      <c r="Z181" s="65"/>
    </row>
    <row r="182" ht="15.75" customHeight="1">
      <c r="A182" s="376" t="s">
        <v>240</v>
      </c>
      <c r="B182" s="376" t="s">
        <v>3050</v>
      </c>
      <c r="C182" s="376" t="s">
        <v>3051</v>
      </c>
      <c r="D182" s="374"/>
      <c r="E182" s="374"/>
      <c r="F182" s="374"/>
      <c r="I182" s="374"/>
      <c r="J182" s="374"/>
      <c r="K182" s="65"/>
      <c r="L182" s="374"/>
      <c r="M182" s="65"/>
      <c r="N182" s="374"/>
      <c r="O182" s="374"/>
      <c r="P182" s="374"/>
      <c r="Q182" s="374"/>
      <c r="R182" s="374"/>
      <c r="S182" s="374"/>
      <c r="T182" s="374"/>
      <c r="U182" s="374"/>
      <c r="V182" s="374"/>
      <c r="W182" s="374"/>
      <c r="X182" s="374"/>
      <c r="Y182" s="65"/>
      <c r="Z182" s="65"/>
    </row>
    <row r="183" ht="15.75" customHeight="1">
      <c r="A183" s="376" t="s">
        <v>240</v>
      </c>
      <c r="B183" s="376" t="s">
        <v>3052</v>
      </c>
      <c r="C183" s="376" t="s">
        <v>3053</v>
      </c>
      <c r="D183" s="374"/>
      <c r="E183" s="374"/>
      <c r="F183" s="374"/>
      <c r="I183" s="374"/>
      <c r="J183" s="374"/>
      <c r="K183" s="65"/>
      <c r="L183" s="374"/>
      <c r="M183" s="65"/>
      <c r="N183" s="374"/>
      <c r="O183" s="374"/>
      <c r="P183" s="374"/>
      <c r="Q183" s="374"/>
      <c r="R183" s="374"/>
      <c r="S183" s="374"/>
      <c r="T183" s="374"/>
      <c r="U183" s="374"/>
      <c r="V183" s="374"/>
      <c r="W183" s="374"/>
      <c r="X183" s="374"/>
      <c r="Y183" s="65"/>
      <c r="Z183" s="65"/>
    </row>
    <row r="184" ht="15.75" customHeight="1">
      <c r="A184" s="376" t="s">
        <v>240</v>
      </c>
      <c r="B184" s="376" t="s">
        <v>3052</v>
      </c>
      <c r="C184" s="376" t="s">
        <v>3053</v>
      </c>
      <c r="D184" s="374"/>
      <c r="E184" s="374"/>
      <c r="F184" s="374"/>
      <c r="I184" s="374"/>
      <c r="J184" s="374"/>
      <c r="K184" s="65"/>
      <c r="L184" s="374"/>
      <c r="M184" s="65"/>
      <c r="N184" s="374"/>
      <c r="O184" s="374"/>
      <c r="P184" s="374"/>
      <c r="Q184" s="374"/>
      <c r="R184" s="374"/>
      <c r="S184" s="374"/>
      <c r="T184" s="374"/>
      <c r="U184" s="374"/>
      <c r="V184" s="374"/>
      <c r="W184" s="374"/>
      <c r="X184" s="374"/>
      <c r="Y184" s="65"/>
      <c r="Z184" s="65"/>
    </row>
    <row r="185" ht="15.75" customHeight="1">
      <c r="A185" s="377" t="s">
        <v>240</v>
      </c>
      <c r="B185" s="374" t="s">
        <v>3052</v>
      </c>
      <c r="C185" s="374" t="s">
        <v>3053</v>
      </c>
      <c r="D185" s="374"/>
      <c r="E185" s="374"/>
      <c r="F185" s="374"/>
      <c r="I185" s="374"/>
      <c r="J185" s="374"/>
      <c r="K185" s="65"/>
      <c r="L185" s="374"/>
      <c r="M185" s="65"/>
      <c r="N185" s="374"/>
      <c r="O185" s="374"/>
      <c r="P185" s="374"/>
      <c r="Q185" s="374"/>
      <c r="R185" s="374"/>
      <c r="S185" s="374"/>
      <c r="T185" s="374"/>
      <c r="U185" s="374"/>
      <c r="V185" s="374"/>
      <c r="W185" s="374"/>
      <c r="X185" s="374"/>
      <c r="Y185" s="65"/>
      <c r="Z185" s="65"/>
    </row>
    <row r="186" ht="15.75" customHeight="1">
      <c r="A186" s="376" t="s">
        <v>243</v>
      </c>
      <c r="B186" s="376" t="s">
        <v>3054</v>
      </c>
      <c r="C186" s="376" t="s">
        <v>3055</v>
      </c>
      <c r="D186" s="374"/>
      <c r="E186" s="374"/>
      <c r="F186" s="374"/>
      <c r="I186" s="374"/>
      <c r="J186" s="374"/>
      <c r="K186" s="65"/>
      <c r="L186" s="374"/>
      <c r="M186" s="65"/>
      <c r="N186" s="374"/>
      <c r="O186" s="374"/>
      <c r="P186" s="374"/>
      <c r="Q186" s="374"/>
      <c r="R186" s="374"/>
      <c r="S186" s="374"/>
      <c r="T186" s="374"/>
      <c r="U186" s="374"/>
      <c r="V186" s="374"/>
      <c r="W186" s="374"/>
      <c r="X186" s="374"/>
      <c r="Y186" s="65"/>
      <c r="Z186" s="65"/>
    </row>
    <row r="187" ht="15.75" customHeight="1">
      <c r="A187" s="376" t="s">
        <v>243</v>
      </c>
      <c r="B187" s="376" t="s">
        <v>3054</v>
      </c>
      <c r="C187" s="376" t="s">
        <v>3055</v>
      </c>
      <c r="D187" s="374"/>
      <c r="E187" s="374"/>
      <c r="F187" s="374"/>
      <c r="I187" s="374"/>
      <c r="J187" s="374"/>
      <c r="K187" s="65"/>
      <c r="L187" s="374"/>
      <c r="M187" s="65"/>
      <c r="N187" s="374"/>
      <c r="O187" s="374"/>
      <c r="P187" s="374"/>
      <c r="Q187" s="374"/>
      <c r="R187" s="374"/>
      <c r="S187" s="374"/>
      <c r="T187" s="374"/>
      <c r="U187" s="374"/>
      <c r="V187" s="374"/>
      <c r="W187" s="374"/>
      <c r="X187" s="374"/>
      <c r="Y187" s="65"/>
      <c r="Z187" s="65"/>
    </row>
    <row r="188" ht="15.75" customHeight="1">
      <c r="A188" s="376" t="s">
        <v>243</v>
      </c>
      <c r="B188" s="376" t="s">
        <v>3056</v>
      </c>
      <c r="C188" s="376" t="s">
        <v>3057</v>
      </c>
      <c r="D188" s="374"/>
      <c r="E188" s="374"/>
      <c r="F188" s="374"/>
      <c r="I188" s="374"/>
      <c r="J188" s="374"/>
      <c r="K188" s="65"/>
      <c r="L188" s="374"/>
      <c r="M188" s="65"/>
      <c r="N188" s="374"/>
      <c r="O188" s="374"/>
      <c r="P188" s="374"/>
      <c r="Q188" s="374"/>
      <c r="R188" s="374"/>
      <c r="S188" s="374"/>
      <c r="T188" s="374"/>
      <c r="U188" s="374"/>
      <c r="V188" s="374"/>
      <c r="W188" s="374"/>
      <c r="X188" s="374"/>
      <c r="Y188" s="65"/>
      <c r="Z188" s="65"/>
    </row>
    <row r="189" ht="15.75" customHeight="1">
      <c r="A189" s="376" t="s">
        <v>243</v>
      </c>
      <c r="B189" s="376" t="s">
        <v>2913</v>
      </c>
      <c r="C189" s="376" t="s">
        <v>2914</v>
      </c>
      <c r="D189" s="374"/>
      <c r="E189" s="374"/>
      <c r="F189" s="374"/>
      <c r="I189" s="374"/>
      <c r="J189" s="374"/>
      <c r="K189" s="65"/>
      <c r="L189" s="374"/>
      <c r="M189" s="65"/>
      <c r="N189" s="374"/>
      <c r="O189" s="374"/>
      <c r="P189" s="374"/>
      <c r="Q189" s="374"/>
      <c r="R189" s="374"/>
      <c r="S189" s="374"/>
      <c r="T189" s="374"/>
      <c r="U189" s="374"/>
      <c r="V189" s="374"/>
      <c r="W189" s="374"/>
      <c r="X189" s="374"/>
      <c r="Y189" s="65"/>
      <c r="Z189" s="65"/>
    </row>
    <row r="190" ht="15.75" customHeight="1">
      <c r="A190" s="376" t="s">
        <v>260</v>
      </c>
      <c r="B190" s="376" t="s">
        <v>2791</v>
      </c>
      <c r="C190" s="376" t="s">
        <v>1639</v>
      </c>
      <c r="D190" s="374"/>
      <c r="E190" s="374"/>
      <c r="F190" s="374"/>
      <c r="I190" s="374"/>
      <c r="J190" s="374"/>
      <c r="K190" s="65"/>
      <c r="L190" s="374"/>
      <c r="M190" s="65"/>
      <c r="N190" s="374"/>
      <c r="O190" s="374"/>
      <c r="P190" s="374"/>
      <c r="Q190" s="374"/>
      <c r="R190" s="374"/>
      <c r="S190" s="374"/>
      <c r="T190" s="374"/>
      <c r="U190" s="374"/>
      <c r="V190" s="374"/>
      <c r="W190" s="374"/>
      <c r="X190" s="374"/>
      <c r="Y190" s="65"/>
      <c r="Z190" s="65"/>
    </row>
    <row r="191" ht="15.75" customHeight="1">
      <c r="A191" s="376" t="s">
        <v>260</v>
      </c>
      <c r="B191" s="376" t="s">
        <v>2794</v>
      </c>
      <c r="C191" s="376" t="s">
        <v>1642</v>
      </c>
      <c r="D191" s="374"/>
      <c r="E191" s="374"/>
      <c r="F191" s="374"/>
      <c r="I191" s="374"/>
      <c r="J191" s="374"/>
      <c r="K191" s="65"/>
      <c r="L191" s="374"/>
      <c r="M191" s="65"/>
      <c r="N191" s="374"/>
      <c r="O191" s="374"/>
      <c r="P191" s="374"/>
      <c r="Q191" s="374"/>
      <c r="R191" s="374"/>
      <c r="S191" s="374"/>
      <c r="T191" s="374"/>
      <c r="U191" s="374"/>
      <c r="V191" s="374"/>
      <c r="W191" s="374"/>
      <c r="X191" s="374"/>
      <c r="Y191" s="65"/>
      <c r="Z191" s="65"/>
    </row>
    <row r="192" ht="15.75" customHeight="1">
      <c r="A192" s="376" t="s">
        <v>260</v>
      </c>
      <c r="B192" s="376" t="s">
        <v>2796</v>
      </c>
      <c r="C192" s="376" t="s">
        <v>1650</v>
      </c>
      <c r="D192" s="374"/>
      <c r="E192" s="374"/>
      <c r="F192" s="374"/>
      <c r="I192" s="374"/>
      <c r="J192" s="374"/>
      <c r="K192" s="65"/>
      <c r="L192" s="374"/>
      <c r="M192" s="65"/>
      <c r="N192" s="374"/>
      <c r="O192" s="374"/>
      <c r="P192" s="374"/>
      <c r="Q192" s="374"/>
      <c r="R192" s="374"/>
      <c r="S192" s="374"/>
      <c r="T192" s="374"/>
      <c r="U192" s="374"/>
      <c r="V192" s="374"/>
      <c r="W192" s="374"/>
      <c r="X192" s="374"/>
      <c r="Y192" s="65"/>
      <c r="Z192" s="65"/>
    </row>
    <row r="193" ht="15.75" customHeight="1">
      <c r="A193" s="376" t="s">
        <v>260</v>
      </c>
      <c r="B193" s="376" t="s">
        <v>2802</v>
      </c>
      <c r="C193" s="376" t="s">
        <v>1646</v>
      </c>
      <c r="D193" s="374"/>
      <c r="E193" s="374"/>
      <c r="F193" s="374"/>
      <c r="I193" s="374"/>
      <c r="J193" s="374"/>
      <c r="K193" s="65"/>
      <c r="L193" s="374"/>
      <c r="M193" s="65"/>
      <c r="N193" s="374"/>
      <c r="O193" s="374"/>
      <c r="P193" s="374"/>
      <c r="Q193" s="374"/>
      <c r="R193" s="374"/>
      <c r="S193" s="374"/>
      <c r="T193" s="374"/>
      <c r="U193" s="374"/>
      <c r="V193" s="374"/>
      <c r="W193" s="374"/>
      <c r="X193" s="374"/>
      <c r="Y193" s="65"/>
      <c r="Z193" s="65"/>
    </row>
    <row r="194" ht="15.75" customHeight="1">
      <c r="A194" s="377" t="s">
        <v>260</v>
      </c>
      <c r="B194" s="374" t="s">
        <v>2803</v>
      </c>
      <c r="C194" s="374" t="s">
        <v>1651</v>
      </c>
      <c r="D194" s="374"/>
      <c r="E194" s="374"/>
      <c r="F194" s="374"/>
      <c r="I194" s="374"/>
      <c r="J194" s="374"/>
      <c r="K194" s="65"/>
      <c r="L194" s="374"/>
      <c r="M194" s="65"/>
      <c r="N194" s="374"/>
      <c r="O194" s="374"/>
      <c r="P194" s="374"/>
      <c r="Q194" s="374"/>
      <c r="R194" s="374"/>
      <c r="S194" s="374"/>
      <c r="T194" s="374"/>
      <c r="U194" s="374"/>
      <c r="V194" s="374"/>
      <c r="W194" s="374"/>
      <c r="X194" s="374"/>
      <c r="Y194" s="65"/>
      <c r="Z194" s="65"/>
    </row>
    <row r="195" ht="15.75" customHeight="1">
      <c r="A195" s="376" t="s">
        <v>260</v>
      </c>
      <c r="B195" s="376" t="s">
        <v>2852</v>
      </c>
      <c r="C195" s="376" t="s">
        <v>2853</v>
      </c>
      <c r="D195" s="374"/>
      <c r="E195" s="374"/>
      <c r="F195" s="374"/>
      <c r="I195" s="374"/>
      <c r="J195" s="374"/>
      <c r="K195" s="65"/>
      <c r="L195" s="374"/>
      <c r="M195" s="65"/>
      <c r="N195" s="374"/>
      <c r="O195" s="374"/>
      <c r="P195" s="374"/>
      <c r="Q195" s="374"/>
      <c r="R195" s="374"/>
      <c r="S195" s="374"/>
      <c r="T195" s="374"/>
      <c r="U195" s="374"/>
      <c r="V195" s="374"/>
      <c r="W195" s="374"/>
      <c r="X195" s="374"/>
      <c r="Y195" s="65"/>
      <c r="Z195" s="65"/>
    </row>
    <row r="196" ht="15.75" customHeight="1">
      <c r="A196" s="376" t="s">
        <v>260</v>
      </c>
      <c r="B196" s="376" t="s">
        <v>2821</v>
      </c>
      <c r="C196" s="376" t="s">
        <v>2822</v>
      </c>
      <c r="D196" s="374"/>
      <c r="E196" s="374"/>
      <c r="F196" s="374"/>
      <c r="I196" s="374"/>
      <c r="J196" s="374"/>
      <c r="K196" s="65"/>
      <c r="L196" s="374"/>
      <c r="M196" s="65"/>
      <c r="N196" s="374"/>
      <c r="O196" s="374"/>
      <c r="P196" s="374"/>
      <c r="Q196" s="374"/>
      <c r="R196" s="374"/>
      <c r="S196" s="374"/>
      <c r="T196" s="374"/>
      <c r="U196" s="374"/>
      <c r="V196" s="374"/>
      <c r="W196" s="374"/>
      <c r="X196" s="374"/>
      <c r="Y196" s="65"/>
      <c r="Z196" s="65"/>
    </row>
    <row r="197" ht="15.75" customHeight="1">
      <c r="A197" s="376" t="s">
        <v>260</v>
      </c>
      <c r="B197" s="376" t="s">
        <v>2823</v>
      </c>
      <c r="C197" s="376" t="s">
        <v>2824</v>
      </c>
      <c r="D197" s="374"/>
      <c r="E197" s="374"/>
      <c r="F197" s="374"/>
      <c r="I197" s="374"/>
      <c r="J197" s="374"/>
      <c r="K197" s="65"/>
      <c r="L197" s="374"/>
      <c r="M197" s="65"/>
      <c r="N197" s="374"/>
      <c r="O197" s="374"/>
      <c r="P197" s="374"/>
      <c r="Q197" s="374"/>
      <c r="R197" s="374"/>
      <c r="S197" s="374"/>
      <c r="T197" s="374"/>
      <c r="U197" s="374"/>
      <c r="V197" s="374"/>
      <c r="W197" s="374"/>
      <c r="X197" s="374"/>
      <c r="Y197" s="65"/>
      <c r="Z197" s="65"/>
    </row>
    <row r="198" ht="15.75" customHeight="1">
      <c r="A198" s="376" t="s">
        <v>260</v>
      </c>
      <c r="B198" s="376" t="s">
        <v>2826</v>
      </c>
      <c r="C198" s="376" t="s">
        <v>2827</v>
      </c>
      <c r="D198" s="374"/>
      <c r="E198" s="374"/>
      <c r="F198" s="374"/>
      <c r="I198" s="374"/>
      <c r="J198" s="374"/>
      <c r="K198" s="65"/>
      <c r="L198" s="374"/>
      <c r="M198" s="65"/>
      <c r="N198" s="374"/>
      <c r="O198" s="374"/>
      <c r="P198" s="374"/>
      <c r="Q198" s="374"/>
      <c r="R198" s="374"/>
      <c r="S198" s="374"/>
      <c r="T198" s="374"/>
      <c r="U198" s="374"/>
      <c r="V198" s="374"/>
      <c r="W198" s="374"/>
      <c r="X198" s="374"/>
      <c r="Y198" s="65"/>
      <c r="Z198" s="65"/>
    </row>
    <row r="199" ht="15.75" customHeight="1">
      <c r="A199" s="376" t="s">
        <v>265</v>
      </c>
      <c r="B199" s="376" t="s">
        <v>2791</v>
      </c>
      <c r="C199" s="376" t="s">
        <v>1639</v>
      </c>
      <c r="D199" s="374"/>
      <c r="E199" s="374"/>
      <c r="F199" s="374"/>
      <c r="I199" s="374"/>
      <c r="J199" s="374"/>
      <c r="K199" s="65"/>
      <c r="L199" s="374"/>
      <c r="M199" s="65"/>
      <c r="N199" s="374"/>
      <c r="O199" s="374"/>
      <c r="P199" s="374"/>
      <c r="Q199" s="374"/>
      <c r="R199" s="374"/>
      <c r="S199" s="374"/>
      <c r="T199" s="374"/>
      <c r="U199" s="374"/>
      <c r="V199" s="374"/>
      <c r="W199" s="374"/>
      <c r="X199" s="374"/>
      <c r="Y199" s="65"/>
      <c r="Z199" s="65"/>
    </row>
    <row r="200" ht="15.75" customHeight="1">
      <c r="A200" s="376" t="s">
        <v>265</v>
      </c>
      <c r="B200" s="376" t="s">
        <v>2794</v>
      </c>
      <c r="C200" s="376" t="s">
        <v>1642</v>
      </c>
      <c r="D200" s="374"/>
      <c r="E200" s="374"/>
      <c r="F200" s="374"/>
      <c r="I200" s="374"/>
      <c r="J200" s="374"/>
      <c r="K200" s="65"/>
      <c r="L200" s="374"/>
      <c r="M200" s="65"/>
      <c r="N200" s="374"/>
      <c r="O200" s="374"/>
      <c r="P200" s="374"/>
      <c r="Q200" s="374"/>
      <c r="R200" s="374"/>
      <c r="S200" s="374"/>
      <c r="T200" s="374"/>
      <c r="U200" s="374"/>
      <c r="V200" s="374"/>
      <c r="W200" s="374"/>
      <c r="X200" s="374"/>
      <c r="Y200" s="65"/>
      <c r="Z200" s="65"/>
    </row>
    <row r="201" ht="15.75" customHeight="1">
      <c r="A201" s="376" t="s">
        <v>265</v>
      </c>
      <c r="B201" s="376" t="s">
        <v>2796</v>
      </c>
      <c r="C201" s="376" t="s">
        <v>1650</v>
      </c>
      <c r="D201" s="374"/>
      <c r="E201" s="374"/>
      <c r="F201" s="374"/>
      <c r="I201" s="374"/>
      <c r="J201" s="374"/>
      <c r="K201" s="65"/>
      <c r="L201" s="374"/>
      <c r="M201" s="65"/>
      <c r="N201" s="374"/>
      <c r="O201" s="374"/>
      <c r="P201" s="374"/>
      <c r="Q201" s="374"/>
      <c r="R201" s="374"/>
      <c r="S201" s="374"/>
      <c r="T201" s="374"/>
      <c r="U201" s="374"/>
      <c r="V201" s="374"/>
      <c r="W201" s="374"/>
      <c r="X201" s="374"/>
      <c r="Y201" s="65"/>
      <c r="Z201" s="65"/>
    </row>
    <row r="202" ht="15.75" customHeight="1">
      <c r="A202" s="376" t="s">
        <v>265</v>
      </c>
      <c r="B202" s="376" t="s">
        <v>2802</v>
      </c>
      <c r="C202" s="376" t="s">
        <v>1646</v>
      </c>
      <c r="D202" s="374"/>
      <c r="E202" s="374"/>
      <c r="F202" s="374"/>
      <c r="I202" s="374"/>
      <c r="J202" s="374"/>
      <c r="K202" s="65"/>
      <c r="L202" s="374"/>
      <c r="M202" s="65"/>
      <c r="N202" s="374"/>
      <c r="O202" s="374"/>
      <c r="P202" s="374"/>
      <c r="Q202" s="374"/>
      <c r="R202" s="374"/>
      <c r="S202" s="374"/>
      <c r="T202" s="374"/>
      <c r="U202" s="374"/>
      <c r="V202" s="374"/>
      <c r="W202" s="374"/>
      <c r="X202" s="374"/>
      <c r="Y202" s="65"/>
      <c r="Z202" s="65"/>
    </row>
    <row r="203" ht="15.75" customHeight="1">
      <c r="A203" s="376" t="s">
        <v>265</v>
      </c>
      <c r="B203" s="376" t="s">
        <v>2803</v>
      </c>
      <c r="C203" s="376" t="s">
        <v>1651</v>
      </c>
      <c r="D203" s="374"/>
      <c r="E203" s="374"/>
      <c r="F203" s="374"/>
      <c r="I203" s="374"/>
      <c r="J203" s="374"/>
      <c r="K203" s="65"/>
      <c r="L203" s="374"/>
      <c r="M203" s="65"/>
      <c r="N203" s="374"/>
      <c r="O203" s="374"/>
      <c r="P203" s="374"/>
      <c r="Q203" s="374"/>
      <c r="R203" s="374"/>
      <c r="S203" s="374"/>
      <c r="T203" s="374"/>
      <c r="U203" s="374"/>
      <c r="V203" s="374"/>
      <c r="W203" s="374"/>
      <c r="X203" s="374"/>
      <c r="Y203" s="65"/>
      <c r="Z203" s="65"/>
    </row>
    <row r="204" ht="15.75" customHeight="1">
      <c r="A204" s="376" t="s">
        <v>265</v>
      </c>
      <c r="B204" s="376" t="s">
        <v>3046</v>
      </c>
      <c r="C204" s="376" t="s">
        <v>3047</v>
      </c>
      <c r="D204" s="374"/>
      <c r="E204" s="374"/>
      <c r="F204" s="374"/>
      <c r="I204" s="374"/>
      <c r="J204" s="374"/>
      <c r="K204" s="65"/>
      <c r="L204" s="374"/>
      <c r="M204" s="65"/>
      <c r="N204" s="374"/>
      <c r="O204" s="374"/>
      <c r="P204" s="374"/>
      <c r="Q204" s="374"/>
      <c r="R204" s="374"/>
      <c r="S204" s="374"/>
      <c r="T204" s="374"/>
      <c r="U204" s="374"/>
      <c r="V204" s="374"/>
      <c r="W204" s="374"/>
      <c r="X204" s="374"/>
      <c r="Y204" s="65"/>
      <c r="Z204" s="65"/>
    </row>
    <row r="205" ht="15.75" customHeight="1">
      <c r="A205" s="376" t="s">
        <v>265</v>
      </c>
      <c r="B205" s="376" t="s">
        <v>2852</v>
      </c>
      <c r="C205" s="376" t="s">
        <v>2853</v>
      </c>
      <c r="D205" s="374"/>
      <c r="E205" s="374"/>
      <c r="F205" s="374"/>
      <c r="I205" s="374"/>
      <c r="J205" s="374"/>
      <c r="K205" s="65"/>
      <c r="L205" s="374"/>
      <c r="M205" s="65"/>
      <c r="N205" s="374"/>
      <c r="O205" s="374"/>
      <c r="P205" s="374"/>
      <c r="Q205" s="374"/>
      <c r="R205" s="374"/>
      <c r="S205" s="374"/>
      <c r="T205" s="374"/>
      <c r="U205" s="374"/>
      <c r="V205" s="374"/>
      <c r="W205" s="374"/>
      <c r="X205" s="374"/>
      <c r="Y205" s="65"/>
      <c r="Z205" s="65"/>
    </row>
    <row r="206" ht="15.75" customHeight="1">
      <c r="A206" s="376" t="s">
        <v>265</v>
      </c>
      <c r="B206" s="376" t="s">
        <v>3058</v>
      </c>
      <c r="C206" s="376" t="s">
        <v>3059</v>
      </c>
      <c r="D206" s="374"/>
      <c r="E206" s="374"/>
      <c r="F206" s="374"/>
      <c r="I206" s="374"/>
      <c r="J206" s="374"/>
      <c r="K206" s="65"/>
      <c r="L206" s="374"/>
      <c r="M206" s="65"/>
      <c r="N206" s="374"/>
      <c r="O206" s="374"/>
      <c r="P206" s="374"/>
      <c r="Q206" s="374"/>
      <c r="R206" s="374"/>
      <c r="S206" s="374"/>
      <c r="T206" s="374"/>
      <c r="U206" s="374"/>
      <c r="V206" s="374"/>
      <c r="W206" s="374"/>
      <c r="X206" s="374"/>
      <c r="Y206" s="65"/>
      <c r="Z206" s="65"/>
    </row>
    <row r="207" ht="15.75" customHeight="1">
      <c r="A207" s="376" t="s">
        <v>265</v>
      </c>
      <c r="B207" s="376" t="s">
        <v>3060</v>
      </c>
      <c r="C207" s="376" t="s">
        <v>3061</v>
      </c>
      <c r="D207" s="374"/>
      <c r="E207" s="374"/>
      <c r="F207" s="374"/>
      <c r="I207" s="374"/>
      <c r="J207" s="374"/>
      <c r="K207" s="65"/>
      <c r="L207" s="374"/>
      <c r="M207" s="65"/>
      <c r="N207" s="374"/>
      <c r="O207" s="374"/>
      <c r="P207" s="374"/>
      <c r="Q207" s="374"/>
      <c r="R207" s="374"/>
      <c r="S207" s="374"/>
      <c r="T207" s="374"/>
      <c r="U207" s="374"/>
      <c r="V207" s="374"/>
      <c r="W207" s="374"/>
      <c r="X207" s="374"/>
      <c r="Y207" s="65"/>
      <c r="Z207" s="65"/>
    </row>
    <row r="208" ht="15.75" customHeight="1">
      <c r="A208" s="377" t="s">
        <v>265</v>
      </c>
      <c r="B208" s="374" t="s">
        <v>3062</v>
      </c>
      <c r="C208" s="374" t="s">
        <v>3063</v>
      </c>
      <c r="D208" s="374"/>
      <c r="E208" s="374"/>
      <c r="F208" s="374"/>
      <c r="I208" s="374"/>
      <c r="J208" s="374"/>
      <c r="K208" s="65"/>
      <c r="L208" s="374"/>
      <c r="M208" s="65"/>
      <c r="N208" s="374"/>
      <c r="O208" s="374"/>
      <c r="P208" s="374"/>
      <c r="Q208" s="374"/>
      <c r="R208" s="374"/>
      <c r="S208" s="374"/>
      <c r="T208" s="374"/>
      <c r="U208" s="374"/>
      <c r="V208" s="374"/>
      <c r="W208" s="374"/>
      <c r="X208" s="374"/>
      <c r="Y208" s="65"/>
      <c r="Z208" s="65"/>
    </row>
    <row r="209" ht="15.75" customHeight="1">
      <c r="A209" s="376" t="s">
        <v>268</v>
      </c>
      <c r="B209" s="376" t="s">
        <v>3064</v>
      </c>
      <c r="C209" s="376" t="s">
        <v>3065</v>
      </c>
      <c r="D209" s="374"/>
      <c r="E209" s="374"/>
      <c r="F209" s="374"/>
      <c r="I209" s="374"/>
      <c r="J209" s="374"/>
      <c r="K209" s="65"/>
      <c r="L209" s="374"/>
      <c r="M209" s="65"/>
      <c r="N209" s="374"/>
      <c r="O209" s="374"/>
      <c r="P209" s="374"/>
      <c r="Q209" s="374"/>
      <c r="R209" s="374"/>
      <c r="S209" s="374"/>
      <c r="T209" s="374"/>
      <c r="U209" s="374"/>
      <c r="V209" s="374"/>
      <c r="W209" s="374"/>
      <c r="X209" s="374"/>
      <c r="Y209" s="65"/>
      <c r="Z209" s="65"/>
    </row>
    <row r="210" ht="15.75" customHeight="1">
      <c r="A210" s="376" t="s">
        <v>268</v>
      </c>
      <c r="B210" s="376" t="s">
        <v>3046</v>
      </c>
      <c r="C210" s="376" t="s">
        <v>3047</v>
      </c>
      <c r="D210" s="374"/>
      <c r="E210" s="374"/>
      <c r="F210" s="374"/>
      <c r="I210" s="374"/>
      <c r="J210" s="374"/>
      <c r="K210" s="65"/>
      <c r="L210" s="374"/>
      <c r="M210" s="65"/>
      <c r="N210" s="374"/>
      <c r="O210" s="374"/>
      <c r="P210" s="374"/>
      <c r="Q210" s="374"/>
      <c r="R210" s="374"/>
      <c r="S210" s="374"/>
      <c r="T210" s="374"/>
      <c r="U210" s="374"/>
      <c r="V210" s="374"/>
      <c r="W210" s="374"/>
      <c r="X210" s="374"/>
      <c r="Y210" s="65"/>
      <c r="Z210" s="65"/>
    </row>
    <row r="211" ht="15.75" customHeight="1">
      <c r="A211" s="376" t="s">
        <v>268</v>
      </c>
      <c r="B211" s="376" t="s">
        <v>2826</v>
      </c>
      <c r="C211" s="376" t="s">
        <v>2827</v>
      </c>
      <c r="D211" s="374"/>
      <c r="E211" s="374"/>
      <c r="F211" s="374"/>
      <c r="I211" s="374"/>
      <c r="J211" s="374"/>
      <c r="K211" s="65"/>
      <c r="L211" s="374"/>
      <c r="M211" s="65"/>
      <c r="N211" s="374"/>
      <c r="O211" s="374"/>
      <c r="P211" s="374"/>
      <c r="Q211" s="374"/>
      <c r="R211" s="374"/>
      <c r="S211" s="374"/>
      <c r="T211" s="374"/>
      <c r="U211" s="374"/>
      <c r="V211" s="374"/>
      <c r="W211" s="374"/>
      <c r="X211" s="374"/>
      <c r="Y211" s="65"/>
      <c r="Z211" s="65"/>
    </row>
    <row r="212" ht="15.75" customHeight="1">
      <c r="A212" s="376" t="s">
        <v>277</v>
      </c>
      <c r="B212" s="376" t="s">
        <v>3066</v>
      </c>
      <c r="C212" s="376" t="s">
        <v>3067</v>
      </c>
      <c r="D212" s="374"/>
      <c r="E212" s="374"/>
      <c r="F212" s="374"/>
      <c r="I212" s="374"/>
      <c r="J212" s="374"/>
      <c r="K212" s="65"/>
      <c r="L212" s="374"/>
      <c r="M212" s="65"/>
      <c r="N212" s="374"/>
      <c r="O212" s="374"/>
      <c r="P212" s="374"/>
      <c r="Q212" s="374"/>
      <c r="R212" s="374"/>
      <c r="S212" s="374"/>
      <c r="T212" s="374"/>
      <c r="U212" s="374"/>
      <c r="V212" s="374"/>
      <c r="W212" s="374"/>
      <c r="X212" s="374"/>
      <c r="Y212" s="65"/>
      <c r="Z212" s="65"/>
    </row>
    <row r="213" ht="15.75" customHeight="1">
      <c r="A213" s="376" t="s">
        <v>277</v>
      </c>
      <c r="B213" s="376" t="s">
        <v>3068</v>
      </c>
      <c r="C213" s="376" t="s">
        <v>3069</v>
      </c>
      <c r="D213" s="374"/>
      <c r="E213" s="374"/>
      <c r="F213" s="374"/>
      <c r="I213" s="374"/>
      <c r="J213" s="374"/>
      <c r="K213" s="65"/>
      <c r="L213" s="374"/>
      <c r="M213" s="65"/>
      <c r="N213" s="374"/>
      <c r="O213" s="374"/>
      <c r="P213" s="374"/>
      <c r="Q213" s="374"/>
      <c r="R213" s="374"/>
      <c r="S213" s="374"/>
      <c r="T213" s="374"/>
      <c r="U213" s="374"/>
      <c r="V213" s="374"/>
      <c r="W213" s="374"/>
      <c r="X213" s="374"/>
      <c r="Y213" s="65"/>
      <c r="Z213" s="65"/>
    </row>
    <row r="214" ht="15.75" customHeight="1">
      <c r="A214" s="376" t="s">
        <v>300</v>
      </c>
      <c r="B214" s="376" t="s">
        <v>3014</v>
      </c>
      <c r="C214" s="376" t="s">
        <v>3015</v>
      </c>
      <c r="D214" s="374"/>
      <c r="E214" s="374"/>
      <c r="F214" s="374"/>
      <c r="I214" s="374"/>
      <c r="J214" s="374"/>
      <c r="K214" s="65"/>
      <c r="L214" s="374"/>
      <c r="M214" s="65"/>
      <c r="N214" s="374"/>
      <c r="O214" s="374"/>
      <c r="P214" s="374"/>
      <c r="Q214" s="374"/>
      <c r="R214" s="374"/>
      <c r="S214" s="374"/>
      <c r="T214" s="374"/>
      <c r="U214" s="374"/>
      <c r="V214" s="374"/>
      <c r="W214" s="374"/>
      <c r="X214" s="374"/>
      <c r="Y214" s="65"/>
      <c r="Z214" s="65"/>
    </row>
    <row r="215" ht="15.75" customHeight="1">
      <c r="A215" s="377" t="s">
        <v>303</v>
      </c>
      <c r="B215" s="374" t="s">
        <v>3070</v>
      </c>
      <c r="C215" s="374" t="s">
        <v>3071</v>
      </c>
      <c r="D215" s="374"/>
      <c r="E215" s="374"/>
      <c r="F215" s="374"/>
      <c r="I215" s="374"/>
      <c r="J215" s="374"/>
      <c r="K215" s="65"/>
      <c r="L215" s="374"/>
      <c r="M215" s="65"/>
      <c r="N215" s="374"/>
      <c r="O215" s="374"/>
      <c r="P215" s="374"/>
      <c r="Q215" s="374"/>
      <c r="R215" s="374"/>
      <c r="S215" s="374"/>
      <c r="T215" s="374"/>
      <c r="U215" s="374"/>
      <c r="V215" s="374"/>
      <c r="W215" s="374"/>
      <c r="X215" s="374"/>
      <c r="Y215" s="65"/>
      <c r="Z215" s="65"/>
    </row>
    <row r="216" ht="15.75" customHeight="1">
      <c r="A216" s="376" t="s">
        <v>303</v>
      </c>
      <c r="B216" s="376" t="s">
        <v>3072</v>
      </c>
      <c r="C216" s="376" t="s">
        <v>3073</v>
      </c>
      <c r="D216" s="374"/>
      <c r="E216" s="374"/>
      <c r="F216" s="374"/>
      <c r="I216" s="374"/>
      <c r="J216" s="374"/>
      <c r="K216" s="65"/>
      <c r="L216" s="374"/>
      <c r="M216" s="65"/>
      <c r="N216" s="374"/>
      <c r="O216" s="374"/>
      <c r="P216" s="374"/>
      <c r="Q216" s="374"/>
      <c r="R216" s="374"/>
      <c r="S216" s="374"/>
      <c r="T216" s="374"/>
      <c r="U216" s="374"/>
      <c r="V216" s="374"/>
      <c r="W216" s="374"/>
      <c r="X216" s="374"/>
      <c r="Y216" s="65"/>
      <c r="Z216" s="65"/>
    </row>
    <row r="217" ht="15.75" customHeight="1">
      <c r="A217" s="376" t="s">
        <v>306</v>
      </c>
      <c r="B217" s="376" t="s">
        <v>2799</v>
      </c>
      <c r="C217" s="376" t="s">
        <v>1641</v>
      </c>
      <c r="D217" s="374"/>
      <c r="E217" s="374"/>
      <c r="F217" s="374"/>
      <c r="I217" s="374"/>
      <c r="J217" s="374"/>
      <c r="K217" s="65"/>
      <c r="L217" s="374"/>
      <c r="M217" s="65"/>
      <c r="N217" s="374"/>
      <c r="O217" s="374"/>
      <c r="P217" s="374"/>
      <c r="Q217" s="374"/>
      <c r="R217" s="374"/>
      <c r="S217" s="374"/>
      <c r="T217" s="374"/>
      <c r="U217" s="374"/>
      <c r="V217" s="374"/>
      <c r="W217" s="374"/>
      <c r="X217" s="374"/>
      <c r="Y217" s="65"/>
      <c r="Z217" s="65"/>
    </row>
    <row r="218" ht="15.75" customHeight="1">
      <c r="A218" s="376" t="s">
        <v>306</v>
      </c>
      <c r="B218" s="376" t="s">
        <v>3074</v>
      </c>
      <c r="C218" s="376" t="s">
        <v>3075</v>
      </c>
      <c r="D218" s="374"/>
      <c r="E218" s="374"/>
      <c r="F218" s="374"/>
      <c r="I218" s="374"/>
      <c r="J218" s="374"/>
      <c r="K218" s="65"/>
      <c r="L218" s="374"/>
      <c r="M218" s="65"/>
      <c r="N218" s="374"/>
      <c r="O218" s="374"/>
      <c r="P218" s="374"/>
      <c r="Q218" s="374"/>
      <c r="R218" s="374"/>
      <c r="S218" s="374"/>
      <c r="T218" s="374"/>
      <c r="U218" s="374"/>
      <c r="V218" s="374"/>
      <c r="W218" s="374"/>
      <c r="X218" s="374"/>
      <c r="Y218" s="65"/>
      <c r="Z218" s="65"/>
    </row>
    <row r="219" ht="15.75" customHeight="1">
      <c r="A219" s="376" t="s">
        <v>306</v>
      </c>
      <c r="B219" s="376" t="s">
        <v>3076</v>
      </c>
      <c r="C219" s="376" t="s">
        <v>3077</v>
      </c>
      <c r="D219" s="374"/>
      <c r="E219" s="374"/>
      <c r="F219" s="374"/>
      <c r="I219" s="374"/>
      <c r="J219" s="374"/>
      <c r="K219" s="65"/>
      <c r="L219" s="374"/>
      <c r="M219" s="65"/>
      <c r="N219" s="374"/>
      <c r="O219" s="374"/>
      <c r="P219" s="374"/>
      <c r="Q219" s="374"/>
      <c r="R219" s="374"/>
      <c r="S219" s="374"/>
      <c r="T219" s="374"/>
      <c r="U219" s="374"/>
      <c r="V219" s="374"/>
      <c r="W219" s="374"/>
      <c r="X219" s="374"/>
      <c r="Y219" s="65"/>
      <c r="Z219" s="65"/>
    </row>
    <row r="220" ht="15.75" customHeight="1">
      <c r="A220" s="376" t="s">
        <v>306</v>
      </c>
      <c r="B220" s="376" t="s">
        <v>3078</v>
      </c>
      <c r="C220" s="376" t="s">
        <v>3079</v>
      </c>
      <c r="D220" s="374"/>
      <c r="E220" s="374"/>
      <c r="F220" s="374"/>
      <c r="I220" s="374"/>
      <c r="J220" s="374"/>
      <c r="K220" s="65"/>
      <c r="L220" s="374"/>
      <c r="M220" s="65"/>
      <c r="N220" s="374"/>
      <c r="O220" s="374"/>
      <c r="P220" s="374"/>
      <c r="Q220" s="374"/>
      <c r="R220" s="374"/>
      <c r="S220" s="374"/>
      <c r="T220" s="374"/>
      <c r="U220" s="374"/>
      <c r="V220" s="374"/>
      <c r="W220" s="374"/>
      <c r="X220" s="374"/>
      <c r="Y220" s="65"/>
      <c r="Z220" s="65"/>
    </row>
    <row r="221" ht="15.75" customHeight="1">
      <c r="A221" s="376" t="s">
        <v>306</v>
      </c>
      <c r="B221" s="376" t="s">
        <v>2826</v>
      </c>
      <c r="C221" s="376" t="s">
        <v>2827</v>
      </c>
      <c r="D221" s="374"/>
      <c r="E221" s="374"/>
      <c r="F221" s="374"/>
      <c r="I221" s="374"/>
      <c r="J221" s="374"/>
      <c r="K221" s="65"/>
      <c r="L221" s="374"/>
      <c r="M221" s="65"/>
      <c r="N221" s="374"/>
      <c r="O221" s="374"/>
      <c r="P221" s="374"/>
      <c r="Q221" s="374"/>
      <c r="R221" s="374"/>
      <c r="S221" s="374"/>
      <c r="T221" s="374"/>
      <c r="U221" s="374"/>
      <c r="V221" s="374"/>
      <c r="W221" s="374"/>
      <c r="X221" s="374"/>
      <c r="Y221" s="65"/>
      <c r="Z221" s="65"/>
    </row>
    <row r="222" ht="15.75" customHeight="1">
      <c r="A222" s="377" t="s">
        <v>306</v>
      </c>
      <c r="B222" s="374" t="s">
        <v>2913</v>
      </c>
      <c r="C222" s="374" t="s">
        <v>2914</v>
      </c>
      <c r="D222" s="374"/>
      <c r="E222" s="374"/>
      <c r="F222" s="374"/>
      <c r="I222" s="374"/>
      <c r="J222" s="374"/>
      <c r="K222" s="65"/>
      <c r="L222" s="374"/>
      <c r="M222" s="65"/>
      <c r="N222" s="374"/>
      <c r="O222" s="374"/>
      <c r="P222" s="374"/>
      <c r="Q222" s="374"/>
      <c r="R222" s="374"/>
      <c r="S222" s="374"/>
      <c r="T222" s="374"/>
      <c r="U222" s="374"/>
      <c r="V222" s="374"/>
      <c r="W222" s="374"/>
      <c r="X222" s="374"/>
      <c r="Y222" s="65"/>
      <c r="Z222" s="65"/>
    </row>
    <row r="223" ht="15.75" customHeight="1">
      <c r="A223" s="376" t="s">
        <v>321</v>
      </c>
      <c r="B223" s="376" t="s">
        <v>2791</v>
      </c>
      <c r="C223" s="376" t="s">
        <v>1639</v>
      </c>
      <c r="D223" s="374"/>
      <c r="E223" s="374"/>
      <c r="F223" s="374"/>
      <c r="I223" s="374"/>
      <c r="J223" s="374"/>
      <c r="K223" s="65"/>
      <c r="L223" s="374"/>
      <c r="M223" s="65"/>
      <c r="N223" s="374"/>
      <c r="O223" s="374"/>
      <c r="P223" s="374"/>
      <c r="Q223" s="374"/>
      <c r="R223" s="374"/>
      <c r="S223" s="374"/>
      <c r="T223" s="374"/>
      <c r="U223" s="374"/>
      <c r="V223" s="374"/>
      <c r="W223" s="374"/>
      <c r="X223" s="374"/>
      <c r="Y223" s="65"/>
      <c r="Z223" s="65"/>
    </row>
    <row r="224" ht="15.75" customHeight="1">
      <c r="A224" s="376" t="s">
        <v>321</v>
      </c>
      <c r="B224" s="376" t="s">
        <v>2794</v>
      </c>
      <c r="C224" s="376" t="s">
        <v>1642</v>
      </c>
      <c r="D224" s="374"/>
      <c r="E224" s="374"/>
      <c r="F224" s="374"/>
      <c r="I224" s="374"/>
      <c r="J224" s="374"/>
      <c r="K224" s="65"/>
      <c r="L224" s="374"/>
      <c r="M224" s="65"/>
      <c r="N224" s="374"/>
      <c r="O224" s="374"/>
      <c r="P224" s="374"/>
      <c r="Q224" s="374"/>
      <c r="R224" s="374"/>
      <c r="S224" s="374"/>
      <c r="T224" s="374"/>
      <c r="U224" s="374"/>
      <c r="V224" s="374"/>
      <c r="W224" s="374"/>
      <c r="X224" s="374"/>
      <c r="Y224" s="65"/>
      <c r="Z224" s="65"/>
    </row>
    <row r="225" ht="15.75" customHeight="1">
      <c r="A225" s="376" t="s">
        <v>321</v>
      </c>
      <c r="B225" s="376" t="s">
        <v>2801</v>
      </c>
      <c r="C225" s="376" t="s">
        <v>2800</v>
      </c>
      <c r="D225" s="374"/>
      <c r="E225" s="374"/>
      <c r="F225" s="374"/>
      <c r="I225" s="374"/>
      <c r="J225" s="374"/>
      <c r="K225" s="65"/>
      <c r="L225" s="374"/>
      <c r="M225" s="65"/>
      <c r="N225" s="374"/>
      <c r="O225" s="374"/>
      <c r="P225" s="374"/>
      <c r="Q225" s="374"/>
      <c r="R225" s="374"/>
      <c r="S225" s="374"/>
      <c r="T225" s="374"/>
      <c r="U225" s="374"/>
      <c r="V225" s="374"/>
      <c r="W225" s="374"/>
      <c r="X225" s="374"/>
      <c r="Y225" s="65"/>
      <c r="Z225" s="65"/>
    </row>
    <row r="226" ht="15.75" customHeight="1">
      <c r="A226" s="376" t="s">
        <v>321</v>
      </c>
      <c r="B226" s="376" t="s">
        <v>2796</v>
      </c>
      <c r="C226" s="376" t="s">
        <v>1650</v>
      </c>
      <c r="D226" s="374"/>
      <c r="E226" s="374"/>
      <c r="F226" s="374"/>
      <c r="I226" s="374"/>
      <c r="J226" s="374"/>
      <c r="K226" s="65"/>
      <c r="L226" s="374"/>
      <c r="M226" s="65"/>
      <c r="N226" s="374"/>
      <c r="O226" s="374"/>
      <c r="P226" s="374"/>
      <c r="Q226" s="374"/>
      <c r="R226" s="374"/>
      <c r="S226" s="374"/>
      <c r="T226" s="374"/>
      <c r="U226" s="374"/>
      <c r="V226" s="374"/>
      <c r="W226" s="374"/>
      <c r="X226" s="374"/>
      <c r="Y226" s="65"/>
      <c r="Z226" s="65"/>
    </row>
    <row r="227" ht="15.75" customHeight="1">
      <c r="A227" s="376" t="s">
        <v>321</v>
      </c>
      <c r="B227" s="376" t="s">
        <v>2789</v>
      </c>
      <c r="C227" s="376" t="s">
        <v>1637</v>
      </c>
      <c r="D227" s="374"/>
      <c r="E227" s="374"/>
      <c r="F227" s="374"/>
      <c r="I227" s="374"/>
      <c r="J227" s="374"/>
      <c r="K227" s="65"/>
      <c r="L227" s="374"/>
      <c r="M227" s="65"/>
      <c r="N227" s="374"/>
      <c r="O227" s="374"/>
      <c r="P227" s="374"/>
      <c r="Q227" s="374"/>
      <c r="R227" s="374"/>
      <c r="S227" s="374"/>
      <c r="T227" s="374"/>
      <c r="U227" s="374"/>
      <c r="V227" s="374"/>
      <c r="W227" s="374"/>
      <c r="X227" s="374"/>
      <c r="Y227" s="65"/>
      <c r="Z227" s="65"/>
    </row>
    <row r="228" ht="15.75" customHeight="1">
      <c r="A228" s="376" t="s">
        <v>321</v>
      </c>
      <c r="B228" s="376" t="s">
        <v>3080</v>
      </c>
      <c r="C228" s="376" t="s">
        <v>3081</v>
      </c>
      <c r="D228" s="374"/>
      <c r="E228" s="374"/>
      <c r="F228" s="374"/>
      <c r="I228" s="374"/>
      <c r="J228" s="374"/>
      <c r="K228" s="65"/>
      <c r="L228" s="374"/>
      <c r="M228" s="65"/>
      <c r="N228" s="374"/>
      <c r="O228" s="374"/>
      <c r="P228" s="374"/>
      <c r="Q228" s="374"/>
      <c r="R228" s="374"/>
      <c r="S228" s="374"/>
      <c r="T228" s="374"/>
      <c r="U228" s="374"/>
      <c r="V228" s="374"/>
      <c r="W228" s="374"/>
      <c r="X228" s="374"/>
      <c r="Y228" s="65"/>
      <c r="Z228" s="65"/>
    </row>
    <row r="229" ht="15.75" customHeight="1">
      <c r="A229" s="376" t="s">
        <v>321</v>
      </c>
      <c r="B229" s="376" t="s">
        <v>2803</v>
      </c>
      <c r="C229" s="376" t="s">
        <v>1651</v>
      </c>
      <c r="D229" s="374"/>
      <c r="E229" s="374"/>
      <c r="F229" s="374"/>
      <c r="I229" s="374"/>
      <c r="J229" s="374"/>
      <c r="K229" s="65"/>
      <c r="L229" s="374"/>
      <c r="M229" s="65"/>
      <c r="N229" s="374"/>
      <c r="O229" s="374"/>
      <c r="P229" s="374"/>
      <c r="Q229" s="374"/>
      <c r="R229" s="374"/>
      <c r="S229" s="374"/>
      <c r="T229" s="374"/>
      <c r="U229" s="374"/>
      <c r="V229" s="374"/>
      <c r="W229" s="374"/>
      <c r="X229" s="374"/>
      <c r="Y229" s="65"/>
      <c r="Z229" s="65"/>
    </row>
    <row r="230" ht="15.75" customHeight="1">
      <c r="A230" s="376" t="s">
        <v>321</v>
      </c>
      <c r="B230" s="376" t="s">
        <v>3082</v>
      </c>
      <c r="C230" s="376" t="s">
        <v>3083</v>
      </c>
      <c r="D230" s="374"/>
      <c r="E230" s="374"/>
      <c r="F230" s="374"/>
      <c r="I230" s="374"/>
      <c r="J230" s="374"/>
      <c r="K230" s="65"/>
      <c r="L230" s="374"/>
      <c r="M230" s="65"/>
      <c r="N230" s="374"/>
      <c r="O230" s="374"/>
      <c r="P230" s="374"/>
      <c r="Q230" s="374"/>
      <c r="R230" s="374"/>
      <c r="S230" s="374"/>
      <c r="T230" s="374"/>
      <c r="U230" s="374"/>
      <c r="V230" s="374"/>
      <c r="W230" s="374"/>
      <c r="X230" s="374"/>
      <c r="Y230" s="65"/>
      <c r="Z230" s="65"/>
    </row>
    <row r="231" ht="15.75" customHeight="1">
      <c r="A231" s="376" t="s">
        <v>321</v>
      </c>
      <c r="B231" s="376" t="s">
        <v>3084</v>
      </c>
      <c r="C231" s="376" t="s">
        <v>3085</v>
      </c>
      <c r="D231" s="374"/>
      <c r="E231" s="374"/>
      <c r="F231" s="374"/>
      <c r="I231" s="374"/>
      <c r="J231" s="374"/>
      <c r="K231" s="65"/>
      <c r="L231" s="374"/>
      <c r="M231" s="65"/>
      <c r="N231" s="374"/>
      <c r="O231" s="374"/>
      <c r="P231" s="374"/>
      <c r="Q231" s="374"/>
      <c r="R231" s="374"/>
      <c r="S231" s="374"/>
      <c r="T231" s="374"/>
      <c r="U231" s="374"/>
      <c r="V231" s="374"/>
      <c r="W231" s="374"/>
      <c r="X231" s="374"/>
      <c r="Y231" s="65"/>
      <c r="Z231" s="65"/>
    </row>
    <row r="232" ht="15.75" customHeight="1">
      <c r="A232" s="376" t="s">
        <v>321</v>
      </c>
      <c r="B232" s="376" t="s">
        <v>3086</v>
      </c>
      <c r="C232" s="376" t="s">
        <v>3087</v>
      </c>
      <c r="D232" s="374"/>
      <c r="E232" s="374"/>
      <c r="F232" s="374"/>
      <c r="I232" s="374"/>
      <c r="J232" s="374"/>
      <c r="K232" s="65"/>
      <c r="L232" s="374"/>
      <c r="M232" s="65"/>
      <c r="N232" s="374"/>
      <c r="O232" s="374"/>
      <c r="P232" s="374"/>
      <c r="Q232" s="374"/>
      <c r="R232" s="374"/>
      <c r="S232" s="374"/>
      <c r="T232" s="374"/>
      <c r="U232" s="374"/>
      <c r="V232" s="374"/>
      <c r="W232" s="374"/>
      <c r="X232" s="374"/>
      <c r="Y232" s="65"/>
      <c r="Z232" s="65"/>
    </row>
    <row r="233" ht="15.75" customHeight="1">
      <c r="A233" s="376" t="s">
        <v>321</v>
      </c>
      <c r="B233" s="376" t="s">
        <v>3010</v>
      </c>
      <c r="C233" s="376" t="s">
        <v>3011</v>
      </c>
      <c r="D233" s="374"/>
      <c r="E233" s="374"/>
      <c r="F233" s="374"/>
      <c r="I233" s="374"/>
      <c r="J233" s="374"/>
      <c r="K233" s="65"/>
      <c r="L233" s="374"/>
      <c r="M233" s="65"/>
      <c r="N233" s="374"/>
      <c r="O233" s="374"/>
      <c r="P233" s="374"/>
      <c r="Q233" s="374"/>
      <c r="R233" s="374"/>
      <c r="S233" s="374"/>
      <c r="T233" s="374"/>
      <c r="U233" s="374"/>
      <c r="V233" s="374"/>
      <c r="W233" s="374"/>
      <c r="X233" s="374"/>
      <c r="Y233" s="65"/>
      <c r="Z233" s="65"/>
    </row>
    <row r="234" ht="15.75" customHeight="1">
      <c r="A234" s="376" t="s">
        <v>321</v>
      </c>
      <c r="B234" s="376" t="s">
        <v>3088</v>
      </c>
      <c r="C234" s="376" t="s">
        <v>3089</v>
      </c>
      <c r="D234" s="374"/>
      <c r="E234" s="374"/>
      <c r="F234" s="374"/>
      <c r="I234" s="374"/>
      <c r="J234" s="374"/>
      <c r="K234" s="65"/>
      <c r="L234" s="374"/>
      <c r="M234" s="65"/>
      <c r="N234" s="374"/>
      <c r="O234" s="374"/>
      <c r="P234" s="374"/>
      <c r="Q234" s="374"/>
      <c r="R234" s="374"/>
      <c r="S234" s="374"/>
      <c r="T234" s="374"/>
      <c r="U234" s="374"/>
      <c r="V234" s="374"/>
      <c r="W234" s="374"/>
      <c r="X234" s="374"/>
      <c r="Y234" s="65"/>
      <c r="Z234" s="65"/>
    </row>
    <row r="235" ht="15.75" customHeight="1">
      <c r="A235" s="376" t="s">
        <v>321</v>
      </c>
      <c r="B235" s="376" t="s">
        <v>3090</v>
      </c>
      <c r="C235" s="376" t="s">
        <v>3091</v>
      </c>
      <c r="D235" s="374"/>
      <c r="E235" s="374"/>
      <c r="F235" s="374"/>
      <c r="I235" s="374"/>
      <c r="J235" s="374"/>
      <c r="K235" s="65"/>
      <c r="L235" s="374"/>
      <c r="M235" s="65"/>
      <c r="N235" s="374"/>
      <c r="O235" s="374"/>
      <c r="P235" s="374"/>
      <c r="Q235" s="374"/>
      <c r="R235" s="374"/>
      <c r="S235" s="374"/>
      <c r="T235" s="374"/>
      <c r="U235" s="374"/>
      <c r="V235" s="374"/>
      <c r="W235" s="374"/>
      <c r="X235" s="374"/>
      <c r="Y235" s="65"/>
      <c r="Z235" s="65"/>
    </row>
    <row r="236" ht="15.75" customHeight="1">
      <c r="A236" s="376" t="s">
        <v>321</v>
      </c>
      <c r="B236" s="376" t="s">
        <v>3092</v>
      </c>
      <c r="C236" s="376" t="s">
        <v>3093</v>
      </c>
      <c r="D236" s="374"/>
      <c r="E236" s="374"/>
      <c r="F236" s="374"/>
      <c r="I236" s="374"/>
      <c r="J236" s="374"/>
      <c r="K236" s="65"/>
      <c r="L236" s="374"/>
      <c r="M236" s="65"/>
      <c r="N236" s="374"/>
      <c r="O236" s="374"/>
      <c r="P236" s="374"/>
      <c r="Q236" s="374"/>
      <c r="R236" s="374"/>
      <c r="S236" s="374"/>
      <c r="T236" s="374"/>
      <c r="U236" s="374"/>
      <c r="V236" s="374"/>
      <c r="W236" s="374"/>
      <c r="X236" s="374"/>
      <c r="Y236" s="65"/>
      <c r="Z236" s="65"/>
    </row>
    <row r="237" ht="15.75" customHeight="1">
      <c r="A237" s="376" t="s">
        <v>321</v>
      </c>
      <c r="B237" s="376" t="s">
        <v>2797</v>
      </c>
      <c r="C237" s="376" t="s">
        <v>1640</v>
      </c>
      <c r="D237" s="374"/>
      <c r="E237" s="374"/>
      <c r="F237" s="374"/>
      <c r="I237" s="374"/>
      <c r="J237" s="374"/>
      <c r="K237" s="65"/>
      <c r="L237" s="374"/>
      <c r="M237" s="65"/>
      <c r="N237" s="374"/>
      <c r="O237" s="374"/>
      <c r="P237" s="374"/>
      <c r="Q237" s="374"/>
      <c r="R237" s="374"/>
      <c r="S237" s="374"/>
      <c r="T237" s="374"/>
      <c r="U237" s="374"/>
      <c r="V237" s="374"/>
      <c r="W237" s="374"/>
      <c r="X237" s="374"/>
      <c r="Y237" s="65"/>
      <c r="Z237" s="65"/>
    </row>
    <row r="238" ht="15.75" customHeight="1">
      <c r="A238" s="376" t="s">
        <v>321</v>
      </c>
      <c r="B238" s="376" t="s">
        <v>2823</v>
      </c>
      <c r="C238" s="376" t="s">
        <v>2824</v>
      </c>
      <c r="D238" s="374"/>
      <c r="E238" s="374"/>
      <c r="F238" s="374"/>
      <c r="I238" s="374"/>
      <c r="J238" s="374"/>
      <c r="K238" s="65"/>
      <c r="L238" s="374"/>
      <c r="M238" s="65"/>
      <c r="N238" s="374"/>
      <c r="O238" s="374"/>
      <c r="P238" s="374"/>
      <c r="Q238" s="374"/>
      <c r="R238" s="374"/>
      <c r="S238" s="374"/>
      <c r="T238" s="374"/>
      <c r="U238" s="374"/>
      <c r="V238" s="374"/>
      <c r="W238" s="374"/>
      <c r="X238" s="374"/>
      <c r="Y238" s="65"/>
      <c r="Z238" s="65"/>
    </row>
    <row r="239" ht="15.75" customHeight="1">
      <c r="A239" s="376" t="s">
        <v>321</v>
      </c>
      <c r="B239" s="376" t="s">
        <v>2826</v>
      </c>
      <c r="C239" s="376" t="s">
        <v>2827</v>
      </c>
      <c r="D239" s="374"/>
      <c r="E239" s="374"/>
      <c r="F239" s="374"/>
      <c r="I239" s="374"/>
      <c r="J239" s="374"/>
      <c r="K239" s="65"/>
      <c r="L239" s="374"/>
      <c r="M239" s="65"/>
      <c r="N239" s="374"/>
      <c r="O239" s="374"/>
      <c r="P239" s="374"/>
      <c r="Q239" s="374"/>
      <c r="R239" s="374"/>
      <c r="S239" s="374"/>
      <c r="T239" s="374"/>
      <c r="U239" s="374"/>
      <c r="V239" s="374"/>
      <c r="W239" s="374"/>
      <c r="X239" s="374"/>
      <c r="Y239" s="65"/>
      <c r="Z239" s="65"/>
    </row>
    <row r="240" ht="15.75" customHeight="1">
      <c r="A240" s="376" t="s">
        <v>321</v>
      </c>
      <c r="B240" s="376" t="s">
        <v>3094</v>
      </c>
      <c r="C240" s="376" t="s">
        <v>1650</v>
      </c>
      <c r="D240" s="374"/>
      <c r="E240" s="374"/>
      <c r="F240" s="374"/>
      <c r="I240" s="374"/>
      <c r="J240" s="374"/>
      <c r="K240" s="65"/>
      <c r="L240" s="374"/>
      <c r="M240" s="65"/>
      <c r="N240" s="374"/>
      <c r="O240" s="374"/>
      <c r="P240" s="374"/>
      <c r="Q240" s="374"/>
      <c r="R240" s="374"/>
      <c r="S240" s="374"/>
      <c r="T240" s="374"/>
      <c r="U240" s="374"/>
      <c r="V240" s="374"/>
      <c r="W240" s="374"/>
      <c r="X240" s="374"/>
      <c r="Y240" s="65"/>
      <c r="Z240" s="65"/>
    </row>
    <row r="241" ht="15.75" customHeight="1">
      <c r="A241" s="376" t="s">
        <v>324</v>
      </c>
      <c r="B241" s="376" t="s">
        <v>2796</v>
      </c>
      <c r="C241" s="376" t="s">
        <v>1650</v>
      </c>
      <c r="D241" s="374"/>
      <c r="E241" s="374"/>
      <c r="F241" s="374"/>
      <c r="I241" s="374"/>
      <c r="J241" s="374"/>
      <c r="K241" s="65"/>
      <c r="L241" s="374"/>
      <c r="M241" s="65"/>
      <c r="N241" s="374"/>
      <c r="O241" s="374"/>
      <c r="P241" s="374"/>
      <c r="Q241" s="374"/>
      <c r="R241" s="374"/>
      <c r="S241" s="374"/>
      <c r="T241" s="374"/>
      <c r="U241" s="374"/>
      <c r="V241" s="374"/>
      <c r="W241" s="374"/>
      <c r="X241" s="374"/>
      <c r="Y241" s="65"/>
      <c r="Z241" s="65"/>
    </row>
    <row r="242" ht="15.75" customHeight="1">
      <c r="A242" s="376" t="s">
        <v>324</v>
      </c>
      <c r="B242" s="376" t="s">
        <v>3016</v>
      </c>
      <c r="C242" s="376" t="s">
        <v>3017</v>
      </c>
      <c r="D242" s="374"/>
      <c r="E242" s="374"/>
      <c r="F242" s="374"/>
      <c r="I242" s="374"/>
      <c r="J242" s="374"/>
      <c r="K242" s="65"/>
      <c r="L242" s="374"/>
      <c r="M242" s="65"/>
      <c r="N242" s="374"/>
      <c r="O242" s="374"/>
      <c r="P242" s="374"/>
      <c r="Q242" s="374"/>
      <c r="R242" s="374"/>
      <c r="S242" s="374"/>
      <c r="T242" s="374"/>
      <c r="U242" s="374"/>
      <c r="V242" s="374"/>
      <c r="W242" s="374"/>
      <c r="X242" s="374"/>
      <c r="Y242" s="65"/>
      <c r="Z242" s="65"/>
    </row>
    <row r="243" ht="15.75" customHeight="1">
      <c r="A243" s="376" t="s">
        <v>324</v>
      </c>
      <c r="B243" s="376" t="s">
        <v>2852</v>
      </c>
      <c r="C243" s="376" t="s">
        <v>2853</v>
      </c>
      <c r="D243" s="374"/>
      <c r="E243" s="374"/>
      <c r="F243" s="374"/>
      <c r="I243" s="374"/>
      <c r="J243" s="374"/>
      <c r="K243" s="65"/>
      <c r="L243" s="374"/>
      <c r="M243" s="65"/>
      <c r="N243" s="374"/>
      <c r="O243" s="374"/>
      <c r="P243" s="374"/>
      <c r="Q243" s="374"/>
      <c r="R243" s="374"/>
      <c r="S243" s="374"/>
      <c r="T243" s="374"/>
      <c r="U243" s="374"/>
      <c r="V243" s="374"/>
      <c r="W243" s="374"/>
      <c r="X243" s="374"/>
      <c r="Y243" s="65"/>
      <c r="Z243" s="65"/>
    </row>
    <row r="244" ht="15.75" customHeight="1">
      <c r="A244" s="376" t="s">
        <v>324</v>
      </c>
      <c r="B244" s="376" t="s">
        <v>3095</v>
      </c>
      <c r="C244" s="376" t="s">
        <v>3096</v>
      </c>
      <c r="D244" s="374"/>
      <c r="E244" s="374"/>
      <c r="F244" s="374"/>
      <c r="I244" s="374"/>
      <c r="J244" s="374"/>
      <c r="K244" s="65"/>
      <c r="L244" s="374"/>
      <c r="M244" s="65"/>
      <c r="N244" s="374"/>
      <c r="O244" s="374"/>
      <c r="P244" s="374"/>
      <c r="Q244" s="374"/>
      <c r="R244" s="374"/>
      <c r="S244" s="374"/>
      <c r="T244" s="374"/>
      <c r="U244" s="374"/>
      <c r="V244" s="374"/>
      <c r="W244" s="374"/>
      <c r="X244" s="374"/>
      <c r="Y244" s="65"/>
      <c r="Z244" s="65"/>
    </row>
    <row r="245" ht="15.75" customHeight="1">
      <c r="A245" s="376" t="s">
        <v>324</v>
      </c>
      <c r="B245" s="376" t="s">
        <v>3097</v>
      </c>
      <c r="C245" s="376" t="s">
        <v>3098</v>
      </c>
      <c r="D245" s="374"/>
      <c r="E245" s="374"/>
      <c r="F245" s="374"/>
      <c r="I245" s="374"/>
      <c r="J245" s="374"/>
      <c r="K245" s="65"/>
      <c r="L245" s="374"/>
      <c r="M245" s="65"/>
      <c r="N245" s="374"/>
      <c r="O245" s="374"/>
      <c r="P245" s="374"/>
      <c r="Q245" s="374"/>
      <c r="R245" s="374"/>
      <c r="S245" s="374"/>
      <c r="T245" s="374"/>
      <c r="U245" s="374"/>
      <c r="V245" s="374"/>
      <c r="W245" s="374"/>
      <c r="X245" s="374"/>
      <c r="Y245" s="65"/>
      <c r="Z245" s="65"/>
    </row>
    <row r="246" ht="15.75" customHeight="1">
      <c r="A246" s="376" t="s">
        <v>324</v>
      </c>
      <c r="B246" s="376" t="s">
        <v>3099</v>
      </c>
      <c r="C246" s="376" t="s">
        <v>3100</v>
      </c>
      <c r="D246" s="374"/>
      <c r="E246" s="374"/>
      <c r="F246" s="374"/>
      <c r="I246" s="374"/>
      <c r="J246" s="374"/>
      <c r="K246" s="65"/>
      <c r="L246" s="374"/>
      <c r="M246" s="65"/>
      <c r="N246" s="374"/>
      <c r="O246" s="374"/>
      <c r="P246" s="374"/>
      <c r="Q246" s="374"/>
      <c r="R246" s="374"/>
      <c r="S246" s="374"/>
      <c r="T246" s="374"/>
      <c r="U246" s="374"/>
      <c r="V246" s="374"/>
      <c r="W246" s="374"/>
      <c r="X246" s="374"/>
      <c r="Y246" s="65"/>
      <c r="Z246" s="65"/>
    </row>
    <row r="247" ht="15.75" customHeight="1">
      <c r="A247" s="376" t="s">
        <v>327</v>
      </c>
      <c r="B247" s="376" t="s">
        <v>2791</v>
      </c>
      <c r="C247" s="376" t="s">
        <v>1639</v>
      </c>
      <c r="D247" s="374"/>
      <c r="E247" s="374"/>
      <c r="F247" s="374"/>
      <c r="I247" s="374"/>
      <c r="J247" s="374"/>
      <c r="K247" s="65"/>
      <c r="L247" s="374"/>
      <c r="M247" s="65"/>
      <c r="N247" s="374"/>
      <c r="O247" s="374"/>
      <c r="P247" s="374"/>
      <c r="Q247" s="374"/>
      <c r="R247" s="374"/>
      <c r="S247" s="374"/>
      <c r="T247" s="374"/>
      <c r="U247" s="374"/>
      <c r="V247" s="374"/>
      <c r="W247" s="374"/>
      <c r="X247" s="374"/>
      <c r="Y247" s="65"/>
      <c r="Z247" s="65"/>
    </row>
    <row r="248" ht="15.75" customHeight="1">
      <c r="A248" s="376" t="s">
        <v>327</v>
      </c>
      <c r="B248" s="376" t="s">
        <v>2796</v>
      </c>
      <c r="C248" s="376" t="s">
        <v>1650</v>
      </c>
      <c r="D248" s="374"/>
      <c r="E248" s="374"/>
      <c r="F248" s="374"/>
      <c r="I248" s="374"/>
      <c r="J248" s="374"/>
      <c r="K248" s="65"/>
      <c r="L248" s="374"/>
      <c r="M248" s="65"/>
      <c r="N248" s="374"/>
      <c r="O248" s="374"/>
      <c r="P248" s="374"/>
      <c r="Q248" s="374"/>
      <c r="R248" s="374"/>
      <c r="S248" s="374"/>
      <c r="T248" s="374"/>
      <c r="U248" s="374"/>
      <c r="V248" s="374"/>
      <c r="W248" s="374"/>
      <c r="X248" s="374"/>
      <c r="Y248" s="65"/>
      <c r="Z248" s="65"/>
    </row>
    <row r="249" ht="15.75" customHeight="1">
      <c r="A249" s="376" t="s">
        <v>327</v>
      </c>
      <c r="B249" s="376" t="s">
        <v>3101</v>
      </c>
      <c r="C249" s="376" t="s">
        <v>3102</v>
      </c>
      <c r="D249" s="374"/>
      <c r="E249" s="374"/>
      <c r="F249" s="374"/>
      <c r="I249" s="374"/>
      <c r="J249" s="374"/>
      <c r="K249" s="65"/>
      <c r="L249" s="374"/>
      <c r="M249" s="65"/>
      <c r="N249" s="374"/>
      <c r="O249" s="374"/>
      <c r="P249" s="374"/>
      <c r="Q249" s="374"/>
      <c r="R249" s="374"/>
      <c r="S249" s="374"/>
      <c r="T249" s="374"/>
      <c r="U249" s="374"/>
      <c r="V249" s="374"/>
      <c r="W249" s="374"/>
      <c r="X249" s="374"/>
      <c r="Y249" s="65"/>
      <c r="Z249" s="65"/>
    </row>
    <row r="250" ht="15.75" customHeight="1">
      <c r="A250" s="376" t="s">
        <v>327</v>
      </c>
      <c r="B250" s="376" t="s">
        <v>3064</v>
      </c>
      <c r="C250" s="376" t="s">
        <v>3065</v>
      </c>
      <c r="D250" s="374"/>
      <c r="E250" s="374"/>
      <c r="F250" s="374"/>
      <c r="I250" s="374"/>
      <c r="J250" s="374"/>
      <c r="K250" s="65"/>
      <c r="L250" s="374"/>
      <c r="M250" s="65"/>
      <c r="N250" s="374"/>
      <c r="O250" s="374"/>
      <c r="P250" s="374"/>
      <c r="Q250" s="374"/>
      <c r="R250" s="374"/>
      <c r="S250" s="374"/>
      <c r="T250" s="374"/>
      <c r="U250" s="374"/>
      <c r="V250" s="374"/>
      <c r="W250" s="374"/>
      <c r="X250" s="374"/>
      <c r="Y250" s="65"/>
      <c r="Z250" s="65"/>
    </row>
    <row r="251" ht="15.75" customHeight="1">
      <c r="A251" s="376" t="s">
        <v>327</v>
      </c>
      <c r="B251" s="376" t="s">
        <v>2802</v>
      </c>
      <c r="C251" s="376" t="s">
        <v>1646</v>
      </c>
      <c r="D251" s="374"/>
      <c r="E251" s="374"/>
      <c r="F251" s="374"/>
      <c r="I251" s="374"/>
      <c r="J251" s="374"/>
      <c r="K251" s="65"/>
      <c r="L251" s="374"/>
      <c r="M251" s="65"/>
      <c r="N251" s="374"/>
      <c r="O251" s="374"/>
      <c r="P251" s="374"/>
      <c r="Q251" s="374"/>
      <c r="R251" s="374"/>
      <c r="S251" s="374"/>
      <c r="T251" s="374"/>
      <c r="U251" s="374"/>
      <c r="V251" s="374"/>
      <c r="W251" s="374"/>
      <c r="X251" s="374"/>
      <c r="Y251" s="65"/>
      <c r="Z251" s="65"/>
    </row>
    <row r="252" ht="15.75" customHeight="1">
      <c r="A252" s="377" t="s">
        <v>327</v>
      </c>
      <c r="B252" s="374" t="s">
        <v>2823</v>
      </c>
      <c r="C252" s="374" t="s">
        <v>2824</v>
      </c>
      <c r="D252" s="374"/>
      <c r="E252" s="374"/>
      <c r="F252" s="374"/>
      <c r="I252" s="374"/>
      <c r="J252" s="374"/>
      <c r="K252" s="65"/>
      <c r="L252" s="374"/>
      <c r="M252" s="65"/>
      <c r="N252" s="374"/>
      <c r="O252" s="374"/>
      <c r="P252" s="374"/>
      <c r="Q252" s="374"/>
      <c r="R252" s="374"/>
      <c r="S252" s="374"/>
      <c r="T252" s="374"/>
      <c r="U252" s="374"/>
      <c r="V252" s="374"/>
      <c r="W252" s="374"/>
      <c r="X252" s="374"/>
      <c r="Y252" s="65"/>
      <c r="Z252" s="65"/>
    </row>
    <row r="253" ht="15.75" customHeight="1">
      <c r="A253" s="376" t="s">
        <v>327</v>
      </c>
      <c r="B253" s="376" t="s">
        <v>3103</v>
      </c>
      <c r="C253" s="376" t="s">
        <v>3104</v>
      </c>
      <c r="D253" s="374"/>
      <c r="E253" s="374"/>
      <c r="F253" s="374"/>
      <c r="I253" s="374"/>
      <c r="J253" s="374"/>
      <c r="K253" s="65"/>
      <c r="L253" s="374"/>
      <c r="M253" s="65"/>
      <c r="N253" s="374"/>
      <c r="O253" s="374"/>
      <c r="P253" s="374"/>
      <c r="Q253" s="374"/>
      <c r="R253" s="374"/>
      <c r="S253" s="374"/>
      <c r="T253" s="374"/>
      <c r="U253" s="374"/>
      <c r="V253" s="374"/>
      <c r="W253" s="374"/>
      <c r="X253" s="374"/>
      <c r="Y253" s="65"/>
      <c r="Z253" s="65"/>
    </row>
    <row r="254" ht="15.75" customHeight="1">
      <c r="A254" s="376" t="s">
        <v>333</v>
      </c>
      <c r="B254" s="376" t="s">
        <v>3105</v>
      </c>
      <c r="C254" s="376" t="s">
        <v>3106</v>
      </c>
      <c r="D254" s="374"/>
      <c r="E254" s="374"/>
      <c r="F254" s="374"/>
      <c r="I254" s="374"/>
      <c r="J254" s="374"/>
      <c r="K254" s="65"/>
      <c r="L254" s="374"/>
      <c r="M254" s="65"/>
      <c r="N254" s="374"/>
      <c r="O254" s="374"/>
      <c r="P254" s="374"/>
      <c r="Q254" s="374"/>
      <c r="R254" s="374"/>
      <c r="S254" s="374"/>
      <c r="T254" s="374"/>
      <c r="U254" s="374"/>
      <c r="V254" s="374"/>
      <c r="W254" s="374"/>
      <c r="X254" s="374"/>
      <c r="Y254" s="65"/>
      <c r="Z254" s="65"/>
    </row>
    <row r="255" ht="15.75" customHeight="1">
      <c r="A255" s="376" t="s">
        <v>333</v>
      </c>
      <c r="B255" s="376" t="s">
        <v>3107</v>
      </c>
      <c r="C255" s="376" t="s">
        <v>3108</v>
      </c>
      <c r="D255" s="374"/>
      <c r="E255" s="374"/>
      <c r="F255" s="374"/>
      <c r="I255" s="374"/>
      <c r="J255" s="374"/>
      <c r="K255" s="65"/>
      <c r="L255" s="374"/>
      <c r="M255" s="65"/>
      <c r="N255" s="374"/>
      <c r="O255" s="374"/>
      <c r="P255" s="374"/>
      <c r="Q255" s="374"/>
      <c r="R255" s="374"/>
      <c r="S255" s="374"/>
      <c r="T255" s="374"/>
      <c r="U255" s="374"/>
      <c r="V255" s="374"/>
      <c r="W255" s="374"/>
      <c r="X255" s="374"/>
      <c r="Y255" s="65"/>
      <c r="Z255" s="65"/>
    </row>
    <row r="256" ht="15.75" customHeight="1">
      <c r="A256" s="376" t="s">
        <v>333</v>
      </c>
      <c r="B256" s="376" t="s">
        <v>3109</v>
      </c>
      <c r="C256" s="376" t="s">
        <v>3110</v>
      </c>
      <c r="D256" s="374"/>
      <c r="E256" s="374"/>
      <c r="F256" s="374"/>
      <c r="I256" s="374"/>
      <c r="J256" s="374"/>
      <c r="K256" s="65"/>
      <c r="L256" s="374"/>
      <c r="M256" s="65"/>
      <c r="N256" s="374"/>
      <c r="O256" s="374"/>
      <c r="P256" s="374"/>
      <c r="Q256" s="374"/>
      <c r="R256" s="374"/>
      <c r="S256" s="374"/>
      <c r="T256" s="374"/>
      <c r="U256" s="374"/>
      <c r="V256" s="374"/>
      <c r="W256" s="374"/>
      <c r="X256" s="374"/>
      <c r="Y256" s="65"/>
      <c r="Z256" s="65"/>
    </row>
    <row r="257" ht="15.75" customHeight="1">
      <c r="A257" s="376" t="s">
        <v>333</v>
      </c>
      <c r="B257" s="376" t="s">
        <v>3111</v>
      </c>
      <c r="C257" s="376" t="s">
        <v>3112</v>
      </c>
      <c r="D257" s="374"/>
      <c r="E257" s="374"/>
      <c r="F257" s="374"/>
      <c r="I257" s="374"/>
      <c r="J257" s="374"/>
      <c r="K257" s="65"/>
      <c r="L257" s="374"/>
      <c r="M257" s="65"/>
      <c r="N257" s="374"/>
      <c r="O257" s="374"/>
      <c r="P257" s="374"/>
      <c r="Q257" s="374"/>
      <c r="R257" s="374"/>
      <c r="S257" s="374"/>
      <c r="T257" s="374"/>
      <c r="U257" s="374"/>
      <c r="V257" s="374"/>
      <c r="W257" s="374"/>
      <c r="X257" s="374"/>
      <c r="Y257" s="65"/>
      <c r="Z257" s="65"/>
    </row>
    <row r="258" ht="15.75" customHeight="1">
      <c r="A258" s="376" t="s">
        <v>339</v>
      </c>
      <c r="B258" s="376" t="s">
        <v>3113</v>
      </c>
      <c r="C258" s="376" t="s">
        <v>3114</v>
      </c>
      <c r="D258" s="374"/>
      <c r="E258" s="374"/>
      <c r="F258" s="374"/>
      <c r="I258" s="374"/>
      <c r="J258" s="374"/>
      <c r="K258" s="65"/>
      <c r="L258" s="374"/>
      <c r="M258" s="65"/>
      <c r="N258" s="374"/>
      <c r="O258" s="374"/>
      <c r="P258" s="374"/>
      <c r="Q258" s="374"/>
      <c r="R258" s="374"/>
      <c r="S258" s="374"/>
      <c r="T258" s="374"/>
      <c r="U258" s="374"/>
      <c r="V258" s="374"/>
      <c r="W258" s="374"/>
      <c r="X258" s="374"/>
      <c r="Y258" s="65"/>
      <c r="Z258" s="65"/>
    </row>
    <row r="259" ht="15.75" customHeight="1">
      <c r="A259" s="376" t="s">
        <v>339</v>
      </c>
      <c r="B259" s="376" t="s">
        <v>3115</v>
      </c>
      <c r="C259" s="376" t="s">
        <v>3116</v>
      </c>
      <c r="D259" s="374"/>
      <c r="E259" s="374"/>
      <c r="F259" s="374"/>
      <c r="I259" s="374"/>
      <c r="J259" s="374"/>
      <c r="K259" s="65"/>
      <c r="L259" s="374"/>
      <c r="M259" s="65"/>
      <c r="N259" s="374"/>
      <c r="O259" s="374"/>
      <c r="P259" s="374"/>
      <c r="Q259" s="374"/>
      <c r="R259" s="374"/>
      <c r="S259" s="374"/>
      <c r="T259" s="374"/>
      <c r="U259" s="374"/>
      <c r="V259" s="374"/>
      <c r="W259" s="374"/>
      <c r="X259" s="374"/>
      <c r="Y259" s="65"/>
      <c r="Z259" s="65"/>
    </row>
    <row r="260" ht="15.75" customHeight="1">
      <c r="A260" s="376" t="s">
        <v>339</v>
      </c>
      <c r="B260" s="376" t="s">
        <v>3117</v>
      </c>
      <c r="C260" s="376" t="s">
        <v>3118</v>
      </c>
      <c r="D260" s="374"/>
      <c r="E260" s="374"/>
      <c r="F260" s="374"/>
      <c r="I260" s="374"/>
      <c r="J260" s="374"/>
      <c r="K260" s="65"/>
      <c r="L260" s="374"/>
      <c r="M260" s="65"/>
      <c r="N260" s="374"/>
      <c r="O260" s="374"/>
      <c r="P260" s="374"/>
      <c r="Q260" s="374"/>
      <c r="R260" s="374"/>
      <c r="S260" s="374"/>
      <c r="T260" s="374"/>
      <c r="U260" s="374"/>
      <c r="V260" s="374"/>
      <c r="W260" s="374"/>
      <c r="X260" s="374"/>
      <c r="Y260" s="65"/>
      <c r="Z260" s="65"/>
    </row>
    <row r="261" ht="15.75" customHeight="1">
      <c r="A261" s="376" t="s">
        <v>348</v>
      </c>
      <c r="B261" s="376" t="s">
        <v>3119</v>
      </c>
      <c r="C261" s="376" t="s">
        <v>3120</v>
      </c>
      <c r="D261" s="374"/>
      <c r="E261" s="374"/>
      <c r="F261" s="374"/>
      <c r="I261" s="374"/>
      <c r="J261" s="374"/>
      <c r="K261" s="65"/>
      <c r="L261" s="374"/>
      <c r="M261" s="65"/>
      <c r="N261" s="374"/>
      <c r="O261" s="374"/>
      <c r="P261" s="374"/>
      <c r="Q261" s="374"/>
      <c r="R261" s="374"/>
      <c r="S261" s="374"/>
      <c r="T261" s="374"/>
      <c r="U261" s="374"/>
      <c r="V261" s="374"/>
      <c r="W261" s="374"/>
      <c r="X261" s="374"/>
      <c r="Y261" s="65"/>
      <c r="Z261" s="65"/>
    </row>
    <row r="262" ht="15.75" customHeight="1">
      <c r="A262" s="376" t="s">
        <v>351</v>
      </c>
      <c r="B262" s="376" t="s">
        <v>3121</v>
      </c>
      <c r="C262" s="376" t="s">
        <v>3122</v>
      </c>
      <c r="D262" s="374"/>
      <c r="E262" s="374"/>
      <c r="F262" s="374"/>
      <c r="I262" s="374"/>
      <c r="J262" s="374"/>
      <c r="K262" s="65"/>
      <c r="L262" s="374"/>
      <c r="M262" s="65"/>
      <c r="N262" s="374"/>
      <c r="O262" s="374"/>
      <c r="P262" s="374"/>
      <c r="Q262" s="374"/>
      <c r="R262" s="374"/>
      <c r="S262" s="374"/>
      <c r="T262" s="374"/>
      <c r="U262" s="374"/>
      <c r="V262" s="374"/>
      <c r="W262" s="374"/>
      <c r="X262" s="374"/>
      <c r="Y262" s="65"/>
      <c r="Z262" s="65"/>
    </row>
    <row r="263" ht="15.75" customHeight="1">
      <c r="A263" s="376" t="s">
        <v>354</v>
      </c>
      <c r="B263" s="376" t="s">
        <v>3101</v>
      </c>
      <c r="C263" s="376" t="s">
        <v>3102</v>
      </c>
      <c r="D263" s="374"/>
      <c r="E263" s="374"/>
      <c r="F263" s="374"/>
      <c r="I263" s="374"/>
      <c r="J263" s="374"/>
      <c r="K263" s="65"/>
      <c r="L263" s="374"/>
      <c r="M263" s="65"/>
      <c r="N263" s="374"/>
      <c r="O263" s="374"/>
      <c r="P263" s="374"/>
      <c r="Q263" s="374"/>
      <c r="R263" s="374"/>
      <c r="S263" s="374"/>
      <c r="T263" s="374"/>
      <c r="U263" s="374"/>
      <c r="V263" s="374"/>
      <c r="W263" s="374"/>
      <c r="X263" s="374"/>
      <c r="Y263" s="65"/>
      <c r="Z263" s="65"/>
    </row>
    <row r="264" ht="15.75" customHeight="1">
      <c r="A264" s="376" t="s">
        <v>354</v>
      </c>
      <c r="B264" s="376" t="s">
        <v>2802</v>
      </c>
      <c r="C264" s="376" t="s">
        <v>1646</v>
      </c>
      <c r="D264" s="374"/>
      <c r="E264" s="374"/>
      <c r="F264" s="374"/>
      <c r="I264" s="374"/>
      <c r="J264" s="374"/>
      <c r="K264" s="65"/>
      <c r="L264" s="374"/>
      <c r="M264" s="65"/>
      <c r="N264" s="374"/>
      <c r="O264" s="374"/>
      <c r="P264" s="374"/>
      <c r="Q264" s="374"/>
      <c r="R264" s="374"/>
      <c r="S264" s="374"/>
      <c r="T264" s="374"/>
      <c r="U264" s="374"/>
      <c r="V264" s="374"/>
      <c r="W264" s="374"/>
      <c r="X264" s="374"/>
      <c r="Y264" s="65"/>
      <c r="Z264" s="65"/>
    </row>
    <row r="265" ht="15.75" customHeight="1">
      <c r="A265" s="376" t="s">
        <v>354</v>
      </c>
      <c r="B265" s="376" t="s">
        <v>2922</v>
      </c>
      <c r="C265" s="376" t="s">
        <v>2923</v>
      </c>
      <c r="D265" s="374"/>
      <c r="E265" s="374"/>
      <c r="F265" s="374"/>
      <c r="I265" s="374"/>
      <c r="J265" s="374"/>
      <c r="K265" s="65"/>
      <c r="L265" s="374"/>
      <c r="M265" s="65"/>
      <c r="N265" s="374"/>
      <c r="O265" s="374"/>
      <c r="P265" s="374"/>
      <c r="Q265" s="374"/>
      <c r="R265" s="374"/>
      <c r="S265" s="374"/>
      <c r="T265" s="374"/>
      <c r="U265" s="374"/>
      <c r="V265" s="374"/>
      <c r="W265" s="374"/>
      <c r="X265" s="374"/>
      <c r="Y265" s="65"/>
      <c r="Z265" s="65"/>
    </row>
    <row r="266" ht="15.75" customHeight="1">
      <c r="A266" s="376" t="s">
        <v>354</v>
      </c>
      <c r="B266" s="376" t="s">
        <v>2852</v>
      </c>
      <c r="C266" s="376" t="s">
        <v>2853</v>
      </c>
      <c r="D266" s="374"/>
      <c r="E266" s="374"/>
      <c r="F266" s="374"/>
      <c r="I266" s="374"/>
      <c r="J266" s="374"/>
      <c r="K266" s="65"/>
      <c r="L266" s="374"/>
      <c r="M266" s="65"/>
      <c r="N266" s="374"/>
      <c r="O266" s="374"/>
      <c r="P266" s="374"/>
      <c r="Q266" s="374"/>
      <c r="R266" s="374"/>
      <c r="S266" s="374"/>
      <c r="T266" s="374"/>
      <c r="U266" s="374"/>
      <c r="V266" s="374"/>
      <c r="W266" s="374"/>
      <c r="X266" s="374"/>
      <c r="Y266" s="65"/>
      <c r="Z266" s="65"/>
    </row>
    <row r="267" ht="15.75" customHeight="1">
      <c r="A267" s="376" t="s">
        <v>354</v>
      </c>
      <c r="B267" s="376" t="s">
        <v>2821</v>
      </c>
      <c r="C267" s="376" t="s">
        <v>2822</v>
      </c>
      <c r="D267" s="374"/>
      <c r="E267" s="374"/>
      <c r="F267" s="374"/>
      <c r="I267" s="374"/>
      <c r="J267" s="374"/>
      <c r="K267" s="65"/>
      <c r="L267" s="374"/>
      <c r="M267" s="65"/>
      <c r="N267" s="374"/>
      <c r="O267" s="374"/>
      <c r="P267" s="374"/>
      <c r="Q267" s="374"/>
      <c r="R267" s="374"/>
      <c r="S267" s="374"/>
      <c r="T267" s="374"/>
      <c r="U267" s="374"/>
      <c r="V267" s="374"/>
      <c r="W267" s="374"/>
      <c r="X267" s="374"/>
      <c r="Y267" s="65"/>
      <c r="Z267" s="65"/>
    </row>
    <row r="268" ht="15.75" customHeight="1">
      <c r="A268" s="376" t="s">
        <v>357</v>
      </c>
      <c r="B268" s="376" t="s">
        <v>3123</v>
      </c>
      <c r="C268" s="376" t="s">
        <v>3124</v>
      </c>
      <c r="D268" s="374"/>
      <c r="E268" s="374"/>
      <c r="F268" s="374"/>
      <c r="I268" s="374"/>
      <c r="J268" s="374"/>
      <c r="K268" s="65"/>
      <c r="L268" s="374"/>
      <c r="M268" s="65"/>
      <c r="N268" s="374"/>
      <c r="O268" s="374"/>
      <c r="P268" s="374"/>
      <c r="Q268" s="374"/>
      <c r="R268" s="374"/>
      <c r="S268" s="374"/>
      <c r="T268" s="374"/>
      <c r="U268" s="374"/>
      <c r="V268" s="374"/>
      <c r="W268" s="374"/>
      <c r="X268" s="374"/>
      <c r="Y268" s="65"/>
      <c r="Z268" s="65"/>
    </row>
    <row r="269" ht="15.75" customHeight="1">
      <c r="A269" s="376" t="s">
        <v>357</v>
      </c>
      <c r="B269" s="376" t="s">
        <v>3125</v>
      </c>
      <c r="C269" s="376" t="s">
        <v>3126</v>
      </c>
      <c r="D269" s="374"/>
      <c r="E269" s="374"/>
      <c r="F269" s="374"/>
      <c r="I269" s="374"/>
      <c r="J269" s="374"/>
      <c r="K269" s="65"/>
      <c r="L269" s="374"/>
      <c r="M269" s="65"/>
      <c r="N269" s="374"/>
      <c r="O269" s="374"/>
      <c r="P269" s="374"/>
      <c r="Q269" s="374"/>
      <c r="R269" s="374"/>
      <c r="S269" s="374"/>
      <c r="T269" s="374"/>
      <c r="U269" s="374"/>
      <c r="V269" s="374"/>
      <c r="W269" s="374"/>
      <c r="X269" s="374"/>
      <c r="Y269" s="65"/>
      <c r="Z269" s="65"/>
    </row>
    <row r="270" ht="15.75" customHeight="1">
      <c r="A270" s="376" t="s">
        <v>360</v>
      </c>
      <c r="B270" s="376" t="s">
        <v>2794</v>
      </c>
      <c r="C270" s="376" t="s">
        <v>1642</v>
      </c>
      <c r="D270" s="374"/>
      <c r="E270" s="374"/>
      <c r="F270" s="374"/>
      <c r="I270" s="374"/>
      <c r="J270" s="374"/>
      <c r="K270" s="65"/>
      <c r="L270" s="374"/>
      <c r="M270" s="65"/>
      <c r="N270" s="374"/>
      <c r="O270" s="374"/>
      <c r="P270" s="374"/>
      <c r="Q270" s="374"/>
      <c r="R270" s="374"/>
      <c r="S270" s="374"/>
      <c r="T270" s="374"/>
      <c r="U270" s="374"/>
      <c r="V270" s="374"/>
      <c r="W270" s="374"/>
      <c r="X270" s="374"/>
      <c r="Y270" s="65"/>
      <c r="Z270" s="65"/>
    </row>
    <row r="271" ht="15.75" customHeight="1">
      <c r="A271" s="377" t="s">
        <v>360</v>
      </c>
      <c r="B271" s="374" t="s">
        <v>3127</v>
      </c>
      <c r="C271" s="374" t="s">
        <v>3128</v>
      </c>
      <c r="D271" s="374"/>
      <c r="E271" s="374"/>
      <c r="F271" s="374"/>
      <c r="I271" s="374"/>
      <c r="J271" s="374"/>
      <c r="K271" s="65"/>
      <c r="L271" s="374"/>
      <c r="M271" s="65"/>
      <c r="N271" s="374"/>
      <c r="O271" s="374"/>
      <c r="P271" s="374"/>
      <c r="Q271" s="374"/>
      <c r="R271" s="374"/>
      <c r="S271" s="374"/>
      <c r="T271" s="374"/>
      <c r="U271" s="374"/>
      <c r="V271" s="374"/>
      <c r="W271" s="374"/>
      <c r="X271" s="374"/>
      <c r="Y271" s="65"/>
      <c r="Z271" s="65"/>
    </row>
    <row r="272" ht="15.75" customHeight="1">
      <c r="A272" s="376" t="s">
        <v>360</v>
      </c>
      <c r="B272" s="376" t="s">
        <v>3129</v>
      </c>
      <c r="C272" s="376" t="s">
        <v>3130</v>
      </c>
      <c r="D272" s="374"/>
      <c r="E272" s="374"/>
      <c r="F272" s="374"/>
      <c r="I272" s="374"/>
      <c r="J272" s="374"/>
      <c r="K272" s="65"/>
      <c r="L272" s="374"/>
      <c r="M272" s="65"/>
      <c r="N272" s="374"/>
      <c r="O272" s="374"/>
      <c r="P272" s="374"/>
      <c r="Q272" s="374"/>
      <c r="R272" s="374"/>
      <c r="S272" s="374"/>
      <c r="T272" s="374"/>
      <c r="U272" s="374"/>
      <c r="V272" s="374"/>
      <c r="W272" s="374"/>
      <c r="X272" s="374"/>
      <c r="Y272" s="65"/>
      <c r="Z272" s="65"/>
    </row>
    <row r="273" ht="15.75" customHeight="1">
      <c r="A273" s="376" t="s">
        <v>360</v>
      </c>
      <c r="B273" s="376" t="s">
        <v>2852</v>
      </c>
      <c r="C273" s="376" t="s">
        <v>2853</v>
      </c>
      <c r="D273" s="374"/>
      <c r="E273" s="374"/>
      <c r="F273" s="374"/>
      <c r="I273" s="374"/>
      <c r="J273" s="374"/>
      <c r="K273" s="65"/>
      <c r="L273" s="374"/>
      <c r="M273" s="65"/>
      <c r="N273" s="374"/>
      <c r="O273" s="374"/>
      <c r="P273" s="374"/>
      <c r="Q273" s="374"/>
      <c r="R273" s="374"/>
      <c r="S273" s="374"/>
      <c r="T273" s="374"/>
      <c r="U273" s="374"/>
      <c r="V273" s="374"/>
      <c r="W273" s="374"/>
      <c r="X273" s="374"/>
      <c r="Y273" s="65"/>
      <c r="Z273" s="65"/>
    </row>
    <row r="274" ht="15.75" customHeight="1">
      <c r="A274" s="377" t="s">
        <v>360</v>
      </c>
      <c r="B274" s="374" t="s">
        <v>3020</v>
      </c>
      <c r="C274" s="374" t="s">
        <v>3021</v>
      </c>
      <c r="D274" s="374"/>
      <c r="E274" s="374"/>
      <c r="F274" s="374"/>
      <c r="I274" s="374"/>
      <c r="J274" s="374"/>
      <c r="K274" s="65"/>
      <c r="L274" s="374"/>
      <c r="M274" s="65"/>
      <c r="N274" s="374"/>
      <c r="O274" s="374"/>
      <c r="P274" s="374"/>
      <c r="Q274" s="374"/>
      <c r="R274" s="374"/>
      <c r="S274" s="374"/>
      <c r="T274" s="374"/>
      <c r="U274" s="374"/>
      <c r="V274" s="374"/>
      <c r="W274" s="374"/>
      <c r="X274" s="374"/>
      <c r="Y274" s="65"/>
      <c r="Z274" s="65"/>
    </row>
    <row r="275" ht="15.75" customHeight="1">
      <c r="A275" s="376" t="s">
        <v>360</v>
      </c>
      <c r="B275" s="376" t="s">
        <v>2797</v>
      </c>
      <c r="C275" s="376" t="s">
        <v>1640</v>
      </c>
      <c r="D275" s="374"/>
      <c r="E275" s="374"/>
      <c r="F275" s="374"/>
      <c r="I275" s="374"/>
      <c r="J275" s="374"/>
      <c r="K275" s="65"/>
      <c r="L275" s="374"/>
      <c r="M275" s="65"/>
      <c r="N275" s="374"/>
      <c r="O275" s="374"/>
      <c r="P275" s="374"/>
      <c r="Q275" s="374"/>
      <c r="R275" s="374"/>
      <c r="S275" s="374"/>
      <c r="T275" s="374"/>
      <c r="U275" s="374"/>
      <c r="V275" s="374"/>
      <c r="W275" s="374"/>
      <c r="X275" s="374"/>
      <c r="Y275" s="65"/>
      <c r="Z275" s="65"/>
    </row>
    <row r="276" ht="15.75" customHeight="1">
      <c r="A276" s="377" t="s">
        <v>360</v>
      </c>
      <c r="B276" s="374" t="s">
        <v>3131</v>
      </c>
      <c r="C276" s="374" t="s">
        <v>3132</v>
      </c>
      <c r="D276" s="374"/>
      <c r="E276" s="374"/>
      <c r="F276" s="374"/>
      <c r="I276" s="374"/>
      <c r="J276" s="374"/>
      <c r="K276" s="65"/>
      <c r="L276" s="374"/>
      <c r="M276" s="65"/>
      <c r="N276" s="374"/>
      <c r="O276" s="374"/>
      <c r="P276" s="374"/>
      <c r="Q276" s="374"/>
      <c r="R276" s="374"/>
      <c r="S276" s="374"/>
      <c r="T276" s="374"/>
      <c r="U276" s="374"/>
      <c r="V276" s="374"/>
      <c r="W276" s="374"/>
      <c r="X276" s="374"/>
      <c r="Y276" s="65"/>
      <c r="Z276" s="65"/>
    </row>
    <row r="277" ht="15.75" customHeight="1">
      <c r="A277" s="376" t="s">
        <v>360</v>
      </c>
      <c r="B277" s="376" t="s">
        <v>3133</v>
      </c>
      <c r="C277" s="376" t="s">
        <v>3134</v>
      </c>
      <c r="D277" s="374"/>
      <c r="E277" s="374"/>
      <c r="F277" s="374"/>
      <c r="I277" s="374"/>
      <c r="J277" s="374"/>
      <c r="K277" s="65"/>
      <c r="L277" s="374"/>
      <c r="M277" s="65"/>
      <c r="N277" s="374"/>
      <c r="O277" s="374"/>
      <c r="P277" s="374"/>
      <c r="Q277" s="374"/>
      <c r="R277" s="374"/>
      <c r="S277" s="374"/>
      <c r="T277" s="374"/>
      <c r="U277" s="374"/>
      <c r="V277" s="374"/>
      <c r="W277" s="374"/>
      <c r="X277" s="374"/>
      <c r="Y277" s="65"/>
      <c r="Z277" s="65"/>
    </row>
    <row r="278" ht="15.75" customHeight="1">
      <c r="A278" s="376" t="s">
        <v>360</v>
      </c>
      <c r="B278" s="376" t="s">
        <v>3135</v>
      </c>
      <c r="C278" s="376" t="s">
        <v>3136</v>
      </c>
      <c r="D278" s="374"/>
      <c r="E278" s="374"/>
      <c r="F278" s="374"/>
      <c r="I278" s="374"/>
      <c r="J278" s="374"/>
      <c r="K278" s="65"/>
      <c r="L278" s="374"/>
      <c r="M278" s="65"/>
      <c r="N278" s="374"/>
      <c r="O278" s="374"/>
      <c r="P278" s="374"/>
      <c r="Q278" s="374"/>
      <c r="R278" s="374"/>
      <c r="S278" s="374"/>
      <c r="T278" s="374"/>
      <c r="U278" s="374"/>
      <c r="V278" s="374"/>
      <c r="W278" s="374"/>
      <c r="X278" s="374"/>
      <c r="Y278" s="65"/>
      <c r="Z278" s="65"/>
    </row>
    <row r="279" ht="15.75" customHeight="1">
      <c r="A279" s="376" t="s">
        <v>360</v>
      </c>
      <c r="B279" s="376" t="s">
        <v>3137</v>
      </c>
      <c r="C279" s="376" t="s">
        <v>3138</v>
      </c>
      <c r="D279" s="374"/>
      <c r="E279" s="374"/>
      <c r="F279" s="374"/>
      <c r="I279" s="374"/>
      <c r="J279" s="374"/>
      <c r="K279" s="65"/>
      <c r="L279" s="374"/>
      <c r="M279" s="65"/>
      <c r="N279" s="374"/>
      <c r="O279" s="374"/>
      <c r="P279" s="374"/>
      <c r="Q279" s="374"/>
      <c r="R279" s="374"/>
      <c r="S279" s="374"/>
      <c r="T279" s="374"/>
      <c r="U279" s="374"/>
      <c r="V279" s="374"/>
      <c r="W279" s="374"/>
      <c r="X279" s="374"/>
      <c r="Y279" s="65"/>
      <c r="Z279" s="65"/>
    </row>
    <row r="280" ht="15.75" customHeight="1">
      <c r="A280" s="376" t="s">
        <v>363</v>
      </c>
      <c r="B280" s="376" t="s">
        <v>3139</v>
      </c>
      <c r="C280" s="376" t="s">
        <v>3140</v>
      </c>
      <c r="D280" s="374"/>
      <c r="E280" s="374"/>
      <c r="F280" s="374"/>
      <c r="I280" s="374"/>
      <c r="J280" s="374"/>
      <c r="K280" s="65"/>
      <c r="L280" s="374"/>
      <c r="M280" s="65"/>
      <c r="N280" s="374"/>
      <c r="O280" s="374"/>
      <c r="P280" s="374"/>
      <c r="Q280" s="374"/>
      <c r="R280" s="374"/>
      <c r="S280" s="374"/>
      <c r="T280" s="374"/>
      <c r="U280" s="374"/>
      <c r="V280" s="374"/>
      <c r="W280" s="374"/>
      <c r="X280" s="374"/>
      <c r="Y280" s="65"/>
      <c r="Z280" s="65"/>
    </row>
    <row r="281" ht="15.75" customHeight="1">
      <c r="A281" s="376" t="s">
        <v>363</v>
      </c>
      <c r="B281" s="376" t="s">
        <v>3141</v>
      </c>
      <c r="C281" s="376" t="s">
        <v>3142</v>
      </c>
      <c r="D281" s="374"/>
      <c r="E281" s="374"/>
      <c r="F281" s="374"/>
      <c r="I281" s="374"/>
      <c r="J281" s="374"/>
      <c r="K281" s="65"/>
      <c r="L281" s="374"/>
      <c r="M281" s="65"/>
      <c r="N281" s="374"/>
      <c r="O281" s="374"/>
      <c r="P281" s="374"/>
      <c r="Q281" s="374"/>
      <c r="R281" s="374"/>
      <c r="S281" s="374"/>
      <c r="T281" s="374"/>
      <c r="U281" s="374"/>
      <c r="V281" s="374"/>
      <c r="W281" s="374"/>
      <c r="X281" s="374"/>
      <c r="Y281" s="65"/>
      <c r="Z281" s="65"/>
    </row>
    <row r="282" ht="15.75" customHeight="1">
      <c r="A282" s="377" t="s">
        <v>366</v>
      </c>
      <c r="B282" s="374" t="s">
        <v>2867</v>
      </c>
      <c r="C282" s="374" t="s">
        <v>2868</v>
      </c>
      <c r="D282" s="374"/>
      <c r="E282" s="374"/>
      <c r="F282" s="374"/>
      <c r="I282" s="374"/>
      <c r="J282" s="374"/>
      <c r="K282" s="65"/>
      <c r="L282" s="374"/>
      <c r="M282" s="65"/>
      <c r="N282" s="374"/>
      <c r="O282" s="374"/>
      <c r="P282" s="374"/>
      <c r="Q282" s="374"/>
      <c r="R282" s="374"/>
      <c r="S282" s="374"/>
      <c r="T282" s="374"/>
      <c r="U282" s="374"/>
      <c r="V282" s="374"/>
      <c r="W282" s="374"/>
      <c r="X282" s="374"/>
      <c r="Y282" s="65"/>
      <c r="Z282" s="65"/>
    </row>
    <row r="283" ht="15.75" customHeight="1">
      <c r="A283" s="376" t="s">
        <v>372</v>
      </c>
      <c r="B283" s="376" t="s">
        <v>2817</v>
      </c>
      <c r="C283" s="376" t="s">
        <v>1647</v>
      </c>
      <c r="D283" s="374"/>
      <c r="E283" s="374"/>
      <c r="F283" s="374"/>
      <c r="I283" s="374"/>
      <c r="J283" s="374"/>
      <c r="K283" s="65"/>
      <c r="L283" s="374"/>
      <c r="M283" s="65"/>
      <c r="N283" s="374"/>
      <c r="O283" s="374"/>
      <c r="P283" s="374"/>
      <c r="Q283" s="374"/>
      <c r="R283" s="374"/>
      <c r="S283" s="374"/>
      <c r="T283" s="374"/>
      <c r="U283" s="374"/>
      <c r="V283" s="374"/>
      <c r="W283" s="374"/>
      <c r="X283" s="374"/>
      <c r="Y283" s="65"/>
      <c r="Z283" s="65"/>
    </row>
    <row r="284" ht="15.75" customHeight="1">
      <c r="A284" s="376" t="s">
        <v>372</v>
      </c>
      <c r="B284" s="376" t="s">
        <v>2791</v>
      </c>
      <c r="C284" s="376" t="s">
        <v>1639</v>
      </c>
      <c r="D284" s="374"/>
      <c r="E284" s="374"/>
      <c r="F284" s="374"/>
      <c r="I284" s="374"/>
      <c r="J284" s="374"/>
      <c r="K284" s="65"/>
      <c r="L284" s="374"/>
      <c r="M284" s="65"/>
      <c r="N284" s="374"/>
      <c r="O284" s="374"/>
      <c r="P284" s="374"/>
      <c r="Q284" s="374"/>
      <c r="R284" s="374"/>
      <c r="S284" s="374"/>
      <c r="T284" s="374"/>
      <c r="U284" s="374"/>
      <c r="V284" s="374"/>
      <c r="W284" s="374"/>
      <c r="X284" s="374"/>
      <c r="Y284" s="65"/>
      <c r="Z284" s="65"/>
    </row>
    <row r="285" ht="15.75" customHeight="1">
      <c r="A285" s="376" t="s">
        <v>372</v>
      </c>
      <c r="B285" s="376" t="s">
        <v>2794</v>
      </c>
      <c r="C285" s="376" t="s">
        <v>1642</v>
      </c>
      <c r="D285" s="374"/>
      <c r="E285" s="374"/>
      <c r="F285" s="374"/>
      <c r="I285" s="374"/>
      <c r="J285" s="374"/>
      <c r="K285" s="65"/>
      <c r="L285" s="374"/>
      <c r="M285" s="65"/>
      <c r="N285" s="374"/>
      <c r="O285" s="374"/>
      <c r="P285" s="374"/>
      <c r="Q285" s="374"/>
      <c r="R285" s="374"/>
      <c r="S285" s="374"/>
      <c r="T285" s="374"/>
      <c r="U285" s="374"/>
      <c r="V285" s="374"/>
      <c r="W285" s="374"/>
      <c r="X285" s="374"/>
      <c r="Y285" s="65"/>
      <c r="Z285" s="65"/>
    </row>
    <row r="286" ht="15.75" customHeight="1">
      <c r="A286" s="376" t="s">
        <v>372</v>
      </c>
      <c r="B286" s="376" t="s">
        <v>2796</v>
      </c>
      <c r="C286" s="376" t="s">
        <v>1650</v>
      </c>
      <c r="D286" s="374"/>
      <c r="E286" s="374"/>
      <c r="F286" s="374"/>
      <c r="I286" s="374"/>
      <c r="J286" s="374"/>
      <c r="K286" s="65"/>
      <c r="L286" s="374"/>
      <c r="M286" s="65"/>
      <c r="N286" s="374"/>
      <c r="O286" s="374"/>
      <c r="P286" s="374"/>
      <c r="Q286" s="374"/>
      <c r="R286" s="374"/>
      <c r="S286" s="374"/>
      <c r="T286" s="374"/>
      <c r="U286" s="374"/>
      <c r="V286" s="374"/>
      <c r="W286" s="374"/>
      <c r="X286" s="374"/>
      <c r="Y286" s="65"/>
      <c r="Z286" s="65"/>
    </row>
    <row r="287" ht="15.75" customHeight="1">
      <c r="A287" s="376" t="s">
        <v>372</v>
      </c>
      <c r="B287" s="376" t="s">
        <v>3101</v>
      </c>
      <c r="C287" s="376" t="s">
        <v>3102</v>
      </c>
      <c r="D287" s="374"/>
      <c r="E287" s="374"/>
      <c r="F287" s="374"/>
      <c r="I287" s="374"/>
      <c r="J287" s="374"/>
      <c r="K287" s="65"/>
      <c r="L287" s="374"/>
      <c r="M287" s="65"/>
      <c r="N287" s="374"/>
      <c r="O287" s="374"/>
      <c r="P287" s="374"/>
      <c r="Q287" s="374"/>
      <c r="R287" s="374"/>
      <c r="S287" s="374"/>
      <c r="T287" s="374"/>
      <c r="U287" s="374"/>
      <c r="V287" s="374"/>
      <c r="W287" s="374"/>
      <c r="X287" s="374"/>
      <c r="Y287" s="65"/>
      <c r="Z287" s="65"/>
    </row>
    <row r="288" ht="15.75" customHeight="1">
      <c r="A288" s="376" t="s">
        <v>372</v>
      </c>
      <c r="B288" s="376" t="s">
        <v>2958</v>
      </c>
      <c r="C288" s="376" t="s">
        <v>2959</v>
      </c>
      <c r="D288" s="374"/>
      <c r="E288" s="374"/>
      <c r="F288" s="374"/>
      <c r="I288" s="374"/>
      <c r="J288" s="374"/>
      <c r="K288" s="65"/>
      <c r="L288" s="374"/>
      <c r="M288" s="65"/>
      <c r="N288" s="374"/>
      <c r="O288" s="374"/>
      <c r="P288" s="374"/>
      <c r="Q288" s="374"/>
      <c r="R288" s="374"/>
      <c r="S288" s="374"/>
      <c r="T288" s="374"/>
      <c r="U288" s="374"/>
      <c r="V288" s="374"/>
      <c r="W288" s="374"/>
      <c r="X288" s="374"/>
      <c r="Y288" s="65"/>
      <c r="Z288" s="65"/>
    </row>
    <row r="289" ht="15.75" customHeight="1">
      <c r="A289" s="376" t="s">
        <v>372</v>
      </c>
      <c r="B289" s="376" t="s">
        <v>2958</v>
      </c>
      <c r="C289" s="376" t="s">
        <v>2959</v>
      </c>
      <c r="D289" s="374"/>
      <c r="E289" s="374"/>
      <c r="F289" s="374"/>
      <c r="I289" s="374"/>
      <c r="J289" s="374"/>
      <c r="K289" s="65"/>
      <c r="L289" s="374"/>
      <c r="M289" s="65"/>
      <c r="N289" s="374"/>
      <c r="O289" s="374"/>
      <c r="P289" s="374"/>
      <c r="Q289" s="374"/>
      <c r="R289" s="374"/>
      <c r="S289" s="374"/>
      <c r="T289" s="374"/>
      <c r="U289" s="374"/>
      <c r="V289" s="374"/>
      <c r="W289" s="374"/>
      <c r="X289" s="374"/>
      <c r="Y289" s="65"/>
      <c r="Z289" s="65"/>
    </row>
    <row r="290" ht="15.75" customHeight="1">
      <c r="A290" s="376" t="s">
        <v>372</v>
      </c>
      <c r="B290" s="376" t="s">
        <v>2960</v>
      </c>
      <c r="C290" s="376" t="s">
        <v>2961</v>
      </c>
      <c r="D290" s="374"/>
      <c r="E290" s="374"/>
      <c r="F290" s="374"/>
      <c r="I290" s="374"/>
      <c r="J290" s="374"/>
      <c r="K290" s="65"/>
      <c r="L290" s="374"/>
      <c r="M290" s="65"/>
      <c r="N290" s="374"/>
      <c r="O290" s="374"/>
      <c r="P290" s="374"/>
      <c r="Q290" s="374"/>
      <c r="R290" s="374"/>
      <c r="S290" s="374"/>
      <c r="T290" s="374"/>
      <c r="U290" s="374"/>
      <c r="V290" s="374"/>
      <c r="W290" s="374"/>
      <c r="X290" s="374"/>
      <c r="Y290" s="65"/>
      <c r="Z290" s="65"/>
    </row>
    <row r="291" ht="15.75" customHeight="1">
      <c r="A291" s="377" t="s">
        <v>372</v>
      </c>
      <c r="B291" s="374" t="s">
        <v>3143</v>
      </c>
      <c r="C291" s="374" t="s">
        <v>3144</v>
      </c>
      <c r="D291" s="374"/>
      <c r="E291" s="374"/>
      <c r="F291" s="374"/>
      <c r="I291" s="374"/>
      <c r="J291" s="374"/>
      <c r="K291" s="65"/>
      <c r="L291" s="374"/>
      <c r="M291" s="65"/>
      <c r="N291" s="374"/>
      <c r="O291" s="374"/>
      <c r="P291" s="374"/>
      <c r="Q291" s="374"/>
      <c r="R291" s="374"/>
      <c r="S291" s="374"/>
      <c r="T291" s="374"/>
      <c r="U291" s="374"/>
      <c r="V291" s="374"/>
      <c r="W291" s="374"/>
      <c r="X291" s="374"/>
      <c r="Y291" s="65"/>
      <c r="Z291" s="65"/>
    </row>
    <row r="292" ht="15.75" customHeight="1">
      <c r="A292" s="376" t="s">
        <v>372</v>
      </c>
      <c r="B292" s="376" t="s">
        <v>2789</v>
      </c>
      <c r="C292" s="376" t="s">
        <v>1637</v>
      </c>
      <c r="D292" s="374"/>
      <c r="E292" s="374"/>
      <c r="F292" s="374"/>
      <c r="I292" s="374"/>
      <c r="J292" s="374"/>
      <c r="K292" s="65"/>
      <c r="L292" s="374"/>
      <c r="M292" s="65"/>
      <c r="N292" s="374"/>
      <c r="O292" s="374"/>
      <c r="P292" s="374"/>
      <c r="Q292" s="374"/>
      <c r="R292" s="374"/>
      <c r="S292" s="374"/>
      <c r="T292" s="374"/>
      <c r="U292" s="374"/>
      <c r="V292" s="374"/>
      <c r="W292" s="374"/>
      <c r="X292" s="374"/>
      <c r="Y292" s="65"/>
      <c r="Z292" s="65"/>
    </row>
    <row r="293" ht="15.75" customHeight="1">
      <c r="A293" s="377" t="s">
        <v>372</v>
      </c>
      <c r="B293" s="374" t="s">
        <v>3046</v>
      </c>
      <c r="C293" s="374" t="s">
        <v>3047</v>
      </c>
      <c r="D293" s="374"/>
      <c r="E293" s="374"/>
      <c r="F293" s="374"/>
      <c r="I293" s="374"/>
      <c r="J293" s="374"/>
      <c r="K293" s="65"/>
      <c r="L293" s="374"/>
      <c r="M293" s="65"/>
      <c r="N293" s="374"/>
      <c r="O293" s="374"/>
      <c r="P293" s="374"/>
      <c r="Q293" s="374"/>
      <c r="R293" s="374"/>
      <c r="S293" s="374"/>
      <c r="T293" s="374"/>
      <c r="U293" s="374"/>
      <c r="V293" s="374"/>
      <c r="W293" s="374"/>
      <c r="X293" s="374"/>
      <c r="Y293" s="65"/>
      <c r="Z293" s="65"/>
    </row>
    <row r="294" ht="15.75" customHeight="1">
      <c r="A294" s="376" t="s">
        <v>372</v>
      </c>
      <c r="B294" s="376" t="s">
        <v>3145</v>
      </c>
      <c r="C294" s="376" t="s">
        <v>3146</v>
      </c>
      <c r="D294" s="374"/>
      <c r="E294" s="374"/>
      <c r="F294" s="374"/>
      <c r="I294" s="374"/>
      <c r="J294" s="374"/>
      <c r="K294" s="65"/>
      <c r="L294" s="374"/>
      <c r="M294" s="65"/>
      <c r="N294" s="374"/>
      <c r="O294" s="374"/>
      <c r="P294" s="374"/>
      <c r="Q294" s="374"/>
      <c r="R294" s="374"/>
      <c r="S294" s="374"/>
      <c r="T294" s="374"/>
      <c r="U294" s="374"/>
      <c r="V294" s="374"/>
      <c r="W294" s="374"/>
      <c r="X294" s="374"/>
      <c r="Y294" s="65"/>
      <c r="Z294" s="65"/>
    </row>
    <row r="295" ht="15.75" customHeight="1">
      <c r="A295" s="376" t="s">
        <v>372</v>
      </c>
      <c r="B295" s="376" t="s">
        <v>3000</v>
      </c>
      <c r="C295" s="376" t="s">
        <v>3001</v>
      </c>
      <c r="D295" s="374"/>
      <c r="E295" s="374"/>
      <c r="F295" s="374"/>
      <c r="I295" s="374"/>
      <c r="J295" s="374"/>
      <c r="K295" s="65"/>
      <c r="L295" s="374"/>
      <c r="M295" s="65"/>
      <c r="N295" s="374"/>
      <c r="O295" s="374"/>
      <c r="P295" s="374"/>
      <c r="Q295" s="374"/>
      <c r="R295" s="374"/>
      <c r="S295" s="374"/>
      <c r="T295" s="374"/>
      <c r="U295" s="374"/>
      <c r="V295" s="374"/>
      <c r="W295" s="374"/>
      <c r="X295" s="374"/>
      <c r="Y295" s="65"/>
      <c r="Z295" s="65"/>
    </row>
    <row r="296" ht="15.75" customHeight="1">
      <c r="A296" s="377" t="s">
        <v>372</v>
      </c>
      <c r="B296" s="374" t="s">
        <v>3147</v>
      </c>
      <c r="C296" s="374" t="s">
        <v>3148</v>
      </c>
      <c r="D296" s="374"/>
      <c r="E296" s="374"/>
      <c r="F296" s="374"/>
      <c r="I296" s="374"/>
      <c r="J296" s="374"/>
      <c r="K296" s="65"/>
      <c r="L296" s="374"/>
      <c r="M296" s="65"/>
      <c r="N296" s="374"/>
      <c r="O296" s="374"/>
      <c r="P296" s="374"/>
      <c r="Q296" s="374"/>
      <c r="R296" s="374"/>
      <c r="S296" s="374"/>
      <c r="T296" s="374"/>
      <c r="U296" s="374"/>
      <c r="V296" s="374"/>
      <c r="W296" s="374"/>
      <c r="X296" s="374"/>
      <c r="Y296" s="65"/>
      <c r="Z296" s="65"/>
    </row>
    <row r="297" ht="15.75" customHeight="1">
      <c r="A297" s="376" t="s">
        <v>372</v>
      </c>
      <c r="B297" s="376" t="s">
        <v>3149</v>
      </c>
      <c r="C297" s="376" t="s">
        <v>3150</v>
      </c>
      <c r="D297" s="374"/>
      <c r="E297" s="374"/>
      <c r="F297" s="374"/>
      <c r="I297" s="374"/>
      <c r="J297" s="374"/>
      <c r="K297" s="65"/>
      <c r="L297" s="374"/>
      <c r="M297" s="65"/>
      <c r="N297" s="374"/>
      <c r="O297" s="374"/>
      <c r="P297" s="374"/>
      <c r="Q297" s="374"/>
      <c r="R297" s="374"/>
      <c r="S297" s="374"/>
      <c r="T297" s="374"/>
      <c r="U297" s="374"/>
      <c r="V297" s="374"/>
      <c r="W297" s="374"/>
      <c r="X297" s="374"/>
      <c r="Y297" s="65"/>
      <c r="Z297" s="65"/>
    </row>
    <row r="298" ht="15.75" customHeight="1">
      <c r="A298" s="376" t="s">
        <v>372</v>
      </c>
      <c r="B298" s="376" t="s">
        <v>3151</v>
      </c>
      <c r="C298" s="376" t="s">
        <v>3152</v>
      </c>
      <c r="D298" s="374"/>
      <c r="E298" s="374"/>
      <c r="F298" s="374"/>
      <c r="I298" s="374"/>
      <c r="J298" s="374"/>
      <c r="K298" s="65"/>
      <c r="L298" s="374"/>
      <c r="M298" s="65"/>
      <c r="N298" s="374"/>
      <c r="O298" s="374"/>
      <c r="P298" s="374"/>
      <c r="Q298" s="374"/>
      <c r="R298" s="374"/>
      <c r="S298" s="374"/>
      <c r="T298" s="374"/>
      <c r="U298" s="374"/>
      <c r="V298" s="374"/>
      <c r="W298" s="374"/>
      <c r="X298" s="374"/>
      <c r="Y298" s="65"/>
      <c r="Z298" s="65"/>
    </row>
    <row r="299" ht="15.75" customHeight="1">
      <c r="A299" s="376" t="s">
        <v>372</v>
      </c>
      <c r="B299" s="376" t="s">
        <v>3153</v>
      </c>
      <c r="C299" s="376" t="s">
        <v>3154</v>
      </c>
      <c r="D299" s="374"/>
      <c r="E299" s="374"/>
      <c r="F299" s="374"/>
      <c r="I299" s="374"/>
      <c r="J299" s="374"/>
      <c r="K299" s="65"/>
      <c r="L299" s="374"/>
      <c r="M299" s="65"/>
      <c r="N299" s="374"/>
      <c r="O299" s="374"/>
      <c r="P299" s="374"/>
      <c r="Q299" s="374"/>
      <c r="R299" s="374"/>
      <c r="S299" s="374"/>
      <c r="T299" s="374"/>
      <c r="U299" s="374"/>
      <c r="V299" s="374"/>
      <c r="W299" s="374"/>
      <c r="X299" s="374"/>
      <c r="Y299" s="65"/>
      <c r="Z299" s="65"/>
    </row>
    <row r="300" ht="15.75" customHeight="1">
      <c r="A300" s="376" t="s">
        <v>372</v>
      </c>
      <c r="B300" s="376" t="s">
        <v>3056</v>
      </c>
      <c r="C300" s="376" t="s">
        <v>3057</v>
      </c>
      <c r="D300" s="374"/>
      <c r="E300" s="374"/>
      <c r="F300" s="374"/>
      <c r="I300" s="374"/>
      <c r="J300" s="374"/>
      <c r="K300" s="65"/>
      <c r="L300" s="374"/>
      <c r="M300" s="65"/>
      <c r="N300" s="374"/>
      <c r="O300" s="374"/>
      <c r="P300" s="374"/>
      <c r="Q300" s="374"/>
      <c r="R300" s="374"/>
      <c r="S300" s="374"/>
      <c r="T300" s="374"/>
      <c r="U300" s="374"/>
      <c r="V300" s="374"/>
      <c r="W300" s="374"/>
      <c r="X300" s="374"/>
      <c r="Y300" s="65"/>
      <c r="Z300" s="65"/>
    </row>
    <row r="301" ht="15.75" customHeight="1">
      <c r="A301" s="376" t="s">
        <v>372</v>
      </c>
      <c r="B301" s="376" t="s">
        <v>3155</v>
      </c>
      <c r="C301" s="376" t="s">
        <v>3156</v>
      </c>
      <c r="D301" s="374"/>
      <c r="E301" s="374"/>
      <c r="F301" s="374"/>
      <c r="I301" s="374"/>
      <c r="J301" s="374"/>
      <c r="K301" s="65"/>
      <c r="L301" s="374"/>
      <c r="M301" s="65"/>
      <c r="N301" s="374"/>
      <c r="O301" s="374"/>
      <c r="P301" s="374"/>
      <c r="Q301" s="374"/>
      <c r="R301" s="374"/>
      <c r="S301" s="374"/>
      <c r="T301" s="374"/>
      <c r="U301" s="374"/>
      <c r="V301" s="374"/>
      <c r="W301" s="374"/>
      <c r="X301" s="374"/>
      <c r="Y301" s="65"/>
      <c r="Z301" s="65"/>
    </row>
    <row r="302" ht="15.75" customHeight="1">
      <c r="A302" s="376" t="s">
        <v>372</v>
      </c>
      <c r="B302" s="376" t="s">
        <v>3155</v>
      </c>
      <c r="C302" s="376" t="s">
        <v>3156</v>
      </c>
      <c r="D302" s="374"/>
      <c r="E302" s="374"/>
      <c r="F302" s="374"/>
      <c r="I302" s="374"/>
      <c r="J302" s="374"/>
      <c r="K302" s="65"/>
      <c r="L302" s="374"/>
      <c r="M302" s="65"/>
      <c r="N302" s="374"/>
      <c r="O302" s="374"/>
      <c r="P302" s="374"/>
      <c r="Q302" s="374"/>
      <c r="R302" s="374"/>
      <c r="S302" s="374"/>
      <c r="T302" s="374"/>
      <c r="U302" s="374"/>
      <c r="V302" s="374"/>
      <c r="W302" s="374"/>
      <c r="X302" s="374"/>
      <c r="Y302" s="65"/>
      <c r="Z302" s="65"/>
    </row>
    <row r="303" ht="15.75" customHeight="1">
      <c r="A303" s="376" t="s">
        <v>372</v>
      </c>
      <c r="B303" s="376" t="s">
        <v>3157</v>
      </c>
      <c r="C303" s="376" t="s">
        <v>3158</v>
      </c>
      <c r="D303" s="374"/>
      <c r="E303" s="374"/>
      <c r="F303" s="374"/>
      <c r="I303" s="374"/>
      <c r="J303" s="374"/>
      <c r="K303" s="65"/>
      <c r="L303" s="374"/>
      <c r="M303" s="65"/>
      <c r="N303" s="374"/>
      <c r="O303" s="374"/>
      <c r="P303" s="374"/>
      <c r="Q303" s="374"/>
      <c r="R303" s="374"/>
      <c r="S303" s="374"/>
      <c r="T303" s="374"/>
      <c r="U303" s="374"/>
      <c r="V303" s="374"/>
      <c r="W303" s="374"/>
      <c r="X303" s="374"/>
      <c r="Y303" s="65"/>
      <c r="Z303" s="65"/>
    </row>
    <row r="304" ht="15.75" customHeight="1">
      <c r="A304" s="376" t="s">
        <v>372</v>
      </c>
      <c r="B304" s="376" t="s">
        <v>3157</v>
      </c>
      <c r="C304" s="376" t="s">
        <v>3158</v>
      </c>
      <c r="D304" s="374"/>
      <c r="E304" s="374"/>
      <c r="F304" s="374"/>
      <c r="I304" s="374"/>
      <c r="J304" s="374"/>
      <c r="K304" s="65"/>
      <c r="L304" s="374"/>
      <c r="M304" s="65"/>
      <c r="N304" s="374"/>
      <c r="O304" s="374"/>
      <c r="P304" s="374"/>
      <c r="Q304" s="374"/>
      <c r="R304" s="374"/>
      <c r="S304" s="374"/>
      <c r="T304" s="374"/>
      <c r="U304" s="374"/>
      <c r="V304" s="374"/>
      <c r="W304" s="374"/>
      <c r="X304" s="374"/>
      <c r="Y304" s="65"/>
      <c r="Z304" s="65"/>
    </row>
    <row r="305" ht="15.75" customHeight="1">
      <c r="A305" s="376" t="s">
        <v>372</v>
      </c>
      <c r="B305" s="376" t="s">
        <v>3159</v>
      </c>
      <c r="C305" s="376" t="s">
        <v>3160</v>
      </c>
      <c r="D305" s="374"/>
      <c r="E305" s="374"/>
      <c r="F305" s="374"/>
      <c r="I305" s="374"/>
      <c r="J305" s="374"/>
      <c r="K305" s="65"/>
      <c r="L305" s="374"/>
      <c r="M305" s="65"/>
      <c r="N305" s="374"/>
      <c r="O305" s="374"/>
      <c r="P305" s="374"/>
      <c r="Q305" s="374"/>
      <c r="R305" s="374"/>
      <c r="S305" s="374"/>
      <c r="T305" s="374"/>
      <c r="U305" s="374"/>
      <c r="V305" s="374"/>
      <c r="W305" s="374"/>
      <c r="X305" s="374"/>
      <c r="Y305" s="65"/>
      <c r="Z305" s="65"/>
    </row>
    <row r="306" ht="15.75" customHeight="1">
      <c r="A306" s="376" t="s">
        <v>372</v>
      </c>
      <c r="B306" s="376" t="s">
        <v>3159</v>
      </c>
      <c r="C306" s="376" t="s">
        <v>3160</v>
      </c>
      <c r="D306" s="374"/>
      <c r="E306" s="374"/>
      <c r="F306" s="374"/>
      <c r="I306" s="374"/>
      <c r="J306" s="374"/>
      <c r="K306" s="65"/>
      <c r="L306" s="374"/>
      <c r="M306" s="65"/>
      <c r="N306" s="374"/>
      <c r="O306" s="374"/>
      <c r="P306" s="374"/>
      <c r="Q306" s="374"/>
      <c r="R306" s="374"/>
      <c r="S306" s="374"/>
      <c r="T306" s="374"/>
      <c r="U306" s="374"/>
      <c r="V306" s="374"/>
      <c r="W306" s="374"/>
      <c r="X306" s="374"/>
      <c r="Y306" s="65"/>
      <c r="Z306" s="65"/>
    </row>
    <row r="307" ht="15.75" customHeight="1">
      <c r="A307" s="376" t="s">
        <v>372</v>
      </c>
      <c r="B307" s="376" t="s">
        <v>3161</v>
      </c>
      <c r="C307" s="376" t="s">
        <v>3162</v>
      </c>
      <c r="D307" s="374"/>
      <c r="E307" s="374"/>
      <c r="F307" s="374"/>
      <c r="I307" s="374"/>
      <c r="J307" s="374"/>
      <c r="K307" s="65"/>
      <c r="L307" s="374"/>
      <c r="M307" s="65"/>
      <c r="N307" s="374"/>
      <c r="O307" s="374"/>
      <c r="P307" s="374"/>
      <c r="Q307" s="374"/>
      <c r="R307" s="374"/>
      <c r="S307" s="374"/>
      <c r="T307" s="374"/>
      <c r="U307" s="374"/>
      <c r="V307" s="374"/>
      <c r="W307" s="374"/>
      <c r="X307" s="374"/>
      <c r="Y307" s="65"/>
      <c r="Z307" s="65"/>
    </row>
    <row r="308" ht="15.75" customHeight="1">
      <c r="A308" s="376" t="s">
        <v>375</v>
      </c>
      <c r="B308" s="376" t="s">
        <v>2791</v>
      </c>
      <c r="C308" s="376" t="s">
        <v>1639</v>
      </c>
      <c r="D308" s="374"/>
      <c r="E308" s="374"/>
      <c r="F308" s="374"/>
      <c r="I308" s="374"/>
      <c r="J308" s="374"/>
      <c r="K308" s="65"/>
      <c r="L308" s="374"/>
      <c r="M308" s="65"/>
      <c r="N308" s="374"/>
      <c r="O308" s="374"/>
      <c r="P308" s="374"/>
      <c r="Q308" s="374"/>
      <c r="R308" s="374"/>
      <c r="S308" s="374"/>
      <c r="T308" s="374"/>
      <c r="U308" s="374"/>
      <c r="V308" s="374"/>
      <c r="W308" s="374"/>
      <c r="X308" s="374"/>
      <c r="Y308" s="65"/>
      <c r="Z308" s="65"/>
    </row>
    <row r="309" ht="15.75" customHeight="1">
      <c r="A309" s="376" t="s">
        <v>375</v>
      </c>
      <c r="B309" s="376" t="s">
        <v>2799</v>
      </c>
      <c r="C309" s="376" t="s">
        <v>1641</v>
      </c>
      <c r="D309" s="374"/>
      <c r="E309" s="374"/>
      <c r="F309" s="374"/>
      <c r="I309" s="374"/>
      <c r="J309" s="374"/>
      <c r="K309" s="65"/>
      <c r="L309" s="374"/>
      <c r="M309" s="65"/>
      <c r="N309" s="374"/>
      <c r="O309" s="374"/>
      <c r="P309" s="374"/>
      <c r="Q309" s="374"/>
      <c r="R309" s="374"/>
      <c r="S309" s="374"/>
      <c r="T309" s="374"/>
      <c r="U309" s="374"/>
      <c r="V309" s="374"/>
      <c r="W309" s="374"/>
      <c r="X309" s="374"/>
      <c r="Y309" s="65"/>
      <c r="Z309" s="65"/>
    </row>
    <row r="310" ht="15.75" customHeight="1">
      <c r="A310" s="376" t="s">
        <v>375</v>
      </c>
      <c r="B310" s="376" t="s">
        <v>2797</v>
      </c>
      <c r="C310" s="376" t="s">
        <v>1640</v>
      </c>
      <c r="D310" s="374"/>
      <c r="E310" s="374"/>
      <c r="F310" s="374"/>
      <c r="I310" s="374"/>
      <c r="J310" s="374"/>
      <c r="K310" s="65"/>
      <c r="L310" s="374"/>
      <c r="M310" s="65"/>
      <c r="N310" s="374"/>
      <c r="O310" s="374"/>
      <c r="P310" s="374"/>
      <c r="Q310" s="374"/>
      <c r="R310" s="374"/>
      <c r="S310" s="374"/>
      <c r="T310" s="374"/>
      <c r="U310" s="374"/>
      <c r="V310" s="374"/>
      <c r="W310" s="374"/>
      <c r="X310" s="374"/>
      <c r="Y310" s="65"/>
      <c r="Z310" s="65"/>
    </row>
    <row r="311" ht="15.75" customHeight="1">
      <c r="A311" s="376" t="s">
        <v>375</v>
      </c>
      <c r="B311" s="376" t="s">
        <v>2808</v>
      </c>
      <c r="C311" s="376" t="s">
        <v>1644</v>
      </c>
      <c r="D311" s="374"/>
      <c r="E311" s="374"/>
      <c r="F311" s="374"/>
      <c r="I311" s="374"/>
      <c r="J311" s="374"/>
      <c r="K311" s="65"/>
      <c r="L311" s="374"/>
      <c r="M311" s="65"/>
      <c r="N311" s="374"/>
      <c r="O311" s="374"/>
      <c r="P311" s="374"/>
      <c r="Q311" s="374"/>
      <c r="R311" s="374"/>
      <c r="S311" s="374"/>
      <c r="T311" s="374"/>
      <c r="U311" s="374"/>
      <c r="V311" s="374"/>
      <c r="W311" s="374"/>
      <c r="X311" s="374"/>
      <c r="Y311" s="65"/>
      <c r="Z311" s="65"/>
    </row>
    <row r="312" ht="15.75" customHeight="1">
      <c r="A312" s="376" t="s">
        <v>375</v>
      </c>
      <c r="B312" s="376" t="s">
        <v>3163</v>
      </c>
      <c r="C312" s="376" t="s">
        <v>3164</v>
      </c>
      <c r="D312" s="374"/>
      <c r="E312" s="374"/>
      <c r="F312" s="374"/>
      <c r="I312" s="374"/>
      <c r="J312" s="374"/>
      <c r="K312" s="65"/>
      <c r="L312" s="374"/>
      <c r="M312" s="65"/>
      <c r="N312" s="374"/>
      <c r="O312" s="374"/>
      <c r="P312" s="374"/>
      <c r="Q312" s="374"/>
      <c r="R312" s="374"/>
      <c r="S312" s="374"/>
      <c r="T312" s="374"/>
      <c r="U312" s="374"/>
      <c r="V312" s="374"/>
      <c r="W312" s="374"/>
      <c r="X312" s="374"/>
      <c r="Y312" s="65"/>
      <c r="Z312" s="65"/>
    </row>
    <row r="313" ht="15.75" customHeight="1">
      <c r="A313" s="376" t="s">
        <v>375</v>
      </c>
      <c r="B313" s="376" t="s">
        <v>3165</v>
      </c>
      <c r="C313" s="376" t="s">
        <v>3166</v>
      </c>
      <c r="D313" s="374"/>
      <c r="E313" s="374"/>
      <c r="F313" s="374"/>
      <c r="I313" s="374"/>
      <c r="J313" s="374"/>
      <c r="K313" s="65"/>
      <c r="L313" s="374"/>
      <c r="M313" s="65"/>
      <c r="N313" s="374"/>
      <c r="O313" s="374"/>
      <c r="P313" s="374"/>
      <c r="Q313" s="374"/>
      <c r="R313" s="374"/>
      <c r="S313" s="374"/>
      <c r="T313" s="374"/>
      <c r="U313" s="374"/>
      <c r="V313" s="374"/>
      <c r="W313" s="374"/>
      <c r="X313" s="374"/>
      <c r="Y313" s="65"/>
      <c r="Z313" s="65"/>
    </row>
    <row r="314" ht="15.75" customHeight="1">
      <c r="A314" s="376" t="s">
        <v>375</v>
      </c>
      <c r="B314" s="376" t="s">
        <v>3000</v>
      </c>
      <c r="C314" s="376" t="s">
        <v>3001</v>
      </c>
      <c r="D314" s="374"/>
      <c r="E314" s="374"/>
      <c r="F314" s="374"/>
      <c r="I314" s="374"/>
      <c r="J314" s="374"/>
      <c r="K314" s="65"/>
      <c r="L314" s="374"/>
      <c r="M314" s="65"/>
      <c r="N314" s="374"/>
      <c r="O314" s="374"/>
      <c r="P314" s="374"/>
      <c r="Q314" s="374"/>
      <c r="R314" s="374"/>
      <c r="S314" s="374"/>
      <c r="T314" s="374"/>
      <c r="U314" s="374"/>
      <c r="V314" s="374"/>
      <c r="W314" s="374"/>
      <c r="X314" s="374"/>
      <c r="Y314" s="65"/>
      <c r="Z314" s="65"/>
    </row>
    <row r="315" ht="15.75" customHeight="1">
      <c r="A315" s="376" t="s">
        <v>375</v>
      </c>
      <c r="B315" s="376" t="s">
        <v>2913</v>
      </c>
      <c r="C315" s="376" t="s">
        <v>2914</v>
      </c>
      <c r="D315" s="374"/>
      <c r="E315" s="374"/>
      <c r="F315" s="374"/>
      <c r="I315" s="374"/>
      <c r="J315" s="374"/>
      <c r="K315" s="65"/>
      <c r="L315" s="374"/>
      <c r="M315" s="65"/>
      <c r="N315" s="374"/>
      <c r="O315" s="374"/>
      <c r="P315" s="374"/>
      <c r="Q315" s="374"/>
      <c r="R315" s="374"/>
      <c r="S315" s="374"/>
      <c r="T315" s="374"/>
      <c r="U315" s="374"/>
      <c r="V315" s="374"/>
      <c r="W315" s="374"/>
      <c r="X315" s="374"/>
      <c r="Y315" s="65"/>
      <c r="Z315" s="65"/>
    </row>
    <row r="316" ht="15.75" customHeight="1">
      <c r="A316" s="376" t="s">
        <v>378</v>
      </c>
      <c r="B316" s="376" t="s">
        <v>2958</v>
      </c>
      <c r="C316" s="376" t="s">
        <v>2959</v>
      </c>
      <c r="D316" s="374"/>
      <c r="E316" s="374"/>
      <c r="F316" s="374"/>
      <c r="I316" s="374"/>
      <c r="J316" s="374"/>
      <c r="K316" s="65"/>
      <c r="L316" s="374"/>
      <c r="M316" s="65"/>
      <c r="N316" s="374"/>
      <c r="O316" s="374"/>
      <c r="P316" s="374"/>
      <c r="Q316" s="374"/>
      <c r="R316" s="374"/>
      <c r="S316" s="374"/>
      <c r="T316" s="374"/>
      <c r="U316" s="374"/>
      <c r="V316" s="374"/>
      <c r="W316" s="374"/>
      <c r="X316" s="374"/>
      <c r="Y316" s="65"/>
      <c r="Z316" s="65"/>
    </row>
    <row r="317" ht="15.75" customHeight="1">
      <c r="A317" s="376" t="s">
        <v>378</v>
      </c>
      <c r="B317" s="376" t="s">
        <v>2958</v>
      </c>
      <c r="C317" s="376" t="s">
        <v>2959</v>
      </c>
      <c r="D317" s="374"/>
      <c r="E317" s="374"/>
      <c r="F317" s="374"/>
      <c r="I317" s="374"/>
      <c r="J317" s="374"/>
      <c r="K317" s="65"/>
      <c r="L317" s="374"/>
      <c r="M317" s="65"/>
      <c r="N317" s="374"/>
      <c r="O317" s="374"/>
      <c r="P317" s="374"/>
      <c r="Q317" s="374"/>
      <c r="R317" s="374"/>
      <c r="S317" s="374"/>
      <c r="T317" s="374"/>
      <c r="U317" s="374"/>
      <c r="V317" s="374"/>
      <c r="W317" s="374"/>
      <c r="X317" s="374"/>
      <c r="Y317" s="65"/>
      <c r="Z317" s="65"/>
    </row>
    <row r="318" ht="15.75" customHeight="1">
      <c r="A318" s="376" t="s">
        <v>378</v>
      </c>
      <c r="B318" s="376" t="s">
        <v>2960</v>
      </c>
      <c r="C318" s="376" t="s">
        <v>2961</v>
      </c>
      <c r="D318" s="374"/>
      <c r="E318" s="374"/>
      <c r="F318" s="374"/>
      <c r="I318" s="374"/>
      <c r="J318" s="374"/>
      <c r="K318" s="65"/>
      <c r="L318" s="374"/>
      <c r="M318" s="65"/>
      <c r="N318" s="374"/>
      <c r="O318" s="374"/>
      <c r="P318" s="374"/>
      <c r="Q318" s="374"/>
      <c r="R318" s="374"/>
      <c r="S318" s="374"/>
      <c r="T318" s="374"/>
      <c r="U318" s="374"/>
      <c r="V318" s="374"/>
      <c r="W318" s="374"/>
      <c r="X318" s="374"/>
      <c r="Y318" s="65"/>
      <c r="Z318" s="65"/>
    </row>
    <row r="319" ht="15.75" customHeight="1">
      <c r="A319" s="377" t="s">
        <v>378</v>
      </c>
      <c r="B319" s="374" t="s">
        <v>2799</v>
      </c>
      <c r="C319" s="374" t="s">
        <v>1641</v>
      </c>
      <c r="D319" s="374"/>
      <c r="E319" s="374"/>
      <c r="F319" s="374"/>
      <c r="I319" s="374"/>
      <c r="J319" s="374"/>
      <c r="K319" s="65"/>
      <c r="L319" s="374"/>
      <c r="M319" s="65"/>
      <c r="N319" s="374"/>
      <c r="O319" s="374"/>
      <c r="P319" s="374"/>
      <c r="Q319" s="374"/>
      <c r="R319" s="374"/>
      <c r="S319" s="374"/>
      <c r="T319" s="374"/>
      <c r="U319" s="374"/>
      <c r="V319" s="374"/>
      <c r="W319" s="374"/>
      <c r="X319" s="374"/>
      <c r="Y319" s="65"/>
      <c r="Z319" s="65"/>
    </row>
    <row r="320" ht="15.75" customHeight="1">
      <c r="A320" s="376" t="s">
        <v>378</v>
      </c>
      <c r="B320" s="376" t="s">
        <v>3074</v>
      </c>
      <c r="C320" s="376" t="s">
        <v>3075</v>
      </c>
      <c r="D320" s="374"/>
      <c r="E320" s="374"/>
      <c r="F320" s="374"/>
      <c r="I320" s="374"/>
      <c r="J320" s="374"/>
      <c r="K320" s="65"/>
      <c r="L320" s="374"/>
      <c r="M320" s="65"/>
      <c r="N320" s="374"/>
      <c r="O320" s="374"/>
      <c r="P320" s="374"/>
      <c r="Q320" s="374"/>
      <c r="R320" s="374"/>
      <c r="S320" s="374"/>
      <c r="T320" s="374"/>
      <c r="U320" s="374"/>
      <c r="V320" s="374"/>
      <c r="W320" s="374"/>
      <c r="X320" s="374"/>
      <c r="Y320" s="65"/>
      <c r="Z320" s="65"/>
    </row>
    <row r="321" ht="15.75" customHeight="1">
      <c r="A321" s="376" t="s">
        <v>378</v>
      </c>
      <c r="B321" s="376" t="s">
        <v>2879</v>
      </c>
      <c r="C321" s="376" t="s">
        <v>2880</v>
      </c>
      <c r="D321" s="374"/>
      <c r="E321" s="374"/>
      <c r="F321" s="374"/>
      <c r="I321" s="374"/>
      <c r="J321" s="374"/>
      <c r="K321" s="65"/>
      <c r="L321" s="374"/>
      <c r="M321" s="65"/>
      <c r="N321" s="374"/>
      <c r="O321" s="374"/>
      <c r="P321" s="374"/>
      <c r="Q321" s="374"/>
      <c r="R321" s="374"/>
      <c r="S321" s="374"/>
      <c r="T321" s="374"/>
      <c r="U321" s="374"/>
      <c r="V321" s="374"/>
      <c r="W321" s="374"/>
      <c r="X321" s="374"/>
      <c r="Y321" s="65"/>
      <c r="Z321" s="65"/>
    </row>
    <row r="322" ht="15.75" customHeight="1">
      <c r="A322" s="376" t="s">
        <v>378</v>
      </c>
      <c r="B322" s="376" t="s">
        <v>2808</v>
      </c>
      <c r="C322" s="376" t="s">
        <v>1644</v>
      </c>
      <c r="D322" s="374"/>
      <c r="E322" s="374"/>
      <c r="F322" s="374"/>
      <c r="I322" s="374"/>
      <c r="J322" s="374"/>
      <c r="K322" s="65"/>
      <c r="L322" s="374"/>
      <c r="M322" s="65"/>
      <c r="N322" s="374"/>
      <c r="O322" s="374"/>
      <c r="P322" s="374"/>
      <c r="Q322" s="374"/>
      <c r="R322" s="374"/>
      <c r="S322" s="374"/>
      <c r="T322" s="374"/>
      <c r="U322" s="374"/>
      <c r="V322" s="374"/>
      <c r="W322" s="374"/>
      <c r="X322" s="374"/>
      <c r="Y322" s="65"/>
      <c r="Z322" s="65"/>
    </row>
    <row r="323" ht="15.75" customHeight="1">
      <c r="A323" s="376" t="s">
        <v>378</v>
      </c>
      <c r="B323" s="376" t="s">
        <v>3167</v>
      </c>
      <c r="C323" s="376" t="s">
        <v>3168</v>
      </c>
      <c r="D323" s="374"/>
      <c r="E323" s="374"/>
      <c r="F323" s="374"/>
      <c r="I323" s="374"/>
      <c r="J323" s="374"/>
      <c r="K323" s="65"/>
      <c r="L323" s="374"/>
      <c r="M323" s="65"/>
      <c r="N323" s="374"/>
      <c r="O323" s="374"/>
      <c r="P323" s="374"/>
      <c r="Q323" s="374"/>
      <c r="R323" s="374"/>
      <c r="S323" s="374"/>
      <c r="T323" s="374"/>
      <c r="U323" s="374"/>
      <c r="V323" s="374"/>
      <c r="W323" s="374"/>
      <c r="X323" s="374"/>
      <c r="Y323" s="65"/>
      <c r="Z323" s="65"/>
    </row>
    <row r="324" ht="15.75" customHeight="1">
      <c r="A324" s="376" t="s">
        <v>378</v>
      </c>
      <c r="B324" s="376" t="s">
        <v>3167</v>
      </c>
      <c r="C324" s="376" t="s">
        <v>3168</v>
      </c>
      <c r="D324" s="374"/>
      <c r="E324" s="374"/>
      <c r="F324" s="374"/>
      <c r="I324" s="374"/>
      <c r="J324" s="374"/>
      <c r="K324" s="65"/>
      <c r="L324" s="374"/>
      <c r="M324" s="65"/>
      <c r="N324" s="374"/>
      <c r="O324" s="374"/>
      <c r="P324" s="374"/>
      <c r="Q324" s="374"/>
      <c r="R324" s="374"/>
      <c r="S324" s="374"/>
      <c r="T324" s="374"/>
      <c r="U324" s="374"/>
      <c r="V324" s="374"/>
      <c r="W324" s="374"/>
      <c r="X324" s="374"/>
      <c r="Y324" s="65"/>
      <c r="Z324" s="65"/>
    </row>
    <row r="325" ht="15.75" customHeight="1">
      <c r="A325" s="377" t="s">
        <v>384</v>
      </c>
      <c r="B325" s="374" t="s">
        <v>2791</v>
      </c>
      <c r="C325" s="374" t="s">
        <v>1639</v>
      </c>
      <c r="D325" s="374"/>
      <c r="E325" s="374"/>
      <c r="F325" s="374"/>
      <c r="I325" s="374"/>
      <c r="J325" s="374"/>
      <c r="K325" s="65"/>
      <c r="L325" s="374"/>
      <c r="M325" s="65"/>
      <c r="N325" s="374"/>
      <c r="O325" s="374"/>
      <c r="P325" s="374"/>
      <c r="Q325" s="374"/>
      <c r="R325" s="374"/>
      <c r="S325" s="374"/>
      <c r="T325" s="374"/>
      <c r="U325" s="374"/>
      <c r="V325" s="374"/>
      <c r="W325" s="374"/>
      <c r="X325" s="374"/>
      <c r="Y325" s="65"/>
      <c r="Z325" s="65"/>
    </row>
    <row r="326" ht="15.75" customHeight="1">
      <c r="A326" s="377" t="s">
        <v>384</v>
      </c>
      <c r="B326" s="374" t="s">
        <v>2794</v>
      </c>
      <c r="C326" s="374" t="s">
        <v>1642</v>
      </c>
      <c r="D326" s="374"/>
      <c r="E326" s="374"/>
      <c r="F326" s="374"/>
      <c r="I326" s="374"/>
      <c r="J326" s="374"/>
      <c r="K326" s="65"/>
      <c r="L326" s="374"/>
      <c r="M326" s="65"/>
      <c r="N326" s="374"/>
      <c r="O326" s="374"/>
      <c r="P326" s="374"/>
      <c r="Q326" s="374"/>
      <c r="R326" s="374"/>
      <c r="S326" s="374"/>
      <c r="T326" s="374"/>
      <c r="U326" s="374"/>
      <c r="V326" s="374"/>
      <c r="W326" s="374"/>
      <c r="X326" s="374"/>
      <c r="Y326" s="65"/>
      <c r="Z326" s="65"/>
    </row>
    <row r="327" ht="15.75" customHeight="1">
      <c r="A327" s="376" t="s">
        <v>384</v>
      </c>
      <c r="B327" s="376" t="s">
        <v>3044</v>
      </c>
      <c r="C327" s="376" t="s">
        <v>3045</v>
      </c>
      <c r="D327" s="374"/>
      <c r="E327" s="374"/>
      <c r="F327" s="374"/>
      <c r="I327" s="374"/>
      <c r="J327" s="374"/>
      <c r="K327" s="65"/>
      <c r="L327" s="374"/>
      <c r="M327" s="65"/>
      <c r="N327" s="374"/>
      <c r="O327" s="374"/>
      <c r="P327" s="374"/>
      <c r="Q327" s="374"/>
      <c r="R327" s="374"/>
      <c r="S327" s="374"/>
      <c r="T327" s="374"/>
      <c r="U327" s="374"/>
      <c r="V327" s="374"/>
      <c r="W327" s="374"/>
      <c r="X327" s="374"/>
      <c r="Y327" s="65"/>
      <c r="Z327" s="65"/>
    </row>
    <row r="328" ht="15.75" customHeight="1">
      <c r="A328" s="376" t="s">
        <v>384</v>
      </c>
      <c r="B328" s="376" t="s">
        <v>3044</v>
      </c>
      <c r="C328" s="376" t="s">
        <v>3045</v>
      </c>
      <c r="D328" s="374"/>
      <c r="E328" s="374"/>
      <c r="F328" s="374"/>
      <c r="I328" s="374"/>
      <c r="J328" s="374"/>
      <c r="K328" s="65"/>
      <c r="L328" s="374"/>
      <c r="M328" s="65"/>
      <c r="N328" s="374"/>
      <c r="O328" s="374"/>
      <c r="P328" s="374"/>
      <c r="Q328" s="374"/>
      <c r="R328" s="374"/>
      <c r="S328" s="374"/>
      <c r="T328" s="374"/>
      <c r="U328" s="374"/>
      <c r="V328" s="374"/>
      <c r="W328" s="374"/>
      <c r="X328" s="374"/>
      <c r="Y328" s="65"/>
      <c r="Z328" s="65"/>
    </row>
    <row r="329" ht="15.75" customHeight="1">
      <c r="A329" s="376" t="s">
        <v>384</v>
      </c>
      <c r="B329" s="376" t="s">
        <v>2951</v>
      </c>
      <c r="C329" s="376" t="s">
        <v>2952</v>
      </c>
      <c r="D329" s="374"/>
      <c r="E329" s="374"/>
      <c r="F329" s="374"/>
      <c r="I329" s="374"/>
      <c r="J329" s="374"/>
      <c r="K329" s="65"/>
      <c r="L329" s="374"/>
      <c r="M329" s="65"/>
      <c r="N329" s="374"/>
      <c r="O329" s="374"/>
      <c r="P329" s="374"/>
      <c r="Q329" s="374"/>
      <c r="R329" s="374"/>
      <c r="S329" s="374"/>
      <c r="T329" s="374"/>
      <c r="U329" s="374"/>
      <c r="V329" s="374"/>
      <c r="W329" s="374"/>
      <c r="X329" s="374"/>
      <c r="Y329" s="65"/>
      <c r="Z329" s="65"/>
    </row>
    <row r="330" ht="15.75" customHeight="1">
      <c r="A330" s="376" t="s">
        <v>384</v>
      </c>
      <c r="B330" s="376" t="s">
        <v>3064</v>
      </c>
      <c r="C330" s="376" t="s">
        <v>3065</v>
      </c>
      <c r="D330" s="374"/>
      <c r="E330" s="374"/>
      <c r="F330" s="374"/>
      <c r="I330" s="374"/>
      <c r="J330" s="374"/>
      <c r="K330" s="65"/>
      <c r="L330" s="374"/>
      <c r="M330" s="65"/>
      <c r="N330" s="374"/>
      <c r="O330" s="374"/>
      <c r="P330" s="374"/>
      <c r="Q330" s="374"/>
      <c r="R330" s="374"/>
      <c r="S330" s="374"/>
      <c r="T330" s="374"/>
      <c r="U330" s="374"/>
      <c r="V330" s="374"/>
      <c r="W330" s="374"/>
      <c r="X330" s="374"/>
      <c r="Y330" s="65"/>
      <c r="Z330" s="65"/>
    </row>
    <row r="331" ht="15.75" customHeight="1">
      <c r="A331" s="376" t="s">
        <v>384</v>
      </c>
      <c r="B331" s="376" t="s">
        <v>3143</v>
      </c>
      <c r="C331" s="376" t="s">
        <v>3144</v>
      </c>
      <c r="D331" s="374"/>
      <c r="E331" s="374"/>
      <c r="F331" s="374"/>
      <c r="I331" s="374"/>
      <c r="J331" s="374"/>
      <c r="K331" s="65"/>
      <c r="L331" s="374"/>
      <c r="M331" s="65"/>
      <c r="N331" s="374"/>
      <c r="O331" s="374"/>
      <c r="P331" s="374"/>
      <c r="Q331" s="374"/>
      <c r="R331" s="374"/>
      <c r="S331" s="374"/>
      <c r="T331" s="374"/>
      <c r="U331" s="374"/>
      <c r="V331" s="374"/>
      <c r="W331" s="374"/>
      <c r="X331" s="374"/>
      <c r="Y331" s="65"/>
      <c r="Z331" s="65"/>
    </row>
    <row r="332" ht="15.75" customHeight="1">
      <c r="A332" s="377" t="s">
        <v>384</v>
      </c>
      <c r="B332" s="374" t="s">
        <v>2797</v>
      </c>
      <c r="C332" s="374" t="s">
        <v>1640</v>
      </c>
      <c r="D332" s="374"/>
      <c r="E332" s="374"/>
      <c r="F332" s="374"/>
      <c r="I332" s="374"/>
      <c r="J332" s="374"/>
      <c r="K332" s="65"/>
      <c r="L332" s="374"/>
      <c r="M332" s="65"/>
      <c r="N332" s="374"/>
      <c r="O332" s="374"/>
      <c r="P332" s="374"/>
      <c r="Q332" s="374"/>
      <c r="R332" s="374"/>
      <c r="S332" s="374"/>
      <c r="T332" s="374"/>
      <c r="U332" s="374"/>
      <c r="V332" s="374"/>
      <c r="W332" s="374"/>
      <c r="X332" s="374"/>
      <c r="Y332" s="65"/>
      <c r="Z332" s="65"/>
    </row>
    <row r="333" ht="15.75" customHeight="1">
      <c r="A333" s="376" t="s">
        <v>384</v>
      </c>
      <c r="B333" s="376" t="s">
        <v>3169</v>
      </c>
      <c r="C333" s="376" t="s">
        <v>3170</v>
      </c>
      <c r="D333" s="374"/>
      <c r="E333" s="374"/>
      <c r="F333" s="374"/>
      <c r="I333" s="374"/>
      <c r="J333" s="374"/>
      <c r="K333" s="65"/>
      <c r="L333" s="374"/>
      <c r="M333" s="65"/>
      <c r="N333" s="374"/>
      <c r="O333" s="374"/>
      <c r="P333" s="374"/>
      <c r="Q333" s="374"/>
      <c r="R333" s="374"/>
      <c r="S333" s="374"/>
      <c r="T333" s="374"/>
      <c r="U333" s="374"/>
      <c r="V333" s="374"/>
      <c r="W333" s="374"/>
      <c r="X333" s="374"/>
      <c r="Y333" s="65"/>
      <c r="Z333" s="65"/>
    </row>
    <row r="334" ht="15.75" customHeight="1">
      <c r="A334" s="376" t="s">
        <v>384</v>
      </c>
      <c r="B334" s="376" t="s">
        <v>3171</v>
      </c>
      <c r="C334" s="376" t="s">
        <v>3172</v>
      </c>
      <c r="D334" s="374"/>
      <c r="E334" s="374"/>
      <c r="F334" s="374"/>
      <c r="I334" s="374"/>
      <c r="J334" s="374"/>
      <c r="K334" s="65"/>
      <c r="L334" s="374"/>
      <c r="M334" s="65"/>
      <c r="N334" s="374"/>
      <c r="O334" s="374"/>
      <c r="P334" s="374"/>
      <c r="Q334" s="374"/>
      <c r="R334" s="374"/>
      <c r="S334" s="374"/>
      <c r="T334" s="374"/>
      <c r="U334" s="374"/>
      <c r="V334" s="374"/>
      <c r="W334" s="374"/>
      <c r="X334" s="374"/>
      <c r="Y334" s="65"/>
      <c r="Z334" s="65"/>
    </row>
    <row r="335" ht="15.75" customHeight="1">
      <c r="A335" s="376" t="s">
        <v>384</v>
      </c>
      <c r="B335" s="376" t="s">
        <v>2808</v>
      </c>
      <c r="C335" s="376" t="s">
        <v>1644</v>
      </c>
      <c r="D335" s="374"/>
      <c r="E335" s="374"/>
      <c r="F335" s="374"/>
      <c r="I335" s="374"/>
      <c r="J335" s="374"/>
      <c r="K335" s="65"/>
      <c r="L335" s="374"/>
      <c r="M335" s="65"/>
      <c r="N335" s="374"/>
      <c r="O335" s="374"/>
      <c r="P335" s="374"/>
      <c r="Q335" s="374"/>
      <c r="R335" s="374"/>
      <c r="S335" s="374"/>
      <c r="T335" s="374"/>
      <c r="U335" s="374"/>
      <c r="V335" s="374"/>
      <c r="W335" s="374"/>
      <c r="X335" s="374"/>
      <c r="Y335" s="65"/>
      <c r="Z335" s="65"/>
    </row>
    <row r="336" ht="15.75" customHeight="1">
      <c r="A336" s="376" t="s">
        <v>384</v>
      </c>
      <c r="B336" s="376" t="s">
        <v>3173</v>
      </c>
      <c r="C336" s="376" t="s">
        <v>3174</v>
      </c>
      <c r="D336" s="374"/>
      <c r="E336" s="374"/>
      <c r="F336" s="374"/>
      <c r="I336" s="374"/>
      <c r="J336" s="374"/>
      <c r="K336" s="65"/>
      <c r="L336" s="374"/>
      <c r="M336" s="65"/>
      <c r="N336" s="374"/>
      <c r="O336" s="374"/>
      <c r="P336" s="374"/>
      <c r="Q336" s="374"/>
      <c r="R336" s="374"/>
      <c r="S336" s="374"/>
      <c r="T336" s="374"/>
      <c r="U336" s="374"/>
      <c r="V336" s="374"/>
      <c r="W336" s="374"/>
      <c r="X336" s="374"/>
      <c r="Y336" s="65"/>
      <c r="Z336" s="65"/>
    </row>
    <row r="337" ht="15.75" customHeight="1">
      <c r="A337" s="376" t="s">
        <v>384</v>
      </c>
      <c r="B337" s="376" t="s">
        <v>3173</v>
      </c>
      <c r="C337" s="376" t="s">
        <v>3174</v>
      </c>
      <c r="D337" s="374"/>
      <c r="E337" s="374"/>
      <c r="F337" s="374"/>
      <c r="I337" s="374"/>
      <c r="J337" s="374"/>
      <c r="K337" s="65"/>
      <c r="L337" s="374"/>
      <c r="M337" s="65"/>
      <c r="N337" s="374"/>
      <c r="O337" s="374"/>
      <c r="P337" s="374"/>
      <c r="Q337" s="374"/>
      <c r="R337" s="374"/>
      <c r="S337" s="374"/>
      <c r="T337" s="374"/>
      <c r="U337" s="374"/>
      <c r="V337" s="374"/>
      <c r="W337" s="374"/>
      <c r="X337" s="374"/>
      <c r="Y337" s="65"/>
      <c r="Z337" s="65"/>
    </row>
    <row r="338" ht="15.75" customHeight="1">
      <c r="A338" s="376" t="s">
        <v>384</v>
      </c>
      <c r="B338" s="376" t="s">
        <v>3173</v>
      </c>
      <c r="C338" s="376" t="s">
        <v>3174</v>
      </c>
      <c r="D338" s="374"/>
      <c r="E338" s="374"/>
      <c r="F338" s="374"/>
      <c r="I338" s="374"/>
      <c r="J338" s="374"/>
      <c r="K338" s="65"/>
      <c r="L338" s="374"/>
      <c r="M338" s="65"/>
      <c r="N338" s="374"/>
      <c r="O338" s="374"/>
      <c r="P338" s="374"/>
      <c r="Q338" s="374"/>
      <c r="R338" s="374"/>
      <c r="S338" s="374"/>
      <c r="T338" s="374"/>
      <c r="U338" s="374"/>
      <c r="V338" s="374"/>
      <c r="W338" s="374"/>
      <c r="X338" s="374"/>
      <c r="Y338" s="65"/>
      <c r="Z338" s="65"/>
    </row>
    <row r="339" ht="15.75" customHeight="1">
      <c r="A339" s="376" t="s">
        <v>384</v>
      </c>
      <c r="B339" s="376" t="s">
        <v>3175</v>
      </c>
      <c r="C339" s="376" t="s">
        <v>3176</v>
      </c>
      <c r="D339" s="374"/>
      <c r="E339" s="374"/>
      <c r="F339" s="374"/>
      <c r="I339" s="374"/>
      <c r="J339" s="374"/>
      <c r="K339" s="65"/>
      <c r="L339" s="374"/>
      <c r="M339" s="65"/>
      <c r="N339" s="374"/>
      <c r="O339" s="374"/>
      <c r="P339" s="374"/>
      <c r="Q339" s="374"/>
      <c r="R339" s="374"/>
      <c r="S339" s="374"/>
      <c r="T339" s="374"/>
      <c r="U339" s="374"/>
      <c r="V339" s="374"/>
      <c r="W339" s="374"/>
      <c r="X339" s="374"/>
      <c r="Y339" s="65"/>
      <c r="Z339" s="65"/>
    </row>
    <row r="340" ht="15.75" customHeight="1">
      <c r="A340" s="376" t="s">
        <v>384</v>
      </c>
      <c r="B340" s="376" t="s">
        <v>3175</v>
      </c>
      <c r="C340" s="376" t="s">
        <v>3176</v>
      </c>
      <c r="D340" s="374" t="s">
        <v>1637</v>
      </c>
      <c r="E340" s="374" t="s">
        <v>2789</v>
      </c>
      <c r="F340" s="374"/>
      <c r="I340" s="374"/>
      <c r="J340" s="374"/>
      <c r="K340" s="65"/>
      <c r="L340" s="374"/>
      <c r="M340" s="65"/>
      <c r="N340" s="374"/>
      <c r="O340" s="374"/>
      <c r="P340" s="374"/>
      <c r="Q340" s="374"/>
      <c r="R340" s="374"/>
      <c r="S340" s="374"/>
      <c r="T340" s="374"/>
      <c r="U340" s="374"/>
      <c r="V340" s="374"/>
      <c r="W340" s="374"/>
      <c r="X340" s="374"/>
      <c r="Y340" s="65"/>
      <c r="Z340" s="65"/>
    </row>
    <row r="341" ht="15.75" customHeight="1">
      <c r="A341" s="376" t="s">
        <v>384</v>
      </c>
      <c r="B341" s="376" t="s">
        <v>3177</v>
      </c>
      <c r="C341" s="376" t="s">
        <v>3178</v>
      </c>
      <c r="D341" s="374"/>
      <c r="E341" s="374"/>
      <c r="F341" s="374"/>
      <c r="I341" s="374"/>
      <c r="J341" s="374"/>
      <c r="K341" s="65"/>
      <c r="L341" s="374"/>
      <c r="M341" s="65"/>
      <c r="N341" s="374"/>
      <c r="O341" s="374"/>
      <c r="P341" s="374"/>
      <c r="Q341" s="374"/>
      <c r="R341" s="374"/>
      <c r="S341" s="374"/>
      <c r="T341" s="374"/>
      <c r="U341" s="374"/>
      <c r="V341" s="374"/>
      <c r="W341" s="374"/>
      <c r="X341" s="374"/>
      <c r="Y341" s="65"/>
      <c r="Z341" s="65"/>
    </row>
    <row r="342" ht="15.75" customHeight="1">
      <c r="A342" s="376" t="s">
        <v>384</v>
      </c>
      <c r="B342" s="376" t="s">
        <v>3179</v>
      </c>
      <c r="C342" s="376" t="s">
        <v>3180</v>
      </c>
      <c r="D342" s="374"/>
      <c r="E342" s="374"/>
      <c r="F342" s="374"/>
      <c r="I342" s="374"/>
      <c r="J342" s="374"/>
      <c r="K342" s="65"/>
      <c r="L342" s="374"/>
      <c r="M342" s="65"/>
      <c r="N342" s="374"/>
      <c r="O342" s="374"/>
      <c r="P342" s="374"/>
      <c r="Q342" s="374"/>
      <c r="R342" s="374"/>
      <c r="S342" s="374"/>
      <c r="T342" s="374"/>
      <c r="U342" s="374"/>
      <c r="V342" s="374"/>
      <c r="W342" s="374"/>
      <c r="X342" s="374"/>
      <c r="Y342" s="65"/>
      <c r="Z342" s="65"/>
    </row>
    <row r="343" ht="15.75" customHeight="1">
      <c r="A343" s="376" t="s">
        <v>384</v>
      </c>
      <c r="B343" s="376" t="s">
        <v>3181</v>
      </c>
      <c r="C343" s="376" t="s">
        <v>3182</v>
      </c>
      <c r="D343" s="374"/>
      <c r="E343" s="374"/>
      <c r="F343" s="374"/>
      <c r="I343" s="374"/>
      <c r="J343" s="374"/>
      <c r="K343" s="65"/>
      <c r="L343" s="374"/>
      <c r="M343" s="65"/>
      <c r="N343" s="374"/>
      <c r="O343" s="374"/>
      <c r="P343" s="374"/>
      <c r="Q343" s="374"/>
      <c r="R343" s="374"/>
      <c r="S343" s="374"/>
      <c r="T343" s="374"/>
      <c r="U343" s="374"/>
      <c r="V343" s="374"/>
      <c r="W343" s="374"/>
      <c r="X343" s="374"/>
      <c r="Y343" s="65"/>
      <c r="Z343" s="65"/>
    </row>
    <row r="344" ht="15.75" customHeight="1">
      <c r="A344" s="376" t="s">
        <v>384</v>
      </c>
      <c r="B344" s="376" t="s">
        <v>3183</v>
      </c>
      <c r="C344" s="376" t="s">
        <v>3184</v>
      </c>
      <c r="D344" s="374"/>
      <c r="E344" s="374"/>
      <c r="F344" s="374"/>
      <c r="I344" s="374"/>
      <c r="J344" s="374"/>
      <c r="K344" s="65"/>
      <c r="L344" s="374"/>
      <c r="M344" s="65"/>
      <c r="N344" s="374"/>
      <c r="O344" s="374"/>
      <c r="P344" s="374"/>
      <c r="Q344" s="374"/>
      <c r="R344" s="374"/>
      <c r="S344" s="374"/>
      <c r="T344" s="374"/>
      <c r="U344" s="374"/>
      <c r="V344" s="374"/>
      <c r="W344" s="374"/>
      <c r="X344" s="374"/>
      <c r="Y344" s="65"/>
      <c r="Z344" s="65"/>
    </row>
    <row r="345" ht="15.75" customHeight="1">
      <c r="A345" s="376" t="s">
        <v>384</v>
      </c>
      <c r="B345" s="376" t="s">
        <v>3000</v>
      </c>
      <c r="C345" s="376" t="s">
        <v>3001</v>
      </c>
      <c r="D345" s="374"/>
      <c r="E345" s="374"/>
      <c r="F345" s="374"/>
      <c r="I345" s="374"/>
      <c r="J345" s="374"/>
      <c r="K345" s="65"/>
      <c r="L345" s="374"/>
      <c r="M345" s="65"/>
      <c r="N345" s="374"/>
      <c r="O345" s="374"/>
      <c r="P345" s="374"/>
      <c r="Q345" s="374"/>
      <c r="R345" s="374"/>
      <c r="S345" s="374"/>
      <c r="T345" s="374"/>
      <c r="U345" s="374"/>
      <c r="V345" s="374"/>
      <c r="W345" s="374"/>
      <c r="X345" s="374"/>
      <c r="Y345" s="65"/>
      <c r="Z345" s="65"/>
    </row>
    <row r="346" ht="15.75" customHeight="1">
      <c r="A346" s="376" t="s">
        <v>384</v>
      </c>
      <c r="B346" s="376" t="s">
        <v>3147</v>
      </c>
      <c r="C346" s="376" t="s">
        <v>3148</v>
      </c>
      <c r="D346" s="374"/>
      <c r="E346" s="374"/>
      <c r="F346" s="374"/>
      <c r="I346" s="374"/>
      <c r="J346" s="374"/>
      <c r="K346" s="65"/>
      <c r="L346" s="374"/>
      <c r="M346" s="65"/>
      <c r="N346" s="374"/>
      <c r="O346" s="374"/>
      <c r="P346" s="374"/>
      <c r="Q346" s="374"/>
      <c r="R346" s="374"/>
      <c r="S346" s="374"/>
      <c r="T346" s="374"/>
      <c r="U346" s="374"/>
      <c r="V346" s="374"/>
      <c r="W346" s="374"/>
      <c r="X346" s="374"/>
      <c r="Y346" s="65"/>
      <c r="Z346" s="65"/>
    </row>
    <row r="347" ht="15.75" customHeight="1">
      <c r="A347" s="376" t="s">
        <v>384</v>
      </c>
      <c r="B347" s="376" t="s">
        <v>3149</v>
      </c>
      <c r="C347" s="376" t="s">
        <v>3150</v>
      </c>
      <c r="D347" s="374"/>
      <c r="E347" s="374"/>
      <c r="F347" s="374"/>
      <c r="I347" s="374"/>
      <c r="J347" s="374"/>
      <c r="K347" s="65"/>
      <c r="L347" s="374"/>
      <c r="M347" s="65"/>
      <c r="N347" s="374"/>
      <c r="O347" s="374"/>
      <c r="P347" s="374"/>
      <c r="Q347" s="374"/>
      <c r="R347" s="374"/>
      <c r="S347" s="374"/>
      <c r="T347" s="374"/>
      <c r="U347" s="374"/>
      <c r="V347" s="374"/>
      <c r="W347" s="374"/>
      <c r="X347" s="374"/>
      <c r="Y347" s="65"/>
      <c r="Z347" s="65"/>
    </row>
    <row r="348" ht="15.75" customHeight="1">
      <c r="A348" s="376" t="s">
        <v>384</v>
      </c>
      <c r="B348" s="376" t="s">
        <v>3185</v>
      </c>
      <c r="C348" s="376" t="s">
        <v>3186</v>
      </c>
      <c r="D348" s="374"/>
      <c r="E348" s="374"/>
      <c r="F348" s="374"/>
      <c r="I348" s="374"/>
      <c r="J348" s="374"/>
      <c r="K348" s="65"/>
      <c r="L348" s="374"/>
      <c r="M348" s="65"/>
      <c r="N348" s="374"/>
      <c r="O348" s="374"/>
      <c r="P348" s="374"/>
      <c r="Q348" s="374"/>
      <c r="R348" s="374"/>
      <c r="S348" s="374"/>
      <c r="T348" s="374"/>
      <c r="U348" s="374"/>
      <c r="V348" s="374"/>
      <c r="W348" s="374"/>
      <c r="X348" s="374"/>
      <c r="Y348" s="65"/>
      <c r="Z348" s="65"/>
    </row>
    <row r="349" ht="15.75" customHeight="1">
      <c r="A349" s="376" t="s">
        <v>384</v>
      </c>
      <c r="B349" s="376" t="s">
        <v>3185</v>
      </c>
      <c r="C349" s="376" t="s">
        <v>3186</v>
      </c>
      <c r="D349" s="374"/>
      <c r="E349" s="374"/>
      <c r="F349" s="374"/>
      <c r="I349" s="374"/>
      <c r="J349" s="374"/>
      <c r="K349" s="65"/>
      <c r="L349" s="374"/>
      <c r="M349" s="65"/>
      <c r="N349" s="374"/>
      <c r="O349" s="374"/>
      <c r="P349" s="374"/>
      <c r="Q349" s="374"/>
      <c r="R349" s="374"/>
      <c r="S349" s="374"/>
      <c r="T349" s="374"/>
      <c r="U349" s="374"/>
      <c r="V349" s="374"/>
      <c r="W349" s="374"/>
      <c r="X349" s="374"/>
      <c r="Y349" s="65"/>
      <c r="Z349" s="65"/>
    </row>
    <row r="350" ht="15.75" customHeight="1">
      <c r="A350" s="376" t="s">
        <v>384</v>
      </c>
      <c r="B350" s="376" t="s">
        <v>3187</v>
      </c>
      <c r="C350" s="376" t="s">
        <v>3188</v>
      </c>
      <c r="D350" s="374"/>
      <c r="E350" s="374"/>
      <c r="F350" s="374"/>
      <c r="I350" s="374"/>
      <c r="J350" s="374"/>
      <c r="K350" s="65"/>
      <c r="L350" s="374"/>
      <c r="M350" s="65"/>
      <c r="N350" s="374"/>
      <c r="O350" s="374"/>
      <c r="P350" s="374"/>
      <c r="Q350" s="374"/>
      <c r="R350" s="374"/>
      <c r="S350" s="374"/>
      <c r="T350" s="374"/>
      <c r="U350" s="374"/>
      <c r="V350" s="374"/>
      <c r="W350" s="374"/>
      <c r="X350" s="374"/>
      <c r="Y350" s="65"/>
      <c r="Z350" s="65"/>
    </row>
    <row r="351" ht="15.75" customHeight="1">
      <c r="A351" s="377" t="s">
        <v>384</v>
      </c>
      <c r="B351" s="374" t="s">
        <v>3187</v>
      </c>
      <c r="C351" s="374" t="s">
        <v>3188</v>
      </c>
      <c r="D351" s="374"/>
      <c r="E351" s="374"/>
      <c r="F351" s="374"/>
      <c r="I351" s="374"/>
      <c r="J351" s="374"/>
      <c r="K351" s="65"/>
      <c r="L351" s="374"/>
      <c r="M351" s="65"/>
      <c r="N351" s="374"/>
      <c r="O351" s="374"/>
      <c r="P351" s="374"/>
      <c r="Q351" s="374"/>
      <c r="R351" s="374"/>
      <c r="S351" s="374"/>
      <c r="T351" s="374"/>
      <c r="U351" s="374"/>
      <c r="V351" s="374"/>
      <c r="W351" s="374"/>
      <c r="X351" s="374"/>
      <c r="Y351" s="65"/>
      <c r="Z351" s="65"/>
    </row>
    <row r="352" ht="15.75" customHeight="1">
      <c r="A352" s="376" t="s">
        <v>384</v>
      </c>
      <c r="B352" s="376" t="s">
        <v>3189</v>
      </c>
      <c r="C352" s="376" t="s">
        <v>3190</v>
      </c>
      <c r="D352" s="374"/>
      <c r="E352" s="374"/>
      <c r="F352" s="374"/>
      <c r="I352" s="374"/>
      <c r="J352" s="374"/>
      <c r="K352" s="65"/>
      <c r="L352" s="374"/>
      <c r="M352" s="65"/>
      <c r="N352" s="374"/>
      <c r="O352" s="374"/>
      <c r="P352" s="374"/>
      <c r="Q352" s="374"/>
      <c r="R352" s="374"/>
      <c r="S352" s="374"/>
      <c r="T352" s="374"/>
      <c r="U352" s="374"/>
      <c r="V352" s="374"/>
      <c r="W352" s="374"/>
      <c r="X352" s="374"/>
      <c r="Y352" s="65"/>
      <c r="Z352" s="65"/>
    </row>
    <row r="353" ht="15.75" customHeight="1">
      <c r="A353" s="376" t="s">
        <v>384</v>
      </c>
      <c r="B353" s="376" t="s">
        <v>3189</v>
      </c>
      <c r="C353" s="376" t="s">
        <v>3190</v>
      </c>
      <c r="D353" s="374"/>
      <c r="E353" s="374"/>
      <c r="F353" s="374"/>
      <c r="I353" s="374"/>
      <c r="J353" s="374"/>
      <c r="K353" s="65"/>
      <c r="L353" s="374"/>
      <c r="M353" s="65"/>
      <c r="N353" s="374"/>
      <c r="O353" s="374"/>
      <c r="P353" s="374"/>
      <c r="Q353" s="374"/>
      <c r="R353" s="374"/>
      <c r="S353" s="374"/>
      <c r="T353" s="374"/>
      <c r="U353" s="374"/>
      <c r="V353" s="374"/>
      <c r="W353" s="374"/>
      <c r="X353" s="374"/>
      <c r="Y353" s="65"/>
      <c r="Z353" s="65"/>
    </row>
    <row r="354" ht="15.75" customHeight="1">
      <c r="A354" s="376" t="s">
        <v>384</v>
      </c>
      <c r="B354" s="376" t="s">
        <v>3151</v>
      </c>
      <c r="C354" s="376" t="s">
        <v>3152</v>
      </c>
      <c r="D354" s="374"/>
      <c r="E354" s="374"/>
      <c r="F354" s="374"/>
      <c r="I354" s="374"/>
      <c r="J354" s="374"/>
      <c r="K354" s="65"/>
      <c r="L354" s="374"/>
      <c r="M354" s="65"/>
      <c r="N354" s="374"/>
      <c r="O354" s="374"/>
      <c r="P354" s="374"/>
      <c r="Q354" s="374"/>
      <c r="R354" s="374"/>
      <c r="S354" s="374"/>
      <c r="T354" s="374"/>
      <c r="U354" s="374"/>
      <c r="V354" s="374"/>
      <c r="W354" s="374"/>
      <c r="X354" s="374"/>
      <c r="Y354" s="65"/>
      <c r="Z354" s="65"/>
    </row>
    <row r="355" ht="15.75" customHeight="1">
      <c r="A355" s="376" t="s">
        <v>384</v>
      </c>
      <c r="B355" s="376" t="s">
        <v>3191</v>
      </c>
      <c r="C355" s="376" t="s">
        <v>3192</v>
      </c>
      <c r="D355" s="374"/>
      <c r="E355" s="374"/>
      <c r="F355" s="374"/>
      <c r="I355" s="374"/>
      <c r="J355" s="374"/>
      <c r="K355" s="65"/>
      <c r="L355" s="374"/>
      <c r="M355" s="65"/>
      <c r="N355" s="374"/>
      <c r="O355" s="374"/>
      <c r="P355" s="374"/>
      <c r="Q355" s="374"/>
      <c r="R355" s="374"/>
      <c r="S355" s="374"/>
      <c r="T355" s="374"/>
      <c r="U355" s="374"/>
      <c r="V355" s="374"/>
      <c r="W355" s="374"/>
      <c r="X355" s="374"/>
      <c r="Y355" s="65"/>
      <c r="Z355" s="65"/>
    </row>
    <row r="356" ht="15.75" customHeight="1">
      <c r="A356" s="376" t="s">
        <v>384</v>
      </c>
      <c r="B356" s="376" t="s">
        <v>3191</v>
      </c>
      <c r="C356" s="376" t="s">
        <v>3192</v>
      </c>
      <c r="D356" s="374"/>
      <c r="E356" s="374"/>
      <c r="F356" s="374"/>
      <c r="I356" s="374"/>
      <c r="J356" s="374"/>
      <c r="K356" s="65"/>
      <c r="L356" s="374"/>
      <c r="M356" s="65"/>
      <c r="N356" s="374"/>
      <c r="O356" s="374"/>
      <c r="P356" s="374"/>
      <c r="Q356" s="374"/>
      <c r="R356" s="374"/>
      <c r="S356" s="374"/>
      <c r="T356" s="374"/>
      <c r="U356" s="374"/>
      <c r="V356" s="374"/>
      <c r="W356" s="374"/>
      <c r="X356" s="374"/>
      <c r="Y356" s="65"/>
      <c r="Z356" s="65"/>
    </row>
    <row r="357" ht="15.75" customHeight="1">
      <c r="A357" s="377" t="s">
        <v>384</v>
      </c>
      <c r="B357" s="374" t="s">
        <v>3193</v>
      </c>
      <c r="C357" s="374" t="s">
        <v>3194</v>
      </c>
      <c r="D357" s="374"/>
      <c r="E357" s="374"/>
      <c r="F357" s="374"/>
      <c r="I357" s="374"/>
      <c r="J357" s="374"/>
      <c r="K357" s="65"/>
      <c r="L357" s="374"/>
      <c r="M357" s="65"/>
      <c r="N357" s="374"/>
      <c r="O357" s="374"/>
      <c r="P357" s="374"/>
      <c r="Q357" s="374"/>
      <c r="R357" s="374"/>
      <c r="S357" s="374"/>
      <c r="T357" s="374"/>
      <c r="U357" s="374"/>
      <c r="V357" s="374"/>
      <c r="W357" s="374"/>
      <c r="X357" s="374"/>
      <c r="Y357" s="65"/>
      <c r="Z357" s="65"/>
    </row>
    <row r="358" ht="15.75" customHeight="1">
      <c r="A358" s="377" t="s">
        <v>384</v>
      </c>
      <c r="B358" s="374" t="s">
        <v>3193</v>
      </c>
      <c r="C358" s="374" t="s">
        <v>3194</v>
      </c>
      <c r="D358" s="374"/>
      <c r="E358" s="374"/>
      <c r="F358" s="374"/>
      <c r="I358" s="374"/>
      <c r="J358" s="374"/>
      <c r="K358" s="65"/>
      <c r="L358" s="374"/>
      <c r="M358" s="65"/>
      <c r="N358" s="374"/>
      <c r="O358" s="374"/>
      <c r="P358" s="374"/>
      <c r="Q358" s="374"/>
      <c r="R358" s="374"/>
      <c r="S358" s="374"/>
      <c r="T358" s="374"/>
      <c r="U358" s="374"/>
      <c r="V358" s="374"/>
      <c r="W358" s="374"/>
      <c r="X358" s="374"/>
      <c r="Y358" s="65"/>
      <c r="Z358" s="65"/>
    </row>
    <row r="359" ht="15.75" customHeight="1">
      <c r="A359" s="376" t="s">
        <v>384</v>
      </c>
      <c r="B359" s="376" t="s">
        <v>3048</v>
      </c>
      <c r="C359" s="376" t="s">
        <v>3049</v>
      </c>
      <c r="D359" s="374"/>
      <c r="E359" s="374"/>
      <c r="F359" s="374"/>
      <c r="I359" s="374"/>
      <c r="J359" s="374"/>
      <c r="K359" s="65"/>
      <c r="L359" s="374"/>
      <c r="M359" s="65"/>
      <c r="N359" s="374"/>
      <c r="O359" s="374"/>
      <c r="P359" s="374"/>
      <c r="Q359" s="374"/>
      <c r="R359" s="374"/>
      <c r="S359" s="374"/>
      <c r="T359" s="374"/>
      <c r="U359" s="374"/>
      <c r="V359" s="374"/>
      <c r="W359" s="374"/>
      <c r="X359" s="374"/>
      <c r="Y359" s="65"/>
      <c r="Z359" s="65"/>
    </row>
    <row r="360" ht="15.75" customHeight="1">
      <c r="A360" s="376" t="s">
        <v>384</v>
      </c>
      <c r="B360" s="376" t="s">
        <v>3048</v>
      </c>
      <c r="C360" s="376" t="s">
        <v>3049</v>
      </c>
      <c r="D360" s="374"/>
      <c r="E360" s="374"/>
      <c r="F360" s="374"/>
      <c r="I360" s="374"/>
      <c r="J360" s="374"/>
      <c r="K360" s="65"/>
      <c r="L360" s="374"/>
      <c r="M360" s="65"/>
      <c r="N360" s="374"/>
      <c r="O360" s="374"/>
      <c r="P360" s="374"/>
      <c r="Q360" s="374"/>
      <c r="R360" s="374"/>
      <c r="S360" s="374"/>
      <c r="T360" s="374"/>
      <c r="U360" s="374"/>
      <c r="V360" s="374"/>
      <c r="W360" s="374"/>
      <c r="X360" s="374"/>
      <c r="Y360" s="65"/>
      <c r="Z360" s="65"/>
    </row>
    <row r="361" ht="15.75" customHeight="1">
      <c r="A361" s="376" t="s">
        <v>384</v>
      </c>
      <c r="B361" s="376" t="s">
        <v>3195</v>
      </c>
      <c r="C361" s="376" t="s">
        <v>3196</v>
      </c>
      <c r="D361" s="374"/>
      <c r="E361" s="374"/>
      <c r="F361" s="374"/>
      <c r="I361" s="374"/>
      <c r="J361" s="374"/>
      <c r="K361" s="65"/>
      <c r="L361" s="374"/>
      <c r="M361" s="65"/>
      <c r="N361" s="374"/>
      <c r="O361" s="374"/>
      <c r="P361" s="374"/>
      <c r="Q361" s="374"/>
      <c r="R361" s="374"/>
      <c r="S361" s="374"/>
      <c r="T361" s="374"/>
      <c r="U361" s="374"/>
      <c r="V361" s="374"/>
      <c r="W361" s="374"/>
      <c r="X361" s="374"/>
      <c r="Y361" s="65"/>
      <c r="Z361" s="65"/>
    </row>
    <row r="362" ht="15.75" customHeight="1">
      <c r="A362" s="376" t="s">
        <v>384</v>
      </c>
      <c r="B362" s="376" t="s">
        <v>3195</v>
      </c>
      <c r="C362" s="376" t="s">
        <v>3196</v>
      </c>
      <c r="D362" s="374"/>
      <c r="E362" s="374"/>
      <c r="F362" s="374"/>
      <c r="I362" s="374"/>
      <c r="J362" s="374"/>
      <c r="K362" s="65"/>
      <c r="L362" s="374"/>
      <c r="M362" s="65"/>
      <c r="N362" s="374"/>
      <c r="O362" s="374"/>
      <c r="P362" s="374"/>
      <c r="Q362" s="374"/>
      <c r="R362" s="374"/>
      <c r="S362" s="374"/>
      <c r="T362" s="374"/>
      <c r="U362" s="374"/>
      <c r="V362" s="374"/>
      <c r="W362" s="374"/>
      <c r="X362" s="374"/>
      <c r="Y362" s="65"/>
      <c r="Z362" s="65"/>
    </row>
    <row r="363" ht="15.75" customHeight="1">
      <c r="A363" s="376" t="s">
        <v>384</v>
      </c>
      <c r="B363" s="376" t="s">
        <v>3197</v>
      </c>
      <c r="C363" s="376" t="s">
        <v>3198</v>
      </c>
      <c r="D363" s="374"/>
      <c r="E363" s="374"/>
      <c r="F363" s="374"/>
      <c r="I363" s="374"/>
      <c r="J363" s="374"/>
      <c r="K363" s="65"/>
      <c r="L363" s="374"/>
      <c r="M363" s="65"/>
      <c r="N363" s="374"/>
      <c r="O363" s="374"/>
      <c r="P363" s="374"/>
      <c r="Q363" s="374"/>
      <c r="R363" s="374"/>
      <c r="S363" s="374"/>
      <c r="T363" s="374"/>
      <c r="U363" s="374"/>
      <c r="V363" s="374"/>
      <c r="W363" s="374"/>
      <c r="X363" s="374"/>
      <c r="Y363" s="65"/>
      <c r="Z363" s="65"/>
    </row>
    <row r="364" ht="15.75" customHeight="1">
      <c r="A364" s="376" t="s">
        <v>384</v>
      </c>
      <c r="B364" s="376" t="s">
        <v>3197</v>
      </c>
      <c r="C364" s="376" t="s">
        <v>3198</v>
      </c>
      <c r="D364" s="374"/>
      <c r="E364" s="374"/>
      <c r="F364" s="374"/>
      <c r="I364" s="374"/>
      <c r="J364" s="374"/>
      <c r="K364" s="65"/>
      <c r="L364" s="374"/>
      <c r="M364" s="65"/>
      <c r="N364" s="374"/>
      <c r="O364" s="374"/>
      <c r="P364" s="374"/>
      <c r="Q364" s="374"/>
      <c r="R364" s="374"/>
      <c r="S364" s="374"/>
      <c r="T364" s="374"/>
      <c r="U364" s="374"/>
      <c r="V364" s="374"/>
      <c r="W364" s="374"/>
      <c r="X364" s="374"/>
      <c r="Y364" s="65"/>
      <c r="Z364" s="65"/>
    </row>
    <row r="365" ht="15.75" customHeight="1">
      <c r="A365" s="376" t="s">
        <v>384</v>
      </c>
      <c r="B365" s="376" t="s">
        <v>3199</v>
      </c>
      <c r="C365" s="376" t="s">
        <v>3200</v>
      </c>
      <c r="D365" s="374"/>
      <c r="E365" s="374"/>
      <c r="F365" s="374"/>
      <c r="I365" s="374"/>
      <c r="J365" s="374"/>
      <c r="K365" s="65"/>
      <c r="L365" s="374"/>
      <c r="M365" s="65"/>
      <c r="N365" s="374"/>
      <c r="O365" s="374"/>
      <c r="P365" s="374"/>
      <c r="Q365" s="374"/>
      <c r="R365" s="374"/>
      <c r="S365" s="374"/>
      <c r="T365" s="374"/>
      <c r="U365" s="374"/>
      <c r="V365" s="374"/>
      <c r="W365" s="374"/>
      <c r="X365" s="374"/>
      <c r="Y365" s="65"/>
      <c r="Z365" s="65"/>
    </row>
    <row r="366" ht="15.75" customHeight="1">
      <c r="A366" s="376" t="s">
        <v>384</v>
      </c>
      <c r="B366" s="376" t="s">
        <v>3199</v>
      </c>
      <c r="C366" s="376" t="s">
        <v>3200</v>
      </c>
      <c r="D366" s="374"/>
      <c r="E366" s="374"/>
      <c r="F366" s="374"/>
      <c r="I366" s="374"/>
      <c r="J366" s="374"/>
      <c r="K366" s="65"/>
      <c r="L366" s="374"/>
      <c r="M366" s="65"/>
      <c r="N366" s="374"/>
      <c r="O366" s="374"/>
      <c r="P366" s="374"/>
      <c r="Q366" s="374"/>
      <c r="R366" s="374"/>
      <c r="S366" s="374"/>
      <c r="T366" s="374"/>
      <c r="U366" s="374"/>
      <c r="V366" s="374"/>
      <c r="W366" s="374"/>
      <c r="X366" s="374"/>
      <c r="Y366" s="65"/>
      <c r="Z366" s="65"/>
    </row>
    <row r="367" ht="15.75" customHeight="1">
      <c r="A367" s="376" t="s">
        <v>384</v>
      </c>
      <c r="B367" s="376" t="s">
        <v>3201</v>
      </c>
      <c r="C367" s="376" t="s">
        <v>3202</v>
      </c>
      <c r="D367" s="374"/>
      <c r="E367" s="374"/>
      <c r="F367" s="374"/>
      <c r="I367" s="374"/>
      <c r="J367" s="374"/>
      <c r="K367" s="65"/>
      <c r="L367" s="374"/>
      <c r="M367" s="65"/>
      <c r="N367" s="374"/>
      <c r="O367" s="374"/>
      <c r="P367" s="374"/>
      <c r="Q367" s="374"/>
      <c r="R367" s="374"/>
      <c r="S367" s="374"/>
      <c r="T367" s="374"/>
      <c r="U367" s="374"/>
      <c r="V367" s="374"/>
      <c r="W367" s="374"/>
      <c r="X367" s="374"/>
      <c r="Y367" s="65"/>
      <c r="Z367" s="65"/>
    </row>
    <row r="368" ht="15.75" customHeight="1">
      <c r="A368" s="376" t="s">
        <v>384</v>
      </c>
      <c r="B368" s="376" t="s">
        <v>3201</v>
      </c>
      <c r="C368" s="376" t="s">
        <v>3202</v>
      </c>
      <c r="D368" s="374"/>
      <c r="E368" s="374"/>
      <c r="F368" s="374"/>
      <c r="I368" s="374"/>
      <c r="J368" s="374"/>
      <c r="K368" s="65"/>
      <c r="L368" s="374"/>
      <c r="M368" s="65"/>
      <c r="N368" s="374"/>
      <c r="O368" s="374"/>
      <c r="P368" s="374"/>
      <c r="Q368" s="374"/>
      <c r="R368" s="374"/>
      <c r="S368" s="374"/>
      <c r="T368" s="374"/>
      <c r="U368" s="374"/>
      <c r="V368" s="374"/>
      <c r="W368" s="374"/>
      <c r="X368" s="374"/>
      <c r="Y368" s="65"/>
      <c r="Z368" s="65"/>
    </row>
    <row r="369" ht="15.75" customHeight="1">
      <c r="A369" s="376" t="s">
        <v>384</v>
      </c>
      <c r="B369" s="376" t="s">
        <v>3203</v>
      </c>
      <c r="C369" s="376" t="s">
        <v>3204</v>
      </c>
      <c r="D369" s="374"/>
      <c r="E369" s="374"/>
      <c r="F369" s="374"/>
      <c r="I369" s="374"/>
      <c r="J369" s="374"/>
      <c r="K369" s="65"/>
      <c r="L369" s="374"/>
      <c r="M369" s="65"/>
      <c r="N369" s="374"/>
      <c r="O369" s="374"/>
      <c r="P369" s="374"/>
      <c r="Q369" s="374"/>
      <c r="R369" s="374"/>
      <c r="S369" s="374"/>
      <c r="T369" s="374"/>
      <c r="U369" s="374"/>
      <c r="V369" s="374"/>
      <c r="W369" s="374"/>
      <c r="X369" s="374"/>
      <c r="Y369" s="65"/>
      <c r="Z369" s="65"/>
    </row>
    <row r="370" ht="15.75" customHeight="1">
      <c r="A370" s="376" t="s">
        <v>384</v>
      </c>
      <c r="B370" s="376" t="s">
        <v>3203</v>
      </c>
      <c r="C370" s="376" t="s">
        <v>3204</v>
      </c>
      <c r="D370" s="374"/>
      <c r="E370" s="374"/>
      <c r="F370" s="374"/>
      <c r="I370" s="374"/>
      <c r="J370" s="374"/>
      <c r="K370" s="65"/>
      <c r="L370" s="374"/>
      <c r="M370" s="65"/>
      <c r="N370" s="374"/>
      <c r="O370" s="374"/>
      <c r="P370" s="374"/>
      <c r="Q370" s="374"/>
      <c r="R370" s="374"/>
      <c r="S370" s="374"/>
      <c r="T370" s="374"/>
      <c r="U370" s="374"/>
      <c r="V370" s="374"/>
      <c r="W370" s="374"/>
      <c r="X370" s="374"/>
      <c r="Y370" s="65"/>
      <c r="Z370" s="65"/>
    </row>
    <row r="371" ht="15.75" customHeight="1">
      <c r="A371" s="376" t="s">
        <v>384</v>
      </c>
      <c r="B371" s="376" t="s">
        <v>3205</v>
      </c>
      <c r="C371" s="376" t="s">
        <v>3206</v>
      </c>
      <c r="D371" s="374"/>
      <c r="E371" s="374"/>
      <c r="F371" s="374"/>
      <c r="I371" s="374"/>
      <c r="J371" s="374"/>
      <c r="K371" s="65"/>
      <c r="L371" s="374"/>
      <c r="M371" s="65"/>
      <c r="N371" s="374"/>
      <c r="O371" s="374"/>
      <c r="P371" s="374"/>
      <c r="Q371" s="374"/>
      <c r="R371" s="374"/>
      <c r="S371" s="374"/>
      <c r="T371" s="374"/>
      <c r="U371" s="374"/>
      <c r="V371" s="374"/>
      <c r="W371" s="374"/>
      <c r="X371" s="374"/>
      <c r="Y371" s="65"/>
      <c r="Z371" s="65"/>
    </row>
    <row r="372" ht="15.75" customHeight="1">
      <c r="A372" s="376" t="s">
        <v>384</v>
      </c>
      <c r="B372" s="376" t="s">
        <v>3205</v>
      </c>
      <c r="C372" s="376" t="s">
        <v>3206</v>
      </c>
      <c r="D372" s="374"/>
      <c r="E372" s="374"/>
      <c r="F372" s="374"/>
      <c r="I372" s="374"/>
      <c r="J372" s="374"/>
      <c r="K372" s="65"/>
      <c r="L372" s="374"/>
      <c r="M372" s="65"/>
      <c r="N372" s="374"/>
      <c r="O372" s="374"/>
      <c r="P372" s="374"/>
      <c r="Q372" s="374"/>
      <c r="R372" s="374"/>
      <c r="S372" s="374"/>
      <c r="T372" s="374"/>
      <c r="U372" s="374"/>
      <c r="V372" s="374"/>
      <c r="W372" s="374"/>
      <c r="X372" s="374"/>
      <c r="Y372" s="65"/>
      <c r="Z372" s="65"/>
    </row>
    <row r="373" ht="15.75" customHeight="1">
      <c r="A373" s="376" t="s">
        <v>390</v>
      </c>
      <c r="B373" s="376" t="s">
        <v>2817</v>
      </c>
      <c r="C373" s="376" t="s">
        <v>1647</v>
      </c>
      <c r="D373" s="374"/>
      <c r="E373" s="374"/>
      <c r="F373" s="374"/>
      <c r="I373" s="374"/>
      <c r="J373" s="374"/>
      <c r="K373" s="65"/>
      <c r="L373" s="374"/>
      <c r="M373" s="65"/>
      <c r="N373" s="374"/>
      <c r="O373" s="374"/>
      <c r="P373" s="374"/>
      <c r="Q373" s="374"/>
      <c r="R373" s="374"/>
      <c r="S373" s="374"/>
      <c r="T373" s="374"/>
      <c r="U373" s="374"/>
      <c r="V373" s="374"/>
      <c r="W373" s="374"/>
      <c r="X373" s="374"/>
      <c r="Y373" s="65"/>
      <c r="Z373" s="65"/>
    </row>
    <row r="374" ht="15.75" customHeight="1">
      <c r="A374" s="376" t="s">
        <v>390</v>
      </c>
      <c r="B374" s="376" t="s">
        <v>2849</v>
      </c>
      <c r="C374" s="376" t="s">
        <v>2850</v>
      </c>
      <c r="D374" s="374"/>
      <c r="E374" s="374"/>
      <c r="F374" s="374"/>
      <c r="I374" s="374"/>
      <c r="J374" s="374"/>
      <c r="K374" s="65"/>
      <c r="L374" s="374"/>
      <c r="M374" s="65"/>
      <c r="N374" s="374"/>
      <c r="O374" s="374"/>
      <c r="P374" s="374"/>
      <c r="Q374" s="374"/>
      <c r="R374" s="374"/>
      <c r="S374" s="374"/>
      <c r="T374" s="374"/>
      <c r="U374" s="374"/>
      <c r="V374" s="374"/>
      <c r="W374" s="374"/>
      <c r="X374" s="374"/>
      <c r="Y374" s="65"/>
      <c r="Z374" s="65"/>
    </row>
    <row r="375" ht="15.75" customHeight="1">
      <c r="A375" s="376" t="s">
        <v>390</v>
      </c>
      <c r="B375" s="376" t="s">
        <v>2796</v>
      </c>
      <c r="C375" s="373" t="s">
        <v>1650</v>
      </c>
      <c r="D375" s="374"/>
      <c r="E375" s="374"/>
      <c r="F375" s="374"/>
      <c r="I375" s="374"/>
      <c r="J375" s="374"/>
      <c r="K375" s="65"/>
      <c r="L375" s="374"/>
      <c r="M375" s="65"/>
      <c r="N375" s="374"/>
      <c r="O375" s="374"/>
      <c r="P375" s="374"/>
      <c r="Q375" s="374"/>
      <c r="R375" s="374"/>
      <c r="S375" s="374"/>
      <c r="T375" s="374"/>
      <c r="U375" s="374"/>
      <c r="V375" s="374"/>
      <c r="W375" s="374"/>
      <c r="X375" s="374"/>
      <c r="Y375" s="65"/>
      <c r="Z375" s="65"/>
    </row>
    <row r="376" ht="15.75" customHeight="1">
      <c r="A376" s="377" t="s">
        <v>390</v>
      </c>
      <c r="B376" s="374" t="s">
        <v>2958</v>
      </c>
      <c r="C376" s="374" t="s">
        <v>2959</v>
      </c>
      <c r="D376" s="374"/>
      <c r="E376" s="374"/>
      <c r="F376" s="374"/>
      <c r="I376" s="374"/>
      <c r="J376" s="374"/>
      <c r="K376" s="65"/>
      <c r="L376" s="374"/>
      <c r="M376" s="65"/>
      <c r="N376" s="374"/>
      <c r="O376" s="374"/>
      <c r="P376" s="374"/>
      <c r="Q376" s="374"/>
      <c r="R376" s="374"/>
      <c r="S376" s="374"/>
      <c r="T376" s="374"/>
      <c r="U376" s="374"/>
      <c r="V376" s="374"/>
      <c r="W376" s="374"/>
      <c r="X376" s="374"/>
      <c r="Y376" s="65"/>
      <c r="Z376" s="65"/>
    </row>
    <row r="377" ht="15.75" customHeight="1">
      <c r="A377" s="377" t="s">
        <v>390</v>
      </c>
      <c r="B377" s="374" t="s">
        <v>2958</v>
      </c>
      <c r="C377" s="374" t="s">
        <v>2959</v>
      </c>
      <c r="D377" s="374"/>
      <c r="E377" s="374"/>
      <c r="F377" s="374"/>
      <c r="I377" s="374"/>
      <c r="J377" s="374"/>
      <c r="K377" s="65"/>
      <c r="L377" s="374"/>
      <c r="M377" s="65"/>
      <c r="N377" s="374"/>
      <c r="O377" s="374"/>
      <c r="P377" s="374"/>
      <c r="Q377" s="374"/>
      <c r="R377" s="374"/>
      <c r="S377" s="374"/>
      <c r="T377" s="374"/>
      <c r="U377" s="374"/>
      <c r="V377" s="374"/>
      <c r="W377" s="374"/>
      <c r="X377" s="374"/>
      <c r="Y377" s="65"/>
      <c r="Z377" s="65"/>
    </row>
    <row r="378" ht="15.75" customHeight="1">
      <c r="A378" s="376" t="s">
        <v>390</v>
      </c>
      <c r="B378" s="376" t="s">
        <v>2951</v>
      </c>
      <c r="C378" s="376" t="s">
        <v>2952</v>
      </c>
      <c r="D378" s="374"/>
      <c r="E378" s="374"/>
      <c r="F378" s="374"/>
      <c r="I378" s="374"/>
      <c r="J378" s="374"/>
      <c r="K378" s="65"/>
      <c r="L378" s="374"/>
      <c r="M378" s="65"/>
      <c r="N378" s="374"/>
      <c r="O378" s="374"/>
      <c r="P378" s="374"/>
      <c r="Q378" s="374"/>
      <c r="R378" s="374"/>
      <c r="S378" s="374"/>
      <c r="T378" s="374"/>
      <c r="U378" s="374"/>
      <c r="V378" s="374"/>
      <c r="W378" s="374"/>
      <c r="X378" s="374"/>
      <c r="Y378" s="65"/>
      <c r="Z378" s="65"/>
    </row>
    <row r="379" ht="15.75" customHeight="1">
      <c r="A379" s="376" t="s">
        <v>390</v>
      </c>
      <c r="B379" s="376" t="s">
        <v>2799</v>
      </c>
      <c r="C379" s="376" t="s">
        <v>1641</v>
      </c>
      <c r="D379" s="374"/>
      <c r="E379" s="374"/>
      <c r="F379" s="374"/>
      <c r="I379" s="374"/>
      <c r="J379" s="374"/>
      <c r="K379" s="65"/>
      <c r="L379" s="374"/>
      <c r="M379" s="65"/>
      <c r="N379" s="374"/>
      <c r="O379" s="374"/>
      <c r="P379" s="374"/>
      <c r="Q379" s="374"/>
      <c r="R379" s="374"/>
      <c r="S379" s="374"/>
      <c r="T379" s="374"/>
      <c r="U379" s="374"/>
      <c r="V379" s="374"/>
      <c r="W379" s="374"/>
      <c r="X379" s="374"/>
      <c r="Y379" s="65"/>
      <c r="Z379" s="65"/>
    </row>
    <row r="380" ht="15.75" customHeight="1">
      <c r="A380" s="377" t="s">
        <v>390</v>
      </c>
      <c r="B380" s="374" t="s">
        <v>2789</v>
      </c>
      <c r="C380" s="374" t="s">
        <v>1637</v>
      </c>
      <c r="D380" s="374"/>
      <c r="E380" s="374"/>
      <c r="F380" s="374"/>
      <c r="I380" s="374"/>
      <c r="J380" s="374"/>
      <c r="K380" s="65"/>
      <c r="L380" s="374"/>
      <c r="M380" s="65"/>
      <c r="N380" s="374"/>
      <c r="O380" s="374"/>
      <c r="P380" s="374"/>
      <c r="Q380" s="374"/>
      <c r="R380" s="374"/>
      <c r="S380" s="374"/>
      <c r="T380" s="374"/>
      <c r="U380" s="374"/>
      <c r="V380" s="374"/>
      <c r="W380" s="374"/>
      <c r="X380" s="374"/>
      <c r="Y380" s="65"/>
      <c r="Z380" s="65"/>
    </row>
    <row r="381" ht="15.75" customHeight="1">
      <c r="A381" s="376" t="s">
        <v>390</v>
      </c>
      <c r="B381" s="376" t="s">
        <v>2802</v>
      </c>
      <c r="C381" s="376" t="s">
        <v>1646</v>
      </c>
      <c r="D381" s="374"/>
      <c r="E381" s="374"/>
      <c r="F381" s="374"/>
      <c r="I381" s="374"/>
      <c r="J381" s="374"/>
      <c r="K381" s="65"/>
      <c r="L381" s="374"/>
      <c r="M381" s="65"/>
      <c r="N381" s="374"/>
      <c r="O381" s="374"/>
      <c r="P381" s="374"/>
      <c r="Q381" s="374"/>
      <c r="R381" s="374"/>
      <c r="S381" s="374"/>
      <c r="T381" s="374"/>
      <c r="U381" s="374"/>
      <c r="V381" s="374"/>
      <c r="W381" s="374"/>
      <c r="X381" s="374"/>
      <c r="Y381" s="65"/>
      <c r="Z381" s="65"/>
    </row>
    <row r="382" ht="15.75" customHeight="1">
      <c r="A382" s="376" t="s">
        <v>390</v>
      </c>
      <c r="B382" s="376" t="s">
        <v>2803</v>
      </c>
      <c r="C382" s="376" t="s">
        <v>1651</v>
      </c>
      <c r="D382" s="374"/>
      <c r="E382" s="374"/>
      <c r="F382" s="374"/>
      <c r="I382" s="374"/>
      <c r="J382" s="374"/>
      <c r="K382" s="65"/>
      <c r="L382" s="374"/>
      <c r="M382" s="65"/>
      <c r="N382" s="374"/>
      <c r="O382" s="374"/>
      <c r="P382" s="374"/>
      <c r="Q382" s="374"/>
      <c r="R382" s="374"/>
      <c r="S382" s="374"/>
      <c r="T382" s="374"/>
      <c r="U382" s="374"/>
      <c r="V382" s="374"/>
      <c r="W382" s="374"/>
      <c r="X382" s="374"/>
      <c r="Y382" s="65"/>
      <c r="Z382" s="65"/>
    </row>
    <row r="383" ht="15.75" customHeight="1">
      <c r="A383" s="377" t="s">
        <v>390</v>
      </c>
      <c r="B383" s="374" t="s">
        <v>3016</v>
      </c>
      <c r="C383" s="374" t="s">
        <v>3017</v>
      </c>
      <c r="D383" s="374"/>
      <c r="E383" s="374"/>
      <c r="F383" s="374"/>
      <c r="I383" s="374"/>
      <c r="J383" s="374"/>
      <c r="K383" s="65"/>
      <c r="L383" s="374"/>
      <c r="M383" s="65"/>
      <c r="N383" s="374"/>
      <c r="O383" s="374"/>
      <c r="P383" s="374"/>
      <c r="Q383" s="374"/>
      <c r="R383" s="374"/>
      <c r="S383" s="374"/>
      <c r="T383" s="374"/>
      <c r="U383" s="374"/>
      <c r="V383" s="374"/>
      <c r="W383" s="374"/>
      <c r="X383" s="374"/>
      <c r="Y383" s="65"/>
      <c r="Z383" s="65"/>
    </row>
    <row r="384" ht="15.75" customHeight="1">
      <c r="A384" s="376" t="s">
        <v>390</v>
      </c>
      <c r="B384" s="376" t="s">
        <v>3207</v>
      </c>
      <c r="C384" s="376" t="s">
        <v>3208</v>
      </c>
      <c r="D384" s="374"/>
      <c r="E384" s="374"/>
      <c r="F384" s="374"/>
      <c r="I384" s="374"/>
      <c r="J384" s="374"/>
      <c r="K384" s="65"/>
      <c r="L384" s="374"/>
      <c r="M384" s="65"/>
      <c r="N384" s="374"/>
      <c r="O384" s="374"/>
      <c r="P384" s="374"/>
      <c r="Q384" s="374"/>
      <c r="R384" s="374"/>
      <c r="S384" s="374"/>
      <c r="T384" s="374"/>
      <c r="U384" s="374"/>
      <c r="V384" s="374"/>
      <c r="W384" s="374"/>
      <c r="X384" s="374"/>
      <c r="Y384" s="65"/>
      <c r="Z384" s="65"/>
    </row>
    <row r="385" ht="15.75" customHeight="1">
      <c r="A385" s="376" t="s">
        <v>390</v>
      </c>
      <c r="B385" s="376" t="s">
        <v>3209</v>
      </c>
      <c r="C385" s="376" t="s">
        <v>3210</v>
      </c>
      <c r="D385" s="374"/>
      <c r="E385" s="374"/>
      <c r="F385" s="374"/>
      <c r="I385" s="374"/>
      <c r="J385" s="374"/>
      <c r="K385" s="65"/>
      <c r="L385" s="374"/>
      <c r="M385" s="65"/>
      <c r="N385" s="374"/>
      <c r="O385" s="374"/>
      <c r="P385" s="374"/>
      <c r="Q385" s="374"/>
      <c r="R385" s="374"/>
      <c r="S385" s="374"/>
      <c r="T385" s="374"/>
      <c r="U385" s="374"/>
      <c r="V385" s="374"/>
      <c r="W385" s="374"/>
      <c r="X385" s="374"/>
      <c r="Y385" s="65"/>
      <c r="Z385" s="65"/>
    </row>
    <row r="386" ht="15.75" customHeight="1">
      <c r="A386" s="376" t="s">
        <v>390</v>
      </c>
      <c r="B386" s="376" t="s">
        <v>3211</v>
      </c>
      <c r="C386" s="376" t="s">
        <v>3212</v>
      </c>
      <c r="D386" s="374"/>
      <c r="E386" s="374"/>
      <c r="F386" s="374"/>
      <c r="I386" s="374"/>
      <c r="J386" s="374"/>
      <c r="K386" s="65"/>
      <c r="L386" s="374"/>
      <c r="M386" s="65"/>
      <c r="N386" s="374"/>
      <c r="O386" s="374"/>
      <c r="P386" s="374"/>
      <c r="Q386" s="374"/>
      <c r="R386" s="374"/>
      <c r="S386" s="374"/>
      <c r="T386" s="374"/>
      <c r="U386" s="374"/>
      <c r="V386" s="374"/>
      <c r="W386" s="374"/>
      <c r="X386" s="374"/>
      <c r="Y386" s="65"/>
      <c r="Z386" s="65"/>
    </row>
    <row r="387" ht="15.75" customHeight="1">
      <c r="A387" s="376" t="s">
        <v>390</v>
      </c>
      <c r="B387" s="376" t="s">
        <v>3213</v>
      </c>
      <c r="C387" s="376" t="s">
        <v>3214</v>
      </c>
      <c r="D387" s="374"/>
      <c r="E387" s="374"/>
      <c r="F387" s="374"/>
      <c r="I387" s="374"/>
      <c r="J387" s="374"/>
      <c r="K387" s="65"/>
      <c r="L387" s="374"/>
      <c r="M387" s="65"/>
      <c r="N387" s="374"/>
      <c r="O387" s="374"/>
      <c r="P387" s="374"/>
      <c r="Q387" s="374"/>
      <c r="R387" s="374"/>
      <c r="S387" s="374"/>
      <c r="T387" s="374"/>
      <c r="U387" s="374"/>
      <c r="V387" s="374"/>
      <c r="W387" s="374"/>
      <c r="X387" s="374"/>
      <c r="Y387" s="65"/>
      <c r="Z387" s="65"/>
    </row>
    <row r="388" ht="15.75" customHeight="1">
      <c r="A388" s="376" t="s">
        <v>390</v>
      </c>
      <c r="B388" s="376" t="s">
        <v>3215</v>
      </c>
      <c r="C388" s="376" t="s">
        <v>3216</v>
      </c>
      <c r="D388" s="374"/>
      <c r="E388" s="374"/>
      <c r="F388" s="374"/>
      <c r="I388" s="374"/>
      <c r="J388" s="374"/>
      <c r="K388" s="65"/>
      <c r="L388" s="374"/>
      <c r="M388" s="65"/>
      <c r="N388" s="374"/>
      <c r="O388" s="374"/>
      <c r="P388" s="374"/>
      <c r="Q388" s="374"/>
      <c r="R388" s="374"/>
      <c r="S388" s="374"/>
      <c r="T388" s="374"/>
      <c r="U388" s="374"/>
      <c r="V388" s="374"/>
      <c r="W388" s="374"/>
      <c r="X388" s="374"/>
      <c r="Y388" s="65"/>
      <c r="Z388" s="65"/>
    </row>
    <row r="389" ht="15.75" customHeight="1">
      <c r="A389" s="376" t="s">
        <v>390</v>
      </c>
      <c r="B389" s="376" t="s">
        <v>3217</v>
      </c>
      <c r="C389" s="376" t="s">
        <v>3218</v>
      </c>
      <c r="D389" s="374"/>
      <c r="E389" s="374"/>
      <c r="F389" s="374"/>
      <c r="I389" s="374"/>
      <c r="J389" s="374"/>
      <c r="K389" s="65"/>
      <c r="L389" s="374"/>
      <c r="M389" s="65"/>
      <c r="N389" s="374"/>
      <c r="O389" s="374"/>
      <c r="P389" s="374"/>
      <c r="Q389" s="374"/>
      <c r="R389" s="374"/>
      <c r="S389" s="374"/>
      <c r="T389" s="374"/>
      <c r="U389" s="374"/>
      <c r="V389" s="374"/>
      <c r="W389" s="374"/>
      <c r="X389" s="374"/>
      <c r="Y389" s="65"/>
      <c r="Z389" s="65"/>
    </row>
    <row r="390" ht="15.75" customHeight="1">
      <c r="A390" s="376" t="s">
        <v>390</v>
      </c>
      <c r="B390" s="376" t="s">
        <v>2797</v>
      </c>
      <c r="C390" s="376" t="s">
        <v>1640</v>
      </c>
      <c r="D390" s="374"/>
      <c r="E390" s="374"/>
      <c r="F390" s="374"/>
      <c r="I390" s="374"/>
      <c r="J390" s="374"/>
      <c r="K390" s="65"/>
      <c r="L390" s="374"/>
      <c r="M390" s="374"/>
      <c r="N390" s="374"/>
      <c r="O390" s="374"/>
      <c r="P390" s="374"/>
      <c r="Q390" s="374"/>
      <c r="R390" s="374"/>
      <c r="S390" s="374"/>
      <c r="T390" s="374"/>
      <c r="U390" s="374"/>
      <c r="V390" s="374"/>
      <c r="W390" s="374"/>
      <c r="X390" s="374"/>
      <c r="Y390" s="65"/>
      <c r="Z390" s="65"/>
    </row>
    <row r="391" ht="15.75" customHeight="1">
      <c r="A391" s="376" t="s">
        <v>390</v>
      </c>
      <c r="B391" s="376" t="s">
        <v>2955</v>
      </c>
      <c r="C391" s="376" t="s">
        <v>2956</v>
      </c>
      <c r="D391" s="374"/>
      <c r="E391" s="374"/>
      <c r="F391" s="374"/>
      <c r="I391" s="374"/>
      <c r="J391" s="374"/>
      <c r="K391" s="65"/>
      <c r="L391" s="374"/>
      <c r="M391" s="374"/>
      <c r="N391" s="374"/>
      <c r="O391" s="374"/>
      <c r="P391" s="374"/>
      <c r="Q391" s="374"/>
      <c r="R391" s="374"/>
      <c r="S391" s="374"/>
      <c r="T391" s="374"/>
      <c r="U391" s="374"/>
      <c r="V391" s="374"/>
      <c r="W391" s="374"/>
      <c r="X391" s="374"/>
      <c r="Y391" s="65"/>
      <c r="Z391" s="65"/>
    </row>
    <row r="392" ht="15.75" customHeight="1">
      <c r="A392" s="376" t="s">
        <v>390</v>
      </c>
      <c r="B392" s="376" t="s">
        <v>3219</v>
      </c>
      <c r="C392" s="376" t="s">
        <v>3220</v>
      </c>
      <c r="D392" s="374"/>
      <c r="E392" s="374"/>
      <c r="F392" s="374"/>
      <c r="I392" s="374"/>
      <c r="J392" s="374"/>
      <c r="K392" s="65"/>
      <c r="L392" s="374"/>
      <c r="M392" s="374"/>
      <c r="N392" s="374"/>
      <c r="O392" s="374"/>
      <c r="P392" s="374"/>
      <c r="Q392" s="374"/>
      <c r="R392" s="374"/>
      <c r="S392" s="374"/>
      <c r="T392" s="374"/>
      <c r="U392" s="374"/>
      <c r="V392" s="374"/>
      <c r="W392" s="374"/>
      <c r="X392" s="374"/>
      <c r="Y392" s="65"/>
      <c r="Z392" s="65"/>
    </row>
    <row r="393" ht="15.75" customHeight="1">
      <c r="A393" s="376" t="s">
        <v>390</v>
      </c>
      <c r="B393" s="376" t="s">
        <v>2823</v>
      </c>
      <c r="C393" s="376" t="s">
        <v>2824</v>
      </c>
      <c r="D393" s="374"/>
      <c r="E393" s="374"/>
      <c r="F393" s="374"/>
      <c r="I393" s="374"/>
      <c r="J393" s="374"/>
      <c r="K393" s="65"/>
      <c r="L393" s="374"/>
      <c r="M393" s="374"/>
      <c r="N393" s="374"/>
      <c r="O393" s="374"/>
      <c r="P393" s="374"/>
      <c r="Q393" s="374"/>
      <c r="R393" s="374"/>
      <c r="S393" s="374"/>
      <c r="T393" s="374"/>
      <c r="U393" s="374"/>
      <c r="V393" s="374"/>
      <c r="W393" s="374"/>
      <c r="X393" s="374"/>
      <c r="Y393" s="65"/>
      <c r="Z393" s="65"/>
    </row>
    <row r="394" ht="15.75" customHeight="1">
      <c r="A394" s="376" t="s">
        <v>390</v>
      </c>
      <c r="B394" s="376" t="s">
        <v>3221</v>
      </c>
      <c r="C394" s="376" t="s">
        <v>3222</v>
      </c>
      <c r="D394" s="374"/>
      <c r="E394" s="374"/>
      <c r="F394" s="374"/>
      <c r="I394" s="374"/>
      <c r="J394" s="374"/>
      <c r="K394" s="65"/>
      <c r="L394" s="374"/>
      <c r="M394" s="374"/>
      <c r="N394" s="374"/>
      <c r="O394" s="374"/>
      <c r="P394" s="374"/>
      <c r="Q394" s="374"/>
      <c r="R394" s="374"/>
      <c r="S394" s="374"/>
      <c r="T394" s="374"/>
      <c r="U394" s="374"/>
      <c r="V394" s="374"/>
      <c r="W394" s="374"/>
      <c r="X394" s="374"/>
      <c r="Y394" s="65"/>
      <c r="Z394" s="65"/>
    </row>
    <row r="395" ht="15.75" customHeight="1">
      <c r="A395" s="376" t="s">
        <v>390</v>
      </c>
      <c r="B395" s="376" t="s">
        <v>3223</v>
      </c>
      <c r="C395" s="376" t="s">
        <v>3224</v>
      </c>
      <c r="D395" s="374"/>
      <c r="E395" s="374"/>
      <c r="F395" s="374"/>
      <c r="I395" s="374"/>
      <c r="J395" s="374"/>
      <c r="K395" s="65"/>
      <c r="L395" s="374"/>
      <c r="M395" s="374"/>
      <c r="N395" s="374"/>
      <c r="O395" s="374"/>
      <c r="P395" s="374"/>
      <c r="Q395" s="374"/>
      <c r="R395" s="374"/>
      <c r="S395" s="374"/>
      <c r="T395" s="374"/>
      <c r="U395" s="374"/>
      <c r="V395" s="374"/>
      <c r="W395" s="374"/>
      <c r="X395" s="374"/>
      <c r="Y395" s="65"/>
      <c r="Z395" s="65"/>
    </row>
    <row r="396" ht="15.75" customHeight="1">
      <c r="A396" s="376" t="s">
        <v>390</v>
      </c>
      <c r="B396" s="376" t="s">
        <v>3225</v>
      </c>
      <c r="C396" s="376" t="s">
        <v>3226</v>
      </c>
      <c r="D396" s="374"/>
      <c r="E396" s="374"/>
      <c r="F396" s="374"/>
      <c r="I396" s="374"/>
      <c r="J396" s="374"/>
      <c r="K396" s="65"/>
      <c r="L396" s="374"/>
      <c r="M396" s="374"/>
      <c r="N396" s="374"/>
      <c r="O396" s="374"/>
      <c r="P396" s="374"/>
      <c r="Q396" s="374"/>
      <c r="R396" s="374"/>
      <c r="S396" s="374"/>
      <c r="T396" s="374"/>
      <c r="U396" s="374"/>
      <c r="V396" s="374"/>
      <c r="W396" s="374"/>
      <c r="X396" s="374"/>
      <c r="Y396" s="65"/>
      <c r="Z396" s="65"/>
    </row>
    <row r="397" ht="15.75" customHeight="1">
      <c r="A397" s="376" t="s">
        <v>393</v>
      </c>
      <c r="B397" s="376" t="s">
        <v>2791</v>
      </c>
      <c r="C397" s="376" t="s">
        <v>1639</v>
      </c>
      <c r="D397" s="374"/>
      <c r="E397" s="374"/>
      <c r="F397" s="374"/>
      <c r="I397" s="374"/>
      <c r="J397" s="374"/>
      <c r="K397" s="65"/>
      <c r="L397" s="374"/>
      <c r="M397" s="374"/>
      <c r="N397" s="374"/>
      <c r="O397" s="374"/>
      <c r="P397" s="374"/>
      <c r="Q397" s="374"/>
      <c r="R397" s="374"/>
      <c r="S397" s="374"/>
      <c r="T397" s="374"/>
      <c r="U397" s="374"/>
      <c r="V397" s="374"/>
      <c r="W397" s="374"/>
      <c r="X397" s="374"/>
      <c r="Y397" s="65"/>
      <c r="Z397" s="65"/>
    </row>
    <row r="398" ht="15.75" customHeight="1">
      <c r="A398" s="376" t="s">
        <v>393</v>
      </c>
      <c r="B398" s="376" t="s">
        <v>3064</v>
      </c>
      <c r="C398" s="376" t="s">
        <v>3065</v>
      </c>
      <c r="D398" s="374"/>
      <c r="E398" s="374"/>
      <c r="F398" s="374"/>
      <c r="I398" s="374"/>
      <c r="J398" s="374"/>
      <c r="K398" s="65"/>
      <c r="L398" s="374"/>
      <c r="M398" s="374"/>
      <c r="N398" s="374"/>
      <c r="O398" s="374"/>
      <c r="P398" s="374"/>
      <c r="Q398" s="374"/>
      <c r="R398" s="374"/>
      <c r="S398" s="374"/>
      <c r="T398" s="374"/>
      <c r="U398" s="374"/>
      <c r="V398" s="374"/>
      <c r="W398" s="374"/>
      <c r="X398" s="374"/>
      <c r="Y398" s="65"/>
      <c r="Z398" s="65"/>
    </row>
    <row r="399" ht="15.75" customHeight="1">
      <c r="A399" s="376" t="s">
        <v>393</v>
      </c>
      <c r="B399" s="376" t="s">
        <v>2852</v>
      </c>
      <c r="C399" s="376" t="s">
        <v>2853</v>
      </c>
      <c r="D399" s="374"/>
      <c r="E399" s="374"/>
      <c r="F399" s="374"/>
      <c r="I399" s="374"/>
      <c r="J399" s="374"/>
      <c r="K399" s="65"/>
      <c r="L399" s="374"/>
      <c r="M399" s="374"/>
      <c r="N399" s="374"/>
      <c r="O399" s="374"/>
      <c r="P399" s="374"/>
      <c r="Q399" s="374"/>
      <c r="R399" s="374"/>
      <c r="S399" s="374"/>
      <c r="T399" s="374"/>
      <c r="U399" s="374"/>
      <c r="V399" s="374"/>
      <c r="W399" s="374"/>
      <c r="X399" s="374"/>
      <c r="Y399" s="65"/>
      <c r="Z399" s="65"/>
    </row>
    <row r="400" ht="15.75" customHeight="1">
      <c r="A400" s="376" t="s">
        <v>393</v>
      </c>
      <c r="B400" s="376" t="s">
        <v>3227</v>
      </c>
      <c r="C400" s="376" t="s">
        <v>3228</v>
      </c>
      <c r="D400" s="374"/>
      <c r="E400" s="374"/>
      <c r="F400" s="374"/>
      <c r="I400" s="374"/>
      <c r="J400" s="374"/>
      <c r="K400" s="65"/>
      <c r="L400" s="374"/>
      <c r="M400" s="374"/>
      <c r="N400" s="374"/>
      <c r="O400" s="374"/>
      <c r="P400" s="374"/>
      <c r="Q400" s="374"/>
      <c r="R400" s="374"/>
      <c r="S400" s="374"/>
      <c r="T400" s="374"/>
      <c r="U400" s="374"/>
      <c r="V400" s="374"/>
      <c r="W400" s="374"/>
      <c r="X400" s="374"/>
      <c r="Y400" s="65"/>
      <c r="Z400" s="65"/>
    </row>
    <row r="401" ht="15.75" customHeight="1">
      <c r="A401" s="376" t="s">
        <v>393</v>
      </c>
      <c r="B401" s="376" t="s">
        <v>3229</v>
      </c>
      <c r="C401" s="376" t="s">
        <v>3230</v>
      </c>
      <c r="D401" s="374"/>
      <c r="E401" s="374"/>
      <c r="F401" s="374"/>
      <c r="I401" s="374"/>
      <c r="J401" s="374"/>
      <c r="K401" s="65"/>
      <c r="L401" s="374"/>
      <c r="M401" s="374"/>
      <c r="N401" s="374"/>
      <c r="O401" s="374"/>
      <c r="P401" s="374"/>
      <c r="Q401" s="374"/>
      <c r="R401" s="374"/>
      <c r="S401" s="374"/>
      <c r="T401" s="374"/>
      <c r="U401" s="374"/>
      <c r="V401" s="374"/>
      <c r="W401" s="374"/>
      <c r="X401" s="374"/>
      <c r="Y401" s="65"/>
      <c r="Z401" s="65"/>
    </row>
    <row r="402" ht="15.75" customHeight="1">
      <c r="A402" s="376" t="s">
        <v>252</v>
      </c>
      <c r="B402" s="376" t="s">
        <v>2817</v>
      </c>
      <c r="C402" s="376" t="s">
        <v>1647</v>
      </c>
      <c r="D402" s="374"/>
      <c r="E402" s="374"/>
      <c r="F402" s="374"/>
      <c r="I402" s="374"/>
      <c r="J402" s="374"/>
      <c r="K402" s="65"/>
      <c r="L402" s="374"/>
      <c r="M402" s="374"/>
      <c r="N402" s="374"/>
      <c r="O402" s="374"/>
      <c r="P402" s="374"/>
      <c r="Q402" s="374"/>
      <c r="R402" s="374"/>
      <c r="S402" s="374"/>
      <c r="T402" s="374"/>
      <c r="U402" s="374"/>
      <c r="V402" s="374"/>
      <c r="W402" s="374"/>
      <c r="X402" s="374"/>
      <c r="Y402" s="65"/>
      <c r="Z402" s="65"/>
    </row>
    <row r="403" ht="15.75" customHeight="1">
      <c r="A403" s="376" t="s">
        <v>252</v>
      </c>
      <c r="B403" s="376" t="s">
        <v>2849</v>
      </c>
      <c r="C403" s="376" t="s">
        <v>2850</v>
      </c>
      <c r="D403" s="374"/>
      <c r="E403" s="374"/>
      <c r="F403" s="374"/>
      <c r="I403" s="374"/>
      <c r="J403" s="374"/>
      <c r="K403" s="65"/>
      <c r="L403" s="374"/>
      <c r="M403" s="374"/>
      <c r="N403" s="374"/>
      <c r="O403" s="374"/>
      <c r="P403" s="374"/>
      <c r="Q403" s="374"/>
      <c r="R403" s="374"/>
      <c r="S403" s="374"/>
      <c r="T403" s="374"/>
      <c r="U403" s="374"/>
      <c r="V403" s="374"/>
      <c r="W403" s="374"/>
      <c r="X403" s="374"/>
      <c r="Y403" s="65"/>
      <c r="Z403" s="65"/>
    </row>
    <row r="404" ht="15.75" customHeight="1">
      <c r="A404" s="376" t="s">
        <v>252</v>
      </c>
      <c r="B404" s="376" t="s">
        <v>2791</v>
      </c>
      <c r="C404" s="376" t="s">
        <v>1639</v>
      </c>
      <c r="D404" s="374"/>
      <c r="E404" s="374"/>
      <c r="F404" s="374"/>
      <c r="I404" s="374"/>
      <c r="J404" s="374"/>
      <c r="K404" s="65"/>
      <c r="L404" s="374"/>
      <c r="M404" s="374"/>
      <c r="N404" s="374"/>
      <c r="O404" s="374"/>
      <c r="P404" s="374"/>
      <c r="Q404" s="374"/>
      <c r="R404" s="374"/>
      <c r="S404" s="374"/>
      <c r="T404" s="374"/>
      <c r="U404" s="374"/>
      <c r="V404" s="374"/>
      <c r="W404" s="374"/>
      <c r="X404" s="374"/>
      <c r="Y404" s="65"/>
      <c r="Z404" s="65"/>
    </row>
    <row r="405" ht="15.75" customHeight="1">
      <c r="A405" s="376" t="s">
        <v>252</v>
      </c>
      <c r="B405" s="376" t="s">
        <v>2794</v>
      </c>
      <c r="C405" s="376" t="s">
        <v>1642</v>
      </c>
      <c r="D405" s="374"/>
      <c r="E405" s="374"/>
      <c r="F405" s="374"/>
      <c r="I405" s="374"/>
      <c r="J405" s="374"/>
      <c r="K405" s="65"/>
      <c r="L405" s="374"/>
      <c r="M405" s="374"/>
      <c r="N405" s="374"/>
      <c r="O405" s="374"/>
      <c r="P405" s="374"/>
      <c r="Q405" s="374"/>
      <c r="R405" s="374"/>
      <c r="S405" s="374"/>
      <c r="T405" s="374"/>
      <c r="U405" s="374"/>
      <c r="V405" s="374"/>
      <c r="W405" s="374"/>
      <c r="X405" s="374"/>
      <c r="Y405" s="65"/>
      <c r="Z405" s="65"/>
    </row>
    <row r="406" ht="15.75" customHeight="1">
      <c r="A406" s="376" t="s">
        <v>252</v>
      </c>
      <c r="B406" s="376" t="s">
        <v>2796</v>
      </c>
      <c r="C406" s="376" t="s">
        <v>1650</v>
      </c>
      <c r="D406" s="374"/>
      <c r="E406" s="374"/>
      <c r="F406" s="374"/>
      <c r="I406" s="374"/>
      <c r="J406" s="374"/>
      <c r="K406" s="65"/>
      <c r="L406" s="374"/>
      <c r="M406" s="374"/>
      <c r="N406" s="374"/>
      <c r="O406" s="374"/>
      <c r="P406" s="374"/>
      <c r="Q406" s="374"/>
      <c r="R406" s="374"/>
      <c r="S406" s="374"/>
      <c r="T406" s="374"/>
      <c r="U406" s="374"/>
      <c r="V406" s="374"/>
      <c r="W406" s="374"/>
      <c r="X406" s="374"/>
      <c r="Y406" s="65"/>
      <c r="Z406" s="65"/>
    </row>
    <row r="407" ht="15.75" customHeight="1">
      <c r="A407" s="376" t="s">
        <v>252</v>
      </c>
      <c r="B407" s="376" t="s">
        <v>2820</v>
      </c>
      <c r="C407" s="376" t="s">
        <v>1649</v>
      </c>
      <c r="D407" s="374"/>
      <c r="E407" s="374"/>
      <c r="F407" s="374"/>
      <c r="I407" s="374"/>
      <c r="J407" s="374"/>
      <c r="K407" s="65"/>
      <c r="L407" s="374"/>
      <c r="M407" s="374"/>
      <c r="N407" s="374"/>
      <c r="O407" s="374"/>
      <c r="P407" s="374"/>
      <c r="Q407" s="374"/>
      <c r="R407" s="374"/>
      <c r="S407" s="374"/>
      <c r="T407" s="374"/>
      <c r="U407" s="374"/>
      <c r="V407" s="374"/>
      <c r="W407" s="374"/>
      <c r="X407" s="374"/>
      <c r="Y407" s="65"/>
      <c r="Z407" s="65"/>
    </row>
    <row r="408" ht="15.75" customHeight="1">
      <c r="A408" s="376" t="s">
        <v>252</v>
      </c>
      <c r="B408" s="376" t="s">
        <v>2799</v>
      </c>
      <c r="C408" s="376" t="s">
        <v>1641</v>
      </c>
      <c r="D408" s="374"/>
      <c r="E408" s="374"/>
      <c r="F408" s="374"/>
      <c r="I408" s="374"/>
      <c r="J408" s="374"/>
      <c r="K408" s="65"/>
      <c r="L408" s="374"/>
      <c r="M408" s="374"/>
      <c r="N408" s="374"/>
      <c r="O408" s="374"/>
      <c r="P408" s="374"/>
      <c r="Q408" s="374"/>
      <c r="R408" s="374"/>
      <c r="S408" s="374"/>
      <c r="T408" s="374"/>
      <c r="U408" s="374"/>
      <c r="V408" s="374"/>
      <c r="W408" s="374"/>
      <c r="X408" s="374"/>
      <c r="Y408" s="65"/>
      <c r="Z408" s="65"/>
    </row>
    <row r="409" ht="15.75" customHeight="1">
      <c r="A409" s="376" t="s">
        <v>252</v>
      </c>
      <c r="B409" s="376" t="s">
        <v>2789</v>
      </c>
      <c r="C409" s="376" t="s">
        <v>1637</v>
      </c>
      <c r="D409" s="374"/>
      <c r="E409" s="374"/>
      <c r="F409" s="374"/>
      <c r="I409" s="374"/>
      <c r="J409" s="374"/>
      <c r="K409" s="65"/>
      <c r="L409" s="374"/>
      <c r="M409" s="374"/>
      <c r="N409" s="374"/>
      <c r="O409" s="374"/>
      <c r="P409" s="374"/>
      <c r="Q409" s="374"/>
      <c r="R409" s="374"/>
      <c r="S409" s="374"/>
      <c r="T409" s="374"/>
      <c r="U409" s="374"/>
      <c r="V409" s="374"/>
      <c r="W409" s="374"/>
      <c r="X409" s="374"/>
      <c r="Y409" s="65"/>
      <c r="Z409" s="65"/>
    </row>
    <row r="410" ht="15.75" customHeight="1">
      <c r="A410" s="376" t="s">
        <v>252</v>
      </c>
      <c r="B410" s="376" t="s">
        <v>2802</v>
      </c>
      <c r="C410" s="376" t="s">
        <v>1646</v>
      </c>
      <c r="D410" s="374"/>
      <c r="E410" s="374"/>
      <c r="F410" s="374"/>
      <c r="I410" s="374"/>
      <c r="J410" s="374"/>
      <c r="K410" s="65"/>
      <c r="L410" s="374"/>
      <c r="M410" s="374"/>
      <c r="N410" s="374"/>
      <c r="O410" s="374"/>
      <c r="P410" s="374"/>
      <c r="Q410" s="374"/>
      <c r="R410" s="374"/>
      <c r="S410" s="374"/>
      <c r="T410" s="374"/>
      <c r="U410" s="374"/>
      <c r="V410" s="374"/>
      <c r="W410" s="374"/>
      <c r="X410" s="374"/>
      <c r="Y410" s="65"/>
      <c r="Z410" s="65"/>
    </row>
    <row r="411" ht="15.75" customHeight="1">
      <c r="A411" s="376" t="s">
        <v>252</v>
      </c>
      <c r="B411" s="376" t="s">
        <v>2803</v>
      </c>
      <c r="C411" s="376" t="s">
        <v>1651</v>
      </c>
      <c r="D411" s="374"/>
      <c r="E411" s="374"/>
      <c r="F411" s="374"/>
      <c r="I411" s="374"/>
      <c r="J411" s="374"/>
      <c r="K411" s="65"/>
      <c r="L411" s="374"/>
      <c r="M411" s="374"/>
      <c r="N411" s="374"/>
      <c r="O411" s="374"/>
      <c r="P411" s="374"/>
      <c r="Q411" s="374"/>
      <c r="R411" s="374"/>
      <c r="S411" s="374"/>
      <c r="T411" s="374"/>
      <c r="U411" s="374"/>
      <c r="V411" s="374"/>
      <c r="W411" s="374"/>
      <c r="X411" s="374"/>
      <c r="Y411" s="65"/>
      <c r="Z411" s="65"/>
    </row>
    <row r="412" ht="15.75" customHeight="1">
      <c r="A412" s="376" t="s">
        <v>252</v>
      </c>
      <c r="B412" s="376" t="s">
        <v>2797</v>
      </c>
      <c r="C412" s="376" t="s">
        <v>1640</v>
      </c>
      <c r="D412" s="374"/>
      <c r="E412" s="374"/>
      <c r="F412" s="374"/>
      <c r="I412" s="374"/>
      <c r="J412" s="374"/>
      <c r="K412" s="65"/>
      <c r="L412" s="374"/>
      <c r="M412" s="374"/>
      <c r="N412" s="374"/>
      <c r="O412" s="374"/>
      <c r="P412" s="374"/>
      <c r="Q412" s="374"/>
      <c r="R412" s="374"/>
      <c r="S412" s="374"/>
      <c r="T412" s="374"/>
      <c r="U412" s="374"/>
      <c r="V412" s="374"/>
      <c r="W412" s="374"/>
      <c r="X412" s="374"/>
      <c r="Y412" s="65"/>
      <c r="Z412" s="65"/>
    </row>
    <row r="413" ht="15.75" customHeight="1">
      <c r="A413" s="376" t="s">
        <v>252</v>
      </c>
      <c r="B413" s="376" t="s">
        <v>2816</v>
      </c>
      <c r="C413" s="376" t="s">
        <v>1635</v>
      </c>
      <c r="D413" s="374"/>
      <c r="E413" s="374"/>
      <c r="F413" s="374"/>
      <c r="I413" s="374"/>
      <c r="J413" s="374"/>
      <c r="K413" s="65"/>
      <c r="L413" s="374"/>
      <c r="M413" s="374"/>
      <c r="N413" s="374"/>
      <c r="O413" s="374"/>
      <c r="P413" s="374"/>
      <c r="Q413" s="374"/>
      <c r="R413" s="374"/>
      <c r="S413" s="374"/>
      <c r="T413" s="374"/>
      <c r="U413" s="374"/>
      <c r="V413" s="374"/>
      <c r="W413" s="374"/>
      <c r="X413" s="374"/>
      <c r="Y413" s="65"/>
      <c r="Z413" s="65"/>
    </row>
    <row r="414" ht="15.75" customHeight="1">
      <c r="A414" s="376" t="s">
        <v>252</v>
      </c>
      <c r="B414" s="376" t="s">
        <v>2821</v>
      </c>
      <c r="C414" s="376" t="s">
        <v>2822</v>
      </c>
      <c r="D414" s="374"/>
      <c r="E414" s="374"/>
      <c r="F414" s="374"/>
      <c r="I414" s="374"/>
      <c r="J414" s="374"/>
      <c r="K414" s="65"/>
      <c r="L414" s="374"/>
      <c r="M414" s="374"/>
      <c r="N414" s="374"/>
      <c r="O414" s="374"/>
      <c r="P414" s="374"/>
      <c r="Q414" s="374"/>
      <c r="R414" s="374"/>
      <c r="S414" s="374"/>
      <c r="T414" s="374"/>
      <c r="U414" s="374"/>
      <c r="V414" s="374"/>
      <c r="W414" s="374"/>
      <c r="X414" s="374"/>
      <c r="Y414" s="65"/>
      <c r="Z414" s="65"/>
    </row>
    <row r="415" ht="15.75" customHeight="1">
      <c r="A415" s="376" t="s">
        <v>252</v>
      </c>
      <c r="B415" s="376" t="s">
        <v>2823</v>
      </c>
      <c r="C415" s="376" t="s">
        <v>2824</v>
      </c>
      <c r="D415" s="374"/>
      <c r="E415" s="374"/>
      <c r="F415" s="374"/>
      <c r="I415" s="374"/>
      <c r="J415" s="374"/>
      <c r="K415" s="65"/>
      <c r="L415" s="374"/>
      <c r="M415" s="374"/>
      <c r="N415" s="374"/>
      <c r="O415" s="374"/>
      <c r="P415" s="374"/>
      <c r="Q415" s="374"/>
      <c r="R415" s="374"/>
      <c r="S415" s="374"/>
      <c r="T415" s="374"/>
      <c r="U415" s="374"/>
      <c r="V415" s="374"/>
      <c r="W415" s="374"/>
      <c r="X415" s="374"/>
      <c r="Y415" s="65"/>
      <c r="Z415" s="65"/>
    </row>
    <row r="416" ht="15.75" customHeight="1">
      <c r="A416" s="376" t="s">
        <v>252</v>
      </c>
      <c r="B416" s="376" t="s">
        <v>2826</v>
      </c>
      <c r="C416" s="376" t="s">
        <v>2827</v>
      </c>
      <c r="D416" s="374"/>
      <c r="E416" s="374"/>
      <c r="F416" s="374"/>
      <c r="I416" s="374"/>
      <c r="J416" s="374"/>
      <c r="K416" s="65"/>
      <c r="L416" s="374"/>
      <c r="M416" s="374"/>
      <c r="N416" s="374"/>
      <c r="O416" s="374"/>
      <c r="P416" s="374"/>
      <c r="Q416" s="374"/>
      <c r="R416" s="374"/>
      <c r="S416" s="374"/>
      <c r="T416" s="374"/>
      <c r="U416" s="374"/>
      <c r="V416" s="374"/>
      <c r="W416" s="374"/>
      <c r="X416" s="374"/>
      <c r="Y416" s="65"/>
      <c r="Z416" s="65"/>
    </row>
    <row r="417" ht="15.75" customHeight="1">
      <c r="A417" s="376" t="s">
        <v>252</v>
      </c>
      <c r="B417" s="376" t="s">
        <v>2808</v>
      </c>
      <c r="C417" s="376" t="s">
        <v>1644</v>
      </c>
      <c r="D417" s="374"/>
      <c r="E417" s="374"/>
      <c r="F417" s="374"/>
      <c r="I417" s="374"/>
      <c r="J417" s="374"/>
      <c r="K417" s="65"/>
      <c r="L417" s="374"/>
      <c r="M417" s="374"/>
      <c r="N417" s="374"/>
      <c r="O417" s="374"/>
      <c r="P417" s="374"/>
      <c r="Q417" s="374"/>
      <c r="R417" s="374"/>
      <c r="S417" s="374"/>
      <c r="T417" s="374"/>
      <c r="U417" s="374"/>
      <c r="V417" s="374"/>
      <c r="W417" s="374"/>
      <c r="X417" s="374"/>
      <c r="Y417" s="65"/>
      <c r="Z417" s="65"/>
    </row>
    <row r="418" ht="15.75" customHeight="1">
      <c r="A418" s="376" t="s">
        <v>252</v>
      </c>
      <c r="B418" s="376" t="s">
        <v>2804</v>
      </c>
      <c r="C418" s="376" t="s">
        <v>1636</v>
      </c>
      <c r="D418" s="374"/>
      <c r="E418" s="374"/>
      <c r="F418" s="374"/>
      <c r="I418" s="374"/>
      <c r="J418" s="374"/>
      <c r="K418" s="65"/>
      <c r="L418" s="374"/>
      <c r="M418" s="374"/>
      <c r="N418" s="374"/>
      <c r="O418" s="374"/>
      <c r="P418" s="374"/>
      <c r="Q418" s="374"/>
      <c r="R418" s="374"/>
      <c r="S418" s="374"/>
      <c r="T418" s="374"/>
      <c r="U418" s="374"/>
      <c r="V418" s="374"/>
      <c r="W418" s="374"/>
      <c r="X418" s="374"/>
      <c r="Y418" s="65"/>
      <c r="Z418" s="65"/>
    </row>
    <row r="419" ht="15.75" customHeight="1">
      <c r="A419" s="376" t="s">
        <v>252</v>
      </c>
      <c r="B419" s="376" t="s">
        <v>3026</v>
      </c>
      <c r="C419" s="376" t="s">
        <v>3027</v>
      </c>
      <c r="D419" s="374"/>
      <c r="E419" s="374"/>
      <c r="F419" s="374"/>
      <c r="I419" s="374"/>
      <c r="J419" s="374"/>
      <c r="K419" s="65"/>
      <c r="L419" s="374"/>
      <c r="M419" s="374"/>
      <c r="N419" s="374"/>
      <c r="O419" s="374"/>
      <c r="P419" s="374"/>
      <c r="Q419" s="374"/>
      <c r="R419" s="374"/>
      <c r="S419" s="374"/>
      <c r="T419" s="374"/>
      <c r="U419" s="374"/>
      <c r="V419" s="374"/>
      <c r="W419" s="374"/>
      <c r="X419" s="374"/>
      <c r="Y419" s="65"/>
      <c r="Z419" s="65"/>
    </row>
    <row r="420" ht="15.75" customHeight="1">
      <c r="A420" s="376" t="s">
        <v>336</v>
      </c>
      <c r="B420" s="376" t="s">
        <v>2817</v>
      </c>
      <c r="C420" s="376" t="s">
        <v>1647</v>
      </c>
      <c r="D420" s="374"/>
      <c r="E420" s="374"/>
      <c r="F420" s="374"/>
      <c r="I420" s="374"/>
      <c r="J420" s="374"/>
      <c r="K420" s="65"/>
      <c r="L420" s="374"/>
      <c r="M420" s="374"/>
      <c r="N420" s="374"/>
      <c r="O420" s="374"/>
      <c r="P420" s="374"/>
      <c r="Q420" s="374"/>
      <c r="R420" s="374"/>
      <c r="S420" s="374"/>
      <c r="T420" s="374"/>
      <c r="U420" s="374"/>
      <c r="V420" s="374"/>
      <c r="W420" s="374"/>
      <c r="X420" s="374"/>
      <c r="Y420" s="65"/>
      <c r="Z420" s="65"/>
    </row>
    <row r="421" ht="15.75" customHeight="1">
      <c r="A421" s="376" t="s">
        <v>336</v>
      </c>
      <c r="B421" s="376" t="s">
        <v>2796</v>
      </c>
      <c r="C421" s="376" t="s">
        <v>1650</v>
      </c>
      <c r="D421" s="374"/>
      <c r="E421" s="374"/>
      <c r="F421" s="374"/>
      <c r="I421" s="374"/>
      <c r="J421" s="374"/>
      <c r="K421" s="65"/>
      <c r="L421" s="374"/>
      <c r="M421" s="374"/>
      <c r="N421" s="374"/>
      <c r="O421" s="374"/>
      <c r="P421" s="374"/>
      <c r="Q421" s="374"/>
      <c r="R421" s="374"/>
      <c r="S421" s="374"/>
      <c r="T421" s="374"/>
      <c r="U421" s="374"/>
      <c r="V421" s="374"/>
      <c r="W421" s="374"/>
      <c r="X421" s="374"/>
      <c r="Y421" s="65"/>
      <c r="Z421" s="65"/>
    </row>
    <row r="422" ht="15.75" customHeight="1">
      <c r="A422" s="376" t="s">
        <v>336</v>
      </c>
      <c r="B422" s="376" t="s">
        <v>3231</v>
      </c>
      <c r="C422" s="376" t="s">
        <v>3232</v>
      </c>
      <c r="D422" s="374"/>
      <c r="E422" s="374"/>
      <c r="F422" s="374"/>
      <c r="I422" s="374"/>
      <c r="J422" s="374"/>
      <c r="K422" s="65"/>
      <c r="L422" s="374"/>
      <c r="M422" s="374"/>
      <c r="N422" s="374"/>
      <c r="O422" s="374"/>
      <c r="P422" s="374"/>
      <c r="Q422" s="374"/>
      <c r="R422" s="374"/>
      <c r="S422" s="374"/>
      <c r="T422" s="374"/>
      <c r="U422" s="374"/>
      <c r="V422" s="374"/>
      <c r="W422" s="374"/>
      <c r="X422" s="374"/>
      <c r="Y422" s="65"/>
      <c r="Z422" s="65"/>
    </row>
    <row r="423" ht="15.75" customHeight="1">
      <c r="A423" s="376" t="s">
        <v>336</v>
      </c>
      <c r="B423" s="376" t="s">
        <v>2789</v>
      </c>
      <c r="C423" s="376" t="s">
        <v>1637</v>
      </c>
      <c r="D423" s="374"/>
      <c r="E423" s="374"/>
      <c r="F423" s="374"/>
      <c r="I423" s="374"/>
      <c r="J423" s="374"/>
      <c r="K423" s="65"/>
      <c r="L423" s="374"/>
      <c r="M423" s="374"/>
      <c r="N423" s="374"/>
      <c r="O423" s="374"/>
      <c r="P423" s="374"/>
      <c r="Q423" s="374"/>
      <c r="R423" s="374"/>
      <c r="S423" s="374"/>
      <c r="T423" s="374"/>
      <c r="U423" s="374"/>
      <c r="V423" s="374"/>
      <c r="W423" s="374"/>
      <c r="X423" s="374"/>
      <c r="Y423" s="65"/>
      <c r="Z423" s="65"/>
    </row>
    <row r="424" ht="15.75" customHeight="1">
      <c r="A424" s="376" t="s">
        <v>336</v>
      </c>
      <c r="B424" s="376" t="s">
        <v>2802</v>
      </c>
      <c r="C424" s="376" t="s">
        <v>1646</v>
      </c>
      <c r="D424" s="374"/>
      <c r="E424" s="374"/>
      <c r="F424" s="374"/>
      <c r="I424" s="374"/>
      <c r="J424" s="374"/>
      <c r="K424" s="65"/>
      <c r="L424" s="374"/>
      <c r="M424" s="374"/>
      <c r="N424" s="374"/>
      <c r="O424" s="374"/>
      <c r="P424" s="374"/>
      <c r="Q424" s="374"/>
      <c r="R424" s="374"/>
      <c r="S424" s="374"/>
      <c r="T424" s="374"/>
      <c r="U424" s="374"/>
      <c r="V424" s="374"/>
      <c r="W424" s="374"/>
      <c r="X424" s="374"/>
      <c r="Y424" s="65"/>
      <c r="Z424" s="65"/>
    </row>
    <row r="425" ht="15.75" customHeight="1">
      <c r="A425" s="376" t="s">
        <v>336</v>
      </c>
      <c r="B425" s="376" t="s">
        <v>2803</v>
      </c>
      <c r="C425" s="376" t="s">
        <v>1651</v>
      </c>
      <c r="D425" s="374"/>
      <c r="E425" s="374"/>
      <c r="F425" s="374"/>
      <c r="I425" s="374"/>
      <c r="J425" s="374"/>
      <c r="K425" s="65"/>
      <c r="L425" s="374"/>
      <c r="M425" s="374"/>
      <c r="N425" s="374"/>
      <c r="O425" s="374"/>
      <c r="P425" s="374"/>
      <c r="Q425" s="374"/>
      <c r="R425" s="374"/>
      <c r="S425" s="374"/>
      <c r="T425" s="374"/>
      <c r="U425" s="374"/>
      <c r="V425" s="374"/>
      <c r="W425" s="374"/>
      <c r="X425" s="374"/>
      <c r="Y425" s="65"/>
      <c r="Z425" s="65"/>
    </row>
    <row r="426" ht="15.75" customHeight="1">
      <c r="A426" s="376" t="s">
        <v>336</v>
      </c>
      <c r="B426" s="376" t="s">
        <v>2877</v>
      </c>
      <c r="C426" s="376" t="s">
        <v>2878</v>
      </c>
      <c r="D426" s="374"/>
      <c r="E426" s="374"/>
      <c r="F426" s="374"/>
      <c r="I426" s="374"/>
      <c r="J426" s="374"/>
      <c r="K426" s="65"/>
      <c r="L426" s="374"/>
      <c r="M426" s="374"/>
      <c r="N426" s="374"/>
      <c r="O426" s="374"/>
      <c r="P426" s="374"/>
      <c r="Q426" s="374"/>
      <c r="R426" s="374"/>
      <c r="S426" s="374"/>
      <c r="T426" s="374"/>
      <c r="U426" s="374"/>
      <c r="V426" s="374"/>
      <c r="W426" s="374"/>
      <c r="X426" s="374"/>
      <c r="Y426" s="65"/>
      <c r="Z426" s="65"/>
    </row>
    <row r="427" ht="15.75" customHeight="1">
      <c r="A427" s="376" t="s">
        <v>336</v>
      </c>
      <c r="B427" s="376" t="s">
        <v>3030</v>
      </c>
      <c r="C427" s="376" t="s">
        <v>3031</v>
      </c>
      <c r="D427" s="374"/>
      <c r="E427" s="374"/>
      <c r="F427" s="374"/>
      <c r="I427" s="374"/>
      <c r="J427" s="374"/>
      <c r="K427" s="65"/>
      <c r="L427" s="374"/>
      <c r="M427" s="374"/>
      <c r="N427" s="374"/>
      <c r="O427" s="374"/>
      <c r="P427" s="374"/>
      <c r="Q427" s="374"/>
      <c r="R427" s="374"/>
      <c r="S427" s="374"/>
      <c r="T427" s="374"/>
      <c r="U427" s="374"/>
      <c r="V427" s="374"/>
      <c r="W427" s="374"/>
      <c r="X427" s="374"/>
      <c r="Y427" s="65"/>
      <c r="Z427" s="65"/>
    </row>
    <row r="428" ht="15.75" customHeight="1">
      <c r="A428" s="376" t="s">
        <v>336</v>
      </c>
      <c r="B428" s="376" t="s">
        <v>3233</v>
      </c>
      <c r="C428" s="376" t="s">
        <v>3234</v>
      </c>
      <c r="D428" s="374"/>
      <c r="E428" s="374"/>
      <c r="F428" s="374"/>
      <c r="I428" s="374"/>
      <c r="J428" s="374"/>
      <c r="K428" s="65"/>
      <c r="L428" s="374"/>
      <c r="M428" s="374"/>
      <c r="N428" s="374"/>
      <c r="O428" s="374"/>
      <c r="P428" s="374"/>
      <c r="Q428" s="374"/>
      <c r="R428" s="374"/>
      <c r="S428" s="374"/>
      <c r="T428" s="374"/>
      <c r="U428" s="374"/>
      <c r="V428" s="374"/>
      <c r="W428" s="374"/>
      <c r="X428" s="374"/>
      <c r="Y428" s="65"/>
      <c r="Z428" s="65"/>
    </row>
    <row r="429" ht="15.75" customHeight="1">
      <c r="A429" s="376" t="s">
        <v>336</v>
      </c>
      <c r="B429" s="376" t="s">
        <v>2922</v>
      </c>
      <c r="C429" s="376" t="s">
        <v>2923</v>
      </c>
      <c r="D429" s="374"/>
      <c r="E429" s="374"/>
      <c r="F429" s="374"/>
      <c r="I429" s="374"/>
      <c r="J429" s="374"/>
      <c r="K429" s="65"/>
      <c r="L429" s="374"/>
      <c r="M429" s="374"/>
      <c r="N429" s="374"/>
      <c r="O429" s="374"/>
      <c r="P429" s="374"/>
      <c r="Q429" s="374"/>
      <c r="R429" s="374"/>
      <c r="S429" s="374"/>
      <c r="T429" s="374"/>
      <c r="U429" s="374"/>
      <c r="V429" s="374"/>
      <c r="W429" s="374"/>
      <c r="X429" s="374"/>
      <c r="Y429" s="65"/>
      <c r="Z429" s="65"/>
    </row>
    <row r="430" ht="15.75" customHeight="1">
      <c r="A430" s="376" t="s">
        <v>336</v>
      </c>
      <c r="B430" s="376" t="s">
        <v>2909</v>
      </c>
      <c r="C430" s="376" t="s">
        <v>2910</v>
      </c>
      <c r="D430" s="374"/>
      <c r="E430" s="374"/>
      <c r="F430" s="374"/>
      <c r="I430" s="374"/>
      <c r="J430" s="374"/>
      <c r="K430" s="65"/>
      <c r="L430" s="374"/>
      <c r="M430" s="374"/>
      <c r="N430" s="374"/>
      <c r="O430" s="374"/>
      <c r="P430" s="374"/>
      <c r="Q430" s="374"/>
      <c r="R430" s="374"/>
      <c r="S430" s="374"/>
      <c r="T430" s="374"/>
      <c r="U430" s="374"/>
      <c r="V430" s="374"/>
      <c r="W430" s="374"/>
      <c r="X430" s="374"/>
      <c r="Y430" s="65"/>
      <c r="Z430" s="65"/>
    </row>
    <row r="431" ht="15.75" customHeight="1">
      <c r="A431" s="376" t="s">
        <v>336</v>
      </c>
      <c r="B431" s="376" t="s">
        <v>2797</v>
      </c>
      <c r="C431" s="376" t="s">
        <v>1640</v>
      </c>
      <c r="D431" s="374"/>
      <c r="E431" s="374"/>
      <c r="F431" s="374"/>
      <c r="I431" s="374"/>
      <c r="J431" s="374"/>
      <c r="K431" s="65"/>
      <c r="L431" s="374"/>
      <c r="M431" s="374"/>
      <c r="N431" s="374"/>
      <c r="O431" s="374"/>
      <c r="P431" s="374"/>
      <c r="Q431" s="374"/>
      <c r="R431" s="374"/>
      <c r="S431" s="374"/>
      <c r="T431" s="374"/>
      <c r="U431" s="374"/>
      <c r="V431" s="374"/>
      <c r="W431" s="374"/>
      <c r="X431" s="374"/>
      <c r="Y431" s="65"/>
      <c r="Z431" s="65"/>
    </row>
    <row r="432" ht="15.75" customHeight="1">
      <c r="A432" s="376" t="s">
        <v>336</v>
      </c>
      <c r="B432" s="376" t="s">
        <v>3235</v>
      </c>
      <c r="C432" s="376" t="s">
        <v>3236</v>
      </c>
      <c r="D432" s="374"/>
      <c r="E432" s="374"/>
      <c r="F432" s="374"/>
      <c r="I432" s="374"/>
      <c r="J432" s="374"/>
      <c r="K432" s="65"/>
      <c r="L432" s="374"/>
      <c r="M432" s="374"/>
      <c r="N432" s="374"/>
      <c r="O432" s="374"/>
      <c r="P432" s="374"/>
      <c r="Q432" s="374"/>
      <c r="R432" s="374"/>
      <c r="S432" s="374"/>
      <c r="T432" s="374"/>
      <c r="U432" s="374"/>
      <c r="V432" s="374"/>
      <c r="W432" s="374"/>
      <c r="X432" s="374"/>
      <c r="Y432" s="65"/>
      <c r="Z432" s="65"/>
    </row>
    <row r="433" ht="15.75" customHeight="1">
      <c r="A433" s="376" t="s">
        <v>336</v>
      </c>
      <c r="B433" s="376" t="s">
        <v>2823</v>
      </c>
      <c r="C433" s="376" t="s">
        <v>2824</v>
      </c>
      <c r="D433" s="374"/>
      <c r="E433" s="374"/>
      <c r="F433" s="374"/>
      <c r="I433" s="374"/>
      <c r="J433" s="374"/>
      <c r="K433" s="65"/>
      <c r="L433" s="374"/>
      <c r="M433" s="374"/>
      <c r="N433" s="374"/>
      <c r="O433" s="374"/>
      <c r="P433" s="374"/>
      <c r="Q433" s="374"/>
      <c r="R433" s="374"/>
      <c r="S433" s="374"/>
      <c r="T433" s="374"/>
      <c r="U433" s="374"/>
      <c r="V433" s="374"/>
      <c r="W433" s="374"/>
      <c r="X433" s="374"/>
      <c r="Y433" s="65"/>
      <c r="Z433" s="65"/>
    </row>
    <row r="434" ht="15.75" customHeight="1">
      <c r="A434" s="65"/>
      <c r="B434" s="65"/>
      <c r="C434" s="65"/>
      <c r="D434" s="65"/>
      <c r="E434" s="65"/>
      <c r="F434" s="65"/>
      <c r="I434" s="65"/>
      <c r="J434" s="65"/>
      <c r="K434" s="65"/>
      <c r="L434" s="65"/>
      <c r="M434" s="65"/>
      <c r="N434" s="65"/>
      <c r="O434" s="65"/>
      <c r="P434" s="65"/>
      <c r="Q434" s="65"/>
      <c r="R434" s="65"/>
      <c r="S434" s="65"/>
      <c r="T434" s="65"/>
      <c r="U434" s="65"/>
      <c r="V434" s="65"/>
      <c r="W434" s="65"/>
      <c r="X434" s="65"/>
      <c r="Y434" s="65"/>
      <c r="Z434" s="65"/>
    </row>
    <row r="435" ht="15.75" customHeight="1">
      <c r="A435" s="65"/>
      <c r="B435" s="65"/>
      <c r="C435" s="65"/>
      <c r="D435" s="65"/>
      <c r="E435" s="65"/>
      <c r="F435" s="65"/>
      <c r="I435" s="65"/>
      <c r="J435" s="65"/>
      <c r="K435" s="65"/>
      <c r="L435" s="65"/>
      <c r="M435" s="65"/>
      <c r="N435" s="65"/>
      <c r="O435" s="65"/>
      <c r="P435" s="65"/>
      <c r="Q435" s="65"/>
      <c r="R435" s="65"/>
      <c r="S435" s="65"/>
      <c r="T435" s="65"/>
      <c r="U435" s="65"/>
      <c r="V435" s="65"/>
      <c r="W435" s="65"/>
      <c r="X435" s="65"/>
      <c r="Y435" s="65"/>
      <c r="Z435" s="65"/>
    </row>
    <row r="436" ht="15.75" customHeight="1">
      <c r="A436" s="65"/>
      <c r="B436" s="65"/>
      <c r="C436" s="65"/>
      <c r="D436" s="65"/>
      <c r="E436" s="65"/>
      <c r="F436" s="65"/>
      <c r="I436" s="65"/>
      <c r="J436" s="65"/>
      <c r="K436" s="65"/>
      <c r="L436" s="65"/>
      <c r="M436" s="65"/>
      <c r="N436" s="65"/>
      <c r="O436" s="65"/>
      <c r="P436" s="65"/>
      <c r="Q436" s="65"/>
      <c r="R436" s="65"/>
      <c r="S436" s="65"/>
      <c r="T436" s="65"/>
      <c r="U436" s="65"/>
      <c r="V436" s="65"/>
      <c r="W436" s="65"/>
      <c r="X436" s="65"/>
      <c r="Y436" s="65"/>
      <c r="Z436" s="65"/>
    </row>
    <row r="437" ht="15.75" customHeight="1">
      <c r="A437" s="65"/>
      <c r="B437" s="65"/>
      <c r="C437" s="65"/>
      <c r="D437" s="65"/>
      <c r="E437" s="65"/>
      <c r="F437" s="65"/>
      <c r="I437" s="65"/>
      <c r="J437" s="65"/>
      <c r="K437" s="65"/>
      <c r="L437" s="65"/>
      <c r="M437" s="65"/>
      <c r="N437" s="65"/>
      <c r="O437" s="65"/>
      <c r="P437" s="65"/>
      <c r="Q437" s="65"/>
      <c r="R437" s="65"/>
      <c r="S437" s="65"/>
      <c r="T437" s="65"/>
      <c r="U437" s="65"/>
      <c r="V437" s="65"/>
      <c r="W437" s="65"/>
      <c r="X437" s="65"/>
      <c r="Y437" s="65"/>
      <c r="Z437" s="65"/>
    </row>
    <row r="438" ht="15.75" customHeight="1">
      <c r="A438" s="65"/>
      <c r="B438" s="65"/>
      <c r="C438" s="65"/>
      <c r="D438" s="65"/>
      <c r="E438" s="65"/>
      <c r="F438" s="65"/>
      <c r="I438" s="65"/>
      <c r="J438" s="65"/>
      <c r="K438" s="65"/>
      <c r="L438" s="65"/>
      <c r="M438" s="65"/>
      <c r="N438" s="65"/>
      <c r="O438" s="65"/>
      <c r="P438" s="65"/>
      <c r="Q438" s="65"/>
      <c r="R438" s="65"/>
      <c r="S438" s="65"/>
      <c r="T438" s="65"/>
      <c r="U438" s="65"/>
      <c r="V438" s="65"/>
      <c r="W438" s="65"/>
      <c r="X438" s="65"/>
      <c r="Y438" s="65"/>
      <c r="Z438" s="65"/>
    </row>
    <row r="439" ht="15.75" customHeight="1">
      <c r="A439" s="65"/>
      <c r="B439" s="65"/>
      <c r="C439" s="65"/>
      <c r="D439" s="65"/>
      <c r="E439" s="65"/>
      <c r="F439" s="65"/>
      <c r="I439" s="65"/>
      <c r="J439" s="65"/>
      <c r="K439" s="65"/>
      <c r="L439" s="65"/>
      <c r="M439" s="65"/>
      <c r="N439" s="65"/>
      <c r="O439" s="65"/>
      <c r="P439" s="65"/>
      <c r="Q439" s="65"/>
      <c r="R439" s="65"/>
      <c r="S439" s="65"/>
      <c r="T439" s="65"/>
      <c r="U439" s="65"/>
      <c r="V439" s="65"/>
      <c r="W439" s="65"/>
      <c r="X439" s="65"/>
      <c r="Y439" s="65"/>
      <c r="Z439" s="65"/>
    </row>
    <row r="440" ht="15.75" customHeight="1">
      <c r="A440" s="65"/>
      <c r="B440" s="65"/>
      <c r="C440" s="65"/>
      <c r="D440" s="65"/>
      <c r="E440" s="65"/>
      <c r="F440" s="65"/>
      <c r="I440" s="65"/>
      <c r="J440" s="65"/>
      <c r="K440" s="65"/>
      <c r="L440" s="65"/>
      <c r="M440" s="65"/>
      <c r="N440" s="65"/>
      <c r="O440" s="65"/>
      <c r="P440" s="65"/>
      <c r="Q440" s="65"/>
      <c r="R440" s="65"/>
      <c r="S440" s="65"/>
      <c r="T440" s="65"/>
      <c r="U440" s="65"/>
      <c r="V440" s="65"/>
      <c r="W440" s="65"/>
      <c r="X440" s="65"/>
      <c r="Y440" s="65"/>
      <c r="Z440" s="65"/>
    </row>
    <row r="441" ht="15.75" customHeight="1">
      <c r="A441" s="65"/>
      <c r="B441" s="65"/>
      <c r="C441" s="65"/>
      <c r="D441" s="65"/>
      <c r="E441" s="65"/>
      <c r="F441" s="65"/>
      <c r="I441" s="65"/>
      <c r="J441" s="65"/>
      <c r="K441" s="65"/>
      <c r="L441" s="65"/>
      <c r="M441" s="65"/>
      <c r="N441" s="65"/>
      <c r="O441" s="65"/>
      <c r="P441" s="65"/>
      <c r="Q441" s="65"/>
      <c r="R441" s="65"/>
      <c r="S441" s="65"/>
      <c r="T441" s="65"/>
      <c r="U441" s="65"/>
      <c r="V441" s="65"/>
      <c r="W441" s="65"/>
      <c r="X441" s="65"/>
      <c r="Y441" s="65"/>
      <c r="Z441" s="65"/>
    </row>
    <row r="442" ht="15.75" customHeight="1">
      <c r="A442" s="65"/>
      <c r="B442" s="65"/>
      <c r="C442" s="65"/>
      <c r="D442" s="65"/>
      <c r="E442" s="65"/>
      <c r="F442" s="65"/>
      <c r="I442" s="65"/>
      <c r="J442" s="65"/>
      <c r="K442" s="65"/>
      <c r="L442" s="65"/>
      <c r="M442" s="65"/>
      <c r="N442" s="65"/>
      <c r="O442" s="65"/>
      <c r="P442" s="65"/>
      <c r="Q442" s="65"/>
      <c r="R442" s="65"/>
      <c r="S442" s="65"/>
      <c r="T442" s="65"/>
      <c r="U442" s="65"/>
      <c r="V442" s="65"/>
      <c r="W442" s="65"/>
      <c r="X442" s="65"/>
      <c r="Y442" s="65"/>
      <c r="Z442" s="65"/>
    </row>
    <row r="443" ht="15.75" customHeight="1">
      <c r="A443" s="65"/>
      <c r="B443" s="65"/>
      <c r="C443" s="65"/>
      <c r="D443" s="65"/>
      <c r="E443" s="65"/>
      <c r="F443" s="65"/>
      <c r="I443" s="65"/>
      <c r="J443" s="65"/>
      <c r="K443" s="65"/>
      <c r="L443" s="65"/>
      <c r="M443" s="65"/>
      <c r="N443" s="65"/>
      <c r="O443" s="65"/>
      <c r="P443" s="65"/>
      <c r="Q443" s="65"/>
      <c r="R443" s="65"/>
      <c r="S443" s="65"/>
      <c r="T443" s="65"/>
      <c r="U443" s="65"/>
      <c r="V443" s="65"/>
      <c r="W443" s="65"/>
      <c r="X443" s="65"/>
      <c r="Y443" s="65"/>
      <c r="Z443" s="65"/>
    </row>
    <row r="444" ht="15.75" customHeight="1">
      <c r="A444" s="65"/>
      <c r="B444" s="65"/>
      <c r="C444" s="65"/>
      <c r="D444" s="65"/>
      <c r="E444" s="65"/>
      <c r="F444" s="65"/>
      <c r="I444" s="65"/>
      <c r="J444" s="65"/>
      <c r="K444" s="65"/>
      <c r="L444" s="65"/>
      <c r="M444" s="65"/>
      <c r="N444" s="65"/>
      <c r="O444" s="65"/>
      <c r="P444" s="65"/>
      <c r="Q444" s="65"/>
      <c r="R444" s="65"/>
      <c r="S444" s="65"/>
      <c r="T444" s="65"/>
      <c r="U444" s="65"/>
      <c r="V444" s="65"/>
      <c r="W444" s="65"/>
      <c r="X444" s="65"/>
      <c r="Y444" s="65"/>
      <c r="Z444" s="65"/>
    </row>
    <row r="445" ht="15.75" customHeight="1">
      <c r="A445" s="65"/>
      <c r="B445" s="65"/>
      <c r="C445" s="65"/>
      <c r="D445" s="65"/>
      <c r="E445" s="65"/>
      <c r="F445" s="65"/>
      <c r="I445" s="65"/>
      <c r="J445" s="65"/>
      <c r="K445" s="65"/>
      <c r="L445" s="65"/>
      <c r="M445" s="65"/>
      <c r="N445" s="65"/>
      <c r="O445" s="65"/>
      <c r="P445" s="65"/>
      <c r="Q445" s="65"/>
      <c r="R445" s="65"/>
      <c r="S445" s="65"/>
      <c r="T445" s="65"/>
      <c r="U445" s="65"/>
      <c r="V445" s="65"/>
      <c r="W445" s="65"/>
      <c r="X445" s="65"/>
      <c r="Y445" s="65"/>
      <c r="Z445" s="65"/>
    </row>
    <row r="446" ht="15.75" customHeight="1">
      <c r="A446" s="65"/>
      <c r="B446" s="65"/>
      <c r="C446" s="65"/>
      <c r="D446" s="65"/>
      <c r="E446" s="65"/>
      <c r="F446" s="65"/>
      <c r="I446" s="65"/>
      <c r="J446" s="65"/>
      <c r="K446" s="65"/>
      <c r="L446" s="65"/>
      <c r="M446" s="65"/>
      <c r="N446" s="65"/>
      <c r="O446" s="65"/>
      <c r="P446" s="65"/>
      <c r="Q446" s="65"/>
      <c r="R446" s="65"/>
      <c r="S446" s="65"/>
      <c r="T446" s="65"/>
      <c r="U446" s="65"/>
      <c r="V446" s="65"/>
      <c r="W446" s="65"/>
      <c r="X446" s="65"/>
      <c r="Y446" s="65"/>
      <c r="Z446" s="65"/>
    </row>
    <row r="447" ht="15.75" customHeight="1">
      <c r="A447" s="65"/>
      <c r="B447" s="65"/>
      <c r="C447" s="65"/>
      <c r="D447" s="65"/>
      <c r="E447" s="65"/>
      <c r="F447" s="65"/>
      <c r="I447" s="65"/>
      <c r="J447" s="65"/>
      <c r="K447" s="65"/>
      <c r="L447" s="65"/>
      <c r="M447" s="65"/>
      <c r="N447" s="65"/>
      <c r="O447" s="65"/>
      <c r="P447" s="65"/>
      <c r="Q447" s="65"/>
      <c r="R447" s="65"/>
      <c r="S447" s="65"/>
      <c r="T447" s="65"/>
      <c r="U447" s="65"/>
      <c r="V447" s="65"/>
      <c r="W447" s="65"/>
      <c r="X447" s="65"/>
      <c r="Y447" s="65"/>
      <c r="Z447" s="65"/>
    </row>
    <row r="448" ht="15.75" customHeight="1">
      <c r="A448" s="65"/>
      <c r="B448" s="65"/>
      <c r="C448" s="65"/>
      <c r="D448" s="65"/>
      <c r="E448" s="65"/>
      <c r="F448" s="65"/>
      <c r="I448" s="65"/>
      <c r="J448" s="65"/>
      <c r="K448" s="65"/>
      <c r="L448" s="65"/>
      <c r="M448" s="65"/>
      <c r="N448" s="65"/>
      <c r="O448" s="65"/>
      <c r="P448" s="65"/>
      <c r="Q448" s="65"/>
      <c r="R448" s="65"/>
      <c r="S448" s="65"/>
      <c r="T448" s="65"/>
      <c r="U448" s="65"/>
      <c r="V448" s="65"/>
      <c r="W448" s="65"/>
      <c r="X448" s="65"/>
      <c r="Y448" s="65"/>
      <c r="Z448" s="65"/>
    </row>
    <row r="449" ht="15.75" customHeight="1">
      <c r="A449" s="65"/>
      <c r="B449" s="65"/>
      <c r="C449" s="65"/>
      <c r="D449" s="65"/>
      <c r="E449" s="65"/>
      <c r="F449" s="65"/>
      <c r="I449" s="65"/>
      <c r="J449" s="65"/>
      <c r="K449" s="65"/>
      <c r="L449" s="65"/>
      <c r="M449" s="65"/>
      <c r="N449" s="65"/>
      <c r="O449" s="65"/>
      <c r="P449" s="65"/>
      <c r="Q449" s="65"/>
      <c r="R449" s="65"/>
      <c r="S449" s="65"/>
      <c r="T449" s="65"/>
      <c r="U449" s="65"/>
      <c r="V449" s="65"/>
      <c r="W449" s="65"/>
      <c r="X449" s="65"/>
      <c r="Y449" s="65"/>
      <c r="Z449" s="65"/>
    </row>
    <row r="450" ht="15.75" customHeight="1">
      <c r="A450" s="65"/>
      <c r="B450" s="65"/>
      <c r="C450" s="65"/>
      <c r="D450" s="65"/>
      <c r="E450" s="65"/>
      <c r="F450" s="65"/>
      <c r="I450" s="65"/>
      <c r="J450" s="65"/>
      <c r="K450" s="65"/>
      <c r="L450" s="65"/>
      <c r="M450" s="65"/>
      <c r="N450" s="65"/>
      <c r="O450" s="65"/>
      <c r="P450" s="65"/>
      <c r="Q450" s="65"/>
      <c r="R450" s="65"/>
      <c r="S450" s="65"/>
      <c r="T450" s="65"/>
      <c r="U450" s="65"/>
      <c r="V450" s="65"/>
      <c r="W450" s="65"/>
      <c r="X450" s="65"/>
      <c r="Y450" s="65"/>
      <c r="Z450" s="65"/>
    </row>
    <row r="451" ht="15.75" customHeight="1">
      <c r="A451" s="65"/>
      <c r="B451" s="65"/>
      <c r="C451" s="65"/>
      <c r="D451" s="65"/>
      <c r="E451" s="65"/>
      <c r="F451" s="65"/>
      <c r="I451" s="65"/>
      <c r="J451" s="65"/>
      <c r="K451" s="65"/>
      <c r="L451" s="65"/>
      <c r="M451" s="65"/>
      <c r="N451" s="65"/>
      <c r="O451" s="65"/>
      <c r="P451" s="65"/>
      <c r="Q451" s="65"/>
      <c r="R451" s="65"/>
      <c r="S451" s="65"/>
      <c r="T451" s="65"/>
      <c r="U451" s="65"/>
      <c r="V451" s="65"/>
      <c r="W451" s="65"/>
      <c r="X451" s="65"/>
      <c r="Y451" s="65"/>
      <c r="Z451" s="65"/>
    </row>
    <row r="452" ht="15.75" customHeight="1">
      <c r="A452" s="65"/>
      <c r="B452" s="65"/>
      <c r="C452" s="65"/>
      <c r="D452" s="65"/>
      <c r="E452" s="65"/>
      <c r="F452" s="65"/>
      <c r="I452" s="65"/>
      <c r="J452" s="65"/>
      <c r="K452" s="65"/>
      <c r="L452" s="65"/>
      <c r="M452" s="65"/>
      <c r="N452" s="65"/>
      <c r="O452" s="65"/>
      <c r="P452" s="65"/>
      <c r="Q452" s="65"/>
      <c r="R452" s="65"/>
      <c r="S452" s="65"/>
      <c r="T452" s="65"/>
      <c r="U452" s="65"/>
      <c r="V452" s="65"/>
      <c r="W452" s="65"/>
      <c r="X452" s="65"/>
      <c r="Y452" s="65"/>
      <c r="Z452" s="65"/>
    </row>
    <row r="453" ht="15.75" customHeight="1">
      <c r="A453" s="65"/>
      <c r="B453" s="65"/>
      <c r="C453" s="65"/>
      <c r="D453" s="65"/>
      <c r="E453" s="65"/>
      <c r="F453" s="65"/>
      <c r="I453" s="65"/>
      <c r="J453" s="65"/>
      <c r="K453" s="65"/>
      <c r="L453" s="65"/>
      <c r="M453" s="65"/>
      <c r="N453" s="65"/>
      <c r="O453" s="65"/>
      <c r="P453" s="65"/>
      <c r="Q453" s="65"/>
      <c r="R453" s="65"/>
      <c r="S453" s="65"/>
      <c r="T453" s="65"/>
      <c r="U453" s="65"/>
      <c r="V453" s="65"/>
      <c r="W453" s="65"/>
      <c r="X453" s="65"/>
      <c r="Y453" s="65"/>
      <c r="Z453" s="65"/>
    </row>
    <row r="454" ht="15.75" customHeight="1">
      <c r="A454" s="65"/>
      <c r="B454" s="65"/>
      <c r="C454" s="65"/>
      <c r="D454" s="65"/>
      <c r="E454" s="65"/>
      <c r="F454" s="65"/>
      <c r="I454" s="65"/>
      <c r="J454" s="65"/>
      <c r="K454" s="65"/>
      <c r="L454" s="65"/>
      <c r="M454" s="65"/>
      <c r="N454" s="65"/>
      <c r="O454" s="65"/>
      <c r="P454" s="65"/>
      <c r="Q454" s="65"/>
      <c r="R454" s="65"/>
      <c r="S454" s="65"/>
      <c r="T454" s="65"/>
      <c r="U454" s="65"/>
      <c r="V454" s="65"/>
      <c r="W454" s="65"/>
      <c r="X454" s="65"/>
      <c r="Y454" s="65"/>
      <c r="Z454" s="65"/>
    </row>
    <row r="455" ht="15.75" customHeight="1">
      <c r="A455" s="65"/>
      <c r="B455" s="65"/>
      <c r="C455" s="65"/>
      <c r="D455" s="65"/>
      <c r="E455" s="65"/>
      <c r="F455" s="65"/>
      <c r="I455" s="65"/>
      <c r="J455" s="65"/>
      <c r="K455" s="65"/>
      <c r="L455" s="65"/>
      <c r="M455" s="65"/>
      <c r="N455" s="65"/>
      <c r="O455" s="65"/>
      <c r="P455" s="65"/>
      <c r="Q455" s="65"/>
      <c r="R455" s="65"/>
      <c r="S455" s="65"/>
      <c r="T455" s="65"/>
      <c r="U455" s="65"/>
      <c r="V455" s="65"/>
      <c r="W455" s="65"/>
      <c r="X455" s="65"/>
      <c r="Y455" s="65"/>
      <c r="Z455" s="65"/>
    </row>
    <row r="456" ht="15.75" customHeight="1">
      <c r="A456" s="65"/>
      <c r="B456" s="65"/>
      <c r="C456" s="65"/>
      <c r="D456" s="65"/>
      <c r="E456" s="65"/>
      <c r="F456" s="65"/>
      <c r="I456" s="65"/>
      <c r="J456" s="65"/>
      <c r="K456" s="65"/>
      <c r="L456" s="65"/>
      <c r="M456" s="65"/>
      <c r="N456" s="65"/>
      <c r="O456" s="65"/>
      <c r="P456" s="65"/>
      <c r="Q456" s="65"/>
      <c r="R456" s="65"/>
      <c r="S456" s="65"/>
      <c r="T456" s="65"/>
      <c r="U456" s="65"/>
      <c r="V456" s="65"/>
      <c r="W456" s="65"/>
      <c r="X456" s="65"/>
      <c r="Y456" s="65"/>
      <c r="Z456" s="65"/>
    </row>
    <row r="457" ht="15.75" customHeight="1">
      <c r="A457" s="65"/>
      <c r="B457" s="65"/>
      <c r="C457" s="65"/>
      <c r="D457" s="65"/>
      <c r="E457" s="65"/>
      <c r="F457" s="65"/>
      <c r="I457" s="65"/>
      <c r="J457" s="65"/>
      <c r="K457" s="65"/>
      <c r="L457" s="65"/>
      <c r="M457" s="65"/>
      <c r="N457" s="65"/>
      <c r="O457" s="65"/>
      <c r="P457" s="65"/>
      <c r="Q457" s="65"/>
      <c r="R457" s="65"/>
      <c r="S457" s="65"/>
      <c r="T457" s="65"/>
      <c r="U457" s="65"/>
      <c r="V457" s="65"/>
      <c r="W457" s="65"/>
      <c r="X457" s="65"/>
      <c r="Y457" s="65"/>
      <c r="Z457" s="65"/>
    </row>
    <row r="458" ht="15.75" customHeight="1">
      <c r="A458" s="65"/>
      <c r="B458" s="65"/>
      <c r="C458" s="65"/>
      <c r="D458" s="65"/>
      <c r="E458" s="65"/>
      <c r="F458" s="65"/>
      <c r="I458" s="65"/>
      <c r="J458" s="65"/>
      <c r="K458" s="65"/>
      <c r="L458" s="65"/>
      <c r="M458" s="65"/>
      <c r="N458" s="65"/>
      <c r="O458" s="65"/>
      <c r="P458" s="65"/>
      <c r="Q458" s="65"/>
      <c r="R458" s="65"/>
      <c r="S458" s="65"/>
      <c r="T458" s="65"/>
      <c r="U458" s="65"/>
      <c r="V458" s="65"/>
      <c r="W458" s="65"/>
      <c r="X458" s="65"/>
      <c r="Y458" s="65"/>
      <c r="Z458" s="65"/>
    </row>
    <row r="459" ht="15.75" customHeight="1">
      <c r="A459" s="65"/>
      <c r="B459" s="65"/>
      <c r="C459" s="65"/>
      <c r="D459" s="65"/>
      <c r="E459" s="65"/>
      <c r="F459" s="65"/>
      <c r="I459" s="65"/>
      <c r="J459" s="65"/>
      <c r="K459" s="65"/>
      <c r="L459" s="65"/>
      <c r="M459" s="65"/>
      <c r="N459" s="65"/>
      <c r="O459" s="65"/>
      <c r="P459" s="65"/>
      <c r="Q459" s="65"/>
      <c r="R459" s="65"/>
      <c r="S459" s="65"/>
      <c r="T459" s="65"/>
      <c r="U459" s="65"/>
      <c r="V459" s="65"/>
      <c r="W459" s="65"/>
      <c r="X459" s="65"/>
      <c r="Y459" s="65"/>
      <c r="Z459" s="65"/>
    </row>
    <row r="460" ht="15.75" customHeight="1">
      <c r="A460" s="65"/>
      <c r="B460" s="65"/>
      <c r="C460" s="65"/>
      <c r="D460" s="65"/>
      <c r="E460" s="65"/>
      <c r="F460" s="65"/>
      <c r="I460" s="65"/>
      <c r="J460" s="65"/>
      <c r="K460" s="65"/>
      <c r="L460" s="65"/>
      <c r="M460" s="65"/>
      <c r="N460" s="65"/>
      <c r="O460" s="65"/>
      <c r="P460" s="65"/>
      <c r="Q460" s="65"/>
      <c r="R460" s="65"/>
      <c r="S460" s="65"/>
      <c r="T460" s="65"/>
      <c r="U460" s="65"/>
      <c r="V460" s="65"/>
      <c r="W460" s="65"/>
      <c r="X460" s="65"/>
      <c r="Y460" s="65"/>
      <c r="Z460" s="65"/>
    </row>
    <row r="461" ht="15.75" customHeight="1">
      <c r="A461" s="65"/>
      <c r="B461" s="65"/>
      <c r="C461" s="65"/>
      <c r="D461" s="65"/>
      <c r="E461" s="65"/>
      <c r="F461" s="65"/>
      <c r="I461" s="65"/>
      <c r="J461" s="65"/>
      <c r="K461" s="65"/>
      <c r="L461" s="65"/>
      <c r="M461" s="65"/>
      <c r="N461" s="65"/>
      <c r="O461" s="65"/>
      <c r="P461" s="65"/>
      <c r="Q461" s="65"/>
      <c r="R461" s="65"/>
      <c r="S461" s="65"/>
      <c r="T461" s="65"/>
      <c r="U461" s="65"/>
      <c r="V461" s="65"/>
      <c r="W461" s="65"/>
      <c r="X461" s="65"/>
      <c r="Y461" s="65"/>
      <c r="Z461" s="65"/>
    </row>
    <row r="462" ht="15.75" customHeight="1">
      <c r="A462" s="65"/>
      <c r="B462" s="65"/>
      <c r="C462" s="65"/>
      <c r="D462" s="65"/>
      <c r="E462" s="65"/>
      <c r="F462" s="65"/>
      <c r="I462" s="65"/>
      <c r="J462" s="65"/>
      <c r="K462" s="65"/>
      <c r="L462" s="65"/>
      <c r="M462" s="65"/>
      <c r="N462" s="65"/>
      <c r="O462" s="65"/>
      <c r="P462" s="65"/>
      <c r="Q462" s="65"/>
      <c r="R462" s="65"/>
      <c r="S462" s="65"/>
      <c r="T462" s="65"/>
      <c r="U462" s="65"/>
      <c r="V462" s="65"/>
      <c r="W462" s="65"/>
      <c r="X462" s="65"/>
      <c r="Y462" s="65"/>
      <c r="Z462" s="65"/>
    </row>
    <row r="463" ht="15.75" customHeight="1">
      <c r="A463" s="65"/>
      <c r="B463" s="65"/>
      <c r="C463" s="65"/>
      <c r="D463" s="65"/>
      <c r="E463" s="65"/>
      <c r="F463" s="65"/>
      <c r="I463" s="65"/>
      <c r="J463" s="65"/>
      <c r="K463" s="65"/>
      <c r="L463" s="65"/>
      <c r="M463" s="65"/>
      <c r="N463" s="65"/>
      <c r="O463" s="65"/>
      <c r="P463" s="65"/>
      <c r="Q463" s="65"/>
      <c r="R463" s="65"/>
      <c r="S463" s="65"/>
      <c r="T463" s="65"/>
      <c r="U463" s="65"/>
      <c r="V463" s="65"/>
      <c r="W463" s="65"/>
      <c r="X463" s="65"/>
      <c r="Y463" s="65"/>
      <c r="Z463" s="65"/>
    </row>
    <row r="464" ht="15.75" customHeight="1">
      <c r="A464" s="65"/>
      <c r="B464" s="65"/>
      <c r="C464" s="65"/>
      <c r="D464" s="65"/>
      <c r="E464" s="65"/>
      <c r="F464" s="65"/>
      <c r="I464" s="65"/>
      <c r="J464" s="65"/>
      <c r="K464" s="65"/>
      <c r="L464" s="65"/>
      <c r="M464" s="65"/>
      <c r="N464" s="65"/>
      <c r="O464" s="65"/>
      <c r="P464" s="65"/>
      <c r="Q464" s="65"/>
      <c r="R464" s="65"/>
      <c r="S464" s="65"/>
      <c r="T464" s="65"/>
      <c r="U464" s="65"/>
      <c r="V464" s="65"/>
      <c r="W464" s="65"/>
      <c r="X464" s="65"/>
      <c r="Y464" s="65"/>
      <c r="Z464" s="65"/>
    </row>
    <row r="465" ht="15.75" customHeight="1">
      <c r="A465" s="65"/>
      <c r="B465" s="65"/>
      <c r="C465" s="65"/>
      <c r="D465" s="65"/>
      <c r="E465" s="65"/>
      <c r="F465" s="65"/>
      <c r="I465" s="65"/>
      <c r="J465" s="65"/>
      <c r="K465" s="65"/>
      <c r="L465" s="65"/>
      <c r="M465" s="65"/>
      <c r="N465" s="65"/>
      <c r="O465" s="65"/>
      <c r="P465" s="65"/>
      <c r="Q465" s="65"/>
      <c r="R465" s="65"/>
      <c r="S465" s="65"/>
      <c r="T465" s="65"/>
      <c r="U465" s="65"/>
      <c r="V465" s="65"/>
      <c r="W465" s="65"/>
      <c r="X465" s="65"/>
      <c r="Y465" s="65"/>
      <c r="Z465" s="65"/>
    </row>
    <row r="466" ht="15.75" customHeight="1">
      <c r="A466" s="65"/>
      <c r="B466" s="65"/>
      <c r="C466" s="65"/>
      <c r="D466" s="65"/>
      <c r="E466" s="65"/>
      <c r="F466" s="65"/>
      <c r="I466" s="65"/>
      <c r="J466" s="65"/>
      <c r="K466" s="65"/>
      <c r="L466" s="65"/>
      <c r="M466" s="65"/>
      <c r="N466" s="65"/>
      <c r="O466" s="65"/>
      <c r="P466" s="65"/>
      <c r="Q466" s="65"/>
      <c r="R466" s="65"/>
      <c r="S466" s="65"/>
      <c r="T466" s="65"/>
      <c r="U466" s="65"/>
      <c r="V466" s="65"/>
      <c r="W466" s="65"/>
      <c r="X466" s="65"/>
      <c r="Y466" s="65"/>
      <c r="Z466" s="65"/>
    </row>
    <row r="467" ht="15.75" customHeight="1">
      <c r="A467" s="65"/>
      <c r="B467" s="65"/>
      <c r="C467" s="65"/>
      <c r="D467" s="65"/>
      <c r="E467" s="65"/>
      <c r="F467" s="65"/>
      <c r="I467" s="65"/>
      <c r="J467" s="65"/>
      <c r="K467" s="65"/>
      <c r="L467" s="65"/>
      <c r="M467" s="65"/>
      <c r="N467" s="65"/>
      <c r="O467" s="65"/>
      <c r="P467" s="65"/>
      <c r="Q467" s="65"/>
      <c r="R467" s="65"/>
      <c r="S467" s="65"/>
      <c r="T467" s="65"/>
      <c r="U467" s="65"/>
      <c r="V467" s="65"/>
      <c r="W467" s="65"/>
      <c r="X467" s="65"/>
      <c r="Y467" s="65"/>
      <c r="Z467" s="65"/>
    </row>
    <row r="468" ht="15.75" customHeight="1">
      <c r="A468" s="65"/>
      <c r="B468" s="65"/>
      <c r="C468" s="65"/>
      <c r="D468" s="65"/>
      <c r="E468" s="65"/>
      <c r="F468" s="65"/>
      <c r="I468" s="65"/>
      <c r="J468" s="65"/>
      <c r="K468" s="65"/>
      <c r="L468" s="65"/>
      <c r="M468" s="65"/>
      <c r="N468" s="65"/>
      <c r="O468" s="65"/>
      <c r="P468" s="65"/>
      <c r="Q468" s="65"/>
      <c r="R468" s="65"/>
      <c r="S468" s="65"/>
      <c r="T468" s="65"/>
      <c r="U468" s="65"/>
      <c r="V468" s="65"/>
      <c r="W468" s="65"/>
      <c r="X468" s="65"/>
      <c r="Y468" s="65"/>
      <c r="Z468" s="65"/>
    </row>
    <row r="469" ht="15.75" customHeight="1">
      <c r="A469" s="65"/>
      <c r="B469" s="65"/>
      <c r="C469" s="65"/>
      <c r="D469" s="65"/>
      <c r="E469" s="65"/>
      <c r="F469" s="65"/>
      <c r="I469" s="65"/>
      <c r="J469" s="65"/>
      <c r="K469" s="65"/>
      <c r="L469" s="65"/>
      <c r="M469" s="65"/>
      <c r="N469" s="65"/>
      <c r="O469" s="65"/>
      <c r="P469" s="65"/>
      <c r="Q469" s="65"/>
      <c r="R469" s="65"/>
      <c r="S469" s="65"/>
      <c r="T469" s="65"/>
      <c r="U469" s="65"/>
      <c r="V469" s="65"/>
      <c r="W469" s="65"/>
      <c r="X469" s="65"/>
      <c r="Y469" s="65"/>
      <c r="Z469" s="65"/>
    </row>
    <row r="470" ht="15.75" customHeight="1">
      <c r="A470" s="65"/>
      <c r="B470" s="65"/>
      <c r="C470" s="65"/>
      <c r="D470" s="65"/>
      <c r="E470" s="65"/>
      <c r="F470" s="65"/>
      <c r="I470" s="65"/>
      <c r="J470" s="65"/>
      <c r="K470" s="65"/>
      <c r="L470" s="65"/>
      <c r="M470" s="65"/>
      <c r="N470" s="65"/>
      <c r="O470" s="65"/>
      <c r="P470" s="65"/>
      <c r="Q470" s="65"/>
      <c r="R470" s="65"/>
      <c r="S470" s="65"/>
      <c r="T470" s="65"/>
      <c r="U470" s="65"/>
      <c r="V470" s="65"/>
      <c r="W470" s="65"/>
      <c r="X470" s="65"/>
      <c r="Y470" s="65"/>
      <c r="Z470" s="65"/>
    </row>
    <row r="471" ht="15.75" customHeight="1">
      <c r="A471" s="65"/>
      <c r="B471" s="65"/>
      <c r="C471" s="65"/>
      <c r="D471" s="65"/>
      <c r="E471" s="65"/>
      <c r="F471" s="65"/>
      <c r="I471" s="65"/>
      <c r="J471" s="65"/>
      <c r="K471" s="65"/>
      <c r="L471" s="65"/>
      <c r="M471" s="65"/>
      <c r="N471" s="65"/>
      <c r="O471" s="65"/>
      <c r="P471" s="65"/>
      <c r="Q471" s="65"/>
      <c r="R471" s="65"/>
      <c r="S471" s="65"/>
      <c r="T471" s="65"/>
      <c r="U471" s="65"/>
      <c r="V471" s="65"/>
      <c r="W471" s="65"/>
      <c r="X471" s="65"/>
      <c r="Y471" s="65"/>
      <c r="Z471" s="65"/>
    </row>
    <row r="472" ht="15.75" customHeight="1">
      <c r="A472" s="65"/>
      <c r="B472" s="65"/>
      <c r="C472" s="65"/>
      <c r="D472" s="65"/>
      <c r="E472" s="65"/>
      <c r="F472" s="65"/>
      <c r="I472" s="65"/>
      <c r="J472" s="65"/>
      <c r="K472" s="65"/>
      <c r="L472" s="65"/>
      <c r="M472" s="65"/>
      <c r="N472" s="65"/>
      <c r="O472" s="65"/>
      <c r="P472" s="65"/>
      <c r="Q472" s="65"/>
      <c r="R472" s="65"/>
      <c r="S472" s="65"/>
      <c r="T472" s="65"/>
      <c r="U472" s="65"/>
      <c r="V472" s="65"/>
      <c r="W472" s="65"/>
      <c r="X472" s="65"/>
      <c r="Y472" s="65"/>
      <c r="Z472" s="65"/>
    </row>
    <row r="473" ht="15.75" customHeight="1">
      <c r="A473" s="65"/>
      <c r="B473" s="65"/>
      <c r="C473" s="65"/>
      <c r="D473" s="65"/>
      <c r="E473" s="65"/>
      <c r="F473" s="65"/>
      <c r="I473" s="65"/>
      <c r="J473" s="65"/>
      <c r="K473" s="65"/>
      <c r="L473" s="65"/>
      <c r="M473" s="65"/>
      <c r="N473" s="65"/>
      <c r="O473" s="65"/>
      <c r="P473" s="65"/>
      <c r="Q473" s="65"/>
      <c r="R473" s="65"/>
      <c r="S473" s="65"/>
      <c r="T473" s="65"/>
      <c r="U473" s="65"/>
      <c r="V473" s="65"/>
      <c r="W473" s="65"/>
      <c r="X473" s="65"/>
      <c r="Y473" s="65"/>
      <c r="Z473" s="65"/>
    </row>
    <row r="474" ht="15.75" customHeight="1">
      <c r="A474" s="65"/>
      <c r="B474" s="65"/>
      <c r="C474" s="65"/>
      <c r="D474" s="65"/>
      <c r="E474" s="65"/>
      <c r="F474" s="65"/>
      <c r="I474" s="65"/>
      <c r="J474" s="65"/>
      <c r="K474" s="65"/>
      <c r="L474" s="65"/>
      <c r="M474" s="65"/>
      <c r="N474" s="65"/>
      <c r="O474" s="65"/>
      <c r="P474" s="65"/>
      <c r="Q474" s="65"/>
      <c r="R474" s="65"/>
      <c r="S474" s="65"/>
      <c r="T474" s="65"/>
      <c r="U474" s="65"/>
      <c r="V474" s="65"/>
      <c r="W474" s="65"/>
      <c r="X474" s="65"/>
      <c r="Y474" s="65"/>
      <c r="Z474" s="65"/>
    </row>
    <row r="475" ht="15.75" customHeight="1">
      <c r="A475" s="65"/>
      <c r="B475" s="65"/>
      <c r="C475" s="65"/>
      <c r="D475" s="65"/>
      <c r="E475" s="65"/>
      <c r="F475" s="65"/>
      <c r="I475" s="65"/>
      <c r="J475" s="65"/>
      <c r="K475" s="65"/>
      <c r="L475" s="65"/>
      <c r="M475" s="65"/>
      <c r="N475" s="65"/>
      <c r="O475" s="65"/>
      <c r="P475" s="65"/>
      <c r="Q475" s="65"/>
      <c r="R475" s="65"/>
      <c r="S475" s="65"/>
      <c r="T475" s="65"/>
      <c r="U475" s="65"/>
      <c r="V475" s="65"/>
      <c r="W475" s="65"/>
      <c r="X475" s="65"/>
      <c r="Y475" s="65"/>
      <c r="Z475" s="65"/>
    </row>
    <row r="476" ht="15.75" customHeight="1">
      <c r="A476" s="65"/>
      <c r="B476" s="65"/>
      <c r="C476" s="65"/>
      <c r="D476" s="65"/>
      <c r="E476" s="65"/>
      <c r="F476" s="65"/>
      <c r="I476" s="65"/>
      <c r="J476" s="65"/>
      <c r="K476" s="65"/>
      <c r="L476" s="65"/>
      <c r="M476" s="65"/>
      <c r="N476" s="65"/>
      <c r="O476" s="65"/>
      <c r="P476" s="65"/>
      <c r="Q476" s="65"/>
      <c r="R476" s="65"/>
      <c r="S476" s="65"/>
      <c r="T476" s="65"/>
      <c r="U476" s="65"/>
      <c r="V476" s="65"/>
      <c r="W476" s="65"/>
      <c r="X476" s="65"/>
      <c r="Y476" s="65"/>
      <c r="Z476" s="65"/>
    </row>
    <row r="477" ht="15.75" customHeight="1">
      <c r="A477" s="65"/>
      <c r="B477" s="65"/>
      <c r="C477" s="65"/>
      <c r="D477" s="65"/>
      <c r="E477" s="65"/>
      <c r="F477" s="65"/>
      <c r="I477" s="65"/>
      <c r="J477" s="65"/>
      <c r="K477" s="65"/>
      <c r="L477" s="65"/>
      <c r="M477" s="65"/>
      <c r="N477" s="65"/>
      <c r="O477" s="65"/>
      <c r="P477" s="65"/>
      <c r="Q477" s="65"/>
      <c r="R477" s="65"/>
      <c r="S477" s="65"/>
      <c r="T477" s="65"/>
      <c r="U477" s="65"/>
      <c r="V477" s="65"/>
      <c r="W477" s="65"/>
      <c r="X477" s="65"/>
      <c r="Y477" s="65"/>
      <c r="Z477" s="65"/>
    </row>
    <row r="478" ht="15.75" customHeight="1">
      <c r="A478" s="65"/>
      <c r="B478" s="65"/>
      <c r="C478" s="65"/>
      <c r="D478" s="65"/>
      <c r="E478" s="65"/>
      <c r="F478" s="65"/>
      <c r="I478" s="65"/>
      <c r="J478" s="65"/>
      <c r="K478" s="65"/>
      <c r="L478" s="65"/>
      <c r="M478" s="65"/>
      <c r="N478" s="65"/>
      <c r="O478" s="65"/>
      <c r="P478" s="65"/>
      <c r="Q478" s="65"/>
      <c r="R478" s="65"/>
      <c r="S478" s="65"/>
      <c r="T478" s="65"/>
      <c r="U478" s="65"/>
      <c r="V478" s="65"/>
      <c r="W478" s="65"/>
      <c r="X478" s="65"/>
      <c r="Y478" s="65"/>
      <c r="Z478" s="65"/>
    </row>
    <row r="479" ht="15.75" customHeight="1">
      <c r="A479" s="65"/>
      <c r="B479" s="65"/>
      <c r="C479" s="65"/>
      <c r="D479" s="65"/>
      <c r="E479" s="65"/>
      <c r="F479" s="65"/>
      <c r="I479" s="65"/>
      <c r="J479" s="65"/>
      <c r="K479" s="65"/>
      <c r="L479" s="65"/>
      <c r="M479" s="65"/>
      <c r="N479" s="65"/>
      <c r="O479" s="65"/>
      <c r="P479" s="65"/>
      <c r="Q479" s="65"/>
      <c r="R479" s="65"/>
      <c r="S479" s="65"/>
      <c r="T479" s="65"/>
      <c r="U479" s="65"/>
      <c r="V479" s="65"/>
      <c r="W479" s="65"/>
      <c r="X479" s="65"/>
      <c r="Y479" s="65"/>
      <c r="Z479" s="65"/>
    </row>
    <row r="480" ht="15.75" customHeight="1">
      <c r="A480" s="65"/>
      <c r="B480" s="65"/>
      <c r="C480" s="65"/>
      <c r="D480" s="65"/>
      <c r="E480" s="65"/>
      <c r="F480" s="65"/>
      <c r="I480" s="65"/>
      <c r="J480" s="65"/>
      <c r="K480" s="65"/>
      <c r="L480" s="65"/>
      <c r="M480" s="65"/>
      <c r="N480" s="65"/>
      <c r="O480" s="65"/>
      <c r="P480" s="65"/>
      <c r="Q480" s="65"/>
      <c r="R480" s="65"/>
      <c r="S480" s="65"/>
      <c r="T480" s="65"/>
      <c r="U480" s="65"/>
      <c r="V480" s="65"/>
      <c r="W480" s="65"/>
      <c r="X480" s="65"/>
      <c r="Y480" s="65"/>
      <c r="Z480" s="65"/>
    </row>
    <row r="481" ht="15.75" customHeight="1">
      <c r="A481" s="65"/>
      <c r="B481" s="65"/>
      <c r="C481" s="65"/>
      <c r="D481" s="65"/>
      <c r="E481" s="65"/>
      <c r="F481" s="65"/>
      <c r="I481" s="65"/>
      <c r="J481" s="65"/>
      <c r="K481" s="65"/>
      <c r="L481" s="65"/>
      <c r="M481" s="65"/>
      <c r="N481" s="65"/>
      <c r="O481" s="65"/>
      <c r="P481" s="65"/>
      <c r="Q481" s="65"/>
      <c r="R481" s="65"/>
      <c r="S481" s="65"/>
      <c r="T481" s="65"/>
      <c r="U481" s="65"/>
      <c r="V481" s="65"/>
      <c r="W481" s="65"/>
      <c r="X481" s="65"/>
      <c r="Y481" s="65"/>
      <c r="Z481" s="65"/>
    </row>
    <row r="482" ht="15.75" customHeight="1">
      <c r="A482" s="65"/>
      <c r="B482" s="65"/>
      <c r="C482" s="65"/>
      <c r="D482" s="65"/>
      <c r="E482" s="65"/>
      <c r="F482" s="65"/>
      <c r="I482" s="65"/>
      <c r="J482" s="65"/>
      <c r="K482" s="65"/>
      <c r="L482" s="65"/>
      <c r="M482" s="65"/>
      <c r="N482" s="65"/>
      <c r="O482" s="65"/>
      <c r="P482" s="65"/>
      <c r="Q482" s="65"/>
      <c r="R482" s="65"/>
      <c r="S482" s="65"/>
      <c r="T482" s="65"/>
      <c r="U482" s="65"/>
      <c r="V482" s="65"/>
      <c r="W482" s="65"/>
      <c r="X482" s="65"/>
      <c r="Y482" s="65"/>
      <c r="Z482" s="65"/>
    </row>
    <row r="483" ht="15.75" customHeight="1">
      <c r="A483" s="65"/>
      <c r="B483" s="65"/>
      <c r="C483" s="65"/>
      <c r="D483" s="65"/>
      <c r="E483" s="65"/>
      <c r="F483" s="65"/>
      <c r="I483" s="65"/>
      <c r="J483" s="65"/>
      <c r="K483" s="65"/>
      <c r="L483" s="65"/>
      <c r="M483" s="65"/>
      <c r="N483" s="65"/>
      <c r="O483" s="65"/>
      <c r="P483" s="65"/>
      <c r="Q483" s="65"/>
      <c r="R483" s="65"/>
      <c r="S483" s="65"/>
      <c r="T483" s="65"/>
      <c r="U483" s="65"/>
      <c r="V483" s="65"/>
      <c r="W483" s="65"/>
      <c r="X483" s="65"/>
      <c r="Y483" s="65"/>
      <c r="Z483" s="65"/>
    </row>
    <row r="484" ht="15.75" customHeight="1">
      <c r="A484" s="65"/>
      <c r="B484" s="65"/>
      <c r="C484" s="65"/>
      <c r="D484" s="65"/>
      <c r="E484" s="65"/>
      <c r="F484" s="65"/>
      <c r="I484" s="65"/>
      <c r="J484" s="65"/>
      <c r="K484" s="65"/>
      <c r="L484" s="65"/>
      <c r="M484" s="65"/>
      <c r="N484" s="65"/>
      <c r="O484" s="65"/>
      <c r="P484" s="65"/>
      <c r="Q484" s="65"/>
      <c r="R484" s="65"/>
      <c r="S484" s="65"/>
      <c r="T484" s="65"/>
      <c r="U484" s="65"/>
      <c r="V484" s="65"/>
      <c r="W484" s="65"/>
      <c r="X484" s="65"/>
      <c r="Y484" s="65"/>
      <c r="Z484" s="65"/>
    </row>
    <row r="485" ht="15.75" customHeight="1">
      <c r="A485" s="65"/>
      <c r="B485" s="65"/>
      <c r="C485" s="65"/>
      <c r="D485" s="65"/>
      <c r="E485" s="65"/>
      <c r="F485" s="65"/>
      <c r="I485" s="65"/>
      <c r="J485" s="65"/>
      <c r="K485" s="65"/>
      <c r="L485" s="65"/>
      <c r="M485" s="65"/>
      <c r="N485" s="65"/>
      <c r="O485" s="65"/>
      <c r="P485" s="65"/>
      <c r="Q485" s="65"/>
      <c r="R485" s="65"/>
      <c r="S485" s="65"/>
      <c r="T485" s="65"/>
      <c r="U485" s="65"/>
      <c r="V485" s="65"/>
      <c r="W485" s="65"/>
      <c r="X485" s="65"/>
      <c r="Y485" s="65"/>
      <c r="Z485" s="65"/>
    </row>
    <row r="486" ht="15.75" customHeight="1">
      <c r="A486" s="65"/>
      <c r="B486" s="65"/>
      <c r="C486" s="65"/>
      <c r="D486" s="65"/>
      <c r="E486" s="65"/>
      <c r="F486" s="65"/>
      <c r="I486" s="65"/>
      <c r="J486" s="65"/>
      <c r="K486" s="65"/>
      <c r="L486" s="65"/>
      <c r="M486" s="65"/>
      <c r="N486" s="65"/>
      <c r="O486" s="65"/>
      <c r="P486" s="65"/>
      <c r="Q486" s="65"/>
      <c r="R486" s="65"/>
      <c r="S486" s="65"/>
      <c r="T486" s="65"/>
      <c r="U486" s="65"/>
      <c r="V486" s="65"/>
      <c r="W486" s="65"/>
      <c r="X486" s="65"/>
      <c r="Y486" s="65"/>
      <c r="Z486" s="65"/>
    </row>
    <row r="487" ht="15.75" customHeight="1">
      <c r="A487" s="65"/>
      <c r="B487" s="65"/>
      <c r="C487" s="65"/>
      <c r="D487" s="65"/>
      <c r="E487" s="65"/>
      <c r="F487" s="65"/>
      <c r="I487" s="65"/>
      <c r="J487" s="65"/>
      <c r="K487" s="65"/>
      <c r="L487" s="65"/>
      <c r="M487" s="65"/>
      <c r="N487" s="65"/>
      <c r="O487" s="65"/>
      <c r="P487" s="65"/>
      <c r="Q487" s="65"/>
      <c r="R487" s="65"/>
      <c r="S487" s="65"/>
      <c r="T487" s="65"/>
      <c r="U487" s="65"/>
      <c r="V487" s="65"/>
      <c r="W487" s="65"/>
      <c r="X487" s="65"/>
      <c r="Y487" s="65"/>
      <c r="Z487" s="65"/>
    </row>
    <row r="488" ht="15.75" customHeight="1">
      <c r="A488" s="65"/>
      <c r="B488" s="65"/>
      <c r="C488" s="65"/>
      <c r="D488" s="65"/>
      <c r="E488" s="65"/>
      <c r="F488" s="65"/>
      <c r="I488" s="65"/>
      <c r="J488" s="65"/>
      <c r="K488" s="65"/>
      <c r="L488" s="65"/>
      <c r="M488" s="65"/>
      <c r="N488" s="65"/>
      <c r="O488" s="65"/>
      <c r="P488" s="65"/>
      <c r="Q488" s="65"/>
      <c r="R488" s="65"/>
      <c r="S488" s="65"/>
      <c r="T488" s="65"/>
      <c r="U488" s="65"/>
      <c r="V488" s="65"/>
      <c r="W488" s="65"/>
      <c r="X488" s="65"/>
      <c r="Y488" s="65"/>
      <c r="Z488" s="65"/>
    </row>
    <row r="489" ht="15.75" customHeight="1">
      <c r="A489" s="65"/>
      <c r="B489" s="65"/>
      <c r="C489" s="65"/>
      <c r="D489" s="65"/>
      <c r="E489" s="65"/>
      <c r="F489" s="65"/>
      <c r="I489" s="65"/>
      <c r="J489" s="65"/>
      <c r="K489" s="65"/>
      <c r="L489" s="65"/>
      <c r="M489" s="65"/>
      <c r="N489" s="65"/>
      <c r="O489" s="65"/>
      <c r="P489" s="65"/>
      <c r="Q489" s="65"/>
      <c r="R489" s="65"/>
      <c r="S489" s="65"/>
      <c r="T489" s="65"/>
      <c r="U489" s="65"/>
      <c r="V489" s="65"/>
      <c r="W489" s="65"/>
      <c r="X489" s="65"/>
      <c r="Y489" s="65"/>
      <c r="Z489" s="65"/>
    </row>
    <row r="490" ht="15.75" customHeight="1">
      <c r="A490" s="65"/>
      <c r="B490" s="65"/>
      <c r="C490" s="65"/>
      <c r="D490" s="65"/>
      <c r="E490" s="65"/>
      <c r="F490" s="65"/>
      <c r="I490" s="65"/>
      <c r="J490" s="65"/>
      <c r="K490" s="65"/>
      <c r="L490" s="65"/>
      <c r="M490" s="65"/>
      <c r="N490" s="65"/>
      <c r="O490" s="65"/>
      <c r="P490" s="65"/>
      <c r="Q490" s="65"/>
      <c r="R490" s="65"/>
      <c r="S490" s="65"/>
      <c r="T490" s="65"/>
      <c r="U490" s="65"/>
      <c r="V490" s="65"/>
      <c r="W490" s="65"/>
      <c r="X490" s="65"/>
      <c r="Y490" s="65"/>
      <c r="Z490" s="65"/>
    </row>
    <row r="491" ht="15.75" customHeight="1">
      <c r="A491" s="65"/>
      <c r="B491" s="65"/>
      <c r="C491" s="65"/>
      <c r="D491" s="65"/>
      <c r="E491" s="65"/>
      <c r="F491" s="65"/>
      <c r="I491" s="65"/>
      <c r="J491" s="65"/>
      <c r="K491" s="65"/>
      <c r="L491" s="65"/>
      <c r="M491" s="65"/>
      <c r="N491" s="65"/>
      <c r="O491" s="65"/>
      <c r="P491" s="65"/>
      <c r="Q491" s="65"/>
      <c r="R491" s="65"/>
      <c r="S491" s="65"/>
      <c r="T491" s="65"/>
      <c r="U491" s="65"/>
      <c r="V491" s="65"/>
      <c r="W491" s="65"/>
      <c r="X491" s="65"/>
      <c r="Y491" s="65"/>
      <c r="Z491" s="65"/>
    </row>
    <row r="492" ht="15.75" customHeight="1">
      <c r="A492" s="65"/>
      <c r="B492" s="65"/>
      <c r="C492" s="65"/>
      <c r="D492" s="65"/>
      <c r="E492" s="65"/>
      <c r="F492" s="65"/>
      <c r="I492" s="65"/>
      <c r="J492" s="65"/>
      <c r="K492" s="65"/>
      <c r="L492" s="65"/>
      <c r="M492" s="65"/>
      <c r="N492" s="65"/>
      <c r="O492" s="65"/>
      <c r="P492" s="65"/>
      <c r="Q492" s="65"/>
      <c r="R492" s="65"/>
      <c r="S492" s="65"/>
      <c r="T492" s="65"/>
      <c r="U492" s="65"/>
      <c r="V492" s="65"/>
      <c r="W492" s="65"/>
      <c r="X492" s="65"/>
      <c r="Y492" s="65"/>
      <c r="Z492" s="65"/>
    </row>
    <row r="493" ht="15.75" customHeight="1">
      <c r="A493" s="65"/>
      <c r="B493" s="65"/>
      <c r="C493" s="65"/>
      <c r="D493" s="65"/>
      <c r="E493" s="65"/>
      <c r="F493" s="65"/>
      <c r="I493" s="65"/>
      <c r="J493" s="65"/>
      <c r="K493" s="65"/>
      <c r="L493" s="65"/>
      <c r="M493" s="65"/>
      <c r="N493" s="65"/>
      <c r="O493" s="65"/>
      <c r="P493" s="65"/>
      <c r="Q493" s="65"/>
      <c r="R493" s="65"/>
      <c r="S493" s="65"/>
      <c r="T493" s="65"/>
      <c r="U493" s="65"/>
      <c r="V493" s="65"/>
      <c r="W493" s="65"/>
      <c r="X493" s="65"/>
      <c r="Y493" s="65"/>
      <c r="Z493" s="65"/>
    </row>
    <row r="494" ht="15.75" customHeight="1">
      <c r="A494" s="65"/>
      <c r="B494" s="65"/>
      <c r="C494" s="65"/>
      <c r="D494" s="65"/>
      <c r="E494" s="65"/>
      <c r="F494" s="65"/>
      <c r="I494" s="65"/>
      <c r="J494" s="65"/>
      <c r="K494" s="65"/>
      <c r="L494" s="65"/>
      <c r="M494" s="65"/>
      <c r="N494" s="65"/>
      <c r="O494" s="65"/>
      <c r="P494" s="65"/>
      <c r="Q494" s="65"/>
      <c r="R494" s="65"/>
      <c r="S494" s="65"/>
      <c r="T494" s="65"/>
      <c r="U494" s="65"/>
      <c r="V494" s="65"/>
      <c r="W494" s="65"/>
      <c r="X494" s="65"/>
      <c r="Y494" s="65"/>
      <c r="Z494" s="65"/>
    </row>
    <row r="495" ht="15.75" customHeight="1">
      <c r="A495" s="65"/>
      <c r="B495" s="65"/>
      <c r="C495" s="65"/>
      <c r="D495" s="65"/>
      <c r="E495" s="65"/>
      <c r="F495" s="65"/>
      <c r="I495" s="65"/>
      <c r="J495" s="65"/>
      <c r="K495" s="65"/>
      <c r="L495" s="65"/>
      <c r="M495" s="65"/>
      <c r="N495" s="65"/>
      <c r="O495" s="65"/>
      <c r="P495" s="65"/>
      <c r="Q495" s="65"/>
      <c r="R495" s="65"/>
      <c r="S495" s="65"/>
      <c r="T495" s="65"/>
      <c r="U495" s="65"/>
      <c r="V495" s="65"/>
      <c r="W495" s="65"/>
      <c r="X495" s="65"/>
      <c r="Y495" s="65"/>
      <c r="Z495" s="65"/>
    </row>
    <row r="496" ht="15.75" customHeight="1">
      <c r="A496" s="65"/>
      <c r="B496" s="65"/>
      <c r="C496" s="65"/>
      <c r="D496" s="65"/>
      <c r="E496" s="65"/>
      <c r="F496" s="65"/>
      <c r="I496" s="65"/>
      <c r="J496" s="65"/>
      <c r="K496" s="65"/>
      <c r="L496" s="65"/>
      <c r="M496" s="65"/>
      <c r="N496" s="65"/>
      <c r="O496" s="65"/>
      <c r="P496" s="65"/>
      <c r="Q496" s="65"/>
      <c r="R496" s="65"/>
      <c r="S496" s="65"/>
      <c r="T496" s="65"/>
      <c r="U496" s="65"/>
      <c r="V496" s="65"/>
      <c r="W496" s="65"/>
      <c r="X496" s="65"/>
      <c r="Y496" s="65"/>
      <c r="Z496" s="65"/>
    </row>
    <row r="497" ht="15.75" customHeight="1">
      <c r="A497" s="65"/>
      <c r="B497" s="65"/>
      <c r="C497" s="65"/>
      <c r="D497" s="65"/>
      <c r="E497" s="65"/>
      <c r="F497" s="65"/>
      <c r="I497" s="65"/>
      <c r="J497" s="65"/>
      <c r="K497" s="65"/>
      <c r="L497" s="65"/>
      <c r="M497" s="65"/>
      <c r="N497" s="65"/>
      <c r="O497" s="65"/>
      <c r="P497" s="65"/>
      <c r="Q497" s="65"/>
      <c r="R497" s="65"/>
      <c r="S497" s="65"/>
      <c r="T497" s="65"/>
      <c r="U497" s="65"/>
      <c r="V497" s="65"/>
      <c r="W497" s="65"/>
      <c r="X497" s="65"/>
      <c r="Y497" s="65"/>
      <c r="Z497" s="65"/>
    </row>
    <row r="498" ht="15.75" customHeight="1">
      <c r="A498" s="65"/>
      <c r="B498" s="65"/>
      <c r="C498" s="65"/>
      <c r="D498" s="65"/>
      <c r="E498" s="65"/>
      <c r="F498" s="65"/>
      <c r="I498" s="65"/>
      <c r="J498" s="65"/>
      <c r="K498" s="65"/>
      <c r="L498" s="65"/>
      <c r="M498" s="65"/>
      <c r="N498" s="65"/>
      <c r="O498" s="65"/>
      <c r="P498" s="65"/>
      <c r="Q498" s="65"/>
      <c r="R498" s="65"/>
      <c r="S498" s="65"/>
      <c r="T498" s="65"/>
      <c r="U498" s="65"/>
      <c r="V498" s="65"/>
      <c r="W498" s="65"/>
      <c r="X498" s="65"/>
      <c r="Y498" s="65"/>
      <c r="Z498" s="65"/>
    </row>
    <row r="499" ht="15.75" customHeight="1">
      <c r="A499" s="65"/>
      <c r="B499" s="65"/>
      <c r="C499" s="65"/>
      <c r="D499" s="65"/>
      <c r="E499" s="65"/>
      <c r="F499" s="65"/>
      <c r="I499" s="65"/>
      <c r="J499" s="65"/>
      <c r="K499" s="65"/>
      <c r="L499" s="65"/>
      <c r="M499" s="65"/>
      <c r="N499" s="65"/>
      <c r="O499" s="65"/>
      <c r="P499" s="65"/>
      <c r="Q499" s="65"/>
      <c r="R499" s="65"/>
      <c r="S499" s="65"/>
      <c r="T499" s="65"/>
      <c r="U499" s="65"/>
      <c r="V499" s="65"/>
      <c r="W499" s="65"/>
      <c r="X499" s="65"/>
      <c r="Y499" s="65"/>
      <c r="Z499" s="65"/>
    </row>
    <row r="500" ht="15.75" customHeight="1">
      <c r="A500" s="65"/>
      <c r="B500" s="65"/>
      <c r="C500" s="65"/>
      <c r="D500" s="65"/>
      <c r="E500" s="65"/>
      <c r="F500" s="65"/>
      <c r="I500" s="65"/>
      <c r="J500" s="65"/>
      <c r="K500" s="65"/>
      <c r="L500" s="65"/>
      <c r="M500" s="65"/>
      <c r="N500" s="65"/>
      <c r="O500" s="65"/>
      <c r="P500" s="65"/>
      <c r="Q500" s="65"/>
      <c r="R500" s="65"/>
      <c r="S500" s="65"/>
      <c r="T500" s="65"/>
      <c r="U500" s="65"/>
      <c r="V500" s="65"/>
      <c r="W500" s="65"/>
      <c r="X500" s="65"/>
      <c r="Y500" s="65"/>
      <c r="Z500" s="65"/>
    </row>
    <row r="501" ht="15.75" customHeight="1">
      <c r="A501" s="65"/>
      <c r="B501" s="65"/>
      <c r="C501" s="65"/>
      <c r="D501" s="65"/>
      <c r="E501" s="65"/>
      <c r="F501" s="65"/>
      <c r="I501" s="65"/>
      <c r="J501" s="65"/>
      <c r="K501" s="65"/>
      <c r="L501" s="65"/>
      <c r="M501" s="65"/>
      <c r="N501" s="65"/>
      <c r="O501" s="65"/>
      <c r="P501" s="65"/>
      <c r="Q501" s="65"/>
      <c r="R501" s="65"/>
      <c r="S501" s="65"/>
      <c r="T501" s="65"/>
      <c r="U501" s="65"/>
      <c r="V501" s="65"/>
      <c r="W501" s="65"/>
      <c r="X501" s="65"/>
      <c r="Y501" s="65"/>
      <c r="Z501" s="65"/>
    </row>
    <row r="502" ht="15.75" customHeight="1">
      <c r="A502" s="65"/>
      <c r="B502" s="65"/>
      <c r="C502" s="65"/>
      <c r="D502" s="65"/>
      <c r="E502" s="65"/>
      <c r="F502" s="65"/>
      <c r="I502" s="65"/>
      <c r="J502" s="65"/>
      <c r="K502" s="65"/>
      <c r="L502" s="65"/>
      <c r="M502" s="65"/>
      <c r="N502" s="65"/>
      <c r="O502" s="65"/>
      <c r="P502" s="65"/>
      <c r="Q502" s="65"/>
      <c r="R502" s="65"/>
      <c r="S502" s="65"/>
      <c r="T502" s="65"/>
      <c r="U502" s="65"/>
      <c r="V502" s="65"/>
      <c r="W502" s="65"/>
      <c r="X502" s="65"/>
      <c r="Y502" s="65"/>
      <c r="Z502" s="65"/>
    </row>
    <row r="503" ht="15.75" customHeight="1">
      <c r="A503" s="65"/>
      <c r="B503" s="65"/>
      <c r="C503" s="65"/>
      <c r="D503" s="65"/>
      <c r="E503" s="65"/>
      <c r="F503" s="65"/>
      <c r="I503" s="65"/>
      <c r="J503" s="65"/>
      <c r="K503" s="65"/>
      <c r="L503" s="65"/>
      <c r="M503" s="65"/>
      <c r="N503" s="65"/>
      <c r="O503" s="65"/>
      <c r="P503" s="65"/>
      <c r="Q503" s="65"/>
      <c r="R503" s="65"/>
      <c r="S503" s="65"/>
      <c r="T503" s="65"/>
      <c r="U503" s="65"/>
      <c r="V503" s="65"/>
      <c r="W503" s="65"/>
      <c r="X503" s="65"/>
      <c r="Y503" s="65"/>
      <c r="Z503" s="65"/>
    </row>
    <row r="504" ht="15.75" customHeight="1">
      <c r="A504" s="65"/>
      <c r="B504" s="65"/>
      <c r="C504" s="65"/>
      <c r="D504" s="65"/>
      <c r="E504" s="65"/>
      <c r="F504" s="65"/>
      <c r="I504" s="65"/>
      <c r="J504" s="65"/>
      <c r="K504" s="65"/>
      <c r="L504" s="65"/>
      <c r="M504" s="65"/>
      <c r="N504" s="65"/>
      <c r="O504" s="65"/>
      <c r="P504" s="65"/>
      <c r="Q504" s="65"/>
      <c r="R504" s="65"/>
      <c r="S504" s="65"/>
      <c r="T504" s="65"/>
      <c r="U504" s="65"/>
      <c r="V504" s="65"/>
      <c r="W504" s="65"/>
      <c r="X504" s="65"/>
      <c r="Y504" s="65"/>
      <c r="Z504" s="65"/>
    </row>
    <row r="505" ht="15.75" customHeight="1">
      <c r="A505" s="65"/>
      <c r="B505" s="65"/>
      <c r="C505" s="65"/>
      <c r="D505" s="65"/>
      <c r="E505" s="65"/>
      <c r="F505" s="65"/>
      <c r="I505" s="65"/>
      <c r="J505" s="65"/>
      <c r="K505" s="65"/>
      <c r="L505" s="65"/>
      <c r="M505" s="65"/>
      <c r="N505" s="65"/>
      <c r="O505" s="65"/>
      <c r="P505" s="65"/>
      <c r="Q505" s="65"/>
      <c r="R505" s="65"/>
      <c r="S505" s="65"/>
      <c r="T505" s="65"/>
      <c r="U505" s="65"/>
      <c r="V505" s="65"/>
      <c r="W505" s="65"/>
      <c r="X505" s="65"/>
      <c r="Y505" s="65"/>
      <c r="Z505" s="65"/>
    </row>
    <row r="506" ht="15.75" customHeight="1">
      <c r="A506" s="65"/>
      <c r="B506" s="65"/>
      <c r="C506" s="65"/>
      <c r="D506" s="65"/>
      <c r="E506" s="65"/>
      <c r="F506" s="65"/>
      <c r="I506" s="65"/>
      <c r="J506" s="65"/>
      <c r="K506" s="65"/>
      <c r="L506" s="65"/>
      <c r="M506" s="65"/>
      <c r="N506" s="65"/>
      <c r="O506" s="65"/>
      <c r="P506" s="65"/>
      <c r="Q506" s="65"/>
      <c r="R506" s="65"/>
      <c r="S506" s="65"/>
      <c r="T506" s="65"/>
      <c r="U506" s="65"/>
      <c r="V506" s="65"/>
      <c r="W506" s="65"/>
      <c r="X506" s="65"/>
      <c r="Y506" s="65"/>
      <c r="Z506" s="65"/>
    </row>
    <row r="507" ht="15.75" customHeight="1">
      <c r="A507" s="65"/>
      <c r="B507" s="65"/>
      <c r="C507" s="65"/>
      <c r="D507" s="65"/>
      <c r="E507" s="65"/>
      <c r="F507" s="65"/>
      <c r="I507" s="65"/>
      <c r="J507" s="65"/>
      <c r="K507" s="65"/>
      <c r="L507" s="65"/>
      <c r="M507" s="65"/>
      <c r="N507" s="65"/>
      <c r="O507" s="65"/>
      <c r="P507" s="65"/>
      <c r="Q507" s="65"/>
      <c r="R507" s="65"/>
      <c r="S507" s="65"/>
      <c r="T507" s="65"/>
      <c r="U507" s="65"/>
      <c r="V507" s="65"/>
      <c r="W507" s="65"/>
      <c r="X507" s="65"/>
      <c r="Y507" s="65"/>
      <c r="Z507" s="65"/>
    </row>
    <row r="508" ht="15.75" customHeight="1">
      <c r="A508" s="65"/>
      <c r="B508" s="65"/>
      <c r="C508" s="65"/>
      <c r="D508" s="65"/>
      <c r="E508" s="65"/>
      <c r="F508" s="65"/>
      <c r="I508" s="65"/>
      <c r="J508" s="65"/>
      <c r="K508" s="65"/>
      <c r="L508" s="65"/>
      <c r="M508" s="65"/>
      <c r="N508" s="65"/>
      <c r="O508" s="65"/>
      <c r="P508" s="65"/>
      <c r="Q508" s="65"/>
      <c r="R508" s="65"/>
      <c r="S508" s="65"/>
      <c r="T508" s="65"/>
      <c r="U508" s="65"/>
      <c r="V508" s="65"/>
      <c r="W508" s="65"/>
      <c r="X508" s="65"/>
      <c r="Y508" s="65"/>
      <c r="Z508" s="65"/>
    </row>
    <row r="509" ht="15.75" customHeight="1">
      <c r="A509" s="65"/>
      <c r="B509" s="65"/>
      <c r="C509" s="65"/>
      <c r="D509" s="65"/>
      <c r="E509" s="65"/>
      <c r="F509" s="65"/>
      <c r="I509" s="65"/>
      <c r="J509" s="65"/>
      <c r="K509" s="65"/>
      <c r="L509" s="65"/>
      <c r="M509" s="65"/>
      <c r="N509" s="65"/>
      <c r="O509" s="65"/>
      <c r="P509" s="65"/>
      <c r="Q509" s="65"/>
      <c r="R509" s="65"/>
      <c r="S509" s="65"/>
      <c r="T509" s="65"/>
      <c r="U509" s="65"/>
      <c r="V509" s="65"/>
      <c r="W509" s="65"/>
      <c r="X509" s="65"/>
      <c r="Y509" s="65"/>
      <c r="Z509" s="65"/>
    </row>
    <row r="510" ht="15.75" customHeight="1">
      <c r="A510" s="65"/>
      <c r="B510" s="65"/>
      <c r="C510" s="65"/>
      <c r="D510" s="65"/>
      <c r="E510" s="65"/>
      <c r="F510" s="65"/>
      <c r="I510" s="65"/>
      <c r="J510" s="65"/>
      <c r="K510" s="65"/>
      <c r="L510" s="65"/>
      <c r="M510" s="65"/>
      <c r="N510" s="65"/>
      <c r="O510" s="65"/>
      <c r="P510" s="65"/>
      <c r="Q510" s="65"/>
      <c r="R510" s="65"/>
      <c r="S510" s="65"/>
      <c r="T510" s="65"/>
      <c r="U510" s="65"/>
      <c r="V510" s="65"/>
      <c r="W510" s="65"/>
      <c r="X510" s="65"/>
      <c r="Y510" s="65"/>
      <c r="Z510" s="65"/>
    </row>
    <row r="511" ht="15.75" customHeight="1">
      <c r="A511" s="65"/>
      <c r="B511" s="65"/>
      <c r="C511" s="65"/>
      <c r="D511" s="65"/>
      <c r="E511" s="65"/>
      <c r="F511" s="65"/>
      <c r="I511" s="65"/>
      <c r="J511" s="65"/>
      <c r="K511" s="65"/>
      <c r="L511" s="65"/>
      <c r="M511" s="65"/>
      <c r="N511" s="65"/>
      <c r="O511" s="65"/>
      <c r="P511" s="65"/>
      <c r="Q511" s="65"/>
      <c r="R511" s="65"/>
      <c r="S511" s="65"/>
      <c r="T511" s="65"/>
      <c r="U511" s="65"/>
      <c r="V511" s="65"/>
      <c r="W511" s="65"/>
      <c r="X511" s="65"/>
      <c r="Y511" s="65"/>
      <c r="Z511" s="65"/>
    </row>
    <row r="512" ht="15.75" customHeight="1">
      <c r="A512" s="65"/>
      <c r="B512" s="65"/>
      <c r="C512" s="65"/>
      <c r="D512" s="65"/>
      <c r="E512" s="65"/>
      <c r="F512" s="65"/>
      <c r="I512" s="65"/>
      <c r="J512" s="65"/>
      <c r="K512" s="65"/>
      <c r="L512" s="65"/>
      <c r="M512" s="65"/>
      <c r="N512" s="65"/>
      <c r="O512" s="65"/>
      <c r="P512" s="65"/>
      <c r="Q512" s="65"/>
      <c r="R512" s="65"/>
      <c r="S512" s="65"/>
      <c r="T512" s="65"/>
      <c r="U512" s="65"/>
      <c r="V512" s="65"/>
      <c r="W512" s="65"/>
      <c r="X512" s="65"/>
      <c r="Y512" s="65"/>
      <c r="Z512" s="65"/>
    </row>
    <row r="513" ht="15.75" customHeight="1">
      <c r="A513" s="65"/>
      <c r="B513" s="65"/>
      <c r="C513" s="65"/>
      <c r="D513" s="65"/>
      <c r="E513" s="65"/>
      <c r="F513" s="65"/>
      <c r="I513" s="65"/>
      <c r="J513" s="65"/>
      <c r="K513" s="65"/>
      <c r="L513" s="65"/>
      <c r="M513" s="65"/>
      <c r="N513" s="65"/>
      <c r="O513" s="65"/>
      <c r="P513" s="65"/>
      <c r="Q513" s="65"/>
      <c r="R513" s="65"/>
      <c r="S513" s="65"/>
      <c r="T513" s="65"/>
      <c r="U513" s="65"/>
      <c r="V513" s="65"/>
      <c r="W513" s="65"/>
      <c r="X513" s="65"/>
      <c r="Y513" s="65"/>
      <c r="Z513" s="65"/>
    </row>
    <row r="514" ht="15.75" customHeight="1">
      <c r="A514" s="65"/>
      <c r="B514" s="65"/>
      <c r="C514" s="65"/>
      <c r="D514" s="65"/>
      <c r="E514" s="65"/>
      <c r="F514" s="65"/>
      <c r="I514" s="65"/>
      <c r="J514" s="65"/>
      <c r="K514" s="65"/>
      <c r="L514" s="65"/>
      <c r="M514" s="65"/>
      <c r="N514" s="65"/>
      <c r="O514" s="65"/>
      <c r="P514" s="65"/>
      <c r="Q514" s="65"/>
      <c r="R514" s="65"/>
      <c r="S514" s="65"/>
      <c r="T514" s="65"/>
      <c r="U514" s="65"/>
      <c r="V514" s="65"/>
      <c r="W514" s="65"/>
      <c r="X514" s="65"/>
      <c r="Y514" s="65"/>
      <c r="Z514" s="65"/>
    </row>
    <row r="515" ht="15.75" customHeight="1">
      <c r="A515" s="65"/>
      <c r="B515" s="65"/>
      <c r="C515" s="65"/>
      <c r="D515" s="65"/>
      <c r="E515" s="65"/>
      <c r="F515" s="65"/>
      <c r="I515" s="65"/>
      <c r="J515" s="65"/>
      <c r="K515" s="65"/>
      <c r="L515" s="65"/>
      <c r="M515" s="65"/>
      <c r="N515" s="65"/>
      <c r="O515" s="65"/>
      <c r="P515" s="65"/>
      <c r="Q515" s="65"/>
      <c r="R515" s="65"/>
      <c r="S515" s="65"/>
      <c r="T515" s="65"/>
      <c r="U515" s="65"/>
      <c r="V515" s="65"/>
      <c r="W515" s="65"/>
      <c r="X515" s="65"/>
      <c r="Y515" s="65"/>
      <c r="Z515" s="65"/>
    </row>
    <row r="516" ht="15.75" customHeight="1">
      <c r="A516" s="65"/>
      <c r="B516" s="65"/>
      <c r="C516" s="65"/>
      <c r="D516" s="65"/>
      <c r="E516" s="65"/>
      <c r="F516" s="65"/>
      <c r="I516" s="65"/>
      <c r="J516" s="65"/>
      <c r="K516" s="65"/>
      <c r="L516" s="65"/>
      <c r="M516" s="65"/>
      <c r="N516" s="65"/>
      <c r="O516" s="65"/>
      <c r="P516" s="65"/>
      <c r="Q516" s="65"/>
      <c r="R516" s="65"/>
      <c r="S516" s="65"/>
      <c r="T516" s="65"/>
      <c r="U516" s="65"/>
      <c r="V516" s="65"/>
      <c r="W516" s="65"/>
      <c r="X516" s="65"/>
      <c r="Y516" s="65"/>
      <c r="Z516" s="65"/>
    </row>
    <row r="517" ht="15.75" customHeight="1">
      <c r="A517" s="65"/>
      <c r="B517" s="65"/>
      <c r="C517" s="65"/>
      <c r="D517" s="65"/>
      <c r="E517" s="65"/>
      <c r="F517" s="65"/>
      <c r="I517" s="65"/>
      <c r="J517" s="65"/>
      <c r="K517" s="65"/>
      <c r="L517" s="65"/>
      <c r="M517" s="65"/>
      <c r="N517" s="65"/>
      <c r="O517" s="65"/>
      <c r="P517" s="65"/>
      <c r="Q517" s="65"/>
      <c r="R517" s="65"/>
      <c r="S517" s="65"/>
      <c r="T517" s="65"/>
      <c r="U517" s="65"/>
      <c r="V517" s="65"/>
      <c r="W517" s="65"/>
      <c r="X517" s="65"/>
      <c r="Y517" s="65"/>
      <c r="Z517" s="65"/>
    </row>
    <row r="518" ht="15.75" customHeight="1">
      <c r="A518" s="65"/>
      <c r="B518" s="65"/>
      <c r="C518" s="65"/>
      <c r="D518" s="65"/>
      <c r="E518" s="65"/>
      <c r="F518" s="65"/>
      <c r="I518" s="65"/>
      <c r="J518" s="65"/>
      <c r="K518" s="65"/>
      <c r="L518" s="65"/>
      <c r="M518" s="65"/>
      <c r="N518" s="65"/>
      <c r="O518" s="65"/>
      <c r="P518" s="65"/>
      <c r="Q518" s="65"/>
      <c r="R518" s="65"/>
      <c r="S518" s="65"/>
      <c r="T518" s="65"/>
      <c r="U518" s="65"/>
      <c r="V518" s="65"/>
      <c r="W518" s="65"/>
      <c r="X518" s="65"/>
      <c r="Y518" s="65"/>
      <c r="Z518" s="65"/>
    </row>
    <row r="519" ht="15.75" customHeight="1">
      <c r="A519" s="65"/>
      <c r="B519" s="65"/>
      <c r="C519" s="65"/>
      <c r="D519" s="65"/>
      <c r="E519" s="65"/>
      <c r="F519" s="65"/>
      <c r="I519" s="65"/>
      <c r="J519" s="65"/>
      <c r="K519" s="65"/>
      <c r="L519" s="65"/>
      <c r="M519" s="65"/>
      <c r="N519" s="65"/>
      <c r="O519" s="65"/>
      <c r="P519" s="65"/>
      <c r="Q519" s="65"/>
      <c r="R519" s="65"/>
      <c r="S519" s="65"/>
      <c r="T519" s="65"/>
      <c r="U519" s="65"/>
      <c r="V519" s="65"/>
      <c r="W519" s="65"/>
      <c r="X519" s="65"/>
      <c r="Y519" s="65"/>
      <c r="Z519" s="65"/>
    </row>
    <row r="520" ht="15.75" customHeight="1">
      <c r="A520" s="65"/>
      <c r="B520" s="65"/>
      <c r="C520" s="65"/>
      <c r="D520" s="65"/>
      <c r="E520" s="65"/>
      <c r="F520" s="65"/>
      <c r="I520" s="65"/>
      <c r="J520" s="65"/>
      <c r="K520" s="65"/>
      <c r="L520" s="65"/>
      <c r="M520" s="65"/>
      <c r="N520" s="65"/>
      <c r="O520" s="65"/>
      <c r="P520" s="65"/>
      <c r="Q520" s="65"/>
      <c r="R520" s="65"/>
      <c r="S520" s="65"/>
      <c r="T520" s="65"/>
      <c r="U520" s="65"/>
      <c r="V520" s="65"/>
      <c r="W520" s="65"/>
      <c r="X520" s="65"/>
      <c r="Y520" s="65"/>
      <c r="Z520" s="65"/>
    </row>
    <row r="521" ht="15.75" customHeight="1">
      <c r="A521" s="65"/>
      <c r="B521" s="65"/>
      <c r="C521" s="65"/>
      <c r="D521" s="65"/>
      <c r="E521" s="65"/>
      <c r="F521" s="65"/>
      <c r="I521" s="65"/>
      <c r="J521" s="65"/>
      <c r="K521" s="65"/>
      <c r="L521" s="65"/>
      <c r="M521" s="65"/>
      <c r="N521" s="65"/>
      <c r="O521" s="65"/>
      <c r="P521" s="65"/>
      <c r="Q521" s="65"/>
      <c r="R521" s="65"/>
      <c r="S521" s="65"/>
      <c r="T521" s="65"/>
      <c r="U521" s="65"/>
      <c r="V521" s="65"/>
      <c r="W521" s="65"/>
      <c r="X521" s="65"/>
      <c r="Y521" s="65"/>
      <c r="Z521" s="65"/>
    </row>
    <row r="522" ht="15.75" customHeight="1">
      <c r="A522" s="65"/>
      <c r="B522" s="65"/>
      <c r="C522" s="65"/>
      <c r="D522" s="65"/>
      <c r="E522" s="65"/>
      <c r="F522" s="65"/>
      <c r="I522" s="65"/>
      <c r="J522" s="65"/>
      <c r="K522" s="65"/>
      <c r="L522" s="65"/>
      <c r="M522" s="65"/>
      <c r="N522" s="65"/>
      <c r="O522" s="65"/>
      <c r="P522" s="65"/>
      <c r="Q522" s="65"/>
      <c r="R522" s="65"/>
      <c r="S522" s="65"/>
      <c r="T522" s="65"/>
      <c r="U522" s="65"/>
      <c r="V522" s="65"/>
      <c r="W522" s="65"/>
      <c r="X522" s="65"/>
      <c r="Y522" s="65"/>
      <c r="Z522" s="65"/>
    </row>
    <row r="523" ht="15.75" customHeight="1">
      <c r="A523" s="65"/>
      <c r="B523" s="65"/>
      <c r="C523" s="65"/>
      <c r="D523" s="65"/>
      <c r="E523" s="65"/>
      <c r="F523" s="65"/>
      <c r="I523" s="65"/>
      <c r="J523" s="65"/>
      <c r="K523" s="65"/>
      <c r="L523" s="65"/>
      <c r="M523" s="65"/>
      <c r="N523" s="65"/>
      <c r="O523" s="65"/>
      <c r="P523" s="65"/>
      <c r="Q523" s="65"/>
      <c r="R523" s="65"/>
      <c r="S523" s="65"/>
      <c r="T523" s="65"/>
      <c r="U523" s="65"/>
      <c r="V523" s="65"/>
      <c r="W523" s="65"/>
      <c r="X523" s="65"/>
      <c r="Y523" s="65"/>
      <c r="Z523" s="65"/>
    </row>
    <row r="524" ht="15.75" customHeight="1">
      <c r="A524" s="65"/>
      <c r="B524" s="65"/>
      <c r="C524" s="65"/>
      <c r="D524" s="65"/>
      <c r="E524" s="65"/>
      <c r="F524" s="65"/>
      <c r="I524" s="65"/>
      <c r="J524" s="65"/>
      <c r="K524" s="65"/>
      <c r="L524" s="65"/>
      <c r="M524" s="65"/>
      <c r="N524" s="65"/>
      <c r="O524" s="65"/>
      <c r="P524" s="65"/>
      <c r="Q524" s="65"/>
      <c r="R524" s="65"/>
      <c r="S524" s="65"/>
      <c r="T524" s="65"/>
      <c r="U524" s="65"/>
      <c r="V524" s="65"/>
      <c r="W524" s="65"/>
      <c r="X524" s="65"/>
      <c r="Y524" s="65"/>
      <c r="Z524" s="65"/>
    </row>
    <row r="525" ht="15.75" customHeight="1">
      <c r="A525" s="65"/>
      <c r="B525" s="65"/>
      <c r="C525" s="65"/>
      <c r="D525" s="65"/>
      <c r="E525" s="65"/>
      <c r="F525" s="65"/>
      <c r="I525" s="65"/>
      <c r="J525" s="65"/>
      <c r="K525" s="65"/>
      <c r="L525" s="65"/>
      <c r="M525" s="65"/>
      <c r="N525" s="65"/>
      <c r="O525" s="65"/>
      <c r="P525" s="65"/>
      <c r="Q525" s="65"/>
      <c r="R525" s="65"/>
      <c r="S525" s="65"/>
      <c r="T525" s="65"/>
      <c r="U525" s="65"/>
      <c r="V525" s="65"/>
      <c r="W525" s="65"/>
      <c r="X525" s="65"/>
      <c r="Y525" s="65"/>
      <c r="Z525" s="65"/>
    </row>
    <row r="526" ht="15.75" customHeight="1">
      <c r="A526" s="65"/>
      <c r="B526" s="65"/>
      <c r="C526" s="65"/>
      <c r="D526" s="65"/>
      <c r="E526" s="65"/>
      <c r="F526" s="65"/>
      <c r="I526" s="65"/>
      <c r="J526" s="65"/>
      <c r="K526" s="65"/>
      <c r="L526" s="65"/>
      <c r="M526" s="65"/>
      <c r="N526" s="65"/>
      <c r="O526" s="65"/>
      <c r="P526" s="65"/>
      <c r="Q526" s="65"/>
      <c r="R526" s="65"/>
      <c r="S526" s="65"/>
      <c r="T526" s="65"/>
      <c r="U526" s="65"/>
      <c r="V526" s="65"/>
      <c r="W526" s="65"/>
      <c r="X526" s="65"/>
      <c r="Y526" s="65"/>
      <c r="Z526" s="65"/>
    </row>
    <row r="527" ht="15.75" customHeight="1">
      <c r="A527" s="65"/>
      <c r="B527" s="65"/>
      <c r="C527" s="65"/>
      <c r="D527" s="65"/>
      <c r="E527" s="65"/>
      <c r="F527" s="65"/>
      <c r="I527" s="65"/>
      <c r="J527" s="65"/>
      <c r="K527" s="65"/>
      <c r="L527" s="65"/>
      <c r="M527" s="65"/>
      <c r="N527" s="65"/>
      <c r="O527" s="65"/>
      <c r="P527" s="65"/>
      <c r="Q527" s="65"/>
      <c r="R527" s="65"/>
      <c r="S527" s="65"/>
      <c r="T527" s="65"/>
      <c r="U527" s="65"/>
      <c r="V527" s="65"/>
      <c r="W527" s="65"/>
      <c r="X527" s="65"/>
      <c r="Y527" s="65"/>
      <c r="Z527" s="65"/>
    </row>
    <row r="528" ht="15.75" customHeight="1">
      <c r="A528" s="65"/>
      <c r="B528" s="65"/>
      <c r="C528" s="65"/>
      <c r="D528" s="65"/>
      <c r="E528" s="65"/>
      <c r="F528" s="65"/>
      <c r="I528" s="65"/>
      <c r="J528" s="65"/>
      <c r="K528" s="65"/>
      <c r="L528" s="65"/>
      <c r="M528" s="65"/>
      <c r="N528" s="65"/>
      <c r="O528" s="65"/>
      <c r="P528" s="65"/>
      <c r="Q528" s="65"/>
      <c r="R528" s="65"/>
      <c r="S528" s="65"/>
      <c r="T528" s="65"/>
      <c r="U528" s="65"/>
      <c r="V528" s="65"/>
      <c r="W528" s="65"/>
      <c r="X528" s="65"/>
      <c r="Y528" s="65"/>
      <c r="Z528" s="65"/>
    </row>
    <row r="529" ht="15.75" customHeight="1">
      <c r="A529" s="65"/>
      <c r="B529" s="65"/>
      <c r="C529" s="65"/>
      <c r="D529" s="65"/>
      <c r="E529" s="65"/>
      <c r="F529" s="65"/>
      <c r="I529" s="65"/>
      <c r="J529" s="65"/>
      <c r="K529" s="65"/>
      <c r="L529" s="65"/>
      <c r="M529" s="65"/>
      <c r="N529" s="65"/>
      <c r="O529" s="65"/>
      <c r="P529" s="65"/>
      <c r="Q529" s="65"/>
      <c r="R529" s="65"/>
      <c r="S529" s="65"/>
      <c r="T529" s="65"/>
      <c r="U529" s="65"/>
      <c r="V529" s="65"/>
      <c r="W529" s="65"/>
      <c r="X529" s="65"/>
      <c r="Y529" s="65"/>
      <c r="Z529" s="65"/>
    </row>
    <row r="530" ht="15.75" customHeight="1">
      <c r="A530" s="65"/>
      <c r="B530" s="65"/>
      <c r="C530" s="65"/>
      <c r="D530" s="65"/>
      <c r="E530" s="65"/>
      <c r="F530" s="65"/>
      <c r="I530" s="65"/>
      <c r="J530" s="65"/>
      <c r="K530" s="65"/>
      <c r="L530" s="65"/>
      <c r="M530" s="65"/>
      <c r="N530" s="65"/>
      <c r="O530" s="65"/>
      <c r="P530" s="65"/>
      <c r="Q530" s="65"/>
      <c r="R530" s="65"/>
      <c r="S530" s="65"/>
      <c r="T530" s="65"/>
      <c r="U530" s="65"/>
      <c r="V530" s="65"/>
      <c r="W530" s="65"/>
      <c r="X530" s="65"/>
      <c r="Y530" s="65"/>
      <c r="Z530" s="65"/>
    </row>
    <row r="531" ht="15.75" customHeight="1">
      <c r="A531" s="65"/>
      <c r="B531" s="65"/>
      <c r="C531" s="65"/>
      <c r="D531" s="65"/>
      <c r="E531" s="65"/>
      <c r="F531" s="65"/>
      <c r="I531" s="65"/>
      <c r="J531" s="65"/>
      <c r="K531" s="65"/>
      <c r="L531" s="65"/>
      <c r="M531" s="65"/>
      <c r="N531" s="65"/>
      <c r="O531" s="65"/>
      <c r="P531" s="65"/>
      <c r="Q531" s="65"/>
      <c r="R531" s="65"/>
      <c r="S531" s="65"/>
      <c r="T531" s="65"/>
      <c r="U531" s="65"/>
      <c r="V531" s="65"/>
      <c r="W531" s="65"/>
      <c r="X531" s="65"/>
      <c r="Y531" s="65"/>
      <c r="Z531" s="65"/>
    </row>
    <row r="532" ht="15.75" customHeight="1">
      <c r="A532" s="65"/>
      <c r="B532" s="65"/>
      <c r="C532" s="65"/>
      <c r="D532" s="65"/>
      <c r="E532" s="65"/>
      <c r="F532" s="65"/>
      <c r="I532" s="65"/>
      <c r="J532" s="65"/>
      <c r="K532" s="65"/>
      <c r="L532" s="65"/>
      <c r="M532" s="65"/>
      <c r="N532" s="65"/>
      <c r="O532" s="65"/>
      <c r="P532" s="65"/>
      <c r="Q532" s="65"/>
      <c r="R532" s="65"/>
      <c r="S532" s="65"/>
      <c r="T532" s="65"/>
      <c r="U532" s="65"/>
      <c r="V532" s="65"/>
      <c r="W532" s="65"/>
      <c r="X532" s="65"/>
      <c r="Y532" s="65"/>
      <c r="Z532" s="65"/>
    </row>
    <row r="533" ht="15.75" customHeight="1">
      <c r="A533" s="65"/>
      <c r="B533" s="65"/>
      <c r="C533" s="65"/>
      <c r="D533" s="65"/>
      <c r="E533" s="65"/>
      <c r="F533" s="65"/>
      <c r="I533" s="65"/>
      <c r="J533" s="65"/>
      <c r="K533" s="65"/>
      <c r="L533" s="65"/>
      <c r="M533" s="65"/>
      <c r="N533" s="65"/>
      <c r="O533" s="65"/>
      <c r="P533" s="65"/>
      <c r="Q533" s="65"/>
      <c r="R533" s="65"/>
      <c r="S533" s="65"/>
      <c r="T533" s="65"/>
      <c r="U533" s="65"/>
      <c r="V533" s="65"/>
      <c r="W533" s="65"/>
      <c r="X533" s="65"/>
      <c r="Y533" s="65"/>
      <c r="Z533" s="65"/>
    </row>
    <row r="534" ht="15.75" customHeight="1">
      <c r="A534" s="65"/>
      <c r="B534" s="65"/>
      <c r="C534" s="65"/>
      <c r="D534" s="65"/>
      <c r="E534" s="65"/>
      <c r="F534" s="65"/>
      <c r="I534" s="65"/>
      <c r="J534" s="65"/>
      <c r="K534" s="65"/>
      <c r="L534" s="65"/>
      <c r="M534" s="65"/>
      <c r="N534" s="65"/>
      <c r="O534" s="65"/>
      <c r="P534" s="65"/>
      <c r="Q534" s="65"/>
      <c r="R534" s="65"/>
      <c r="S534" s="65"/>
      <c r="T534" s="65"/>
      <c r="U534" s="65"/>
      <c r="V534" s="65"/>
      <c r="W534" s="65"/>
      <c r="X534" s="65"/>
      <c r="Y534" s="65"/>
      <c r="Z534" s="65"/>
    </row>
    <row r="535" ht="15.75" customHeight="1">
      <c r="A535" s="65"/>
      <c r="B535" s="65"/>
      <c r="C535" s="65"/>
      <c r="D535" s="65"/>
      <c r="E535" s="65"/>
      <c r="F535" s="65"/>
      <c r="I535" s="65"/>
      <c r="J535" s="65"/>
      <c r="K535" s="65"/>
      <c r="L535" s="65"/>
      <c r="M535" s="65"/>
      <c r="N535" s="65"/>
      <c r="O535" s="65"/>
      <c r="P535" s="65"/>
      <c r="Q535" s="65"/>
      <c r="R535" s="65"/>
      <c r="S535" s="65"/>
      <c r="T535" s="65"/>
      <c r="U535" s="65"/>
      <c r="V535" s="65"/>
      <c r="W535" s="65"/>
      <c r="X535" s="65"/>
      <c r="Y535" s="65"/>
      <c r="Z535" s="65"/>
    </row>
    <row r="536" ht="15.75" customHeight="1">
      <c r="A536" s="65"/>
      <c r="B536" s="65"/>
      <c r="C536" s="65"/>
      <c r="D536" s="65"/>
      <c r="E536" s="65"/>
      <c r="F536" s="65"/>
      <c r="I536" s="65"/>
      <c r="J536" s="65"/>
      <c r="K536" s="65"/>
      <c r="L536" s="65"/>
      <c r="M536" s="65"/>
      <c r="N536" s="65"/>
      <c r="O536" s="65"/>
      <c r="P536" s="65"/>
      <c r="Q536" s="65"/>
      <c r="R536" s="65"/>
      <c r="S536" s="65"/>
      <c r="T536" s="65"/>
      <c r="U536" s="65"/>
      <c r="V536" s="65"/>
      <c r="W536" s="65"/>
      <c r="X536" s="65"/>
      <c r="Y536" s="65"/>
      <c r="Z536" s="65"/>
    </row>
    <row r="537" ht="15.75" customHeight="1">
      <c r="A537" s="65"/>
      <c r="B537" s="65"/>
      <c r="C537" s="65"/>
      <c r="D537" s="65"/>
      <c r="E537" s="65"/>
      <c r="F537" s="65"/>
      <c r="I537" s="65"/>
      <c r="J537" s="65"/>
      <c r="K537" s="65"/>
      <c r="L537" s="65"/>
      <c r="M537" s="65"/>
      <c r="N537" s="65"/>
      <c r="O537" s="65"/>
      <c r="P537" s="65"/>
      <c r="Q537" s="65"/>
      <c r="R537" s="65"/>
      <c r="S537" s="65"/>
      <c r="T537" s="65"/>
      <c r="U537" s="65"/>
      <c r="V537" s="65"/>
      <c r="W537" s="65"/>
      <c r="X537" s="65"/>
      <c r="Y537" s="65"/>
      <c r="Z537" s="65"/>
    </row>
    <row r="538" ht="15.75" customHeight="1">
      <c r="A538" s="65"/>
      <c r="B538" s="65"/>
      <c r="C538" s="65"/>
      <c r="D538" s="65"/>
      <c r="E538" s="65"/>
      <c r="F538" s="65"/>
      <c r="I538" s="65"/>
      <c r="J538" s="65"/>
      <c r="K538" s="65"/>
      <c r="L538" s="65"/>
      <c r="M538" s="65"/>
      <c r="N538" s="65"/>
      <c r="O538" s="65"/>
      <c r="P538" s="65"/>
      <c r="Q538" s="65"/>
      <c r="R538" s="65"/>
      <c r="S538" s="65"/>
      <c r="T538" s="65"/>
      <c r="U538" s="65"/>
      <c r="V538" s="65"/>
      <c r="W538" s="65"/>
      <c r="X538" s="65"/>
      <c r="Y538" s="65"/>
      <c r="Z538" s="65"/>
    </row>
    <row r="539" ht="15.75" customHeight="1">
      <c r="A539" s="65"/>
      <c r="B539" s="65"/>
      <c r="C539" s="65"/>
      <c r="D539" s="65"/>
      <c r="E539" s="65"/>
      <c r="F539" s="65"/>
      <c r="I539" s="65"/>
      <c r="J539" s="65"/>
      <c r="K539" s="65"/>
      <c r="L539" s="65"/>
      <c r="M539" s="65"/>
      <c r="N539" s="65"/>
      <c r="O539" s="65"/>
      <c r="P539" s="65"/>
      <c r="Q539" s="65"/>
      <c r="R539" s="65"/>
      <c r="S539" s="65"/>
      <c r="T539" s="65"/>
      <c r="U539" s="65"/>
      <c r="V539" s="65"/>
      <c r="W539" s="65"/>
      <c r="X539" s="65"/>
      <c r="Y539" s="65"/>
      <c r="Z539" s="65"/>
    </row>
    <row r="540" ht="15.75" customHeight="1">
      <c r="A540" s="65"/>
      <c r="B540" s="65"/>
      <c r="C540" s="65"/>
      <c r="D540" s="65"/>
      <c r="E540" s="65"/>
      <c r="F540" s="65"/>
      <c r="I540" s="65"/>
      <c r="J540" s="65"/>
      <c r="K540" s="65"/>
      <c r="L540" s="65"/>
      <c r="M540" s="65"/>
      <c r="N540" s="65"/>
      <c r="O540" s="65"/>
      <c r="P540" s="65"/>
      <c r="Q540" s="65"/>
      <c r="R540" s="65"/>
      <c r="S540" s="65"/>
      <c r="T540" s="65"/>
      <c r="U540" s="65"/>
      <c r="V540" s="65"/>
      <c r="W540" s="65"/>
      <c r="X540" s="65"/>
      <c r="Y540" s="65"/>
      <c r="Z540" s="65"/>
    </row>
    <row r="541" ht="15.75" customHeight="1">
      <c r="A541" s="65"/>
      <c r="B541" s="65"/>
      <c r="C541" s="65"/>
      <c r="D541" s="65"/>
      <c r="E541" s="65"/>
      <c r="F541" s="65"/>
      <c r="I541" s="65"/>
      <c r="J541" s="65"/>
      <c r="K541" s="65"/>
      <c r="L541" s="65"/>
      <c r="M541" s="65"/>
      <c r="N541" s="65"/>
      <c r="O541" s="65"/>
      <c r="P541" s="65"/>
      <c r="Q541" s="65"/>
      <c r="R541" s="65"/>
      <c r="S541" s="65"/>
      <c r="T541" s="65"/>
      <c r="U541" s="65"/>
      <c r="V541" s="65"/>
      <c r="W541" s="65"/>
      <c r="X541" s="65"/>
      <c r="Y541" s="65"/>
      <c r="Z541" s="65"/>
    </row>
    <row r="542" ht="15.75" customHeight="1">
      <c r="A542" s="65"/>
      <c r="B542" s="65"/>
      <c r="C542" s="65"/>
      <c r="D542" s="65"/>
      <c r="E542" s="65"/>
      <c r="F542" s="65"/>
      <c r="I542" s="65"/>
      <c r="J542" s="65"/>
      <c r="K542" s="65"/>
      <c r="L542" s="65"/>
      <c r="M542" s="65"/>
      <c r="N542" s="65"/>
      <c r="O542" s="65"/>
      <c r="P542" s="65"/>
      <c r="Q542" s="65"/>
      <c r="R542" s="65"/>
      <c r="S542" s="65"/>
      <c r="T542" s="65"/>
      <c r="U542" s="65"/>
      <c r="V542" s="65"/>
      <c r="W542" s="65"/>
      <c r="X542" s="65"/>
      <c r="Y542" s="65"/>
      <c r="Z542" s="65"/>
    </row>
    <row r="543" ht="15.75" customHeight="1">
      <c r="A543" s="65"/>
      <c r="B543" s="65"/>
      <c r="C543" s="65"/>
      <c r="D543" s="65"/>
      <c r="E543" s="65"/>
      <c r="F543" s="65"/>
      <c r="I543" s="65"/>
      <c r="J543" s="65"/>
      <c r="K543" s="65"/>
      <c r="L543" s="65"/>
      <c r="M543" s="65"/>
      <c r="N543" s="65"/>
      <c r="O543" s="65"/>
      <c r="P543" s="65"/>
      <c r="Q543" s="65"/>
      <c r="R543" s="65"/>
      <c r="S543" s="65"/>
      <c r="T543" s="65"/>
      <c r="U543" s="65"/>
      <c r="V543" s="65"/>
      <c r="W543" s="65"/>
      <c r="X543" s="65"/>
      <c r="Y543" s="65"/>
      <c r="Z543" s="65"/>
    </row>
    <row r="544" ht="15.75" customHeight="1">
      <c r="A544" s="65"/>
      <c r="B544" s="65"/>
      <c r="C544" s="65"/>
      <c r="D544" s="65"/>
      <c r="E544" s="65"/>
      <c r="F544" s="65"/>
      <c r="I544" s="65"/>
      <c r="J544" s="65"/>
      <c r="K544" s="65"/>
      <c r="L544" s="65"/>
      <c r="M544" s="65"/>
      <c r="N544" s="65"/>
      <c r="O544" s="65"/>
      <c r="P544" s="65"/>
      <c r="Q544" s="65"/>
      <c r="R544" s="65"/>
      <c r="S544" s="65"/>
      <c r="T544" s="65"/>
      <c r="U544" s="65"/>
      <c r="V544" s="65"/>
      <c r="W544" s="65"/>
      <c r="X544" s="65"/>
      <c r="Y544" s="65"/>
      <c r="Z544" s="65"/>
    </row>
    <row r="545" ht="15.75" customHeight="1">
      <c r="A545" s="65"/>
      <c r="B545" s="65"/>
      <c r="C545" s="65"/>
      <c r="D545" s="65"/>
      <c r="E545" s="65"/>
      <c r="F545" s="65"/>
      <c r="I545" s="65"/>
      <c r="J545" s="65"/>
      <c r="K545" s="65"/>
      <c r="L545" s="65"/>
      <c r="M545" s="65"/>
      <c r="N545" s="65"/>
      <c r="O545" s="65"/>
      <c r="P545" s="65"/>
      <c r="Q545" s="65"/>
      <c r="R545" s="65"/>
      <c r="S545" s="65"/>
      <c r="T545" s="65"/>
      <c r="U545" s="65"/>
      <c r="V545" s="65"/>
      <c r="W545" s="65"/>
      <c r="X545" s="65"/>
      <c r="Y545" s="65"/>
      <c r="Z545" s="65"/>
    </row>
    <row r="546" ht="15.75" customHeight="1">
      <c r="A546" s="65"/>
      <c r="B546" s="65"/>
      <c r="C546" s="65"/>
      <c r="D546" s="65"/>
      <c r="E546" s="65"/>
      <c r="F546" s="65"/>
      <c r="I546" s="65"/>
      <c r="J546" s="65"/>
      <c r="K546" s="65"/>
      <c r="L546" s="65"/>
      <c r="M546" s="65"/>
      <c r="N546" s="65"/>
      <c r="O546" s="65"/>
      <c r="P546" s="65"/>
      <c r="Q546" s="65"/>
      <c r="R546" s="65"/>
      <c r="S546" s="65"/>
      <c r="T546" s="65"/>
      <c r="U546" s="65"/>
      <c r="V546" s="65"/>
      <c r="W546" s="65"/>
      <c r="X546" s="65"/>
      <c r="Y546" s="65"/>
      <c r="Z546" s="65"/>
    </row>
    <row r="547" ht="15.75" customHeight="1">
      <c r="A547" s="65"/>
      <c r="B547" s="65"/>
      <c r="C547" s="65"/>
      <c r="D547" s="65"/>
      <c r="E547" s="65"/>
      <c r="F547" s="65"/>
      <c r="I547" s="65"/>
      <c r="J547" s="65"/>
      <c r="K547" s="65"/>
      <c r="L547" s="65"/>
      <c r="M547" s="65"/>
      <c r="N547" s="65"/>
      <c r="O547" s="65"/>
      <c r="P547" s="65"/>
      <c r="Q547" s="65"/>
      <c r="R547" s="65"/>
      <c r="S547" s="65"/>
      <c r="T547" s="65"/>
      <c r="U547" s="65"/>
      <c r="V547" s="65"/>
      <c r="W547" s="65"/>
      <c r="X547" s="65"/>
      <c r="Y547" s="65"/>
      <c r="Z547" s="65"/>
    </row>
    <row r="548" ht="15.75" customHeight="1">
      <c r="A548" s="65"/>
      <c r="B548" s="65"/>
      <c r="C548" s="65"/>
      <c r="D548" s="65"/>
      <c r="E548" s="65"/>
      <c r="F548" s="65"/>
      <c r="I548" s="65"/>
      <c r="J548" s="65"/>
      <c r="K548" s="65"/>
      <c r="L548" s="65"/>
      <c r="M548" s="65"/>
      <c r="N548" s="65"/>
      <c r="O548" s="65"/>
      <c r="P548" s="65"/>
      <c r="Q548" s="65"/>
      <c r="R548" s="65"/>
      <c r="S548" s="65"/>
      <c r="T548" s="65"/>
      <c r="U548" s="65"/>
      <c r="V548" s="65"/>
      <c r="W548" s="65"/>
      <c r="X548" s="65"/>
      <c r="Y548" s="65"/>
      <c r="Z548" s="65"/>
    </row>
    <row r="549" ht="15.75" customHeight="1">
      <c r="A549" s="65"/>
      <c r="B549" s="65"/>
      <c r="C549" s="65"/>
      <c r="D549" s="65"/>
      <c r="E549" s="65"/>
      <c r="F549" s="65"/>
      <c r="I549" s="65"/>
      <c r="J549" s="65"/>
      <c r="K549" s="65"/>
      <c r="L549" s="65"/>
      <c r="M549" s="65"/>
      <c r="N549" s="65"/>
      <c r="O549" s="65"/>
      <c r="P549" s="65"/>
      <c r="Q549" s="65"/>
      <c r="R549" s="65"/>
      <c r="S549" s="65"/>
      <c r="T549" s="65"/>
      <c r="U549" s="65"/>
      <c r="V549" s="65"/>
      <c r="W549" s="65"/>
      <c r="X549" s="65"/>
      <c r="Y549" s="65"/>
      <c r="Z549" s="65"/>
    </row>
    <row r="550" ht="15.75" customHeight="1">
      <c r="A550" s="65"/>
      <c r="B550" s="65"/>
      <c r="C550" s="65"/>
      <c r="D550" s="65"/>
      <c r="E550" s="65"/>
      <c r="F550" s="65"/>
      <c r="I550" s="65"/>
      <c r="J550" s="65"/>
      <c r="K550" s="65"/>
      <c r="L550" s="65"/>
      <c r="M550" s="65"/>
      <c r="N550" s="65"/>
      <c r="O550" s="65"/>
      <c r="P550" s="65"/>
      <c r="Q550" s="65"/>
      <c r="R550" s="65"/>
      <c r="S550" s="65"/>
      <c r="T550" s="65"/>
      <c r="U550" s="65"/>
      <c r="V550" s="65"/>
      <c r="W550" s="65"/>
      <c r="X550" s="65"/>
      <c r="Y550" s="65"/>
      <c r="Z550" s="65"/>
    </row>
    <row r="551" ht="15.75" customHeight="1">
      <c r="A551" s="65"/>
      <c r="B551" s="65"/>
      <c r="C551" s="65"/>
      <c r="D551" s="65"/>
      <c r="E551" s="65"/>
      <c r="F551" s="65"/>
      <c r="I551" s="65"/>
      <c r="J551" s="65"/>
      <c r="K551" s="65"/>
      <c r="L551" s="65"/>
      <c r="M551" s="65"/>
      <c r="N551" s="65"/>
      <c r="O551" s="65"/>
      <c r="P551" s="65"/>
      <c r="Q551" s="65"/>
      <c r="R551" s="65"/>
      <c r="S551" s="65"/>
      <c r="T551" s="65"/>
      <c r="U551" s="65"/>
      <c r="V551" s="65"/>
      <c r="W551" s="65"/>
      <c r="X551" s="65"/>
      <c r="Y551" s="65"/>
      <c r="Z551" s="65"/>
    </row>
    <row r="552" ht="15.75" customHeight="1">
      <c r="A552" s="65"/>
      <c r="B552" s="65"/>
      <c r="C552" s="65"/>
      <c r="D552" s="65"/>
      <c r="E552" s="65"/>
      <c r="F552" s="65"/>
      <c r="I552" s="65"/>
      <c r="J552" s="65"/>
      <c r="K552" s="65"/>
      <c r="L552" s="65"/>
      <c r="M552" s="65"/>
      <c r="N552" s="65"/>
      <c r="O552" s="65"/>
      <c r="P552" s="65"/>
      <c r="Q552" s="65"/>
      <c r="R552" s="65"/>
      <c r="S552" s="65"/>
      <c r="T552" s="65"/>
      <c r="U552" s="65"/>
      <c r="V552" s="65"/>
      <c r="W552" s="65"/>
      <c r="X552" s="65"/>
      <c r="Y552" s="65"/>
      <c r="Z552" s="65"/>
    </row>
    <row r="553" ht="15.75" customHeight="1">
      <c r="A553" s="65"/>
      <c r="B553" s="65"/>
      <c r="C553" s="65"/>
      <c r="D553" s="65"/>
      <c r="E553" s="65"/>
      <c r="F553" s="65"/>
      <c r="I553" s="65"/>
      <c r="J553" s="65"/>
      <c r="K553" s="65"/>
      <c r="L553" s="65"/>
      <c r="M553" s="65"/>
      <c r="N553" s="65"/>
      <c r="O553" s="65"/>
      <c r="P553" s="65"/>
      <c r="Q553" s="65"/>
      <c r="R553" s="65"/>
      <c r="S553" s="65"/>
      <c r="T553" s="65"/>
      <c r="U553" s="65"/>
      <c r="V553" s="65"/>
      <c r="W553" s="65"/>
      <c r="X553" s="65"/>
      <c r="Y553" s="65"/>
      <c r="Z553" s="65"/>
    </row>
    <row r="554" ht="15.75" customHeight="1">
      <c r="A554" s="65"/>
      <c r="B554" s="65"/>
      <c r="C554" s="65"/>
      <c r="D554" s="65"/>
      <c r="E554" s="65"/>
      <c r="F554" s="65"/>
      <c r="I554" s="65"/>
      <c r="J554" s="65"/>
      <c r="K554" s="65"/>
      <c r="L554" s="65"/>
      <c r="M554" s="65"/>
      <c r="N554" s="65"/>
      <c r="O554" s="65"/>
      <c r="P554" s="65"/>
      <c r="Q554" s="65"/>
      <c r="R554" s="65"/>
      <c r="S554" s="65"/>
      <c r="T554" s="65"/>
      <c r="U554" s="65"/>
      <c r="V554" s="65"/>
      <c r="W554" s="65"/>
      <c r="X554" s="65"/>
      <c r="Y554" s="65"/>
      <c r="Z554" s="65"/>
    </row>
    <row r="555" ht="15.75" customHeight="1">
      <c r="A555" s="65"/>
      <c r="B555" s="65"/>
      <c r="C555" s="65"/>
      <c r="D555" s="65"/>
      <c r="E555" s="65"/>
      <c r="F555" s="65"/>
      <c r="I555" s="65"/>
      <c r="J555" s="65"/>
      <c r="K555" s="65"/>
      <c r="L555" s="65"/>
      <c r="M555" s="65"/>
      <c r="N555" s="65"/>
      <c r="O555" s="65"/>
      <c r="P555" s="65"/>
      <c r="Q555" s="65"/>
      <c r="R555" s="65"/>
      <c r="S555" s="65"/>
      <c r="T555" s="65"/>
      <c r="U555" s="65"/>
      <c r="V555" s="65"/>
      <c r="W555" s="65"/>
      <c r="X555" s="65"/>
      <c r="Y555" s="65"/>
      <c r="Z555" s="65"/>
    </row>
    <row r="556" ht="15.75" customHeight="1">
      <c r="A556" s="65"/>
      <c r="B556" s="65"/>
      <c r="C556" s="65"/>
      <c r="D556" s="65"/>
      <c r="E556" s="65"/>
      <c r="F556" s="65"/>
      <c r="I556" s="65"/>
      <c r="J556" s="65"/>
      <c r="K556" s="65"/>
      <c r="L556" s="65"/>
      <c r="M556" s="65"/>
      <c r="N556" s="65"/>
      <c r="O556" s="65"/>
      <c r="P556" s="65"/>
      <c r="Q556" s="65"/>
      <c r="R556" s="65"/>
      <c r="S556" s="65"/>
      <c r="T556" s="65"/>
      <c r="U556" s="65"/>
      <c r="V556" s="65"/>
      <c r="W556" s="65"/>
      <c r="X556" s="65"/>
      <c r="Y556" s="65"/>
      <c r="Z556" s="65"/>
    </row>
    <row r="557" ht="15.75" customHeight="1">
      <c r="A557" s="65"/>
      <c r="B557" s="65"/>
      <c r="C557" s="65"/>
      <c r="D557" s="65"/>
      <c r="E557" s="65"/>
      <c r="F557" s="65"/>
      <c r="I557" s="65"/>
      <c r="J557" s="65"/>
      <c r="K557" s="65"/>
      <c r="L557" s="65"/>
      <c r="M557" s="65"/>
      <c r="N557" s="65"/>
      <c r="O557" s="65"/>
      <c r="P557" s="65"/>
      <c r="Q557" s="65"/>
      <c r="R557" s="65"/>
      <c r="S557" s="65"/>
      <c r="T557" s="65"/>
      <c r="U557" s="65"/>
      <c r="V557" s="65"/>
      <c r="W557" s="65"/>
      <c r="X557" s="65"/>
      <c r="Y557" s="65"/>
      <c r="Z557" s="65"/>
    </row>
    <row r="558" ht="15.75" customHeight="1">
      <c r="A558" s="65"/>
      <c r="B558" s="65"/>
      <c r="C558" s="65"/>
      <c r="D558" s="65"/>
      <c r="E558" s="65"/>
      <c r="F558" s="65"/>
      <c r="I558" s="65"/>
      <c r="J558" s="65"/>
      <c r="K558" s="65"/>
      <c r="L558" s="65"/>
      <c r="M558" s="65"/>
      <c r="N558" s="65"/>
      <c r="O558" s="65"/>
      <c r="P558" s="65"/>
      <c r="Q558" s="65"/>
      <c r="R558" s="65"/>
      <c r="S558" s="65"/>
      <c r="T558" s="65"/>
      <c r="U558" s="65"/>
      <c r="V558" s="65"/>
      <c r="W558" s="65"/>
      <c r="X558" s="65"/>
      <c r="Y558" s="65"/>
      <c r="Z558" s="65"/>
    </row>
    <row r="559" ht="15.75" customHeight="1">
      <c r="A559" s="65"/>
      <c r="B559" s="65"/>
      <c r="C559" s="65"/>
      <c r="D559" s="65"/>
      <c r="E559" s="65"/>
      <c r="F559" s="65"/>
      <c r="I559" s="65"/>
      <c r="J559" s="65"/>
      <c r="K559" s="65"/>
      <c r="L559" s="65"/>
      <c r="M559" s="65"/>
      <c r="N559" s="65"/>
      <c r="O559" s="65"/>
      <c r="P559" s="65"/>
      <c r="Q559" s="65"/>
      <c r="R559" s="65"/>
      <c r="S559" s="65"/>
      <c r="T559" s="65"/>
      <c r="U559" s="65"/>
      <c r="V559" s="65"/>
      <c r="W559" s="65"/>
      <c r="X559" s="65"/>
      <c r="Y559" s="65"/>
      <c r="Z559" s="65"/>
    </row>
    <row r="560" ht="15.75" customHeight="1">
      <c r="A560" s="65"/>
      <c r="B560" s="65"/>
      <c r="C560" s="65"/>
      <c r="D560" s="65"/>
      <c r="E560" s="65"/>
      <c r="F560" s="65"/>
      <c r="I560" s="65"/>
      <c r="J560" s="65"/>
      <c r="K560" s="65"/>
      <c r="L560" s="65"/>
      <c r="M560" s="65"/>
      <c r="N560" s="65"/>
      <c r="O560" s="65"/>
      <c r="P560" s="65"/>
      <c r="Q560" s="65"/>
      <c r="R560" s="65"/>
      <c r="S560" s="65"/>
      <c r="T560" s="65"/>
      <c r="U560" s="65"/>
      <c r="V560" s="65"/>
      <c r="W560" s="65"/>
      <c r="X560" s="65"/>
      <c r="Y560" s="65"/>
      <c r="Z560" s="65"/>
    </row>
    <row r="561" ht="15.75" customHeight="1">
      <c r="A561" s="65"/>
      <c r="B561" s="65"/>
      <c r="C561" s="65"/>
      <c r="D561" s="65"/>
      <c r="E561" s="65"/>
      <c r="F561" s="65"/>
      <c r="I561" s="65"/>
      <c r="J561" s="65"/>
      <c r="K561" s="65"/>
      <c r="L561" s="65"/>
      <c r="M561" s="65"/>
      <c r="N561" s="65"/>
      <c r="O561" s="65"/>
      <c r="P561" s="65"/>
      <c r="Q561" s="65"/>
      <c r="R561" s="65"/>
      <c r="S561" s="65"/>
      <c r="T561" s="65"/>
      <c r="U561" s="65"/>
      <c r="V561" s="65"/>
      <c r="W561" s="65"/>
      <c r="X561" s="65"/>
      <c r="Y561" s="65"/>
      <c r="Z561" s="65"/>
    </row>
    <row r="562" ht="15.75" customHeight="1">
      <c r="A562" s="65"/>
      <c r="B562" s="65"/>
      <c r="C562" s="65"/>
      <c r="D562" s="65"/>
      <c r="E562" s="65"/>
      <c r="F562" s="65"/>
      <c r="I562" s="65"/>
      <c r="J562" s="65"/>
      <c r="K562" s="65"/>
      <c r="L562" s="65"/>
      <c r="M562" s="65"/>
      <c r="N562" s="65"/>
      <c r="O562" s="65"/>
      <c r="P562" s="65"/>
      <c r="Q562" s="65"/>
      <c r="R562" s="65"/>
      <c r="S562" s="65"/>
      <c r="T562" s="65"/>
      <c r="U562" s="65"/>
      <c r="V562" s="65"/>
      <c r="W562" s="65"/>
      <c r="X562" s="65"/>
      <c r="Y562" s="65"/>
      <c r="Z562" s="65"/>
    </row>
    <row r="563" ht="15.75" customHeight="1">
      <c r="A563" s="65"/>
      <c r="B563" s="65"/>
      <c r="C563" s="65"/>
      <c r="D563" s="65"/>
      <c r="E563" s="65"/>
      <c r="F563" s="65"/>
      <c r="I563" s="65"/>
      <c r="J563" s="65"/>
      <c r="K563" s="65"/>
      <c r="L563" s="65"/>
      <c r="M563" s="65"/>
      <c r="N563" s="65"/>
      <c r="O563" s="65"/>
      <c r="P563" s="65"/>
      <c r="Q563" s="65"/>
      <c r="R563" s="65"/>
      <c r="S563" s="65"/>
      <c r="T563" s="65"/>
      <c r="U563" s="65"/>
      <c r="V563" s="65"/>
      <c r="W563" s="65"/>
      <c r="X563" s="65"/>
      <c r="Y563" s="65"/>
      <c r="Z563" s="65"/>
    </row>
    <row r="564" ht="15.75" customHeight="1">
      <c r="A564" s="65"/>
      <c r="B564" s="65"/>
      <c r="C564" s="65"/>
      <c r="D564" s="65"/>
      <c r="E564" s="65"/>
      <c r="F564" s="65"/>
      <c r="I564" s="65"/>
      <c r="J564" s="65"/>
      <c r="K564" s="65"/>
      <c r="L564" s="65"/>
      <c r="M564" s="65"/>
      <c r="N564" s="65"/>
      <c r="O564" s="65"/>
      <c r="P564" s="65"/>
      <c r="Q564" s="65"/>
      <c r="R564" s="65"/>
      <c r="S564" s="65"/>
      <c r="T564" s="65"/>
      <c r="U564" s="65"/>
      <c r="V564" s="65"/>
      <c r="W564" s="65"/>
      <c r="X564" s="65"/>
      <c r="Y564" s="65"/>
      <c r="Z564" s="65"/>
    </row>
    <row r="565" ht="15.75" customHeight="1">
      <c r="A565" s="65"/>
      <c r="B565" s="65"/>
      <c r="C565" s="65"/>
      <c r="D565" s="65"/>
      <c r="E565" s="65"/>
      <c r="F565" s="65"/>
      <c r="I565" s="65"/>
      <c r="J565" s="65"/>
      <c r="K565" s="65"/>
      <c r="L565" s="65"/>
      <c r="M565" s="65"/>
      <c r="N565" s="65"/>
      <c r="O565" s="65"/>
      <c r="P565" s="65"/>
      <c r="Q565" s="65"/>
      <c r="R565" s="65"/>
      <c r="S565" s="65"/>
      <c r="T565" s="65"/>
      <c r="U565" s="65"/>
      <c r="V565" s="65"/>
      <c r="W565" s="65"/>
      <c r="X565" s="65"/>
      <c r="Y565" s="65"/>
      <c r="Z565" s="65"/>
    </row>
    <row r="566" ht="15.75" customHeight="1">
      <c r="A566" s="65"/>
      <c r="B566" s="65"/>
      <c r="C566" s="65"/>
      <c r="D566" s="65"/>
      <c r="E566" s="65"/>
      <c r="F566" s="65"/>
      <c r="I566" s="65"/>
      <c r="J566" s="65"/>
      <c r="K566" s="65"/>
      <c r="L566" s="65"/>
      <c r="M566" s="65"/>
      <c r="N566" s="65"/>
      <c r="O566" s="65"/>
      <c r="P566" s="65"/>
      <c r="Q566" s="65"/>
      <c r="R566" s="65"/>
      <c r="S566" s="65"/>
      <c r="T566" s="65"/>
      <c r="U566" s="65"/>
      <c r="V566" s="65"/>
      <c r="W566" s="65"/>
      <c r="X566" s="65"/>
      <c r="Y566" s="65"/>
      <c r="Z566" s="65"/>
    </row>
    <row r="567" ht="15.75" customHeight="1">
      <c r="A567" s="65"/>
      <c r="B567" s="65"/>
      <c r="C567" s="65"/>
      <c r="D567" s="65"/>
      <c r="E567" s="65"/>
      <c r="F567" s="65"/>
      <c r="I567" s="65"/>
      <c r="J567" s="65"/>
      <c r="K567" s="65"/>
      <c r="L567" s="65"/>
      <c r="M567" s="65"/>
      <c r="N567" s="65"/>
      <c r="O567" s="65"/>
      <c r="P567" s="65"/>
      <c r="Q567" s="65"/>
      <c r="R567" s="65"/>
      <c r="S567" s="65"/>
      <c r="T567" s="65"/>
      <c r="U567" s="65"/>
      <c r="V567" s="65"/>
      <c r="W567" s="65"/>
      <c r="X567" s="65"/>
      <c r="Y567" s="65"/>
      <c r="Z567" s="65"/>
    </row>
    <row r="568" ht="15.75" customHeight="1">
      <c r="A568" s="65"/>
      <c r="B568" s="65"/>
      <c r="C568" s="65"/>
      <c r="D568" s="65"/>
      <c r="E568" s="65"/>
      <c r="F568" s="65"/>
      <c r="I568" s="65"/>
      <c r="J568" s="65"/>
      <c r="K568" s="65"/>
      <c r="L568" s="65"/>
      <c r="M568" s="65"/>
      <c r="N568" s="65"/>
      <c r="O568" s="65"/>
      <c r="P568" s="65"/>
      <c r="Q568" s="65"/>
      <c r="R568" s="65"/>
      <c r="S568" s="65"/>
      <c r="T568" s="65"/>
      <c r="U568" s="65"/>
      <c r="V568" s="65"/>
      <c r="W568" s="65"/>
      <c r="X568" s="65"/>
      <c r="Y568" s="65"/>
      <c r="Z568" s="65"/>
    </row>
    <row r="569" ht="15.75" customHeight="1">
      <c r="A569" s="65"/>
      <c r="B569" s="65"/>
      <c r="C569" s="65"/>
      <c r="D569" s="65"/>
      <c r="E569" s="65"/>
      <c r="F569" s="65"/>
      <c r="I569" s="65"/>
      <c r="J569" s="65"/>
      <c r="K569" s="65"/>
      <c r="L569" s="65"/>
      <c r="M569" s="65"/>
      <c r="N569" s="65"/>
      <c r="O569" s="65"/>
      <c r="P569" s="65"/>
      <c r="Q569" s="65"/>
      <c r="R569" s="65"/>
      <c r="S569" s="65"/>
      <c r="T569" s="65"/>
      <c r="U569" s="65"/>
      <c r="V569" s="65"/>
      <c r="W569" s="65"/>
      <c r="X569" s="65"/>
      <c r="Y569" s="65"/>
      <c r="Z569" s="65"/>
    </row>
    <row r="570" ht="15.75" customHeight="1">
      <c r="A570" s="65"/>
      <c r="B570" s="65"/>
      <c r="C570" s="65"/>
      <c r="D570" s="65"/>
      <c r="E570" s="65"/>
      <c r="F570" s="65"/>
      <c r="I570" s="65"/>
      <c r="J570" s="65"/>
      <c r="K570" s="65"/>
      <c r="L570" s="65"/>
      <c r="M570" s="65"/>
      <c r="N570" s="65"/>
      <c r="O570" s="65"/>
      <c r="P570" s="65"/>
      <c r="Q570" s="65"/>
      <c r="R570" s="65"/>
      <c r="S570" s="65"/>
      <c r="T570" s="65"/>
      <c r="U570" s="65"/>
      <c r="V570" s="65"/>
      <c r="W570" s="65"/>
      <c r="X570" s="65"/>
      <c r="Y570" s="65"/>
      <c r="Z570" s="65"/>
    </row>
    <row r="571" ht="15.75" customHeight="1">
      <c r="A571" s="65"/>
      <c r="B571" s="65"/>
      <c r="C571" s="65"/>
      <c r="D571" s="65"/>
      <c r="E571" s="65"/>
      <c r="F571" s="65"/>
      <c r="I571" s="65"/>
      <c r="J571" s="65"/>
      <c r="K571" s="65"/>
      <c r="L571" s="65"/>
      <c r="M571" s="65"/>
      <c r="N571" s="65"/>
      <c r="O571" s="65"/>
      <c r="P571" s="65"/>
      <c r="Q571" s="65"/>
      <c r="R571" s="65"/>
      <c r="S571" s="65"/>
      <c r="T571" s="65"/>
      <c r="U571" s="65"/>
      <c r="V571" s="65"/>
      <c r="W571" s="65"/>
      <c r="X571" s="65"/>
      <c r="Y571" s="65"/>
      <c r="Z571" s="65"/>
    </row>
    <row r="572" ht="15.75" customHeight="1">
      <c r="A572" s="65"/>
      <c r="B572" s="65"/>
      <c r="C572" s="65"/>
      <c r="D572" s="65"/>
      <c r="E572" s="65"/>
      <c r="F572" s="65"/>
      <c r="I572" s="65"/>
      <c r="J572" s="65"/>
      <c r="K572" s="65"/>
      <c r="L572" s="65"/>
      <c r="M572" s="65"/>
      <c r="N572" s="65"/>
      <c r="O572" s="65"/>
      <c r="P572" s="65"/>
      <c r="Q572" s="65"/>
      <c r="R572" s="65"/>
      <c r="S572" s="65"/>
      <c r="T572" s="65"/>
      <c r="U572" s="65"/>
      <c r="V572" s="65"/>
      <c r="W572" s="65"/>
      <c r="X572" s="65"/>
      <c r="Y572" s="65"/>
      <c r="Z572" s="65"/>
    </row>
    <row r="573" ht="15.75" customHeight="1">
      <c r="A573" s="65"/>
      <c r="B573" s="65"/>
      <c r="C573" s="65"/>
      <c r="D573" s="65"/>
      <c r="E573" s="65"/>
      <c r="F573" s="65"/>
      <c r="I573" s="65"/>
      <c r="J573" s="65"/>
      <c r="K573" s="65"/>
      <c r="L573" s="65"/>
      <c r="M573" s="65"/>
      <c r="N573" s="65"/>
      <c r="O573" s="65"/>
      <c r="P573" s="65"/>
      <c r="Q573" s="65"/>
      <c r="R573" s="65"/>
      <c r="S573" s="65"/>
      <c r="T573" s="65"/>
      <c r="U573" s="65"/>
      <c r="V573" s="65"/>
      <c r="W573" s="65"/>
      <c r="X573" s="65"/>
      <c r="Y573" s="65"/>
      <c r="Z573" s="65"/>
    </row>
    <row r="574" ht="15.75" customHeight="1">
      <c r="A574" s="65"/>
      <c r="B574" s="65"/>
      <c r="C574" s="65"/>
      <c r="D574" s="65"/>
      <c r="E574" s="65"/>
      <c r="F574" s="65"/>
      <c r="I574" s="65"/>
      <c r="J574" s="65"/>
      <c r="K574" s="65"/>
      <c r="L574" s="65"/>
      <c r="M574" s="65"/>
      <c r="N574" s="65"/>
      <c r="O574" s="65"/>
      <c r="P574" s="65"/>
      <c r="Q574" s="65"/>
      <c r="R574" s="65"/>
      <c r="S574" s="65"/>
      <c r="T574" s="65"/>
      <c r="U574" s="65"/>
      <c r="V574" s="65"/>
      <c r="W574" s="65"/>
      <c r="X574" s="65"/>
      <c r="Y574" s="65"/>
      <c r="Z574" s="65"/>
    </row>
    <row r="575" ht="15.75" customHeight="1">
      <c r="A575" s="65"/>
      <c r="B575" s="65"/>
      <c r="C575" s="65"/>
      <c r="D575" s="65"/>
      <c r="E575" s="65"/>
      <c r="F575" s="65"/>
      <c r="I575" s="65"/>
      <c r="J575" s="65"/>
      <c r="K575" s="65"/>
      <c r="L575" s="65"/>
      <c r="M575" s="65"/>
      <c r="N575" s="65"/>
      <c r="O575" s="65"/>
      <c r="P575" s="65"/>
      <c r="Q575" s="65"/>
      <c r="R575" s="65"/>
      <c r="S575" s="65"/>
      <c r="T575" s="65"/>
      <c r="U575" s="65"/>
      <c r="V575" s="65"/>
      <c r="W575" s="65"/>
      <c r="X575" s="65"/>
      <c r="Y575" s="65"/>
      <c r="Z575" s="65"/>
    </row>
    <row r="576" ht="15.75" customHeight="1">
      <c r="A576" s="65"/>
      <c r="B576" s="65"/>
      <c r="C576" s="65"/>
      <c r="D576" s="65"/>
      <c r="E576" s="65"/>
      <c r="F576" s="65"/>
      <c r="I576" s="65"/>
      <c r="J576" s="65"/>
      <c r="K576" s="65"/>
      <c r="L576" s="65"/>
      <c r="M576" s="65"/>
      <c r="N576" s="65"/>
      <c r="O576" s="65"/>
      <c r="P576" s="65"/>
      <c r="Q576" s="65"/>
      <c r="R576" s="65"/>
      <c r="S576" s="65"/>
      <c r="T576" s="65"/>
      <c r="U576" s="65"/>
      <c r="V576" s="65"/>
      <c r="W576" s="65"/>
      <c r="X576" s="65"/>
      <c r="Y576" s="65"/>
      <c r="Z576" s="65"/>
    </row>
    <row r="577" ht="15.75" customHeight="1">
      <c r="A577" s="65"/>
      <c r="B577" s="65"/>
      <c r="C577" s="65"/>
      <c r="D577" s="65"/>
      <c r="E577" s="65"/>
      <c r="F577" s="65"/>
      <c r="I577" s="65"/>
      <c r="J577" s="65"/>
      <c r="K577" s="65"/>
      <c r="L577" s="65"/>
      <c r="M577" s="65"/>
      <c r="N577" s="65"/>
      <c r="O577" s="65"/>
      <c r="P577" s="65"/>
      <c r="Q577" s="65"/>
      <c r="R577" s="65"/>
      <c r="S577" s="65"/>
      <c r="T577" s="65"/>
      <c r="U577" s="65"/>
      <c r="V577" s="65"/>
      <c r="W577" s="65"/>
      <c r="X577" s="65"/>
      <c r="Y577" s="65"/>
      <c r="Z577" s="65"/>
    </row>
    <row r="578" ht="15.75" customHeight="1">
      <c r="A578" s="65"/>
      <c r="B578" s="65"/>
      <c r="C578" s="65"/>
      <c r="D578" s="65"/>
      <c r="E578" s="65"/>
      <c r="F578" s="65"/>
      <c r="I578" s="65"/>
      <c r="J578" s="65"/>
      <c r="K578" s="65"/>
      <c r="L578" s="65"/>
      <c r="M578" s="65"/>
      <c r="N578" s="65"/>
      <c r="O578" s="65"/>
      <c r="P578" s="65"/>
      <c r="Q578" s="65"/>
      <c r="R578" s="65"/>
      <c r="S578" s="65"/>
      <c r="T578" s="65"/>
      <c r="U578" s="65"/>
      <c r="V578" s="65"/>
      <c r="W578" s="65"/>
      <c r="X578" s="65"/>
      <c r="Y578" s="65"/>
      <c r="Z578" s="65"/>
    </row>
    <row r="579" ht="15.75" customHeight="1">
      <c r="A579" s="65"/>
      <c r="B579" s="65"/>
      <c r="C579" s="65"/>
      <c r="D579" s="65"/>
      <c r="E579" s="65"/>
      <c r="F579" s="65"/>
      <c r="I579" s="65"/>
      <c r="J579" s="65"/>
      <c r="K579" s="65"/>
      <c r="L579" s="65"/>
      <c r="M579" s="65"/>
      <c r="N579" s="65"/>
      <c r="O579" s="65"/>
      <c r="P579" s="65"/>
      <c r="Q579" s="65"/>
      <c r="R579" s="65"/>
      <c r="S579" s="65"/>
      <c r="T579" s="65"/>
      <c r="U579" s="65"/>
      <c r="V579" s="65"/>
      <c r="W579" s="65"/>
      <c r="X579" s="65"/>
      <c r="Y579" s="65"/>
      <c r="Z579" s="65"/>
    </row>
    <row r="580" ht="15.75" customHeight="1">
      <c r="A580" s="65"/>
      <c r="B580" s="65"/>
      <c r="C580" s="65"/>
      <c r="D580" s="65"/>
      <c r="E580" s="65"/>
      <c r="F580" s="65"/>
      <c r="I580" s="65"/>
      <c r="J580" s="65"/>
      <c r="K580" s="65"/>
      <c r="L580" s="65"/>
      <c r="M580" s="65"/>
      <c r="N580" s="65"/>
      <c r="O580" s="65"/>
      <c r="P580" s="65"/>
      <c r="Q580" s="65"/>
      <c r="R580" s="65"/>
      <c r="S580" s="65"/>
      <c r="T580" s="65"/>
      <c r="U580" s="65"/>
      <c r="V580" s="65"/>
      <c r="W580" s="65"/>
      <c r="X580" s="65"/>
      <c r="Y580" s="65"/>
      <c r="Z580" s="65"/>
    </row>
    <row r="581" ht="15.75" customHeight="1">
      <c r="A581" s="65"/>
      <c r="B581" s="65"/>
      <c r="C581" s="65"/>
      <c r="D581" s="65"/>
      <c r="E581" s="65"/>
      <c r="F581" s="65"/>
      <c r="I581" s="65"/>
      <c r="J581" s="65"/>
      <c r="K581" s="65"/>
      <c r="L581" s="65"/>
      <c r="M581" s="65"/>
      <c r="N581" s="65"/>
      <c r="O581" s="65"/>
      <c r="P581" s="65"/>
      <c r="Q581" s="65"/>
      <c r="R581" s="65"/>
      <c r="S581" s="65"/>
      <c r="T581" s="65"/>
      <c r="U581" s="65"/>
      <c r="V581" s="65"/>
      <c r="W581" s="65"/>
      <c r="X581" s="65"/>
      <c r="Y581" s="65"/>
      <c r="Z581" s="65"/>
    </row>
    <row r="582" ht="15.75" customHeight="1">
      <c r="A582" s="65"/>
      <c r="B582" s="65"/>
      <c r="C582" s="65"/>
      <c r="D582" s="65"/>
      <c r="E582" s="65"/>
      <c r="F582" s="65"/>
      <c r="I582" s="65"/>
      <c r="J582" s="65"/>
      <c r="K582" s="65"/>
      <c r="L582" s="65"/>
      <c r="M582" s="65"/>
      <c r="N582" s="65"/>
      <c r="O582" s="65"/>
      <c r="P582" s="65"/>
      <c r="Q582" s="65"/>
      <c r="R582" s="65"/>
      <c r="S582" s="65"/>
      <c r="T582" s="65"/>
      <c r="U582" s="65"/>
      <c r="V582" s="65"/>
      <c r="W582" s="65"/>
      <c r="X582" s="65"/>
      <c r="Y582" s="65"/>
      <c r="Z582" s="65"/>
    </row>
    <row r="583" ht="15.75" customHeight="1">
      <c r="A583" s="65"/>
      <c r="B583" s="65"/>
      <c r="C583" s="65"/>
      <c r="D583" s="65"/>
      <c r="E583" s="65"/>
      <c r="F583" s="65"/>
      <c r="I583" s="65"/>
      <c r="J583" s="65"/>
      <c r="K583" s="65"/>
      <c r="L583" s="65"/>
      <c r="M583" s="65"/>
      <c r="N583" s="65"/>
      <c r="O583" s="65"/>
      <c r="P583" s="65"/>
      <c r="Q583" s="65"/>
      <c r="R583" s="65"/>
      <c r="S583" s="65"/>
      <c r="T583" s="65"/>
      <c r="U583" s="65"/>
      <c r="V583" s="65"/>
      <c r="W583" s="65"/>
      <c r="X583" s="65"/>
      <c r="Y583" s="65"/>
      <c r="Z583" s="65"/>
    </row>
    <row r="584" ht="15.75" customHeight="1">
      <c r="A584" s="65"/>
      <c r="B584" s="65"/>
      <c r="C584" s="65"/>
      <c r="D584" s="65"/>
      <c r="E584" s="65"/>
      <c r="F584" s="65"/>
      <c r="I584" s="65"/>
      <c r="J584" s="65"/>
      <c r="K584" s="65"/>
      <c r="L584" s="65"/>
      <c r="M584" s="65"/>
      <c r="N584" s="65"/>
      <c r="O584" s="65"/>
      <c r="P584" s="65"/>
      <c r="Q584" s="65"/>
      <c r="R584" s="65"/>
      <c r="S584" s="65"/>
      <c r="T584" s="65"/>
      <c r="U584" s="65"/>
      <c r="V584" s="65"/>
      <c r="W584" s="65"/>
      <c r="X584" s="65"/>
      <c r="Y584" s="65"/>
      <c r="Z584" s="65"/>
    </row>
    <row r="585" ht="15.75" customHeight="1">
      <c r="A585" s="65"/>
      <c r="B585" s="65"/>
      <c r="C585" s="65"/>
      <c r="D585" s="65"/>
      <c r="E585" s="65"/>
      <c r="F585" s="65"/>
      <c r="I585" s="65"/>
      <c r="J585" s="65"/>
      <c r="K585" s="65"/>
      <c r="L585" s="65"/>
      <c r="M585" s="65"/>
      <c r="N585" s="65"/>
      <c r="O585" s="65"/>
      <c r="P585" s="65"/>
      <c r="Q585" s="65"/>
      <c r="R585" s="65"/>
      <c r="S585" s="65"/>
      <c r="T585" s="65"/>
      <c r="U585" s="65"/>
      <c r="V585" s="65"/>
      <c r="W585" s="65"/>
      <c r="X585" s="65"/>
      <c r="Y585" s="65"/>
      <c r="Z585" s="65"/>
    </row>
    <row r="586" ht="15.75" customHeight="1">
      <c r="A586" s="65"/>
      <c r="B586" s="65"/>
      <c r="C586" s="65"/>
      <c r="D586" s="65"/>
      <c r="E586" s="65"/>
      <c r="F586" s="65"/>
      <c r="I586" s="65"/>
      <c r="J586" s="65"/>
      <c r="K586" s="65"/>
      <c r="L586" s="65"/>
      <c r="M586" s="65"/>
      <c r="N586" s="65"/>
      <c r="O586" s="65"/>
      <c r="P586" s="65"/>
      <c r="Q586" s="65"/>
      <c r="R586" s="65"/>
      <c r="S586" s="65"/>
      <c r="T586" s="65"/>
      <c r="U586" s="65"/>
      <c r="V586" s="65"/>
      <c r="W586" s="65"/>
      <c r="X586" s="65"/>
      <c r="Y586" s="65"/>
      <c r="Z586" s="65"/>
    </row>
    <row r="587" ht="15.75" customHeight="1">
      <c r="A587" s="65"/>
      <c r="B587" s="65"/>
      <c r="C587" s="65"/>
      <c r="D587" s="65"/>
      <c r="E587" s="65"/>
      <c r="F587" s="65"/>
      <c r="I587" s="65"/>
      <c r="J587" s="65"/>
      <c r="K587" s="65"/>
      <c r="L587" s="65"/>
      <c r="M587" s="65"/>
      <c r="N587" s="65"/>
      <c r="O587" s="65"/>
      <c r="P587" s="65"/>
      <c r="Q587" s="65"/>
      <c r="R587" s="65"/>
      <c r="S587" s="65"/>
      <c r="T587" s="65"/>
      <c r="U587" s="65"/>
      <c r="V587" s="65"/>
      <c r="W587" s="65"/>
      <c r="X587" s="65"/>
      <c r="Y587" s="65"/>
      <c r="Z587" s="65"/>
    </row>
    <row r="588" ht="15.75" customHeight="1">
      <c r="A588" s="65"/>
      <c r="B588" s="65"/>
      <c r="C588" s="65"/>
      <c r="D588" s="65"/>
      <c r="E588" s="65"/>
      <c r="F588" s="65"/>
      <c r="I588" s="65"/>
      <c r="J588" s="65"/>
      <c r="K588" s="65"/>
      <c r="L588" s="65"/>
      <c r="M588" s="65"/>
      <c r="N588" s="65"/>
      <c r="O588" s="65"/>
      <c r="P588" s="65"/>
      <c r="Q588" s="65"/>
      <c r="R588" s="65"/>
      <c r="S588" s="65"/>
      <c r="T588" s="65"/>
      <c r="U588" s="65"/>
      <c r="V588" s="65"/>
      <c r="W588" s="65"/>
      <c r="X588" s="65"/>
      <c r="Y588" s="65"/>
      <c r="Z588" s="65"/>
    </row>
    <row r="589" ht="15.75" customHeight="1">
      <c r="A589" s="65"/>
      <c r="B589" s="65"/>
      <c r="C589" s="65"/>
      <c r="D589" s="65"/>
      <c r="E589" s="65"/>
      <c r="F589" s="65"/>
      <c r="I589" s="65"/>
      <c r="J589" s="65"/>
      <c r="K589" s="65"/>
      <c r="L589" s="65"/>
      <c r="M589" s="65"/>
      <c r="N589" s="65"/>
      <c r="O589" s="65"/>
      <c r="P589" s="65"/>
      <c r="Q589" s="65"/>
      <c r="R589" s="65"/>
      <c r="S589" s="65"/>
      <c r="T589" s="65"/>
      <c r="U589" s="65"/>
      <c r="V589" s="65"/>
      <c r="W589" s="65"/>
      <c r="X589" s="65"/>
      <c r="Y589" s="65"/>
      <c r="Z589" s="65"/>
    </row>
    <row r="590" ht="15.75" customHeight="1">
      <c r="A590" s="65"/>
      <c r="B590" s="65"/>
      <c r="C590" s="65"/>
      <c r="D590" s="65"/>
      <c r="E590" s="65"/>
      <c r="F590" s="65"/>
      <c r="I590" s="65"/>
      <c r="J590" s="65"/>
      <c r="K590" s="65"/>
      <c r="L590" s="65"/>
      <c r="M590" s="65"/>
      <c r="N590" s="65"/>
      <c r="O590" s="65"/>
      <c r="P590" s="65"/>
      <c r="Q590" s="65"/>
      <c r="R590" s="65"/>
      <c r="S590" s="65"/>
      <c r="T590" s="65"/>
      <c r="U590" s="65"/>
      <c r="V590" s="65"/>
      <c r="W590" s="65"/>
      <c r="X590" s="65"/>
      <c r="Y590" s="65"/>
      <c r="Z590" s="65"/>
    </row>
    <row r="591" ht="15.75" customHeight="1">
      <c r="A591" s="65"/>
      <c r="B591" s="65"/>
      <c r="C591" s="65"/>
      <c r="D591" s="65"/>
      <c r="E591" s="65"/>
      <c r="F591" s="65"/>
      <c r="I591" s="65"/>
      <c r="J591" s="65"/>
      <c r="K591" s="65"/>
      <c r="L591" s="65"/>
      <c r="M591" s="65"/>
      <c r="N591" s="65"/>
      <c r="O591" s="65"/>
      <c r="P591" s="65"/>
      <c r="Q591" s="65"/>
      <c r="R591" s="65"/>
      <c r="S591" s="65"/>
      <c r="T591" s="65"/>
      <c r="U591" s="65"/>
      <c r="V591" s="65"/>
      <c r="W591" s="65"/>
      <c r="X591" s="65"/>
      <c r="Y591" s="65"/>
      <c r="Z591" s="65"/>
    </row>
    <row r="592" ht="15.75" customHeight="1">
      <c r="A592" s="65"/>
      <c r="B592" s="65"/>
      <c r="C592" s="65"/>
      <c r="D592" s="65"/>
      <c r="E592" s="65"/>
      <c r="F592" s="65"/>
      <c r="I592" s="65"/>
      <c r="J592" s="65"/>
      <c r="K592" s="65"/>
      <c r="L592" s="65"/>
      <c r="M592" s="65"/>
      <c r="N592" s="65"/>
      <c r="O592" s="65"/>
      <c r="P592" s="65"/>
      <c r="Q592" s="65"/>
      <c r="R592" s="65"/>
      <c r="S592" s="65"/>
      <c r="T592" s="65"/>
      <c r="U592" s="65"/>
      <c r="V592" s="65"/>
      <c r="W592" s="65"/>
      <c r="X592" s="65"/>
      <c r="Y592" s="65"/>
      <c r="Z592" s="65"/>
    </row>
    <row r="593" ht="15.75" customHeight="1">
      <c r="A593" s="65"/>
      <c r="B593" s="65"/>
      <c r="C593" s="65"/>
      <c r="D593" s="65"/>
      <c r="E593" s="65"/>
      <c r="F593" s="65"/>
      <c r="I593" s="65"/>
      <c r="J593" s="65"/>
      <c r="K593" s="65"/>
      <c r="L593" s="65"/>
      <c r="M593" s="65"/>
      <c r="N593" s="65"/>
      <c r="O593" s="65"/>
      <c r="P593" s="65"/>
      <c r="Q593" s="65"/>
      <c r="R593" s="65"/>
      <c r="S593" s="65"/>
      <c r="T593" s="65"/>
      <c r="U593" s="65"/>
      <c r="V593" s="65"/>
      <c r="W593" s="65"/>
      <c r="X593" s="65"/>
      <c r="Y593" s="65"/>
      <c r="Z593" s="65"/>
    </row>
    <row r="594" ht="15.75" customHeight="1">
      <c r="A594" s="65"/>
      <c r="B594" s="65"/>
      <c r="C594" s="65"/>
      <c r="D594" s="65"/>
      <c r="E594" s="65"/>
      <c r="F594" s="65"/>
      <c r="I594" s="65"/>
      <c r="J594" s="65"/>
      <c r="K594" s="65"/>
      <c r="L594" s="65"/>
      <c r="M594" s="65"/>
      <c r="N594" s="65"/>
      <c r="O594" s="65"/>
      <c r="P594" s="65"/>
      <c r="Q594" s="65"/>
      <c r="R594" s="65"/>
      <c r="S594" s="65"/>
      <c r="T594" s="65"/>
      <c r="U594" s="65"/>
      <c r="V594" s="65"/>
      <c r="W594" s="65"/>
      <c r="X594" s="65"/>
      <c r="Y594" s="65"/>
      <c r="Z594" s="65"/>
    </row>
    <row r="595" ht="15.75" customHeight="1">
      <c r="A595" s="65"/>
      <c r="B595" s="65"/>
      <c r="C595" s="65"/>
      <c r="D595" s="65"/>
      <c r="E595" s="65"/>
      <c r="F595" s="65"/>
      <c r="I595" s="65"/>
      <c r="J595" s="65"/>
      <c r="K595" s="65"/>
      <c r="L595" s="65"/>
      <c r="M595" s="65"/>
      <c r="N595" s="65"/>
      <c r="O595" s="65"/>
      <c r="P595" s="65"/>
      <c r="Q595" s="65"/>
      <c r="R595" s="65"/>
      <c r="S595" s="65"/>
      <c r="T595" s="65"/>
      <c r="U595" s="65"/>
      <c r="V595" s="65"/>
      <c r="W595" s="65"/>
      <c r="X595" s="65"/>
      <c r="Y595" s="65"/>
      <c r="Z595" s="65"/>
    </row>
    <row r="596" ht="15.75" customHeight="1">
      <c r="A596" s="65"/>
      <c r="B596" s="65"/>
      <c r="C596" s="65"/>
      <c r="D596" s="65"/>
      <c r="E596" s="65"/>
      <c r="F596" s="65"/>
      <c r="I596" s="65"/>
      <c r="J596" s="65"/>
      <c r="K596" s="65"/>
      <c r="L596" s="65"/>
      <c r="M596" s="65"/>
      <c r="N596" s="65"/>
      <c r="O596" s="65"/>
      <c r="P596" s="65"/>
      <c r="Q596" s="65"/>
      <c r="R596" s="65"/>
      <c r="S596" s="65"/>
      <c r="T596" s="65"/>
      <c r="U596" s="65"/>
      <c r="V596" s="65"/>
      <c r="W596" s="65"/>
      <c r="X596" s="65"/>
      <c r="Y596" s="65"/>
      <c r="Z596" s="65"/>
    </row>
    <row r="597" ht="15.75" customHeight="1">
      <c r="A597" s="65"/>
      <c r="B597" s="65"/>
      <c r="C597" s="65"/>
      <c r="D597" s="65"/>
      <c r="E597" s="65"/>
      <c r="F597" s="65"/>
      <c r="I597" s="65"/>
      <c r="J597" s="65"/>
      <c r="K597" s="65"/>
      <c r="L597" s="65"/>
      <c r="M597" s="65"/>
      <c r="N597" s="65"/>
      <c r="O597" s="65"/>
      <c r="P597" s="65"/>
      <c r="Q597" s="65"/>
      <c r="R597" s="65"/>
      <c r="S597" s="65"/>
      <c r="T597" s="65"/>
      <c r="U597" s="65"/>
      <c r="V597" s="65"/>
      <c r="W597" s="65"/>
      <c r="X597" s="65"/>
      <c r="Y597" s="65"/>
      <c r="Z597" s="65"/>
    </row>
    <row r="598" ht="15.75" customHeight="1">
      <c r="A598" s="65"/>
      <c r="B598" s="65"/>
      <c r="C598" s="65"/>
      <c r="D598" s="65"/>
      <c r="E598" s="65"/>
      <c r="F598" s="65"/>
      <c r="I598" s="65"/>
      <c r="J598" s="65"/>
      <c r="K598" s="65"/>
      <c r="L598" s="65"/>
      <c r="M598" s="65"/>
      <c r="N598" s="65"/>
      <c r="O598" s="65"/>
      <c r="P598" s="65"/>
      <c r="Q598" s="65"/>
      <c r="R598" s="65"/>
      <c r="S598" s="65"/>
      <c r="T598" s="65"/>
      <c r="U598" s="65"/>
      <c r="V598" s="65"/>
      <c r="W598" s="65"/>
      <c r="X598" s="65"/>
      <c r="Y598" s="65"/>
      <c r="Z598" s="65"/>
    </row>
    <row r="599" ht="15.75" customHeight="1">
      <c r="A599" s="65"/>
      <c r="B599" s="65"/>
      <c r="C599" s="65"/>
      <c r="D599" s="65"/>
      <c r="E599" s="65"/>
      <c r="F599" s="65"/>
      <c r="I599" s="65"/>
      <c r="J599" s="65"/>
      <c r="K599" s="65"/>
      <c r="L599" s="65"/>
      <c r="M599" s="65"/>
      <c r="N599" s="65"/>
      <c r="O599" s="65"/>
      <c r="P599" s="65"/>
      <c r="Q599" s="65"/>
      <c r="R599" s="65"/>
      <c r="S599" s="65"/>
      <c r="T599" s="65"/>
      <c r="U599" s="65"/>
      <c r="V599" s="65"/>
      <c r="W599" s="65"/>
      <c r="X599" s="65"/>
      <c r="Y599" s="65"/>
      <c r="Z599" s="65"/>
    </row>
    <row r="600" ht="15.75" customHeight="1">
      <c r="A600" s="65"/>
      <c r="B600" s="65"/>
      <c r="C600" s="65"/>
      <c r="D600" s="65"/>
      <c r="E600" s="65"/>
      <c r="F600" s="65"/>
      <c r="I600" s="65"/>
      <c r="J600" s="65"/>
      <c r="K600" s="65"/>
      <c r="L600" s="65"/>
      <c r="M600" s="65"/>
      <c r="N600" s="65"/>
      <c r="O600" s="65"/>
      <c r="P600" s="65"/>
      <c r="Q600" s="65"/>
      <c r="R600" s="65"/>
      <c r="S600" s="65"/>
      <c r="T600" s="65"/>
      <c r="U600" s="65"/>
      <c r="V600" s="65"/>
      <c r="W600" s="65"/>
      <c r="X600" s="65"/>
      <c r="Y600" s="65"/>
      <c r="Z600" s="65"/>
    </row>
    <row r="601" ht="15.75" customHeight="1">
      <c r="A601" s="65"/>
      <c r="B601" s="65"/>
      <c r="C601" s="65"/>
      <c r="D601" s="65"/>
      <c r="E601" s="65"/>
      <c r="F601" s="65"/>
      <c r="I601" s="65"/>
      <c r="J601" s="65"/>
      <c r="K601" s="65"/>
      <c r="L601" s="65"/>
      <c r="M601" s="65"/>
      <c r="N601" s="65"/>
      <c r="O601" s="65"/>
      <c r="P601" s="65"/>
      <c r="Q601" s="65"/>
      <c r="R601" s="65"/>
      <c r="S601" s="65"/>
      <c r="T601" s="65"/>
      <c r="U601" s="65"/>
      <c r="V601" s="65"/>
      <c r="W601" s="65"/>
      <c r="X601" s="65"/>
      <c r="Y601" s="65"/>
      <c r="Z601" s="65"/>
    </row>
    <row r="602" ht="15.75" customHeight="1">
      <c r="A602" s="65"/>
      <c r="B602" s="65"/>
      <c r="C602" s="65"/>
      <c r="D602" s="65"/>
      <c r="E602" s="65"/>
      <c r="F602" s="65"/>
      <c r="I602" s="65"/>
      <c r="J602" s="65"/>
      <c r="K602" s="65"/>
      <c r="L602" s="65"/>
      <c r="M602" s="65"/>
      <c r="N602" s="65"/>
      <c r="O602" s="65"/>
      <c r="P602" s="65"/>
      <c r="Q602" s="65"/>
      <c r="R602" s="65"/>
      <c r="S602" s="65"/>
      <c r="T602" s="65"/>
      <c r="U602" s="65"/>
      <c r="V602" s="65"/>
      <c r="W602" s="65"/>
      <c r="X602" s="65"/>
      <c r="Y602" s="65"/>
      <c r="Z602" s="65"/>
    </row>
    <row r="603" ht="15.75" customHeight="1">
      <c r="A603" s="65"/>
      <c r="B603" s="65"/>
      <c r="C603" s="65"/>
      <c r="D603" s="65"/>
      <c r="E603" s="65"/>
      <c r="F603" s="65"/>
      <c r="I603" s="65"/>
      <c r="J603" s="65"/>
      <c r="K603" s="65"/>
      <c r="L603" s="65"/>
      <c r="M603" s="65"/>
      <c r="N603" s="65"/>
      <c r="O603" s="65"/>
      <c r="P603" s="65"/>
      <c r="Q603" s="65"/>
      <c r="R603" s="65"/>
      <c r="S603" s="65"/>
      <c r="T603" s="65"/>
      <c r="U603" s="65"/>
      <c r="V603" s="65"/>
      <c r="W603" s="65"/>
      <c r="X603" s="65"/>
      <c r="Y603" s="65"/>
      <c r="Z603" s="65"/>
    </row>
    <row r="604" ht="15.75" customHeight="1">
      <c r="A604" s="65"/>
      <c r="B604" s="65"/>
      <c r="C604" s="65"/>
      <c r="D604" s="65"/>
      <c r="E604" s="65"/>
      <c r="F604" s="65"/>
      <c r="I604" s="65"/>
      <c r="J604" s="65"/>
      <c r="K604" s="65"/>
      <c r="L604" s="65"/>
      <c r="M604" s="65"/>
      <c r="N604" s="65"/>
      <c r="O604" s="65"/>
      <c r="P604" s="65"/>
      <c r="Q604" s="65"/>
      <c r="R604" s="65"/>
      <c r="S604" s="65"/>
      <c r="T604" s="65"/>
      <c r="U604" s="65"/>
      <c r="V604" s="65"/>
      <c r="W604" s="65"/>
      <c r="X604" s="65"/>
      <c r="Y604" s="65"/>
      <c r="Z604" s="65"/>
    </row>
    <row r="605" ht="15.75" customHeight="1">
      <c r="A605" s="65"/>
      <c r="B605" s="65"/>
      <c r="C605" s="65"/>
      <c r="D605" s="65"/>
      <c r="E605" s="65"/>
      <c r="F605" s="65"/>
      <c r="I605" s="65"/>
      <c r="J605" s="65"/>
      <c r="K605" s="65"/>
      <c r="L605" s="65"/>
      <c r="M605" s="65"/>
      <c r="N605" s="65"/>
      <c r="O605" s="65"/>
      <c r="P605" s="65"/>
      <c r="Q605" s="65"/>
      <c r="R605" s="65"/>
      <c r="S605" s="65"/>
      <c r="T605" s="65"/>
      <c r="U605" s="65"/>
      <c r="V605" s="65"/>
      <c r="W605" s="65"/>
      <c r="X605" s="65"/>
      <c r="Y605" s="65"/>
      <c r="Z605" s="65"/>
    </row>
    <row r="606" ht="15.75" customHeight="1">
      <c r="A606" s="65"/>
      <c r="B606" s="65"/>
      <c r="C606" s="65"/>
      <c r="D606" s="65"/>
      <c r="E606" s="65"/>
      <c r="F606" s="65"/>
      <c r="I606" s="65"/>
      <c r="J606" s="65"/>
      <c r="K606" s="65"/>
      <c r="L606" s="65"/>
      <c r="M606" s="65"/>
      <c r="N606" s="65"/>
      <c r="O606" s="65"/>
      <c r="P606" s="65"/>
      <c r="Q606" s="65"/>
      <c r="R606" s="65"/>
      <c r="S606" s="65"/>
      <c r="T606" s="65"/>
      <c r="U606" s="65"/>
      <c r="V606" s="65"/>
      <c r="W606" s="65"/>
      <c r="X606" s="65"/>
      <c r="Y606" s="65"/>
      <c r="Z606" s="65"/>
    </row>
    <row r="607" ht="15.75" customHeight="1">
      <c r="A607" s="65"/>
      <c r="B607" s="65"/>
      <c r="C607" s="65"/>
      <c r="D607" s="65"/>
      <c r="E607" s="65"/>
      <c r="F607" s="65"/>
      <c r="I607" s="65"/>
      <c r="J607" s="65"/>
      <c r="K607" s="65"/>
      <c r="L607" s="65"/>
      <c r="M607" s="65"/>
      <c r="N607" s="65"/>
      <c r="O607" s="65"/>
      <c r="P607" s="65"/>
      <c r="Q607" s="65"/>
      <c r="R607" s="65"/>
      <c r="S607" s="65"/>
      <c r="T607" s="65"/>
      <c r="U607" s="65"/>
      <c r="V607" s="65"/>
      <c r="W607" s="65"/>
      <c r="X607" s="65"/>
      <c r="Y607" s="65"/>
      <c r="Z607" s="65"/>
    </row>
    <row r="608" ht="15.75" customHeight="1">
      <c r="A608" s="65"/>
      <c r="B608" s="65"/>
      <c r="C608" s="65"/>
      <c r="D608" s="65"/>
      <c r="E608" s="65"/>
      <c r="F608" s="65"/>
      <c r="I608" s="65"/>
      <c r="J608" s="65"/>
      <c r="K608" s="65"/>
      <c r="L608" s="65"/>
      <c r="M608" s="65"/>
      <c r="N608" s="65"/>
      <c r="O608" s="65"/>
      <c r="P608" s="65"/>
      <c r="Q608" s="65"/>
      <c r="R608" s="65"/>
      <c r="S608" s="65"/>
      <c r="T608" s="65"/>
      <c r="U608" s="65"/>
      <c r="V608" s="65"/>
      <c r="W608" s="65"/>
      <c r="X608" s="65"/>
      <c r="Y608" s="65"/>
      <c r="Z608" s="65"/>
    </row>
    <row r="609" ht="15.75" customHeight="1">
      <c r="A609" s="65"/>
      <c r="B609" s="65"/>
      <c r="C609" s="65"/>
      <c r="D609" s="65"/>
      <c r="E609" s="65"/>
      <c r="F609" s="65"/>
      <c r="I609" s="65"/>
      <c r="J609" s="65"/>
      <c r="K609" s="65"/>
      <c r="L609" s="65"/>
      <c r="M609" s="65"/>
      <c r="N609" s="65"/>
      <c r="O609" s="65"/>
      <c r="P609" s="65"/>
      <c r="Q609" s="65"/>
      <c r="R609" s="65"/>
      <c r="S609" s="65"/>
      <c r="T609" s="65"/>
      <c r="U609" s="65"/>
      <c r="V609" s="65"/>
      <c r="W609" s="65"/>
      <c r="X609" s="65"/>
      <c r="Y609" s="65"/>
      <c r="Z609" s="65"/>
    </row>
    <row r="610" ht="15.75" customHeight="1">
      <c r="A610" s="65"/>
      <c r="B610" s="65"/>
      <c r="C610" s="65"/>
      <c r="D610" s="65"/>
      <c r="E610" s="65"/>
      <c r="F610" s="65"/>
      <c r="I610" s="65"/>
      <c r="J610" s="65"/>
      <c r="K610" s="65"/>
      <c r="L610" s="65"/>
      <c r="M610" s="65"/>
      <c r="N610" s="65"/>
      <c r="O610" s="65"/>
      <c r="P610" s="65"/>
      <c r="Q610" s="65"/>
      <c r="R610" s="65"/>
      <c r="S610" s="65"/>
      <c r="T610" s="65"/>
      <c r="U610" s="65"/>
      <c r="V610" s="65"/>
      <c r="W610" s="65"/>
      <c r="X610" s="65"/>
      <c r="Y610" s="65"/>
      <c r="Z610" s="65"/>
    </row>
    <row r="611" ht="15.75" customHeight="1">
      <c r="A611" s="65"/>
      <c r="B611" s="65"/>
      <c r="C611" s="65"/>
      <c r="D611" s="65"/>
      <c r="E611" s="65"/>
      <c r="F611" s="65"/>
      <c r="I611" s="65"/>
      <c r="J611" s="65"/>
      <c r="K611" s="65"/>
      <c r="L611" s="65"/>
      <c r="M611" s="65"/>
      <c r="N611" s="65"/>
      <c r="O611" s="65"/>
      <c r="P611" s="65"/>
      <c r="Q611" s="65"/>
      <c r="R611" s="65"/>
      <c r="S611" s="65"/>
      <c r="T611" s="65"/>
      <c r="U611" s="65"/>
      <c r="V611" s="65"/>
      <c r="W611" s="65"/>
      <c r="X611" s="65"/>
      <c r="Y611" s="65"/>
      <c r="Z611" s="65"/>
    </row>
    <row r="612" ht="15.75" customHeight="1">
      <c r="A612" s="65"/>
      <c r="B612" s="65"/>
      <c r="C612" s="65"/>
      <c r="D612" s="65"/>
      <c r="E612" s="65"/>
      <c r="F612" s="65"/>
      <c r="I612" s="65"/>
      <c r="J612" s="65"/>
      <c r="K612" s="65"/>
      <c r="L612" s="65"/>
      <c r="M612" s="65"/>
      <c r="N612" s="65"/>
      <c r="O612" s="65"/>
      <c r="P612" s="65"/>
      <c r="Q612" s="65"/>
      <c r="R612" s="65"/>
      <c r="S612" s="65"/>
      <c r="T612" s="65"/>
      <c r="U612" s="65"/>
      <c r="V612" s="65"/>
      <c r="W612" s="65"/>
      <c r="X612" s="65"/>
      <c r="Y612" s="65"/>
      <c r="Z612" s="65"/>
    </row>
    <row r="613" ht="15.75" customHeight="1">
      <c r="A613" s="65"/>
      <c r="B613" s="65"/>
      <c r="C613" s="65"/>
      <c r="D613" s="65"/>
      <c r="E613" s="65"/>
      <c r="F613" s="65"/>
      <c r="I613" s="65"/>
      <c r="J613" s="65"/>
      <c r="K613" s="65"/>
      <c r="L613" s="65"/>
      <c r="M613" s="65"/>
      <c r="N613" s="65"/>
      <c r="O613" s="65"/>
      <c r="P613" s="65"/>
      <c r="Q613" s="65"/>
      <c r="R613" s="65"/>
      <c r="S613" s="65"/>
      <c r="T613" s="65"/>
      <c r="U613" s="65"/>
      <c r="V613" s="65"/>
      <c r="W613" s="65"/>
      <c r="X613" s="65"/>
      <c r="Y613" s="65"/>
      <c r="Z613" s="65"/>
    </row>
    <row r="614" ht="15.75" customHeight="1">
      <c r="A614" s="65"/>
      <c r="B614" s="65"/>
      <c r="C614" s="65"/>
      <c r="D614" s="65"/>
      <c r="E614" s="65"/>
      <c r="F614" s="65"/>
      <c r="I614" s="65"/>
      <c r="J614" s="65"/>
      <c r="K614" s="65"/>
      <c r="L614" s="65"/>
      <c r="M614" s="65"/>
      <c r="N614" s="65"/>
      <c r="O614" s="65"/>
      <c r="P614" s="65"/>
      <c r="Q614" s="65"/>
      <c r="R614" s="65"/>
      <c r="S614" s="65"/>
      <c r="T614" s="65"/>
      <c r="U614" s="65"/>
      <c r="V614" s="65"/>
      <c r="W614" s="65"/>
      <c r="X614" s="65"/>
      <c r="Y614" s="65"/>
      <c r="Z614" s="65"/>
    </row>
    <row r="615" ht="15.75" customHeight="1">
      <c r="A615" s="65"/>
      <c r="B615" s="65"/>
      <c r="C615" s="65"/>
      <c r="D615" s="65"/>
      <c r="E615" s="65"/>
      <c r="F615" s="65"/>
      <c r="I615" s="65"/>
      <c r="J615" s="65"/>
      <c r="K615" s="65"/>
      <c r="L615" s="65"/>
      <c r="M615" s="65"/>
      <c r="N615" s="65"/>
      <c r="O615" s="65"/>
      <c r="P615" s="65"/>
      <c r="Q615" s="65"/>
      <c r="R615" s="65"/>
      <c r="S615" s="65"/>
      <c r="T615" s="65"/>
      <c r="U615" s="65"/>
      <c r="V615" s="65"/>
      <c r="W615" s="65"/>
      <c r="X615" s="65"/>
      <c r="Y615" s="65"/>
      <c r="Z615" s="65"/>
    </row>
    <row r="616" ht="15.75" customHeight="1">
      <c r="A616" s="65"/>
      <c r="B616" s="65"/>
      <c r="C616" s="65"/>
      <c r="D616" s="65"/>
      <c r="E616" s="65"/>
      <c r="F616" s="65"/>
      <c r="I616" s="65"/>
      <c r="J616" s="65"/>
      <c r="K616" s="65"/>
      <c r="L616" s="65"/>
      <c r="M616" s="65"/>
      <c r="N616" s="65"/>
      <c r="O616" s="65"/>
      <c r="P616" s="65"/>
      <c r="Q616" s="65"/>
      <c r="R616" s="65"/>
      <c r="S616" s="65"/>
      <c r="T616" s="65"/>
      <c r="U616" s="65"/>
      <c r="V616" s="65"/>
      <c r="W616" s="65"/>
      <c r="X616" s="65"/>
      <c r="Y616" s="65"/>
      <c r="Z616" s="65"/>
    </row>
    <row r="617" ht="15.75" customHeight="1">
      <c r="A617" s="65"/>
      <c r="B617" s="65"/>
      <c r="C617" s="65"/>
      <c r="D617" s="65"/>
      <c r="E617" s="65"/>
      <c r="F617" s="65"/>
      <c r="I617" s="65"/>
      <c r="J617" s="65"/>
      <c r="K617" s="65"/>
      <c r="L617" s="65"/>
      <c r="M617" s="65"/>
      <c r="N617" s="65"/>
      <c r="O617" s="65"/>
      <c r="P617" s="65"/>
      <c r="Q617" s="65"/>
      <c r="R617" s="65"/>
      <c r="S617" s="65"/>
      <c r="T617" s="65"/>
      <c r="U617" s="65"/>
      <c r="V617" s="65"/>
      <c r="W617" s="65"/>
      <c r="X617" s="65"/>
      <c r="Y617" s="65"/>
      <c r="Z617" s="65"/>
    </row>
    <row r="618" ht="15.75" customHeight="1">
      <c r="A618" s="65"/>
      <c r="B618" s="65"/>
      <c r="C618" s="65"/>
      <c r="D618" s="65"/>
      <c r="E618" s="65"/>
      <c r="F618" s="65"/>
      <c r="I618" s="65"/>
      <c r="J618" s="65"/>
      <c r="K618" s="65"/>
      <c r="L618" s="65"/>
      <c r="M618" s="65"/>
      <c r="N618" s="65"/>
      <c r="O618" s="65"/>
      <c r="P618" s="65"/>
      <c r="Q618" s="65"/>
      <c r="R618" s="65"/>
      <c r="S618" s="65"/>
      <c r="T618" s="65"/>
      <c r="U618" s="65"/>
      <c r="V618" s="65"/>
      <c r="W618" s="65"/>
      <c r="X618" s="65"/>
      <c r="Y618" s="65"/>
      <c r="Z618" s="65"/>
    </row>
    <row r="619" ht="15.75" customHeight="1">
      <c r="A619" s="65"/>
      <c r="B619" s="65"/>
      <c r="C619" s="65"/>
      <c r="D619" s="65"/>
      <c r="E619" s="65"/>
      <c r="F619" s="65"/>
      <c r="I619" s="65"/>
      <c r="J619" s="65"/>
      <c r="K619" s="65"/>
      <c r="L619" s="65"/>
      <c r="M619" s="65"/>
      <c r="N619" s="65"/>
      <c r="O619" s="65"/>
      <c r="P619" s="65"/>
      <c r="Q619" s="65"/>
      <c r="R619" s="65"/>
      <c r="S619" s="65"/>
      <c r="T619" s="65"/>
      <c r="U619" s="65"/>
      <c r="V619" s="65"/>
      <c r="W619" s="65"/>
      <c r="X619" s="65"/>
      <c r="Y619" s="65"/>
      <c r="Z619" s="65"/>
    </row>
    <row r="620" ht="15.75" customHeight="1">
      <c r="A620" s="65"/>
      <c r="B620" s="65"/>
      <c r="C620" s="65"/>
      <c r="D620" s="65"/>
      <c r="E620" s="65"/>
      <c r="F620" s="65"/>
      <c r="I620" s="65"/>
      <c r="J620" s="65"/>
      <c r="K620" s="65"/>
      <c r="L620" s="65"/>
      <c r="M620" s="65"/>
      <c r="N620" s="65"/>
      <c r="O620" s="65"/>
      <c r="P620" s="65"/>
      <c r="Q620" s="65"/>
      <c r="R620" s="65"/>
      <c r="S620" s="65"/>
      <c r="T620" s="65"/>
      <c r="U620" s="65"/>
      <c r="V620" s="65"/>
      <c r="W620" s="65"/>
      <c r="X620" s="65"/>
      <c r="Y620" s="65"/>
      <c r="Z620" s="65"/>
    </row>
    <row r="621" ht="15.75" customHeight="1">
      <c r="A621" s="65"/>
      <c r="B621" s="65"/>
      <c r="C621" s="65"/>
      <c r="D621" s="65"/>
      <c r="E621" s="65"/>
      <c r="F621" s="65"/>
      <c r="I621" s="65"/>
      <c r="J621" s="65"/>
      <c r="K621" s="65"/>
      <c r="L621" s="65"/>
      <c r="M621" s="65"/>
      <c r="N621" s="65"/>
      <c r="O621" s="65"/>
      <c r="P621" s="65"/>
      <c r="Q621" s="65"/>
      <c r="R621" s="65"/>
      <c r="S621" s="65"/>
      <c r="T621" s="65"/>
      <c r="U621" s="65"/>
      <c r="V621" s="65"/>
      <c r="W621" s="65"/>
      <c r="X621" s="65"/>
      <c r="Y621" s="65"/>
      <c r="Z621" s="65"/>
    </row>
    <row r="622" ht="15.75" customHeight="1">
      <c r="A622" s="65"/>
      <c r="B622" s="65"/>
      <c r="C622" s="65"/>
      <c r="D622" s="65"/>
      <c r="E622" s="65"/>
      <c r="F622" s="65"/>
      <c r="I622" s="65"/>
      <c r="J622" s="65"/>
      <c r="K622" s="65"/>
      <c r="L622" s="65"/>
      <c r="M622" s="65"/>
      <c r="N622" s="65"/>
      <c r="O622" s="65"/>
      <c r="P622" s="65"/>
      <c r="Q622" s="65"/>
      <c r="R622" s="65"/>
      <c r="S622" s="65"/>
      <c r="T622" s="65"/>
      <c r="U622" s="65"/>
      <c r="V622" s="65"/>
      <c r="W622" s="65"/>
      <c r="X622" s="65"/>
      <c r="Y622" s="65"/>
      <c r="Z622" s="65"/>
    </row>
    <row r="623" ht="15.75" customHeight="1">
      <c r="A623" s="65"/>
      <c r="B623" s="65"/>
      <c r="C623" s="65"/>
      <c r="D623" s="65"/>
      <c r="E623" s="65"/>
      <c r="F623" s="65"/>
      <c r="I623" s="65"/>
      <c r="J623" s="65"/>
      <c r="K623" s="65"/>
      <c r="L623" s="65"/>
      <c r="M623" s="65"/>
      <c r="N623" s="65"/>
      <c r="O623" s="65"/>
      <c r="P623" s="65"/>
      <c r="Q623" s="65"/>
      <c r="R623" s="65"/>
      <c r="S623" s="65"/>
      <c r="T623" s="65"/>
      <c r="U623" s="65"/>
      <c r="V623" s="65"/>
      <c r="W623" s="65"/>
      <c r="X623" s="65"/>
      <c r="Y623" s="65"/>
      <c r="Z623" s="65"/>
    </row>
    <row r="624" ht="15.75" customHeight="1">
      <c r="A624" s="65"/>
      <c r="B624" s="65"/>
      <c r="C624" s="65"/>
      <c r="D624" s="65"/>
      <c r="E624" s="65"/>
      <c r="F624" s="65"/>
      <c r="I624" s="65"/>
      <c r="J624" s="65"/>
      <c r="K624" s="65"/>
      <c r="L624" s="65"/>
      <c r="M624" s="65"/>
      <c r="N624" s="65"/>
      <c r="O624" s="65"/>
      <c r="P624" s="65"/>
      <c r="Q624" s="65"/>
      <c r="R624" s="65"/>
      <c r="S624" s="65"/>
      <c r="T624" s="65"/>
      <c r="U624" s="65"/>
      <c r="V624" s="65"/>
      <c r="W624" s="65"/>
      <c r="X624" s="65"/>
      <c r="Y624" s="65"/>
      <c r="Z624" s="65"/>
    </row>
    <row r="625" ht="15.75" customHeight="1">
      <c r="A625" s="65"/>
      <c r="B625" s="65"/>
      <c r="C625" s="65"/>
      <c r="D625" s="65"/>
      <c r="E625" s="65"/>
      <c r="F625" s="65"/>
      <c r="I625" s="65"/>
      <c r="J625" s="65"/>
      <c r="K625" s="65"/>
      <c r="L625" s="65"/>
      <c r="M625" s="65"/>
      <c r="N625" s="65"/>
      <c r="O625" s="65"/>
      <c r="P625" s="65"/>
      <c r="Q625" s="65"/>
      <c r="R625" s="65"/>
      <c r="S625" s="65"/>
      <c r="T625" s="65"/>
      <c r="U625" s="65"/>
      <c r="V625" s="65"/>
      <c r="W625" s="65"/>
      <c r="X625" s="65"/>
      <c r="Y625" s="65"/>
      <c r="Z625" s="65"/>
    </row>
    <row r="626" ht="15.75" customHeight="1">
      <c r="A626" s="65"/>
      <c r="B626" s="65"/>
      <c r="C626" s="65"/>
      <c r="D626" s="65"/>
      <c r="E626" s="65"/>
      <c r="F626" s="65"/>
      <c r="I626" s="65"/>
      <c r="J626" s="65"/>
      <c r="K626" s="65"/>
      <c r="L626" s="65"/>
      <c r="M626" s="65"/>
      <c r="N626" s="65"/>
      <c r="O626" s="65"/>
      <c r="P626" s="65"/>
      <c r="Q626" s="65"/>
      <c r="R626" s="65"/>
      <c r="S626" s="65"/>
      <c r="T626" s="65"/>
      <c r="U626" s="65"/>
      <c r="V626" s="65"/>
      <c r="W626" s="65"/>
      <c r="X626" s="65"/>
      <c r="Y626" s="65"/>
      <c r="Z626" s="65"/>
    </row>
    <row r="627" ht="15.75" customHeight="1">
      <c r="A627" s="65"/>
      <c r="B627" s="65"/>
      <c r="C627" s="65"/>
      <c r="D627" s="65"/>
      <c r="E627" s="65"/>
      <c r="F627" s="65"/>
      <c r="I627" s="65"/>
      <c r="J627" s="65"/>
      <c r="K627" s="65"/>
      <c r="L627" s="65"/>
      <c r="M627" s="65"/>
      <c r="N627" s="65"/>
      <c r="O627" s="65"/>
      <c r="P627" s="65"/>
      <c r="Q627" s="65"/>
      <c r="R627" s="65"/>
      <c r="S627" s="65"/>
      <c r="T627" s="65"/>
      <c r="U627" s="65"/>
      <c r="V627" s="65"/>
      <c r="W627" s="65"/>
      <c r="X627" s="65"/>
      <c r="Y627" s="65"/>
      <c r="Z627" s="65"/>
    </row>
    <row r="628" ht="15.75" customHeight="1">
      <c r="A628" s="65"/>
      <c r="B628" s="65"/>
      <c r="C628" s="65"/>
      <c r="D628" s="65"/>
      <c r="E628" s="65"/>
      <c r="F628" s="65"/>
      <c r="I628" s="65"/>
      <c r="J628" s="65"/>
      <c r="K628" s="65"/>
      <c r="L628" s="65"/>
      <c r="M628" s="65"/>
      <c r="N628" s="65"/>
      <c r="O628" s="65"/>
      <c r="P628" s="65"/>
      <c r="Q628" s="65"/>
      <c r="R628" s="65"/>
      <c r="S628" s="65"/>
      <c r="T628" s="65"/>
      <c r="U628" s="65"/>
      <c r="V628" s="65"/>
      <c r="W628" s="65"/>
      <c r="X628" s="65"/>
      <c r="Y628" s="65"/>
      <c r="Z628" s="65"/>
    </row>
    <row r="629" ht="15.75" customHeight="1">
      <c r="A629" s="65"/>
      <c r="B629" s="65"/>
      <c r="C629" s="65"/>
      <c r="D629" s="65"/>
      <c r="E629" s="65"/>
      <c r="F629" s="65"/>
      <c r="I629" s="65"/>
      <c r="J629" s="65"/>
      <c r="K629" s="65"/>
      <c r="L629" s="65"/>
      <c r="M629" s="65"/>
      <c r="N629" s="65"/>
      <c r="O629" s="65"/>
      <c r="P629" s="65"/>
      <c r="Q629" s="65"/>
      <c r="R629" s="65"/>
      <c r="S629" s="65"/>
      <c r="T629" s="65"/>
      <c r="U629" s="65"/>
      <c r="V629" s="65"/>
      <c r="W629" s="65"/>
      <c r="X629" s="65"/>
      <c r="Y629" s="65"/>
      <c r="Z629" s="65"/>
    </row>
    <row r="630" ht="15.75" customHeight="1">
      <c r="A630" s="65"/>
      <c r="B630" s="65"/>
      <c r="C630" s="65"/>
      <c r="D630" s="65"/>
      <c r="E630" s="65"/>
      <c r="F630" s="65"/>
      <c r="I630" s="65"/>
      <c r="J630" s="65"/>
      <c r="K630" s="65"/>
      <c r="L630" s="65"/>
      <c r="M630" s="65"/>
      <c r="N630" s="65"/>
      <c r="O630" s="65"/>
      <c r="P630" s="65"/>
      <c r="Q630" s="65"/>
      <c r="R630" s="65"/>
      <c r="S630" s="65"/>
      <c r="T630" s="65"/>
      <c r="U630" s="65"/>
      <c r="V630" s="65"/>
      <c r="W630" s="65"/>
      <c r="X630" s="65"/>
      <c r="Y630" s="65"/>
      <c r="Z630" s="65"/>
    </row>
    <row r="631" ht="15.75" customHeight="1">
      <c r="A631" s="65"/>
      <c r="B631" s="65"/>
      <c r="C631" s="65"/>
      <c r="D631" s="65"/>
      <c r="E631" s="65"/>
      <c r="F631" s="65"/>
      <c r="I631" s="65"/>
      <c r="J631" s="65"/>
      <c r="K631" s="65"/>
      <c r="L631" s="65"/>
      <c r="M631" s="65"/>
      <c r="N631" s="65"/>
      <c r="O631" s="65"/>
      <c r="P631" s="65"/>
      <c r="Q631" s="65"/>
      <c r="R631" s="65"/>
      <c r="S631" s="65"/>
      <c r="T631" s="65"/>
      <c r="U631" s="65"/>
      <c r="V631" s="65"/>
      <c r="W631" s="65"/>
      <c r="X631" s="65"/>
      <c r="Y631" s="65"/>
      <c r="Z631" s="65"/>
    </row>
    <row r="632" ht="15.75" customHeight="1">
      <c r="A632" s="65"/>
      <c r="B632" s="65"/>
      <c r="C632" s="65"/>
      <c r="D632" s="65"/>
      <c r="E632" s="65"/>
      <c r="F632" s="65"/>
      <c r="I632" s="65"/>
      <c r="J632" s="65"/>
      <c r="K632" s="65"/>
      <c r="L632" s="65"/>
      <c r="M632" s="65"/>
      <c r="N632" s="65"/>
      <c r="O632" s="65"/>
      <c r="P632" s="65"/>
      <c r="Q632" s="65"/>
      <c r="R632" s="65"/>
      <c r="S632" s="65"/>
      <c r="T632" s="65"/>
      <c r="U632" s="65"/>
      <c r="V632" s="65"/>
      <c r="W632" s="65"/>
      <c r="X632" s="65"/>
      <c r="Y632" s="65"/>
      <c r="Z632" s="65"/>
    </row>
    <row r="633" ht="15.75" customHeight="1">
      <c r="A633" s="65"/>
      <c r="B633" s="65"/>
      <c r="C633" s="65"/>
      <c r="D633" s="65"/>
      <c r="E633" s="65"/>
      <c r="F633" s="65"/>
      <c r="I633" s="65"/>
      <c r="J633" s="65"/>
      <c r="K633" s="65"/>
      <c r="L633" s="65"/>
      <c r="M633" s="65"/>
      <c r="N633" s="65"/>
      <c r="O633" s="65"/>
      <c r="P633" s="65"/>
      <c r="Q633" s="65"/>
      <c r="R633" s="65"/>
      <c r="S633" s="65"/>
      <c r="T633" s="65"/>
      <c r="U633" s="65"/>
      <c r="V633" s="65"/>
      <c r="W633" s="65"/>
      <c r="X633" s="65"/>
      <c r="Y633" s="65"/>
      <c r="Z633" s="65"/>
    </row>
    <row r="634" ht="15.75" customHeight="1">
      <c r="A634" s="65"/>
      <c r="B634" s="65"/>
      <c r="C634" s="65"/>
      <c r="D634" s="65"/>
      <c r="E634" s="65"/>
      <c r="F634" s="65"/>
      <c r="I634" s="65"/>
      <c r="J634" s="65"/>
      <c r="K634" s="65"/>
      <c r="L634" s="65"/>
      <c r="M634" s="65"/>
      <c r="N634" s="65"/>
      <c r="O634" s="65"/>
      <c r="P634" s="65"/>
      <c r="Q634" s="65"/>
      <c r="R634" s="65"/>
      <c r="S634" s="65"/>
      <c r="T634" s="65"/>
      <c r="U634" s="65"/>
      <c r="V634" s="65"/>
      <c r="W634" s="65"/>
      <c r="X634" s="65"/>
      <c r="Y634" s="65"/>
      <c r="Z634" s="65"/>
    </row>
    <row r="635" ht="15.75" customHeight="1">
      <c r="A635" s="65"/>
      <c r="B635" s="65"/>
      <c r="C635" s="65"/>
      <c r="D635" s="65"/>
      <c r="E635" s="65"/>
      <c r="F635" s="65"/>
      <c r="I635" s="65"/>
      <c r="J635" s="65"/>
      <c r="K635" s="65"/>
      <c r="L635" s="65"/>
      <c r="M635" s="65"/>
      <c r="N635" s="65"/>
      <c r="O635" s="65"/>
      <c r="P635" s="65"/>
      <c r="Q635" s="65"/>
      <c r="R635" s="65"/>
      <c r="S635" s="65"/>
      <c r="T635" s="65"/>
      <c r="U635" s="65"/>
      <c r="V635" s="65"/>
      <c r="W635" s="65"/>
      <c r="X635" s="65"/>
      <c r="Y635" s="65"/>
      <c r="Z635" s="65"/>
    </row>
    <row r="636" ht="15.75" customHeight="1">
      <c r="A636" s="65"/>
      <c r="B636" s="65"/>
      <c r="C636" s="65"/>
      <c r="D636" s="65"/>
      <c r="E636" s="65"/>
      <c r="F636" s="65"/>
      <c r="I636" s="65"/>
      <c r="J636" s="65"/>
      <c r="K636" s="65"/>
      <c r="L636" s="65"/>
      <c r="M636" s="65"/>
      <c r="N636" s="65"/>
      <c r="O636" s="65"/>
      <c r="P636" s="65"/>
      <c r="Q636" s="65"/>
      <c r="R636" s="65"/>
      <c r="S636" s="65"/>
      <c r="T636" s="65"/>
      <c r="U636" s="65"/>
      <c r="V636" s="65"/>
      <c r="W636" s="65"/>
      <c r="X636" s="65"/>
      <c r="Y636" s="65"/>
      <c r="Z636" s="65"/>
    </row>
    <row r="637" ht="15.75" customHeight="1">
      <c r="A637" s="65"/>
      <c r="B637" s="65"/>
      <c r="C637" s="65"/>
      <c r="D637" s="65"/>
      <c r="E637" s="65"/>
      <c r="F637" s="65"/>
      <c r="I637" s="65"/>
      <c r="J637" s="65"/>
      <c r="K637" s="65"/>
      <c r="L637" s="65"/>
      <c r="M637" s="65"/>
      <c r="N637" s="65"/>
      <c r="O637" s="65"/>
      <c r="P637" s="65"/>
      <c r="Q637" s="65"/>
      <c r="R637" s="65"/>
      <c r="S637" s="65"/>
      <c r="T637" s="65"/>
      <c r="U637" s="65"/>
      <c r="V637" s="65"/>
      <c r="W637" s="65"/>
      <c r="X637" s="65"/>
      <c r="Y637" s="65"/>
      <c r="Z637" s="65"/>
    </row>
    <row r="638" ht="15.75" customHeight="1">
      <c r="A638" s="65"/>
      <c r="B638" s="65"/>
      <c r="C638" s="65"/>
      <c r="D638" s="65"/>
      <c r="E638" s="65"/>
      <c r="F638" s="65"/>
      <c r="I638" s="65"/>
      <c r="J638" s="65"/>
      <c r="K638" s="65"/>
      <c r="L638" s="65"/>
      <c r="M638" s="65"/>
      <c r="N638" s="65"/>
      <c r="O638" s="65"/>
      <c r="P638" s="65"/>
      <c r="Q638" s="65"/>
      <c r="R638" s="65"/>
      <c r="S638" s="65"/>
      <c r="T638" s="65"/>
      <c r="U638" s="65"/>
      <c r="V638" s="65"/>
      <c r="W638" s="65"/>
      <c r="X638" s="65"/>
      <c r="Y638" s="65"/>
      <c r="Z638" s="65"/>
    </row>
    <row r="639" ht="15.75" customHeight="1">
      <c r="A639" s="65"/>
      <c r="B639" s="65"/>
      <c r="C639" s="65"/>
      <c r="D639" s="65"/>
      <c r="E639" s="65"/>
      <c r="F639" s="65"/>
      <c r="I639" s="65"/>
      <c r="J639" s="65"/>
      <c r="K639" s="65"/>
      <c r="L639" s="65"/>
      <c r="M639" s="65"/>
      <c r="N639" s="65"/>
      <c r="O639" s="65"/>
      <c r="P639" s="65"/>
      <c r="Q639" s="65"/>
      <c r="R639" s="65"/>
      <c r="S639" s="65"/>
      <c r="T639" s="65"/>
      <c r="U639" s="65"/>
      <c r="V639" s="65"/>
      <c r="W639" s="65"/>
      <c r="X639" s="65"/>
      <c r="Y639" s="65"/>
      <c r="Z639" s="65"/>
    </row>
    <row r="640" ht="15.75" customHeight="1">
      <c r="A640" s="65"/>
      <c r="B640" s="65"/>
      <c r="C640" s="65"/>
      <c r="D640" s="65"/>
      <c r="E640" s="65"/>
      <c r="F640" s="65"/>
      <c r="I640" s="65"/>
      <c r="J640" s="65"/>
      <c r="K640" s="65"/>
      <c r="L640" s="65"/>
      <c r="M640" s="65"/>
      <c r="N640" s="65"/>
      <c r="O640" s="65"/>
      <c r="P640" s="65"/>
      <c r="Q640" s="65"/>
      <c r="R640" s="65"/>
      <c r="S640" s="65"/>
      <c r="T640" s="65"/>
      <c r="U640" s="65"/>
      <c r="V640" s="65"/>
      <c r="W640" s="65"/>
      <c r="X640" s="65"/>
      <c r="Y640" s="65"/>
      <c r="Z640" s="65"/>
    </row>
    <row r="641" ht="15.75" customHeight="1">
      <c r="A641" s="65"/>
      <c r="B641" s="65"/>
      <c r="C641" s="65"/>
      <c r="D641" s="65"/>
      <c r="E641" s="65"/>
      <c r="F641" s="65"/>
      <c r="I641" s="65"/>
      <c r="J641" s="65"/>
      <c r="K641" s="65"/>
      <c r="L641" s="65"/>
      <c r="M641" s="65"/>
      <c r="N641" s="65"/>
      <c r="O641" s="65"/>
      <c r="P641" s="65"/>
      <c r="Q641" s="65"/>
      <c r="R641" s="65"/>
      <c r="S641" s="65"/>
      <c r="T641" s="65"/>
      <c r="U641" s="65"/>
      <c r="V641" s="65"/>
      <c r="W641" s="65"/>
      <c r="X641" s="65"/>
      <c r="Y641" s="65"/>
      <c r="Z641" s="65"/>
    </row>
    <row r="642" ht="15.75" customHeight="1">
      <c r="A642" s="65"/>
      <c r="B642" s="65"/>
      <c r="C642" s="65"/>
      <c r="D642" s="65"/>
      <c r="E642" s="65"/>
      <c r="F642" s="65"/>
      <c r="I642" s="65"/>
      <c r="J642" s="65"/>
      <c r="K642" s="65"/>
      <c r="L642" s="65"/>
      <c r="M642" s="65"/>
      <c r="N642" s="65"/>
      <c r="O642" s="65"/>
      <c r="P642" s="65"/>
      <c r="Q642" s="65"/>
      <c r="R642" s="65"/>
      <c r="S642" s="65"/>
      <c r="T642" s="65"/>
      <c r="U642" s="65"/>
      <c r="V642" s="65"/>
      <c r="W642" s="65"/>
      <c r="X642" s="65"/>
      <c r="Y642" s="65"/>
      <c r="Z642" s="65"/>
    </row>
    <row r="643" ht="15.75" customHeight="1">
      <c r="A643" s="65"/>
      <c r="B643" s="65"/>
      <c r="C643" s="65"/>
      <c r="D643" s="65"/>
      <c r="E643" s="65"/>
      <c r="F643" s="65"/>
      <c r="I643" s="65"/>
      <c r="J643" s="65"/>
      <c r="K643" s="65"/>
      <c r="L643" s="65"/>
      <c r="M643" s="65"/>
      <c r="N643" s="65"/>
      <c r="O643" s="65"/>
      <c r="P643" s="65"/>
      <c r="Q643" s="65"/>
      <c r="R643" s="65"/>
      <c r="S643" s="65"/>
      <c r="T643" s="65"/>
      <c r="U643" s="65"/>
      <c r="V643" s="65"/>
      <c r="W643" s="65"/>
      <c r="X643" s="65"/>
      <c r="Y643" s="65"/>
      <c r="Z643" s="65"/>
    </row>
    <row r="644" ht="15.75" customHeight="1">
      <c r="A644" s="65"/>
      <c r="B644" s="65"/>
      <c r="C644" s="65"/>
      <c r="D644" s="65"/>
      <c r="E644" s="65"/>
      <c r="F644" s="65"/>
      <c r="I644" s="65"/>
      <c r="J644" s="65"/>
      <c r="K644" s="65"/>
      <c r="L644" s="65"/>
      <c r="M644" s="65"/>
      <c r="N644" s="65"/>
      <c r="O644" s="65"/>
      <c r="P644" s="65"/>
      <c r="Q644" s="65"/>
      <c r="R644" s="65"/>
      <c r="S644" s="65"/>
      <c r="T644" s="65"/>
      <c r="U644" s="65"/>
      <c r="V644" s="65"/>
      <c r="W644" s="65"/>
      <c r="X644" s="65"/>
      <c r="Y644" s="65"/>
      <c r="Z644" s="65"/>
    </row>
    <row r="645" ht="15.75" customHeight="1">
      <c r="A645" s="65"/>
      <c r="B645" s="65"/>
      <c r="C645" s="65"/>
      <c r="D645" s="65"/>
      <c r="E645" s="65"/>
      <c r="F645" s="65"/>
      <c r="I645" s="65"/>
      <c r="J645" s="65"/>
      <c r="K645" s="65"/>
      <c r="L645" s="65"/>
      <c r="M645" s="65"/>
      <c r="N645" s="65"/>
      <c r="O645" s="65"/>
      <c r="P645" s="65"/>
      <c r="Q645" s="65"/>
      <c r="R645" s="65"/>
      <c r="S645" s="65"/>
      <c r="T645" s="65"/>
      <c r="U645" s="65"/>
      <c r="V645" s="65"/>
      <c r="W645" s="65"/>
      <c r="X645" s="65"/>
      <c r="Y645" s="65"/>
      <c r="Z645" s="65"/>
    </row>
    <row r="646" ht="15.75" customHeight="1">
      <c r="A646" s="65"/>
      <c r="B646" s="65"/>
      <c r="C646" s="65"/>
      <c r="D646" s="65"/>
      <c r="E646" s="65"/>
      <c r="F646" s="65"/>
      <c r="I646" s="65"/>
      <c r="J646" s="65"/>
      <c r="K646" s="65"/>
      <c r="L646" s="65"/>
      <c r="M646" s="65"/>
      <c r="N646" s="65"/>
      <c r="O646" s="65"/>
      <c r="P646" s="65"/>
      <c r="Q646" s="65"/>
      <c r="R646" s="65"/>
      <c r="S646" s="65"/>
      <c r="T646" s="65"/>
      <c r="U646" s="65"/>
      <c r="V646" s="65"/>
      <c r="W646" s="65"/>
      <c r="X646" s="65"/>
      <c r="Y646" s="65"/>
      <c r="Z646" s="65"/>
    </row>
    <row r="647" ht="15.75" customHeight="1">
      <c r="A647" s="65"/>
      <c r="B647" s="65"/>
      <c r="C647" s="65"/>
      <c r="D647" s="65"/>
      <c r="E647" s="65"/>
      <c r="F647" s="65"/>
      <c r="I647" s="65"/>
      <c r="J647" s="65"/>
      <c r="K647" s="65"/>
      <c r="L647" s="65"/>
      <c r="M647" s="65"/>
      <c r="N647" s="65"/>
      <c r="O647" s="65"/>
      <c r="P647" s="65"/>
      <c r="Q647" s="65"/>
      <c r="R647" s="65"/>
      <c r="S647" s="65"/>
      <c r="T647" s="65"/>
      <c r="U647" s="65"/>
      <c r="V647" s="65"/>
      <c r="W647" s="65"/>
      <c r="X647" s="65"/>
      <c r="Y647" s="65"/>
      <c r="Z647" s="65"/>
    </row>
    <row r="648" ht="15.75" customHeight="1">
      <c r="A648" s="65"/>
      <c r="B648" s="65"/>
      <c r="C648" s="65"/>
      <c r="D648" s="65"/>
      <c r="E648" s="65"/>
      <c r="F648" s="65"/>
      <c r="I648" s="65"/>
      <c r="J648" s="65"/>
      <c r="K648" s="65"/>
      <c r="L648" s="65"/>
      <c r="M648" s="65"/>
      <c r="N648" s="65"/>
      <c r="O648" s="65"/>
      <c r="P648" s="65"/>
      <c r="Q648" s="65"/>
      <c r="R648" s="65"/>
      <c r="S648" s="65"/>
      <c r="T648" s="65"/>
      <c r="U648" s="65"/>
      <c r="V648" s="65"/>
      <c r="W648" s="65"/>
      <c r="X648" s="65"/>
      <c r="Y648" s="65"/>
      <c r="Z648" s="65"/>
    </row>
    <row r="649" ht="15.75" customHeight="1">
      <c r="A649" s="65"/>
      <c r="B649" s="65"/>
      <c r="C649" s="65"/>
      <c r="D649" s="65"/>
      <c r="E649" s="65"/>
      <c r="F649" s="65"/>
      <c r="I649" s="65"/>
      <c r="J649" s="65"/>
      <c r="K649" s="65"/>
      <c r="L649" s="65"/>
      <c r="M649" s="65"/>
      <c r="N649" s="65"/>
      <c r="O649" s="65"/>
      <c r="P649" s="65"/>
      <c r="Q649" s="65"/>
      <c r="R649" s="65"/>
      <c r="S649" s="65"/>
      <c r="T649" s="65"/>
      <c r="U649" s="65"/>
      <c r="V649" s="65"/>
      <c r="W649" s="65"/>
      <c r="X649" s="65"/>
      <c r="Y649" s="65"/>
      <c r="Z649" s="65"/>
    </row>
    <row r="650" ht="15.75" customHeight="1">
      <c r="A650" s="65"/>
      <c r="B650" s="65"/>
      <c r="C650" s="65"/>
      <c r="D650" s="65"/>
      <c r="E650" s="65"/>
      <c r="F650" s="65"/>
      <c r="I650" s="65"/>
      <c r="J650" s="65"/>
      <c r="K650" s="65"/>
      <c r="L650" s="65"/>
      <c r="M650" s="65"/>
      <c r="N650" s="65"/>
      <c r="O650" s="65"/>
      <c r="P650" s="65"/>
      <c r="Q650" s="65"/>
      <c r="R650" s="65"/>
      <c r="S650" s="65"/>
      <c r="T650" s="65"/>
      <c r="U650" s="65"/>
      <c r="V650" s="65"/>
      <c r="W650" s="65"/>
      <c r="X650" s="65"/>
      <c r="Y650" s="65"/>
      <c r="Z650" s="65"/>
    </row>
    <row r="651" ht="15.75" customHeight="1">
      <c r="A651" s="65"/>
      <c r="B651" s="65"/>
      <c r="C651" s="65"/>
      <c r="D651" s="65"/>
      <c r="E651" s="65"/>
      <c r="F651" s="65"/>
      <c r="I651" s="65"/>
      <c r="J651" s="65"/>
      <c r="K651" s="65"/>
      <c r="L651" s="65"/>
      <c r="M651" s="65"/>
      <c r="N651" s="65"/>
      <c r="O651" s="65"/>
      <c r="P651" s="65"/>
      <c r="Q651" s="65"/>
      <c r="R651" s="65"/>
      <c r="S651" s="65"/>
      <c r="T651" s="65"/>
      <c r="U651" s="65"/>
      <c r="V651" s="65"/>
      <c r="W651" s="65"/>
      <c r="X651" s="65"/>
      <c r="Y651" s="65"/>
      <c r="Z651" s="65"/>
    </row>
    <row r="652" ht="15.75" customHeight="1">
      <c r="A652" s="65"/>
      <c r="B652" s="65"/>
      <c r="C652" s="65"/>
      <c r="D652" s="65"/>
      <c r="E652" s="65"/>
      <c r="F652" s="65"/>
      <c r="I652" s="65"/>
      <c r="J652" s="65"/>
      <c r="K652" s="65"/>
      <c r="L652" s="65"/>
      <c r="M652" s="65"/>
      <c r="N652" s="65"/>
      <c r="O652" s="65"/>
      <c r="P652" s="65"/>
      <c r="Q652" s="65"/>
      <c r="R652" s="65"/>
      <c r="S652" s="65"/>
      <c r="T652" s="65"/>
      <c r="U652" s="65"/>
      <c r="V652" s="65"/>
      <c r="W652" s="65"/>
      <c r="X652" s="65"/>
      <c r="Y652" s="65"/>
      <c r="Z652" s="65"/>
    </row>
    <row r="653" ht="15.75" customHeight="1">
      <c r="A653" s="65"/>
      <c r="B653" s="65"/>
      <c r="C653" s="65"/>
      <c r="D653" s="65"/>
      <c r="E653" s="65"/>
      <c r="F653" s="65"/>
      <c r="I653" s="65"/>
      <c r="J653" s="65"/>
      <c r="K653" s="65"/>
      <c r="L653" s="65"/>
      <c r="M653" s="65"/>
      <c r="N653" s="65"/>
      <c r="O653" s="65"/>
      <c r="P653" s="65"/>
      <c r="Q653" s="65"/>
      <c r="R653" s="65"/>
      <c r="S653" s="65"/>
      <c r="T653" s="65"/>
      <c r="U653" s="65"/>
      <c r="V653" s="65"/>
      <c r="W653" s="65"/>
      <c r="X653" s="65"/>
      <c r="Y653" s="65"/>
      <c r="Z653" s="65"/>
    </row>
    <row r="654" ht="15.75" customHeight="1">
      <c r="A654" s="65"/>
      <c r="B654" s="65"/>
      <c r="C654" s="65"/>
      <c r="D654" s="65"/>
      <c r="E654" s="65"/>
      <c r="F654" s="65"/>
      <c r="I654" s="65"/>
      <c r="J654" s="65"/>
      <c r="K654" s="65"/>
      <c r="L654" s="65"/>
      <c r="M654" s="65"/>
      <c r="N654" s="65"/>
      <c r="O654" s="65"/>
      <c r="P654" s="65"/>
      <c r="Q654" s="65"/>
      <c r="R654" s="65"/>
      <c r="S654" s="65"/>
      <c r="T654" s="65"/>
      <c r="U654" s="65"/>
      <c r="V654" s="65"/>
      <c r="W654" s="65"/>
      <c r="X654" s="65"/>
      <c r="Y654" s="65"/>
      <c r="Z654" s="65"/>
    </row>
    <row r="655" ht="15.75" customHeight="1">
      <c r="A655" s="65"/>
      <c r="B655" s="65"/>
      <c r="C655" s="65"/>
      <c r="D655" s="65"/>
      <c r="E655" s="65"/>
      <c r="F655" s="65"/>
      <c r="I655" s="65"/>
      <c r="J655" s="65"/>
      <c r="K655" s="65"/>
      <c r="L655" s="65"/>
      <c r="M655" s="65"/>
      <c r="N655" s="65"/>
      <c r="O655" s="65"/>
      <c r="P655" s="65"/>
      <c r="Q655" s="65"/>
      <c r="R655" s="65"/>
      <c r="S655" s="65"/>
      <c r="T655" s="65"/>
      <c r="U655" s="65"/>
      <c r="V655" s="65"/>
      <c r="W655" s="65"/>
      <c r="X655" s="65"/>
      <c r="Y655" s="65"/>
      <c r="Z655" s="65"/>
    </row>
    <row r="656" ht="15.75" customHeight="1">
      <c r="A656" s="65"/>
      <c r="B656" s="65"/>
      <c r="C656" s="65"/>
      <c r="D656" s="65"/>
      <c r="E656" s="65"/>
      <c r="F656" s="65"/>
      <c r="I656" s="65"/>
      <c r="J656" s="65"/>
      <c r="K656" s="65"/>
      <c r="L656" s="65"/>
      <c r="M656" s="65"/>
      <c r="N656" s="65"/>
      <c r="O656" s="65"/>
      <c r="P656" s="65"/>
      <c r="Q656" s="65"/>
      <c r="R656" s="65"/>
      <c r="S656" s="65"/>
      <c r="T656" s="65"/>
      <c r="U656" s="65"/>
      <c r="V656" s="65"/>
      <c r="W656" s="65"/>
      <c r="X656" s="65"/>
      <c r="Y656" s="65"/>
      <c r="Z656" s="65"/>
    </row>
    <row r="657" ht="15.75" customHeight="1">
      <c r="A657" s="65"/>
      <c r="B657" s="65"/>
      <c r="C657" s="65"/>
      <c r="D657" s="65"/>
      <c r="E657" s="65"/>
      <c r="F657" s="65"/>
      <c r="I657" s="65"/>
      <c r="J657" s="65"/>
      <c r="K657" s="65"/>
      <c r="L657" s="65"/>
      <c r="M657" s="65"/>
      <c r="N657" s="65"/>
      <c r="O657" s="65"/>
      <c r="P657" s="65"/>
      <c r="Q657" s="65"/>
      <c r="R657" s="65"/>
      <c r="S657" s="65"/>
      <c r="T657" s="65"/>
      <c r="U657" s="65"/>
      <c r="V657" s="65"/>
      <c r="W657" s="65"/>
      <c r="X657" s="65"/>
      <c r="Y657" s="65"/>
      <c r="Z657" s="65"/>
    </row>
    <row r="658" ht="15.75" customHeight="1">
      <c r="A658" s="65"/>
      <c r="B658" s="65"/>
      <c r="C658" s="65"/>
      <c r="D658" s="65"/>
      <c r="E658" s="65"/>
      <c r="F658" s="65"/>
      <c r="I658" s="65"/>
      <c r="J658" s="65"/>
      <c r="K658" s="65"/>
      <c r="L658" s="65"/>
      <c r="M658" s="65"/>
      <c r="N658" s="65"/>
      <c r="O658" s="65"/>
      <c r="P658" s="65"/>
      <c r="Q658" s="65"/>
      <c r="R658" s="65"/>
      <c r="S658" s="65"/>
      <c r="T658" s="65"/>
      <c r="U658" s="65"/>
      <c r="V658" s="65"/>
      <c r="W658" s="65"/>
      <c r="X658" s="65"/>
      <c r="Y658" s="65"/>
      <c r="Z658" s="65"/>
    </row>
    <row r="659" ht="15.75" customHeight="1">
      <c r="A659" s="65"/>
      <c r="B659" s="65"/>
      <c r="C659" s="65"/>
      <c r="D659" s="65"/>
      <c r="E659" s="65"/>
      <c r="F659" s="65"/>
      <c r="I659" s="65"/>
      <c r="J659" s="65"/>
      <c r="K659" s="65"/>
      <c r="L659" s="65"/>
      <c r="M659" s="65"/>
      <c r="N659" s="65"/>
      <c r="O659" s="65"/>
      <c r="P659" s="65"/>
      <c r="Q659" s="65"/>
      <c r="R659" s="65"/>
      <c r="S659" s="65"/>
      <c r="T659" s="65"/>
      <c r="U659" s="65"/>
      <c r="V659" s="65"/>
      <c r="W659" s="65"/>
      <c r="X659" s="65"/>
      <c r="Y659" s="65"/>
      <c r="Z659" s="65"/>
    </row>
    <row r="660" ht="15.75" customHeight="1">
      <c r="A660" s="65"/>
      <c r="B660" s="65"/>
      <c r="C660" s="65"/>
      <c r="D660" s="65"/>
      <c r="E660" s="65"/>
      <c r="F660" s="65"/>
      <c r="I660" s="65"/>
      <c r="J660" s="65"/>
      <c r="K660" s="65"/>
      <c r="L660" s="65"/>
      <c r="M660" s="65"/>
      <c r="N660" s="65"/>
      <c r="O660" s="65"/>
      <c r="P660" s="65"/>
      <c r="Q660" s="65"/>
      <c r="R660" s="65"/>
      <c r="S660" s="65"/>
      <c r="T660" s="65"/>
      <c r="U660" s="65"/>
      <c r="V660" s="65"/>
      <c r="W660" s="65"/>
      <c r="X660" s="65"/>
      <c r="Y660" s="65"/>
      <c r="Z660" s="65"/>
    </row>
    <row r="661" ht="15.75" customHeight="1">
      <c r="A661" s="65"/>
      <c r="B661" s="65"/>
      <c r="C661" s="65"/>
      <c r="D661" s="65"/>
      <c r="E661" s="65"/>
      <c r="F661" s="65"/>
      <c r="I661" s="65"/>
      <c r="J661" s="65"/>
      <c r="K661" s="65"/>
      <c r="L661" s="65"/>
      <c r="M661" s="65"/>
      <c r="N661" s="65"/>
      <c r="O661" s="65"/>
      <c r="P661" s="65"/>
      <c r="Q661" s="65"/>
      <c r="R661" s="65"/>
      <c r="S661" s="65"/>
      <c r="T661" s="65"/>
      <c r="U661" s="65"/>
      <c r="V661" s="65"/>
      <c r="W661" s="65"/>
      <c r="X661" s="65"/>
      <c r="Y661" s="65"/>
      <c r="Z661" s="65"/>
    </row>
    <row r="662" ht="15.75" customHeight="1">
      <c r="A662" s="65"/>
      <c r="B662" s="65"/>
      <c r="C662" s="65"/>
      <c r="D662" s="65"/>
      <c r="E662" s="65"/>
      <c r="F662" s="65"/>
      <c r="I662" s="65"/>
      <c r="J662" s="65"/>
      <c r="K662" s="65"/>
      <c r="L662" s="65"/>
      <c r="M662" s="65"/>
      <c r="N662" s="65"/>
      <c r="O662" s="65"/>
      <c r="P662" s="65"/>
      <c r="Q662" s="65"/>
      <c r="R662" s="65"/>
      <c r="S662" s="65"/>
      <c r="T662" s="65"/>
      <c r="U662" s="65"/>
      <c r="V662" s="65"/>
      <c r="W662" s="65"/>
      <c r="X662" s="65"/>
      <c r="Y662" s="65"/>
      <c r="Z662" s="65"/>
    </row>
    <row r="663" ht="15.75" customHeight="1">
      <c r="A663" s="65"/>
      <c r="B663" s="65"/>
      <c r="C663" s="65"/>
      <c r="D663" s="65"/>
      <c r="E663" s="65"/>
      <c r="F663" s="65"/>
      <c r="I663" s="65"/>
      <c r="J663" s="65"/>
      <c r="K663" s="65"/>
      <c r="L663" s="65"/>
      <c r="M663" s="65"/>
      <c r="N663" s="65"/>
      <c r="O663" s="65"/>
      <c r="P663" s="65"/>
      <c r="Q663" s="65"/>
      <c r="R663" s="65"/>
      <c r="S663" s="65"/>
      <c r="T663" s="65"/>
      <c r="U663" s="65"/>
      <c r="V663" s="65"/>
      <c r="W663" s="65"/>
      <c r="X663" s="65"/>
      <c r="Y663" s="65"/>
      <c r="Z663" s="65"/>
    </row>
    <row r="664" ht="15.75" customHeight="1">
      <c r="A664" s="65"/>
      <c r="B664" s="65"/>
      <c r="C664" s="65"/>
      <c r="D664" s="65"/>
      <c r="E664" s="65"/>
      <c r="F664" s="65"/>
      <c r="I664" s="65"/>
      <c r="J664" s="65"/>
      <c r="K664" s="65"/>
      <c r="L664" s="65"/>
      <c r="M664" s="65"/>
      <c r="N664" s="65"/>
      <c r="O664" s="65"/>
      <c r="P664" s="65"/>
      <c r="Q664" s="65"/>
      <c r="R664" s="65"/>
      <c r="S664" s="65"/>
      <c r="T664" s="65"/>
      <c r="U664" s="65"/>
      <c r="V664" s="65"/>
      <c r="W664" s="65"/>
      <c r="X664" s="65"/>
      <c r="Y664" s="65"/>
      <c r="Z664" s="65"/>
    </row>
    <row r="665" ht="15.75" customHeight="1">
      <c r="A665" s="65"/>
      <c r="B665" s="65"/>
      <c r="C665" s="65"/>
      <c r="D665" s="65"/>
      <c r="E665" s="65"/>
      <c r="F665" s="65"/>
      <c r="I665" s="65"/>
      <c r="J665" s="65"/>
      <c r="K665" s="65"/>
      <c r="L665" s="65"/>
      <c r="M665" s="65"/>
      <c r="N665" s="65"/>
      <c r="O665" s="65"/>
      <c r="P665" s="65"/>
      <c r="Q665" s="65"/>
      <c r="R665" s="65"/>
      <c r="S665" s="65"/>
      <c r="T665" s="65"/>
      <c r="U665" s="65"/>
      <c r="V665" s="65"/>
      <c r="W665" s="65"/>
      <c r="X665" s="65"/>
      <c r="Y665" s="65"/>
      <c r="Z665" s="65"/>
    </row>
    <row r="666" ht="15.75" customHeight="1">
      <c r="A666" s="65"/>
      <c r="B666" s="65"/>
      <c r="C666" s="65"/>
      <c r="D666" s="65"/>
      <c r="E666" s="65"/>
      <c r="F666" s="65"/>
      <c r="I666" s="65"/>
      <c r="J666" s="65"/>
      <c r="K666" s="65"/>
      <c r="L666" s="65"/>
      <c r="M666" s="65"/>
      <c r="N666" s="65"/>
      <c r="O666" s="65"/>
      <c r="P666" s="65"/>
      <c r="Q666" s="65"/>
      <c r="R666" s="65"/>
      <c r="S666" s="65"/>
      <c r="T666" s="65"/>
      <c r="U666" s="65"/>
      <c r="V666" s="65"/>
      <c r="W666" s="65"/>
      <c r="X666" s="65"/>
      <c r="Y666" s="65"/>
      <c r="Z666" s="65"/>
    </row>
    <row r="667" ht="15.75" customHeight="1">
      <c r="A667" s="65"/>
      <c r="B667" s="65"/>
      <c r="C667" s="65"/>
      <c r="D667" s="65"/>
      <c r="E667" s="65"/>
      <c r="F667" s="65"/>
      <c r="I667" s="65"/>
      <c r="J667" s="65"/>
      <c r="K667" s="65"/>
      <c r="L667" s="65"/>
      <c r="M667" s="65"/>
      <c r="N667" s="65"/>
      <c r="O667" s="65"/>
      <c r="P667" s="65"/>
      <c r="Q667" s="65"/>
      <c r="R667" s="65"/>
      <c r="S667" s="65"/>
      <c r="T667" s="65"/>
      <c r="U667" s="65"/>
      <c r="V667" s="65"/>
      <c r="W667" s="65"/>
      <c r="X667" s="65"/>
      <c r="Y667" s="65"/>
      <c r="Z667" s="65"/>
    </row>
    <row r="668" ht="15.75" customHeight="1">
      <c r="A668" s="65"/>
      <c r="B668" s="65"/>
      <c r="C668" s="65"/>
      <c r="D668" s="65"/>
      <c r="E668" s="65"/>
      <c r="F668" s="65"/>
      <c r="I668" s="65"/>
      <c r="J668" s="65"/>
      <c r="K668" s="65"/>
      <c r="L668" s="65"/>
      <c r="M668" s="65"/>
      <c r="N668" s="65"/>
      <c r="O668" s="65"/>
      <c r="P668" s="65"/>
      <c r="Q668" s="65"/>
      <c r="R668" s="65"/>
      <c r="S668" s="65"/>
      <c r="T668" s="65"/>
      <c r="U668" s="65"/>
      <c r="V668" s="65"/>
      <c r="W668" s="65"/>
      <c r="X668" s="65"/>
      <c r="Y668" s="65"/>
      <c r="Z668" s="65"/>
    </row>
    <row r="669" ht="15.75" customHeight="1">
      <c r="A669" s="65"/>
      <c r="B669" s="65"/>
      <c r="C669" s="65"/>
      <c r="D669" s="65"/>
      <c r="E669" s="65"/>
      <c r="F669" s="65"/>
      <c r="I669" s="65"/>
      <c r="J669" s="65"/>
      <c r="K669" s="65"/>
      <c r="L669" s="65"/>
      <c r="M669" s="65"/>
      <c r="N669" s="65"/>
      <c r="O669" s="65"/>
      <c r="P669" s="65"/>
      <c r="Q669" s="65"/>
      <c r="R669" s="65"/>
      <c r="S669" s="65"/>
      <c r="T669" s="65"/>
      <c r="U669" s="65"/>
      <c r="V669" s="65"/>
      <c r="W669" s="65"/>
      <c r="X669" s="65"/>
      <c r="Y669" s="65"/>
      <c r="Z669" s="65"/>
    </row>
    <row r="670" ht="15.75" customHeight="1">
      <c r="A670" s="65"/>
      <c r="B670" s="65"/>
      <c r="C670" s="65"/>
      <c r="D670" s="65"/>
      <c r="E670" s="65"/>
      <c r="F670" s="65"/>
      <c r="I670" s="65"/>
      <c r="J670" s="65"/>
      <c r="K670" s="65"/>
      <c r="L670" s="65"/>
      <c r="M670" s="65"/>
      <c r="N670" s="65"/>
      <c r="O670" s="65"/>
      <c r="P670" s="65"/>
      <c r="Q670" s="65"/>
      <c r="R670" s="65"/>
      <c r="S670" s="65"/>
      <c r="T670" s="65"/>
      <c r="U670" s="65"/>
      <c r="V670" s="65"/>
      <c r="W670" s="65"/>
      <c r="X670" s="65"/>
      <c r="Y670" s="65"/>
      <c r="Z670" s="65"/>
    </row>
    <row r="671" ht="15.75" customHeight="1">
      <c r="A671" s="65"/>
      <c r="B671" s="65"/>
      <c r="C671" s="65"/>
      <c r="D671" s="65"/>
      <c r="E671" s="65"/>
      <c r="F671" s="65"/>
      <c r="I671" s="65"/>
      <c r="J671" s="65"/>
      <c r="K671" s="65"/>
      <c r="L671" s="65"/>
      <c r="M671" s="65"/>
      <c r="N671" s="65"/>
      <c r="O671" s="65"/>
      <c r="P671" s="65"/>
      <c r="Q671" s="65"/>
      <c r="R671" s="65"/>
      <c r="S671" s="65"/>
      <c r="T671" s="65"/>
      <c r="U671" s="65"/>
      <c r="V671" s="65"/>
      <c r="W671" s="65"/>
      <c r="X671" s="65"/>
      <c r="Y671" s="65"/>
      <c r="Z671" s="65"/>
    </row>
    <row r="672" ht="15.75" customHeight="1">
      <c r="A672" s="65"/>
      <c r="B672" s="65"/>
      <c r="C672" s="65"/>
      <c r="D672" s="65"/>
      <c r="E672" s="65"/>
      <c r="F672" s="65"/>
      <c r="I672" s="65"/>
      <c r="J672" s="65"/>
      <c r="K672" s="65"/>
      <c r="L672" s="65"/>
      <c r="M672" s="65"/>
      <c r="N672" s="65"/>
      <c r="O672" s="65"/>
      <c r="P672" s="65"/>
      <c r="Q672" s="65"/>
      <c r="R672" s="65"/>
      <c r="S672" s="65"/>
      <c r="T672" s="65"/>
      <c r="U672" s="65"/>
      <c r="V672" s="65"/>
      <c r="W672" s="65"/>
      <c r="X672" s="65"/>
      <c r="Y672" s="65"/>
      <c r="Z672" s="65"/>
    </row>
    <row r="673" ht="15.75" customHeight="1">
      <c r="A673" s="65"/>
      <c r="B673" s="65"/>
      <c r="C673" s="65"/>
      <c r="D673" s="65"/>
      <c r="E673" s="65"/>
      <c r="F673" s="65"/>
      <c r="I673" s="65"/>
      <c r="J673" s="65"/>
      <c r="K673" s="65"/>
      <c r="L673" s="65"/>
      <c r="M673" s="65"/>
      <c r="N673" s="65"/>
      <c r="O673" s="65"/>
      <c r="P673" s="65"/>
      <c r="Q673" s="65"/>
      <c r="R673" s="65"/>
      <c r="S673" s="65"/>
      <c r="T673" s="65"/>
      <c r="U673" s="65"/>
      <c r="V673" s="65"/>
      <c r="W673" s="65"/>
      <c r="X673" s="65"/>
      <c r="Y673" s="65"/>
      <c r="Z673" s="65"/>
    </row>
    <row r="674" ht="15.75" customHeight="1">
      <c r="A674" s="65"/>
      <c r="B674" s="65"/>
      <c r="C674" s="65"/>
      <c r="D674" s="65"/>
      <c r="E674" s="65"/>
      <c r="F674" s="65"/>
      <c r="I674" s="65"/>
      <c r="J674" s="65"/>
      <c r="K674" s="65"/>
      <c r="L674" s="65"/>
      <c r="M674" s="65"/>
      <c r="N674" s="65"/>
      <c r="O674" s="65"/>
      <c r="P674" s="65"/>
      <c r="Q674" s="65"/>
      <c r="R674" s="65"/>
      <c r="S674" s="65"/>
      <c r="T674" s="65"/>
      <c r="U674" s="65"/>
      <c r="V674" s="65"/>
      <c r="W674" s="65"/>
      <c r="X674" s="65"/>
      <c r="Y674" s="65"/>
      <c r="Z674" s="65"/>
    </row>
    <row r="675" ht="15.75" customHeight="1">
      <c r="A675" s="65"/>
      <c r="B675" s="65"/>
      <c r="C675" s="65"/>
      <c r="D675" s="65"/>
      <c r="E675" s="65"/>
      <c r="F675" s="65"/>
      <c r="I675" s="65"/>
      <c r="J675" s="65"/>
      <c r="K675" s="65"/>
      <c r="L675" s="65"/>
      <c r="M675" s="65"/>
      <c r="N675" s="65"/>
      <c r="O675" s="65"/>
      <c r="P675" s="65"/>
      <c r="Q675" s="65"/>
      <c r="R675" s="65"/>
      <c r="S675" s="65"/>
      <c r="T675" s="65"/>
      <c r="U675" s="65"/>
      <c r="V675" s="65"/>
      <c r="W675" s="65"/>
      <c r="X675" s="65"/>
      <c r="Y675" s="65"/>
      <c r="Z675" s="65"/>
    </row>
    <row r="676" ht="15.75" customHeight="1">
      <c r="A676" s="65"/>
      <c r="B676" s="65"/>
      <c r="C676" s="65"/>
      <c r="D676" s="65"/>
      <c r="E676" s="65"/>
      <c r="F676" s="65"/>
      <c r="I676" s="65"/>
      <c r="J676" s="65"/>
      <c r="K676" s="65"/>
      <c r="L676" s="65"/>
      <c r="M676" s="65"/>
      <c r="N676" s="65"/>
      <c r="O676" s="65"/>
      <c r="P676" s="65"/>
      <c r="Q676" s="65"/>
      <c r="R676" s="65"/>
      <c r="S676" s="65"/>
      <c r="T676" s="65"/>
      <c r="U676" s="65"/>
      <c r="V676" s="65"/>
      <c r="W676" s="65"/>
      <c r="X676" s="65"/>
      <c r="Y676" s="65"/>
      <c r="Z676" s="65"/>
    </row>
    <row r="677" ht="15.75" customHeight="1">
      <c r="A677" s="65"/>
      <c r="B677" s="65"/>
      <c r="C677" s="65"/>
      <c r="D677" s="65"/>
      <c r="E677" s="65"/>
      <c r="F677" s="65"/>
      <c r="I677" s="65"/>
      <c r="J677" s="65"/>
      <c r="K677" s="65"/>
      <c r="L677" s="65"/>
      <c r="M677" s="65"/>
      <c r="N677" s="65"/>
      <c r="O677" s="65"/>
      <c r="P677" s="65"/>
      <c r="Q677" s="65"/>
      <c r="R677" s="65"/>
      <c r="S677" s="65"/>
      <c r="T677" s="65"/>
      <c r="U677" s="65"/>
      <c r="V677" s="65"/>
      <c r="W677" s="65"/>
      <c r="X677" s="65"/>
      <c r="Y677" s="65"/>
      <c r="Z677" s="65"/>
    </row>
    <row r="678" ht="15.75" customHeight="1">
      <c r="A678" s="65"/>
      <c r="B678" s="65"/>
      <c r="C678" s="65"/>
      <c r="D678" s="65"/>
      <c r="E678" s="65"/>
      <c r="F678" s="65"/>
      <c r="I678" s="65"/>
      <c r="J678" s="65"/>
      <c r="K678" s="65"/>
      <c r="L678" s="65"/>
      <c r="M678" s="65"/>
      <c r="N678" s="65"/>
      <c r="O678" s="65"/>
      <c r="P678" s="65"/>
      <c r="Q678" s="65"/>
      <c r="R678" s="65"/>
      <c r="S678" s="65"/>
      <c r="T678" s="65"/>
      <c r="U678" s="65"/>
      <c r="V678" s="65"/>
      <c r="W678" s="65"/>
      <c r="X678" s="65"/>
      <c r="Y678" s="65"/>
      <c r="Z678" s="65"/>
    </row>
    <row r="679" ht="15.75" customHeight="1">
      <c r="A679" s="65"/>
      <c r="B679" s="65"/>
      <c r="C679" s="65"/>
      <c r="D679" s="65"/>
      <c r="E679" s="65"/>
      <c r="F679" s="65"/>
      <c r="I679" s="65"/>
      <c r="J679" s="65"/>
      <c r="K679" s="65"/>
      <c r="L679" s="65"/>
      <c r="M679" s="65"/>
      <c r="N679" s="65"/>
      <c r="O679" s="65"/>
      <c r="P679" s="65"/>
      <c r="Q679" s="65"/>
      <c r="R679" s="65"/>
      <c r="S679" s="65"/>
      <c r="T679" s="65"/>
      <c r="U679" s="65"/>
      <c r="V679" s="65"/>
      <c r="W679" s="65"/>
      <c r="X679" s="65"/>
      <c r="Y679" s="65"/>
      <c r="Z679" s="65"/>
    </row>
    <row r="680" ht="15.75" customHeight="1">
      <c r="A680" s="65"/>
      <c r="B680" s="65"/>
      <c r="C680" s="65"/>
      <c r="D680" s="65"/>
      <c r="E680" s="65"/>
      <c r="F680" s="65"/>
      <c r="I680" s="65"/>
      <c r="J680" s="65"/>
      <c r="K680" s="65"/>
      <c r="L680" s="65"/>
      <c r="M680" s="65"/>
      <c r="N680" s="65"/>
      <c r="O680" s="65"/>
      <c r="P680" s="65"/>
      <c r="Q680" s="65"/>
      <c r="R680" s="65"/>
      <c r="S680" s="65"/>
      <c r="T680" s="65"/>
      <c r="U680" s="65"/>
      <c r="V680" s="65"/>
      <c r="W680" s="65"/>
      <c r="X680" s="65"/>
      <c r="Y680" s="65"/>
      <c r="Z680" s="65"/>
    </row>
    <row r="681" ht="15.75" customHeight="1">
      <c r="A681" s="65"/>
      <c r="B681" s="65"/>
      <c r="C681" s="65"/>
      <c r="D681" s="65"/>
      <c r="E681" s="65"/>
      <c r="F681" s="65"/>
      <c r="I681" s="65"/>
      <c r="J681" s="65"/>
      <c r="K681" s="65"/>
      <c r="L681" s="65"/>
      <c r="M681" s="65"/>
      <c r="N681" s="65"/>
      <c r="O681" s="65"/>
      <c r="P681" s="65"/>
      <c r="Q681" s="65"/>
      <c r="R681" s="65"/>
      <c r="S681" s="65"/>
      <c r="T681" s="65"/>
      <c r="U681" s="65"/>
      <c r="V681" s="65"/>
      <c r="W681" s="65"/>
      <c r="X681" s="65"/>
      <c r="Y681" s="65"/>
      <c r="Z681" s="65"/>
    </row>
    <row r="682" ht="15.75" customHeight="1">
      <c r="A682" s="65"/>
      <c r="B682" s="65"/>
      <c r="C682" s="65"/>
      <c r="D682" s="65"/>
      <c r="E682" s="65"/>
      <c r="F682" s="65"/>
      <c r="I682" s="65"/>
      <c r="J682" s="65"/>
      <c r="K682" s="65"/>
      <c r="L682" s="65"/>
      <c r="M682" s="65"/>
      <c r="N682" s="65"/>
      <c r="O682" s="65"/>
      <c r="P682" s="65"/>
      <c r="Q682" s="65"/>
      <c r="R682" s="65"/>
      <c r="S682" s="65"/>
      <c r="T682" s="65"/>
      <c r="U682" s="65"/>
      <c r="V682" s="65"/>
      <c r="W682" s="65"/>
      <c r="X682" s="65"/>
      <c r="Y682" s="65"/>
      <c r="Z682" s="65"/>
    </row>
    <row r="683" ht="15.75" customHeight="1">
      <c r="A683" s="65"/>
      <c r="B683" s="65"/>
      <c r="C683" s="65"/>
      <c r="D683" s="65"/>
      <c r="E683" s="65"/>
      <c r="F683" s="65"/>
      <c r="I683" s="65"/>
      <c r="J683" s="65"/>
      <c r="K683" s="65"/>
      <c r="L683" s="65"/>
      <c r="M683" s="65"/>
      <c r="N683" s="65"/>
      <c r="O683" s="65"/>
      <c r="P683" s="65"/>
      <c r="Q683" s="65"/>
      <c r="R683" s="65"/>
      <c r="S683" s="65"/>
      <c r="T683" s="65"/>
      <c r="U683" s="65"/>
      <c r="V683" s="65"/>
      <c r="W683" s="65"/>
      <c r="X683" s="65"/>
      <c r="Y683" s="65"/>
      <c r="Z683" s="65"/>
    </row>
    <row r="684" ht="15.75" customHeight="1">
      <c r="A684" s="65"/>
      <c r="B684" s="65"/>
      <c r="C684" s="65"/>
      <c r="D684" s="65"/>
      <c r="E684" s="65"/>
      <c r="F684" s="65"/>
      <c r="I684" s="65"/>
      <c r="J684" s="65"/>
      <c r="K684" s="65"/>
      <c r="L684" s="65"/>
      <c r="M684" s="65"/>
      <c r="N684" s="65"/>
      <c r="O684" s="65"/>
      <c r="P684" s="65"/>
      <c r="Q684" s="65"/>
      <c r="R684" s="65"/>
      <c r="S684" s="65"/>
      <c r="T684" s="65"/>
      <c r="U684" s="65"/>
      <c r="V684" s="65"/>
      <c r="W684" s="65"/>
      <c r="X684" s="65"/>
      <c r="Y684" s="65"/>
      <c r="Z684" s="65"/>
    </row>
    <row r="685" ht="15.75" customHeight="1">
      <c r="A685" s="65"/>
      <c r="B685" s="65"/>
      <c r="C685" s="65"/>
      <c r="D685" s="65"/>
      <c r="E685" s="65"/>
      <c r="F685" s="65"/>
      <c r="I685" s="65"/>
      <c r="J685" s="65"/>
      <c r="K685" s="65"/>
      <c r="L685" s="65"/>
      <c r="M685" s="65"/>
      <c r="N685" s="65"/>
      <c r="O685" s="65"/>
      <c r="P685" s="65"/>
      <c r="Q685" s="65"/>
      <c r="R685" s="65"/>
      <c r="S685" s="65"/>
      <c r="T685" s="65"/>
      <c r="U685" s="65"/>
      <c r="V685" s="65"/>
      <c r="W685" s="65"/>
      <c r="X685" s="65"/>
      <c r="Y685" s="65"/>
      <c r="Z685" s="65"/>
    </row>
    <row r="686" ht="15.75" customHeight="1">
      <c r="A686" s="65"/>
      <c r="B686" s="65"/>
      <c r="C686" s="65"/>
      <c r="D686" s="65"/>
      <c r="E686" s="65"/>
      <c r="F686" s="65"/>
      <c r="I686" s="65"/>
      <c r="J686" s="65"/>
      <c r="K686" s="65"/>
      <c r="L686" s="65"/>
      <c r="M686" s="65"/>
      <c r="N686" s="65"/>
      <c r="O686" s="65"/>
      <c r="P686" s="65"/>
      <c r="Q686" s="65"/>
      <c r="R686" s="65"/>
      <c r="S686" s="65"/>
      <c r="T686" s="65"/>
      <c r="U686" s="65"/>
      <c r="V686" s="65"/>
      <c r="W686" s="65"/>
      <c r="X686" s="65"/>
      <c r="Y686" s="65"/>
      <c r="Z686" s="65"/>
    </row>
    <row r="687" ht="15.75" customHeight="1">
      <c r="A687" s="65"/>
      <c r="B687" s="65"/>
      <c r="C687" s="65"/>
      <c r="D687" s="65"/>
      <c r="E687" s="65"/>
      <c r="F687" s="65"/>
      <c r="I687" s="65"/>
      <c r="J687" s="65"/>
      <c r="K687" s="65"/>
      <c r="L687" s="65"/>
      <c r="M687" s="65"/>
      <c r="N687" s="65"/>
      <c r="O687" s="65"/>
      <c r="P687" s="65"/>
      <c r="Q687" s="65"/>
      <c r="R687" s="65"/>
      <c r="S687" s="65"/>
      <c r="T687" s="65"/>
      <c r="U687" s="65"/>
      <c r="V687" s="65"/>
      <c r="W687" s="65"/>
      <c r="X687" s="65"/>
      <c r="Y687" s="65"/>
      <c r="Z687" s="65"/>
    </row>
    <row r="688" ht="15.75" customHeight="1">
      <c r="A688" s="65"/>
      <c r="B688" s="65"/>
      <c r="C688" s="65"/>
      <c r="D688" s="65"/>
      <c r="E688" s="65"/>
      <c r="F688" s="65"/>
      <c r="I688" s="65"/>
      <c r="J688" s="65"/>
      <c r="K688" s="65"/>
      <c r="L688" s="65"/>
      <c r="M688" s="65"/>
      <c r="N688" s="65"/>
      <c r="O688" s="65"/>
      <c r="P688" s="65"/>
      <c r="Q688" s="65"/>
      <c r="R688" s="65"/>
      <c r="S688" s="65"/>
      <c r="T688" s="65"/>
      <c r="U688" s="65"/>
      <c r="V688" s="65"/>
      <c r="W688" s="65"/>
      <c r="X688" s="65"/>
      <c r="Y688" s="65"/>
      <c r="Z688" s="65"/>
    </row>
    <row r="689" ht="15.75" customHeight="1">
      <c r="A689" s="65"/>
      <c r="B689" s="65"/>
      <c r="C689" s="65"/>
      <c r="D689" s="65"/>
      <c r="E689" s="65"/>
      <c r="F689" s="65"/>
      <c r="I689" s="65"/>
      <c r="J689" s="65"/>
      <c r="K689" s="65"/>
      <c r="L689" s="65"/>
      <c r="M689" s="65"/>
      <c r="N689" s="65"/>
      <c r="O689" s="65"/>
      <c r="P689" s="65"/>
      <c r="Q689" s="65"/>
      <c r="R689" s="65"/>
      <c r="S689" s="65"/>
      <c r="T689" s="65"/>
      <c r="U689" s="65"/>
      <c r="V689" s="65"/>
      <c r="W689" s="65"/>
      <c r="X689" s="65"/>
      <c r="Y689" s="65"/>
      <c r="Z689" s="65"/>
    </row>
    <row r="690" ht="15.75" customHeight="1">
      <c r="A690" s="65"/>
      <c r="B690" s="65"/>
      <c r="C690" s="65"/>
      <c r="D690" s="65"/>
      <c r="E690" s="65"/>
      <c r="F690" s="65"/>
      <c r="I690" s="65"/>
      <c r="J690" s="65"/>
      <c r="K690" s="65"/>
      <c r="L690" s="65"/>
      <c r="M690" s="65"/>
      <c r="N690" s="65"/>
      <c r="O690" s="65"/>
      <c r="P690" s="65"/>
      <c r="Q690" s="65"/>
      <c r="R690" s="65"/>
      <c r="S690" s="65"/>
      <c r="T690" s="65"/>
      <c r="U690" s="65"/>
      <c r="V690" s="65"/>
      <c r="W690" s="65"/>
      <c r="X690" s="65"/>
      <c r="Y690" s="65"/>
      <c r="Z690" s="65"/>
    </row>
    <row r="691" ht="15.75" customHeight="1">
      <c r="A691" s="65"/>
      <c r="B691" s="65"/>
      <c r="C691" s="65"/>
      <c r="D691" s="65"/>
      <c r="E691" s="65"/>
      <c r="F691" s="65"/>
      <c r="I691" s="65"/>
      <c r="J691" s="65"/>
      <c r="K691" s="65"/>
      <c r="L691" s="65"/>
      <c r="M691" s="65"/>
      <c r="N691" s="65"/>
      <c r="O691" s="65"/>
      <c r="P691" s="65"/>
      <c r="Q691" s="65"/>
      <c r="R691" s="65"/>
      <c r="S691" s="65"/>
      <c r="T691" s="65"/>
      <c r="U691" s="65"/>
      <c r="V691" s="65"/>
      <c r="W691" s="65"/>
      <c r="X691" s="65"/>
      <c r="Y691" s="65"/>
      <c r="Z691" s="65"/>
    </row>
    <row r="692" ht="15.75" customHeight="1">
      <c r="A692" s="65"/>
      <c r="B692" s="65"/>
      <c r="C692" s="65"/>
      <c r="D692" s="65"/>
      <c r="E692" s="65"/>
      <c r="F692" s="65"/>
      <c r="I692" s="65"/>
      <c r="J692" s="65"/>
      <c r="K692" s="65"/>
      <c r="L692" s="65"/>
      <c r="M692" s="65"/>
      <c r="N692" s="65"/>
      <c r="O692" s="65"/>
      <c r="P692" s="65"/>
      <c r="Q692" s="65"/>
      <c r="R692" s="65"/>
      <c r="S692" s="65"/>
      <c r="T692" s="65"/>
      <c r="U692" s="65"/>
      <c r="V692" s="65"/>
      <c r="W692" s="65"/>
      <c r="X692" s="65"/>
      <c r="Y692" s="65"/>
      <c r="Z692" s="65"/>
    </row>
    <row r="693" ht="15.75" customHeight="1">
      <c r="A693" s="65"/>
      <c r="B693" s="65"/>
      <c r="C693" s="65"/>
      <c r="D693" s="65"/>
      <c r="E693" s="65"/>
      <c r="F693" s="65"/>
      <c r="I693" s="65"/>
      <c r="J693" s="65"/>
      <c r="K693" s="65"/>
      <c r="L693" s="65"/>
      <c r="M693" s="65"/>
      <c r="N693" s="65"/>
      <c r="O693" s="65"/>
      <c r="P693" s="65"/>
      <c r="Q693" s="65"/>
      <c r="R693" s="65"/>
      <c r="S693" s="65"/>
      <c r="T693" s="65"/>
      <c r="U693" s="65"/>
      <c r="V693" s="65"/>
      <c r="W693" s="65"/>
      <c r="X693" s="65"/>
      <c r="Y693" s="65"/>
      <c r="Z693" s="65"/>
    </row>
    <row r="694" ht="15.75" customHeight="1">
      <c r="A694" s="65"/>
      <c r="B694" s="65"/>
      <c r="C694" s="65"/>
      <c r="D694" s="65"/>
      <c r="E694" s="65"/>
      <c r="F694" s="65"/>
      <c r="I694" s="65"/>
      <c r="J694" s="65"/>
      <c r="K694" s="65"/>
      <c r="L694" s="65"/>
      <c r="M694" s="65"/>
      <c r="N694" s="65"/>
      <c r="O694" s="65"/>
      <c r="P694" s="65"/>
      <c r="Q694" s="65"/>
      <c r="R694" s="65"/>
      <c r="S694" s="65"/>
      <c r="T694" s="65"/>
      <c r="U694" s="65"/>
      <c r="V694" s="65"/>
      <c r="W694" s="65"/>
      <c r="X694" s="65"/>
      <c r="Y694" s="65"/>
      <c r="Z694" s="65"/>
    </row>
    <row r="695" ht="15.75" customHeight="1">
      <c r="A695" s="65"/>
      <c r="B695" s="65"/>
      <c r="C695" s="65"/>
      <c r="D695" s="65"/>
      <c r="E695" s="65"/>
      <c r="F695" s="65"/>
      <c r="I695" s="65"/>
      <c r="J695" s="65"/>
      <c r="K695" s="65"/>
      <c r="L695" s="65"/>
      <c r="M695" s="65"/>
      <c r="N695" s="65"/>
      <c r="O695" s="65"/>
      <c r="P695" s="65"/>
      <c r="Q695" s="65"/>
      <c r="R695" s="65"/>
      <c r="S695" s="65"/>
      <c r="T695" s="65"/>
      <c r="U695" s="65"/>
      <c r="V695" s="65"/>
      <c r="W695" s="65"/>
      <c r="X695" s="65"/>
      <c r="Y695" s="65"/>
      <c r="Z695" s="65"/>
    </row>
    <row r="696" ht="15.75" customHeight="1">
      <c r="A696" s="65"/>
      <c r="B696" s="65"/>
      <c r="C696" s="65"/>
      <c r="D696" s="65"/>
      <c r="E696" s="65"/>
      <c r="F696" s="65"/>
      <c r="I696" s="65"/>
      <c r="J696" s="65"/>
      <c r="K696" s="65"/>
      <c r="L696" s="65"/>
      <c r="M696" s="65"/>
      <c r="N696" s="65"/>
      <c r="O696" s="65"/>
      <c r="P696" s="65"/>
      <c r="Q696" s="65"/>
      <c r="R696" s="65"/>
      <c r="S696" s="65"/>
      <c r="T696" s="65"/>
      <c r="U696" s="65"/>
      <c r="V696" s="65"/>
      <c r="W696" s="65"/>
      <c r="X696" s="65"/>
      <c r="Y696" s="65"/>
      <c r="Z696" s="65"/>
    </row>
    <row r="697" ht="15.75" customHeight="1">
      <c r="A697" s="65"/>
      <c r="B697" s="65"/>
      <c r="C697" s="65"/>
      <c r="D697" s="65"/>
      <c r="E697" s="65"/>
      <c r="F697" s="65"/>
      <c r="I697" s="65"/>
      <c r="J697" s="65"/>
      <c r="K697" s="65"/>
      <c r="L697" s="65"/>
      <c r="M697" s="65"/>
      <c r="N697" s="65"/>
      <c r="O697" s="65"/>
      <c r="P697" s="65"/>
      <c r="Q697" s="65"/>
      <c r="R697" s="65"/>
      <c r="S697" s="65"/>
      <c r="T697" s="65"/>
      <c r="U697" s="65"/>
      <c r="V697" s="65"/>
      <c r="W697" s="65"/>
      <c r="X697" s="65"/>
      <c r="Y697" s="65"/>
      <c r="Z697" s="65"/>
    </row>
    <row r="698" ht="15.75" customHeight="1">
      <c r="A698" s="65"/>
      <c r="B698" s="65"/>
      <c r="C698" s="65"/>
      <c r="D698" s="65"/>
      <c r="E698" s="65"/>
      <c r="F698" s="65"/>
      <c r="I698" s="65"/>
      <c r="J698" s="65"/>
      <c r="K698" s="65"/>
      <c r="L698" s="65"/>
      <c r="M698" s="65"/>
      <c r="N698" s="65"/>
      <c r="O698" s="65"/>
      <c r="P698" s="65"/>
      <c r="Q698" s="65"/>
      <c r="R698" s="65"/>
      <c r="S698" s="65"/>
      <c r="T698" s="65"/>
      <c r="U698" s="65"/>
      <c r="V698" s="65"/>
      <c r="W698" s="65"/>
      <c r="X698" s="65"/>
      <c r="Y698" s="65"/>
      <c r="Z698" s="65"/>
    </row>
    <row r="699" ht="15.75" customHeight="1">
      <c r="A699" s="65"/>
      <c r="B699" s="65"/>
      <c r="C699" s="65"/>
      <c r="D699" s="65"/>
      <c r="E699" s="65"/>
      <c r="F699" s="65"/>
      <c r="I699" s="65"/>
      <c r="J699" s="65"/>
      <c r="K699" s="65"/>
      <c r="L699" s="65"/>
      <c r="M699" s="65"/>
      <c r="N699" s="65"/>
      <c r="O699" s="65"/>
      <c r="P699" s="65"/>
      <c r="Q699" s="65"/>
      <c r="R699" s="65"/>
      <c r="S699" s="65"/>
      <c r="T699" s="65"/>
      <c r="U699" s="65"/>
      <c r="V699" s="65"/>
      <c r="W699" s="65"/>
      <c r="X699" s="65"/>
      <c r="Y699" s="65"/>
      <c r="Z699" s="65"/>
    </row>
    <row r="700" ht="15.75" customHeight="1">
      <c r="A700" s="65"/>
      <c r="B700" s="65"/>
      <c r="C700" s="65"/>
      <c r="D700" s="65"/>
      <c r="E700" s="65"/>
      <c r="F700" s="65"/>
      <c r="I700" s="65"/>
      <c r="J700" s="65"/>
      <c r="K700" s="65"/>
      <c r="L700" s="65"/>
      <c r="M700" s="65"/>
      <c r="N700" s="65"/>
      <c r="O700" s="65"/>
      <c r="P700" s="65"/>
      <c r="Q700" s="65"/>
      <c r="R700" s="65"/>
      <c r="S700" s="65"/>
      <c r="T700" s="65"/>
      <c r="U700" s="65"/>
      <c r="V700" s="65"/>
      <c r="W700" s="65"/>
      <c r="X700" s="65"/>
      <c r="Y700" s="65"/>
      <c r="Z700" s="65"/>
    </row>
    <row r="701" ht="15.75" customHeight="1">
      <c r="A701" s="65"/>
      <c r="B701" s="65"/>
      <c r="C701" s="65"/>
      <c r="D701" s="65"/>
      <c r="E701" s="65"/>
      <c r="F701" s="65"/>
      <c r="I701" s="65"/>
      <c r="J701" s="65"/>
      <c r="K701" s="65"/>
      <c r="L701" s="65"/>
      <c r="M701" s="65"/>
      <c r="N701" s="65"/>
      <c r="O701" s="65"/>
      <c r="P701" s="65"/>
      <c r="Q701" s="65"/>
      <c r="R701" s="65"/>
      <c r="S701" s="65"/>
      <c r="T701" s="65"/>
      <c r="U701" s="65"/>
      <c r="V701" s="65"/>
      <c r="W701" s="65"/>
      <c r="X701" s="65"/>
      <c r="Y701" s="65"/>
      <c r="Z701" s="65"/>
    </row>
    <row r="702" ht="15.75" customHeight="1">
      <c r="A702" s="65"/>
      <c r="B702" s="65"/>
      <c r="C702" s="65"/>
      <c r="D702" s="65"/>
      <c r="E702" s="65"/>
      <c r="F702" s="65"/>
      <c r="I702" s="65"/>
      <c r="J702" s="65"/>
      <c r="K702" s="65"/>
      <c r="L702" s="65"/>
      <c r="M702" s="65"/>
      <c r="N702" s="65"/>
      <c r="O702" s="65"/>
      <c r="P702" s="65"/>
      <c r="Q702" s="65"/>
      <c r="R702" s="65"/>
      <c r="S702" s="65"/>
      <c r="T702" s="65"/>
      <c r="U702" s="65"/>
      <c r="V702" s="65"/>
      <c r="W702" s="65"/>
      <c r="X702" s="65"/>
      <c r="Y702" s="65"/>
      <c r="Z702" s="65"/>
    </row>
    <row r="703" ht="15.75" customHeight="1">
      <c r="A703" s="65"/>
      <c r="B703" s="65"/>
      <c r="C703" s="65"/>
      <c r="D703" s="65"/>
      <c r="E703" s="65"/>
      <c r="F703" s="65"/>
      <c r="I703" s="65"/>
      <c r="J703" s="65"/>
      <c r="K703" s="65"/>
      <c r="L703" s="65"/>
      <c r="M703" s="65"/>
      <c r="N703" s="65"/>
      <c r="O703" s="65"/>
      <c r="P703" s="65"/>
      <c r="Q703" s="65"/>
      <c r="R703" s="65"/>
      <c r="S703" s="65"/>
      <c r="T703" s="65"/>
      <c r="U703" s="65"/>
      <c r="V703" s="65"/>
      <c r="W703" s="65"/>
      <c r="X703" s="65"/>
      <c r="Y703" s="65"/>
      <c r="Z703" s="65"/>
    </row>
    <row r="704" ht="15.75" customHeight="1">
      <c r="A704" s="65"/>
      <c r="B704" s="65"/>
      <c r="C704" s="65"/>
      <c r="D704" s="65"/>
      <c r="E704" s="65"/>
      <c r="F704" s="65"/>
      <c r="I704" s="65"/>
      <c r="J704" s="65"/>
      <c r="K704" s="65"/>
      <c r="L704" s="65"/>
      <c r="M704" s="65"/>
      <c r="N704" s="65"/>
      <c r="O704" s="65"/>
      <c r="P704" s="65"/>
      <c r="Q704" s="65"/>
      <c r="R704" s="65"/>
      <c r="S704" s="65"/>
      <c r="T704" s="65"/>
      <c r="U704" s="65"/>
      <c r="V704" s="65"/>
      <c r="W704" s="65"/>
      <c r="X704" s="65"/>
      <c r="Y704" s="65"/>
      <c r="Z704" s="65"/>
    </row>
    <row r="705" ht="15.75" customHeight="1">
      <c r="A705" s="65"/>
      <c r="B705" s="65"/>
      <c r="C705" s="65"/>
      <c r="D705" s="65"/>
      <c r="E705" s="65"/>
      <c r="F705" s="65"/>
      <c r="I705" s="65"/>
      <c r="J705" s="65"/>
      <c r="K705" s="65"/>
      <c r="L705" s="65"/>
      <c r="M705" s="65"/>
      <c r="N705" s="65"/>
      <c r="O705" s="65"/>
      <c r="P705" s="65"/>
      <c r="Q705" s="65"/>
      <c r="R705" s="65"/>
      <c r="S705" s="65"/>
      <c r="T705" s="65"/>
      <c r="U705" s="65"/>
      <c r="V705" s="65"/>
      <c r="W705" s="65"/>
      <c r="X705" s="65"/>
      <c r="Y705" s="65"/>
      <c r="Z705" s="65"/>
    </row>
    <row r="706" ht="15.75" customHeight="1">
      <c r="A706" s="65"/>
      <c r="B706" s="65"/>
      <c r="C706" s="65"/>
      <c r="D706" s="65"/>
      <c r="E706" s="65"/>
      <c r="F706" s="65"/>
      <c r="I706" s="65"/>
      <c r="J706" s="65"/>
      <c r="K706" s="65"/>
      <c r="L706" s="65"/>
      <c r="M706" s="65"/>
      <c r="N706" s="65"/>
      <c r="O706" s="65"/>
      <c r="P706" s="65"/>
      <c r="Q706" s="65"/>
      <c r="R706" s="65"/>
      <c r="S706" s="65"/>
      <c r="T706" s="65"/>
      <c r="U706" s="65"/>
      <c r="V706" s="65"/>
      <c r="W706" s="65"/>
      <c r="X706" s="65"/>
      <c r="Y706" s="65"/>
      <c r="Z706" s="65"/>
    </row>
    <row r="707" ht="15.75" customHeight="1">
      <c r="A707" s="65"/>
      <c r="B707" s="65"/>
      <c r="C707" s="65"/>
      <c r="D707" s="65"/>
      <c r="E707" s="65"/>
      <c r="F707" s="65"/>
      <c r="I707" s="65"/>
      <c r="J707" s="65"/>
      <c r="K707" s="65"/>
      <c r="L707" s="65"/>
      <c r="M707" s="65"/>
      <c r="N707" s="65"/>
      <c r="O707" s="65"/>
      <c r="P707" s="65"/>
      <c r="Q707" s="65"/>
      <c r="R707" s="65"/>
      <c r="S707" s="65"/>
      <c r="T707" s="65"/>
      <c r="U707" s="65"/>
      <c r="V707" s="65"/>
      <c r="W707" s="65"/>
      <c r="X707" s="65"/>
      <c r="Y707" s="65"/>
      <c r="Z707" s="65"/>
    </row>
    <row r="708" ht="15.75" customHeight="1">
      <c r="A708" s="65"/>
      <c r="B708" s="65"/>
      <c r="C708" s="65"/>
      <c r="D708" s="65"/>
      <c r="E708" s="65"/>
      <c r="F708" s="65"/>
      <c r="I708" s="65"/>
      <c r="J708" s="65"/>
      <c r="K708" s="65"/>
      <c r="L708" s="65"/>
      <c r="M708" s="65"/>
      <c r="N708" s="65"/>
      <c r="O708" s="65"/>
      <c r="P708" s="65"/>
      <c r="Q708" s="65"/>
      <c r="R708" s="65"/>
      <c r="S708" s="65"/>
      <c r="T708" s="65"/>
      <c r="U708" s="65"/>
      <c r="V708" s="65"/>
      <c r="W708" s="65"/>
      <c r="X708" s="65"/>
      <c r="Y708" s="65"/>
      <c r="Z708" s="65"/>
    </row>
    <row r="709" ht="15.75" customHeight="1">
      <c r="A709" s="65"/>
      <c r="B709" s="65"/>
      <c r="C709" s="65"/>
      <c r="D709" s="65"/>
      <c r="E709" s="65"/>
      <c r="F709" s="65"/>
      <c r="I709" s="65"/>
      <c r="J709" s="65"/>
      <c r="K709" s="65"/>
      <c r="L709" s="65"/>
      <c r="M709" s="65"/>
      <c r="N709" s="65"/>
      <c r="O709" s="65"/>
      <c r="P709" s="65"/>
      <c r="Q709" s="65"/>
      <c r="R709" s="65"/>
      <c r="S709" s="65"/>
      <c r="T709" s="65"/>
      <c r="U709" s="65"/>
      <c r="V709" s="65"/>
      <c r="W709" s="65"/>
      <c r="X709" s="65"/>
      <c r="Y709" s="65"/>
      <c r="Z709" s="65"/>
    </row>
    <row r="710" ht="15.75" customHeight="1">
      <c r="A710" s="65"/>
      <c r="B710" s="65"/>
      <c r="C710" s="65"/>
      <c r="D710" s="65"/>
      <c r="E710" s="65"/>
      <c r="F710" s="65"/>
      <c r="I710" s="65"/>
      <c r="J710" s="65"/>
      <c r="K710" s="65"/>
      <c r="L710" s="65"/>
      <c r="M710" s="65"/>
      <c r="N710" s="65"/>
      <c r="O710" s="65"/>
      <c r="P710" s="65"/>
      <c r="Q710" s="65"/>
      <c r="R710" s="65"/>
      <c r="S710" s="65"/>
      <c r="T710" s="65"/>
      <c r="U710" s="65"/>
      <c r="V710" s="65"/>
      <c r="W710" s="65"/>
      <c r="X710" s="65"/>
      <c r="Y710" s="65"/>
      <c r="Z710" s="65"/>
    </row>
    <row r="711" ht="15.75" customHeight="1">
      <c r="A711" s="65"/>
      <c r="B711" s="65"/>
      <c r="C711" s="65"/>
      <c r="D711" s="65"/>
      <c r="E711" s="65"/>
      <c r="F711" s="65"/>
      <c r="I711" s="65"/>
      <c r="J711" s="65"/>
      <c r="K711" s="65"/>
      <c r="L711" s="65"/>
      <c r="M711" s="65"/>
      <c r="N711" s="65"/>
      <c r="O711" s="65"/>
      <c r="P711" s="65"/>
      <c r="Q711" s="65"/>
      <c r="R711" s="65"/>
      <c r="S711" s="65"/>
      <c r="T711" s="65"/>
      <c r="U711" s="65"/>
      <c r="V711" s="65"/>
      <c r="W711" s="65"/>
      <c r="X711" s="65"/>
      <c r="Y711" s="65"/>
      <c r="Z711" s="65"/>
    </row>
    <row r="712" ht="15.75" customHeight="1">
      <c r="A712" s="65"/>
      <c r="B712" s="65"/>
      <c r="C712" s="65"/>
      <c r="D712" s="65"/>
      <c r="E712" s="65"/>
      <c r="F712" s="65"/>
      <c r="I712" s="65"/>
      <c r="J712" s="65"/>
      <c r="K712" s="65"/>
      <c r="L712" s="65"/>
      <c r="M712" s="65"/>
      <c r="N712" s="65"/>
      <c r="O712" s="65"/>
      <c r="P712" s="65"/>
      <c r="Q712" s="65"/>
      <c r="R712" s="65"/>
      <c r="S712" s="65"/>
      <c r="T712" s="65"/>
      <c r="U712" s="65"/>
      <c r="V712" s="65"/>
      <c r="W712" s="65"/>
      <c r="X712" s="65"/>
      <c r="Y712" s="65"/>
      <c r="Z712" s="65"/>
    </row>
    <row r="713" ht="15.75" customHeight="1">
      <c r="A713" s="65"/>
      <c r="B713" s="65"/>
      <c r="C713" s="65"/>
      <c r="D713" s="65"/>
      <c r="E713" s="65"/>
      <c r="F713" s="65"/>
      <c r="I713" s="65"/>
      <c r="J713" s="65"/>
      <c r="K713" s="65"/>
      <c r="L713" s="65"/>
      <c r="M713" s="65"/>
      <c r="N713" s="65"/>
      <c r="O713" s="65"/>
      <c r="P713" s="65"/>
      <c r="Q713" s="65"/>
      <c r="R713" s="65"/>
      <c r="S713" s="65"/>
      <c r="T713" s="65"/>
      <c r="U713" s="65"/>
      <c r="V713" s="65"/>
      <c r="W713" s="65"/>
      <c r="X713" s="65"/>
      <c r="Y713" s="65"/>
      <c r="Z713" s="65"/>
    </row>
    <row r="714" ht="15.75" customHeight="1">
      <c r="A714" s="65"/>
      <c r="B714" s="65"/>
      <c r="C714" s="65"/>
      <c r="D714" s="65"/>
      <c r="E714" s="65"/>
      <c r="F714" s="65"/>
      <c r="I714" s="65"/>
      <c r="J714" s="65"/>
      <c r="K714" s="65"/>
      <c r="L714" s="65"/>
      <c r="M714" s="65"/>
      <c r="N714" s="65"/>
      <c r="O714" s="65"/>
      <c r="P714" s="65"/>
      <c r="Q714" s="65"/>
      <c r="R714" s="65"/>
      <c r="S714" s="65"/>
      <c r="T714" s="65"/>
      <c r="U714" s="65"/>
      <c r="V714" s="65"/>
      <c r="W714" s="65"/>
      <c r="X714" s="65"/>
      <c r="Y714" s="65"/>
      <c r="Z714" s="65"/>
    </row>
    <row r="715" ht="15.75" customHeight="1">
      <c r="A715" s="65"/>
      <c r="B715" s="65"/>
      <c r="C715" s="65"/>
      <c r="D715" s="65"/>
      <c r="E715" s="65"/>
      <c r="F715" s="65"/>
      <c r="I715" s="65"/>
      <c r="J715" s="65"/>
      <c r="K715" s="65"/>
      <c r="L715" s="65"/>
      <c r="M715" s="65"/>
      <c r="N715" s="65"/>
      <c r="O715" s="65"/>
      <c r="P715" s="65"/>
      <c r="Q715" s="65"/>
      <c r="R715" s="65"/>
      <c r="S715" s="65"/>
      <c r="T715" s="65"/>
      <c r="U715" s="65"/>
      <c r="V715" s="65"/>
      <c r="W715" s="65"/>
      <c r="X715" s="65"/>
      <c r="Y715" s="65"/>
      <c r="Z715" s="65"/>
    </row>
    <row r="716" ht="15.75" customHeight="1">
      <c r="A716" s="65"/>
      <c r="B716" s="65"/>
      <c r="C716" s="65"/>
      <c r="D716" s="65"/>
      <c r="E716" s="65"/>
      <c r="F716" s="65"/>
      <c r="I716" s="65"/>
      <c r="J716" s="65"/>
      <c r="K716" s="65"/>
      <c r="L716" s="65"/>
      <c r="M716" s="65"/>
      <c r="N716" s="65"/>
      <c r="O716" s="65"/>
      <c r="P716" s="65"/>
      <c r="Q716" s="65"/>
      <c r="R716" s="65"/>
      <c r="S716" s="65"/>
      <c r="T716" s="65"/>
      <c r="U716" s="65"/>
      <c r="V716" s="65"/>
      <c r="W716" s="65"/>
      <c r="X716" s="65"/>
      <c r="Y716" s="65"/>
      <c r="Z716" s="65"/>
    </row>
    <row r="717" ht="15.75" customHeight="1">
      <c r="A717" s="65"/>
      <c r="B717" s="65"/>
      <c r="C717" s="65"/>
      <c r="D717" s="65"/>
      <c r="E717" s="65"/>
      <c r="F717" s="65"/>
      <c r="I717" s="65"/>
      <c r="J717" s="65"/>
      <c r="K717" s="65"/>
      <c r="L717" s="65"/>
      <c r="M717" s="65"/>
      <c r="N717" s="65"/>
      <c r="O717" s="65"/>
      <c r="P717" s="65"/>
      <c r="Q717" s="65"/>
      <c r="R717" s="65"/>
      <c r="S717" s="65"/>
      <c r="T717" s="65"/>
      <c r="U717" s="65"/>
      <c r="V717" s="65"/>
      <c r="W717" s="65"/>
      <c r="X717" s="65"/>
      <c r="Y717" s="65"/>
      <c r="Z717" s="65"/>
    </row>
    <row r="718" ht="15.75" customHeight="1">
      <c r="A718" s="65"/>
      <c r="B718" s="65"/>
      <c r="C718" s="65"/>
      <c r="D718" s="65"/>
      <c r="E718" s="65"/>
      <c r="F718" s="65"/>
      <c r="I718" s="65"/>
      <c r="J718" s="65"/>
      <c r="K718" s="65"/>
      <c r="L718" s="65"/>
      <c r="M718" s="65"/>
      <c r="N718" s="65"/>
      <c r="O718" s="65"/>
      <c r="P718" s="65"/>
      <c r="Q718" s="65"/>
      <c r="R718" s="65"/>
      <c r="S718" s="65"/>
      <c r="T718" s="65"/>
      <c r="U718" s="65"/>
      <c r="V718" s="65"/>
      <c r="W718" s="65"/>
      <c r="X718" s="65"/>
      <c r="Y718" s="65"/>
      <c r="Z718" s="65"/>
    </row>
    <row r="719" ht="15.75" customHeight="1">
      <c r="A719" s="65"/>
      <c r="B719" s="65"/>
      <c r="C719" s="65"/>
      <c r="D719" s="65"/>
      <c r="E719" s="65"/>
      <c r="F719" s="65"/>
      <c r="I719" s="65"/>
      <c r="J719" s="65"/>
      <c r="K719" s="65"/>
      <c r="L719" s="65"/>
      <c r="M719" s="65"/>
      <c r="N719" s="65"/>
      <c r="O719" s="65"/>
      <c r="P719" s="65"/>
      <c r="Q719" s="65"/>
      <c r="R719" s="65"/>
      <c r="S719" s="65"/>
      <c r="T719" s="65"/>
      <c r="U719" s="65"/>
      <c r="V719" s="65"/>
      <c r="W719" s="65"/>
      <c r="X719" s="65"/>
      <c r="Y719" s="65"/>
      <c r="Z719" s="65"/>
    </row>
    <row r="720" ht="15.75" customHeight="1">
      <c r="A720" s="65"/>
      <c r="B720" s="65"/>
      <c r="C720" s="65"/>
      <c r="D720" s="65"/>
      <c r="E720" s="65"/>
      <c r="F720" s="65"/>
      <c r="I720" s="65"/>
      <c r="J720" s="65"/>
      <c r="K720" s="65"/>
      <c r="L720" s="65"/>
      <c r="M720" s="65"/>
      <c r="N720" s="65"/>
      <c r="O720" s="65"/>
      <c r="P720" s="65"/>
      <c r="Q720" s="65"/>
      <c r="R720" s="65"/>
      <c r="S720" s="65"/>
      <c r="T720" s="65"/>
      <c r="U720" s="65"/>
      <c r="V720" s="65"/>
      <c r="W720" s="65"/>
      <c r="X720" s="65"/>
      <c r="Y720" s="65"/>
      <c r="Z720" s="65"/>
    </row>
    <row r="721" ht="15.75" customHeight="1">
      <c r="A721" s="65"/>
      <c r="B721" s="65"/>
      <c r="C721" s="65"/>
      <c r="D721" s="65"/>
      <c r="E721" s="65"/>
      <c r="F721" s="65"/>
      <c r="I721" s="65"/>
      <c r="J721" s="65"/>
      <c r="K721" s="65"/>
      <c r="L721" s="65"/>
      <c r="M721" s="65"/>
      <c r="N721" s="65"/>
      <c r="O721" s="65"/>
      <c r="P721" s="65"/>
      <c r="Q721" s="65"/>
      <c r="R721" s="65"/>
      <c r="S721" s="65"/>
      <c r="T721" s="65"/>
      <c r="U721" s="65"/>
      <c r="V721" s="65"/>
      <c r="W721" s="65"/>
      <c r="X721" s="65"/>
      <c r="Y721" s="65"/>
      <c r="Z721" s="65"/>
    </row>
    <row r="722" ht="15.75" customHeight="1">
      <c r="A722" s="65"/>
      <c r="B722" s="65"/>
      <c r="C722" s="65"/>
      <c r="D722" s="65"/>
      <c r="E722" s="65"/>
      <c r="F722" s="65"/>
      <c r="I722" s="65"/>
      <c r="J722" s="65"/>
      <c r="K722" s="65"/>
      <c r="L722" s="65"/>
      <c r="M722" s="65"/>
      <c r="N722" s="65"/>
      <c r="O722" s="65"/>
      <c r="P722" s="65"/>
      <c r="Q722" s="65"/>
      <c r="R722" s="65"/>
      <c r="S722" s="65"/>
      <c r="T722" s="65"/>
      <c r="U722" s="65"/>
      <c r="V722" s="65"/>
      <c r="W722" s="65"/>
      <c r="X722" s="65"/>
      <c r="Y722" s="65"/>
      <c r="Z722" s="65"/>
    </row>
    <row r="723" ht="15.75" customHeight="1">
      <c r="A723" s="65"/>
      <c r="B723" s="65"/>
      <c r="C723" s="65"/>
      <c r="D723" s="65"/>
      <c r="E723" s="65"/>
      <c r="F723" s="65"/>
      <c r="I723" s="65"/>
      <c r="J723" s="65"/>
      <c r="K723" s="65"/>
      <c r="L723" s="65"/>
      <c r="M723" s="65"/>
      <c r="N723" s="65"/>
      <c r="O723" s="65"/>
      <c r="P723" s="65"/>
      <c r="Q723" s="65"/>
      <c r="R723" s="65"/>
      <c r="S723" s="65"/>
      <c r="T723" s="65"/>
      <c r="U723" s="65"/>
      <c r="V723" s="65"/>
      <c r="W723" s="65"/>
      <c r="X723" s="65"/>
      <c r="Y723" s="65"/>
      <c r="Z723" s="65"/>
    </row>
    <row r="724" ht="15.75" customHeight="1">
      <c r="A724" s="65"/>
      <c r="B724" s="65"/>
      <c r="C724" s="65"/>
      <c r="D724" s="65"/>
      <c r="E724" s="65"/>
      <c r="F724" s="65"/>
      <c r="I724" s="65"/>
      <c r="J724" s="65"/>
      <c r="K724" s="65"/>
      <c r="L724" s="65"/>
      <c r="M724" s="65"/>
      <c r="N724" s="65"/>
      <c r="O724" s="65"/>
      <c r="P724" s="65"/>
      <c r="Q724" s="65"/>
      <c r="R724" s="65"/>
      <c r="S724" s="65"/>
      <c r="T724" s="65"/>
      <c r="U724" s="65"/>
      <c r="V724" s="65"/>
      <c r="W724" s="65"/>
      <c r="X724" s="65"/>
      <c r="Y724" s="65"/>
      <c r="Z724" s="65"/>
    </row>
    <row r="725" ht="15.75" customHeight="1">
      <c r="A725" s="65"/>
      <c r="B725" s="65"/>
      <c r="C725" s="65"/>
      <c r="D725" s="65"/>
      <c r="E725" s="65"/>
      <c r="F725" s="65"/>
      <c r="I725" s="65"/>
      <c r="J725" s="65"/>
      <c r="K725" s="65"/>
      <c r="L725" s="65"/>
      <c r="M725" s="65"/>
      <c r="N725" s="65"/>
      <c r="O725" s="65"/>
      <c r="P725" s="65"/>
      <c r="Q725" s="65"/>
      <c r="R725" s="65"/>
      <c r="S725" s="65"/>
      <c r="T725" s="65"/>
      <c r="U725" s="65"/>
      <c r="V725" s="65"/>
      <c r="W725" s="65"/>
      <c r="X725" s="65"/>
      <c r="Y725" s="65"/>
      <c r="Z725" s="65"/>
    </row>
    <row r="726" ht="15.75" customHeight="1">
      <c r="A726" s="65"/>
      <c r="B726" s="65"/>
      <c r="C726" s="65"/>
      <c r="D726" s="65"/>
      <c r="E726" s="65"/>
      <c r="F726" s="65"/>
      <c r="I726" s="65"/>
      <c r="J726" s="65"/>
      <c r="K726" s="65"/>
      <c r="L726" s="65"/>
      <c r="M726" s="65"/>
      <c r="N726" s="65"/>
      <c r="O726" s="65"/>
      <c r="P726" s="65"/>
      <c r="Q726" s="65"/>
      <c r="R726" s="65"/>
      <c r="S726" s="65"/>
      <c r="T726" s="65"/>
      <c r="U726" s="65"/>
      <c r="V726" s="65"/>
      <c r="W726" s="65"/>
      <c r="X726" s="65"/>
      <c r="Y726" s="65"/>
      <c r="Z726" s="65"/>
    </row>
    <row r="727" ht="15.75" customHeight="1">
      <c r="A727" s="65"/>
      <c r="B727" s="65"/>
      <c r="C727" s="65"/>
      <c r="D727" s="65"/>
      <c r="E727" s="65"/>
      <c r="F727" s="65"/>
      <c r="I727" s="65"/>
      <c r="J727" s="65"/>
      <c r="K727" s="65"/>
      <c r="L727" s="65"/>
      <c r="M727" s="65"/>
      <c r="N727" s="65"/>
      <c r="O727" s="65"/>
      <c r="P727" s="65"/>
      <c r="Q727" s="65"/>
      <c r="R727" s="65"/>
      <c r="S727" s="65"/>
      <c r="T727" s="65"/>
      <c r="U727" s="65"/>
      <c r="V727" s="65"/>
      <c r="W727" s="65"/>
      <c r="X727" s="65"/>
      <c r="Y727" s="65"/>
      <c r="Z727" s="65"/>
    </row>
    <row r="728" ht="15.75" customHeight="1">
      <c r="A728" s="65"/>
      <c r="B728" s="65"/>
      <c r="C728" s="65"/>
      <c r="D728" s="65"/>
      <c r="E728" s="65"/>
      <c r="F728" s="65"/>
      <c r="I728" s="65"/>
      <c r="J728" s="65"/>
      <c r="K728" s="65"/>
      <c r="L728" s="65"/>
      <c r="M728" s="65"/>
      <c r="N728" s="65"/>
      <c r="O728" s="65"/>
      <c r="P728" s="65"/>
      <c r="Q728" s="65"/>
      <c r="R728" s="65"/>
      <c r="S728" s="65"/>
      <c r="T728" s="65"/>
      <c r="U728" s="65"/>
      <c r="V728" s="65"/>
      <c r="W728" s="65"/>
      <c r="X728" s="65"/>
      <c r="Y728" s="65"/>
      <c r="Z728" s="65"/>
    </row>
    <row r="729" ht="15.75" customHeight="1">
      <c r="A729" s="65"/>
      <c r="B729" s="65"/>
      <c r="C729" s="65"/>
      <c r="D729" s="65"/>
      <c r="E729" s="65"/>
      <c r="F729" s="65"/>
      <c r="I729" s="65"/>
      <c r="J729" s="65"/>
      <c r="K729" s="65"/>
      <c r="L729" s="65"/>
      <c r="M729" s="65"/>
      <c r="N729" s="65"/>
      <c r="O729" s="65"/>
      <c r="P729" s="65"/>
      <c r="Q729" s="65"/>
      <c r="R729" s="65"/>
      <c r="S729" s="65"/>
      <c r="T729" s="65"/>
      <c r="U729" s="65"/>
      <c r="V729" s="65"/>
      <c r="W729" s="65"/>
      <c r="X729" s="65"/>
      <c r="Y729" s="65"/>
      <c r="Z729" s="65"/>
    </row>
    <row r="730" ht="15.75" customHeight="1">
      <c r="A730" s="65"/>
      <c r="B730" s="65"/>
      <c r="C730" s="65"/>
      <c r="D730" s="65"/>
      <c r="E730" s="65"/>
      <c r="F730" s="65"/>
      <c r="I730" s="65"/>
      <c r="J730" s="65"/>
      <c r="K730" s="65"/>
      <c r="L730" s="65"/>
      <c r="M730" s="65"/>
      <c r="N730" s="65"/>
      <c r="O730" s="65"/>
      <c r="P730" s="65"/>
      <c r="Q730" s="65"/>
      <c r="R730" s="65"/>
      <c r="S730" s="65"/>
      <c r="T730" s="65"/>
      <c r="U730" s="65"/>
      <c r="V730" s="65"/>
      <c r="W730" s="65"/>
      <c r="X730" s="65"/>
      <c r="Y730" s="65"/>
      <c r="Z730" s="65"/>
    </row>
    <row r="731" ht="15.75" customHeight="1">
      <c r="A731" s="65"/>
      <c r="B731" s="65"/>
      <c r="C731" s="65"/>
      <c r="D731" s="65"/>
      <c r="E731" s="65"/>
      <c r="F731" s="65"/>
      <c r="I731" s="65"/>
      <c r="J731" s="65"/>
      <c r="K731" s="65"/>
      <c r="L731" s="65"/>
      <c r="M731" s="65"/>
      <c r="N731" s="65"/>
      <c r="O731" s="65"/>
      <c r="P731" s="65"/>
      <c r="Q731" s="65"/>
      <c r="R731" s="65"/>
      <c r="S731" s="65"/>
      <c r="T731" s="65"/>
      <c r="U731" s="65"/>
      <c r="V731" s="65"/>
      <c r="W731" s="65"/>
      <c r="X731" s="65"/>
      <c r="Y731" s="65"/>
      <c r="Z731" s="65"/>
    </row>
    <row r="732" ht="15.75" customHeight="1">
      <c r="A732" s="65"/>
      <c r="B732" s="65"/>
      <c r="C732" s="65"/>
      <c r="D732" s="65"/>
      <c r="E732" s="65"/>
      <c r="F732" s="65"/>
      <c r="I732" s="65"/>
      <c r="J732" s="65"/>
      <c r="K732" s="65"/>
      <c r="L732" s="65"/>
      <c r="M732" s="65"/>
      <c r="N732" s="65"/>
      <c r="O732" s="65"/>
      <c r="P732" s="65"/>
      <c r="Q732" s="65"/>
      <c r="R732" s="65"/>
      <c r="S732" s="65"/>
      <c r="T732" s="65"/>
      <c r="U732" s="65"/>
      <c r="V732" s="65"/>
      <c r="W732" s="65"/>
      <c r="X732" s="65"/>
      <c r="Y732" s="65"/>
      <c r="Z732" s="65"/>
    </row>
    <row r="733" ht="15.75" customHeight="1">
      <c r="A733" s="65"/>
      <c r="B733" s="65"/>
      <c r="C733" s="65"/>
      <c r="D733" s="65"/>
      <c r="E733" s="65"/>
      <c r="F733" s="65"/>
      <c r="I733" s="65"/>
      <c r="J733" s="65"/>
      <c r="K733" s="65"/>
      <c r="L733" s="65"/>
      <c r="M733" s="65"/>
      <c r="N733" s="65"/>
      <c r="O733" s="65"/>
      <c r="P733" s="65"/>
      <c r="Q733" s="65"/>
      <c r="R733" s="65"/>
      <c r="S733" s="65"/>
      <c r="T733" s="65"/>
      <c r="U733" s="65"/>
      <c r="V733" s="65"/>
      <c r="W733" s="65"/>
      <c r="X733" s="65"/>
      <c r="Y733" s="65"/>
      <c r="Z733" s="65"/>
    </row>
    <row r="734" ht="15.75" customHeight="1">
      <c r="A734" s="65"/>
      <c r="B734" s="65"/>
      <c r="C734" s="65"/>
      <c r="D734" s="65"/>
      <c r="E734" s="65"/>
      <c r="F734" s="65"/>
      <c r="I734" s="65"/>
      <c r="J734" s="65"/>
      <c r="K734" s="65"/>
      <c r="L734" s="65"/>
      <c r="M734" s="65"/>
      <c r="N734" s="65"/>
      <c r="O734" s="65"/>
      <c r="P734" s="65"/>
      <c r="Q734" s="65"/>
      <c r="R734" s="65"/>
      <c r="S734" s="65"/>
      <c r="T734" s="65"/>
      <c r="U734" s="65"/>
      <c r="V734" s="65"/>
      <c r="W734" s="65"/>
      <c r="X734" s="65"/>
      <c r="Y734" s="65"/>
      <c r="Z734" s="65"/>
    </row>
    <row r="735" ht="15.75" customHeight="1">
      <c r="A735" s="65"/>
      <c r="B735" s="65"/>
      <c r="C735" s="65"/>
      <c r="D735" s="65"/>
      <c r="E735" s="65"/>
      <c r="F735" s="65"/>
      <c r="I735" s="65"/>
      <c r="J735" s="65"/>
      <c r="K735" s="65"/>
      <c r="L735" s="65"/>
      <c r="M735" s="65"/>
      <c r="N735" s="65"/>
      <c r="O735" s="65"/>
      <c r="P735" s="65"/>
      <c r="Q735" s="65"/>
      <c r="R735" s="65"/>
      <c r="S735" s="65"/>
      <c r="T735" s="65"/>
      <c r="U735" s="65"/>
      <c r="V735" s="65"/>
      <c r="W735" s="65"/>
      <c r="X735" s="65"/>
      <c r="Y735" s="65"/>
      <c r="Z735" s="65"/>
    </row>
    <row r="736" ht="15.75" customHeight="1">
      <c r="A736" s="65"/>
      <c r="B736" s="65"/>
      <c r="C736" s="65"/>
      <c r="D736" s="65"/>
      <c r="E736" s="65"/>
      <c r="F736" s="65"/>
      <c r="I736" s="65"/>
      <c r="J736" s="65"/>
      <c r="K736" s="65"/>
      <c r="L736" s="65"/>
      <c r="M736" s="65"/>
      <c r="N736" s="65"/>
      <c r="O736" s="65"/>
      <c r="P736" s="65"/>
      <c r="Q736" s="65"/>
      <c r="R736" s="65"/>
      <c r="S736" s="65"/>
      <c r="T736" s="65"/>
      <c r="U736" s="65"/>
      <c r="V736" s="65"/>
      <c r="W736" s="65"/>
      <c r="X736" s="65"/>
      <c r="Y736" s="65"/>
      <c r="Z736" s="65"/>
    </row>
    <row r="737" ht="15.75" customHeight="1">
      <c r="A737" s="65"/>
      <c r="B737" s="65"/>
      <c r="C737" s="65"/>
      <c r="D737" s="65"/>
      <c r="E737" s="65"/>
      <c r="F737" s="65"/>
      <c r="I737" s="65"/>
      <c r="J737" s="65"/>
      <c r="K737" s="65"/>
      <c r="L737" s="65"/>
      <c r="M737" s="65"/>
      <c r="N737" s="65"/>
      <c r="O737" s="65"/>
      <c r="P737" s="65"/>
      <c r="Q737" s="65"/>
      <c r="R737" s="65"/>
      <c r="S737" s="65"/>
      <c r="T737" s="65"/>
      <c r="U737" s="65"/>
      <c r="V737" s="65"/>
      <c r="W737" s="65"/>
      <c r="X737" s="65"/>
      <c r="Y737" s="65"/>
      <c r="Z737" s="65"/>
    </row>
    <row r="738" ht="15.75" customHeight="1">
      <c r="A738" s="65"/>
      <c r="B738" s="65"/>
      <c r="C738" s="65"/>
      <c r="D738" s="65"/>
      <c r="E738" s="65"/>
      <c r="F738" s="65"/>
      <c r="I738" s="65"/>
      <c r="J738" s="65"/>
      <c r="K738" s="65"/>
      <c r="L738" s="65"/>
      <c r="M738" s="65"/>
      <c r="N738" s="65"/>
      <c r="O738" s="65"/>
      <c r="P738" s="65"/>
      <c r="Q738" s="65"/>
      <c r="R738" s="65"/>
      <c r="S738" s="65"/>
      <c r="T738" s="65"/>
      <c r="U738" s="65"/>
      <c r="V738" s="65"/>
      <c r="W738" s="65"/>
      <c r="X738" s="65"/>
      <c r="Y738" s="65"/>
      <c r="Z738" s="65"/>
    </row>
    <row r="739" ht="15.75" customHeight="1">
      <c r="A739" s="65"/>
      <c r="B739" s="65"/>
      <c r="C739" s="65"/>
      <c r="D739" s="65"/>
      <c r="E739" s="65"/>
      <c r="F739" s="65"/>
      <c r="I739" s="65"/>
      <c r="J739" s="65"/>
      <c r="K739" s="65"/>
      <c r="L739" s="65"/>
      <c r="M739" s="65"/>
      <c r="N739" s="65"/>
      <c r="O739" s="65"/>
      <c r="P739" s="65"/>
      <c r="Q739" s="65"/>
      <c r="R739" s="65"/>
      <c r="S739" s="65"/>
      <c r="T739" s="65"/>
      <c r="U739" s="65"/>
      <c r="V739" s="65"/>
      <c r="W739" s="65"/>
      <c r="X739" s="65"/>
      <c r="Y739" s="65"/>
      <c r="Z739" s="65"/>
    </row>
    <row r="740" ht="15.75" customHeight="1">
      <c r="A740" s="65"/>
      <c r="B740" s="65"/>
      <c r="C740" s="65"/>
      <c r="D740" s="65"/>
      <c r="E740" s="65"/>
      <c r="F740" s="65"/>
      <c r="I740" s="65"/>
      <c r="J740" s="65"/>
      <c r="K740" s="65"/>
      <c r="L740" s="65"/>
      <c r="M740" s="65"/>
      <c r="N740" s="65"/>
      <c r="O740" s="65"/>
      <c r="P740" s="65"/>
      <c r="Q740" s="65"/>
      <c r="R740" s="65"/>
      <c r="S740" s="65"/>
      <c r="T740" s="65"/>
      <c r="U740" s="65"/>
      <c r="V740" s="65"/>
      <c r="W740" s="65"/>
      <c r="X740" s="65"/>
      <c r="Y740" s="65"/>
      <c r="Z740" s="65"/>
    </row>
    <row r="741" ht="15.75" customHeight="1">
      <c r="A741" s="65"/>
      <c r="B741" s="65"/>
      <c r="C741" s="65"/>
      <c r="D741" s="65"/>
      <c r="E741" s="65"/>
      <c r="F741" s="65"/>
      <c r="I741" s="65"/>
      <c r="J741" s="65"/>
      <c r="K741" s="65"/>
      <c r="L741" s="65"/>
      <c r="M741" s="65"/>
      <c r="N741" s="65"/>
      <c r="O741" s="65"/>
      <c r="P741" s="65"/>
      <c r="Q741" s="65"/>
      <c r="R741" s="65"/>
      <c r="S741" s="65"/>
      <c r="T741" s="65"/>
      <c r="U741" s="65"/>
      <c r="V741" s="65"/>
      <c r="W741" s="65"/>
      <c r="X741" s="65"/>
      <c r="Y741" s="65"/>
      <c r="Z741" s="65"/>
    </row>
    <row r="742" ht="15.75" customHeight="1">
      <c r="A742" s="65"/>
      <c r="B742" s="65"/>
      <c r="C742" s="65"/>
      <c r="D742" s="65"/>
      <c r="E742" s="65"/>
      <c r="F742" s="65"/>
      <c r="I742" s="65"/>
      <c r="J742" s="65"/>
      <c r="K742" s="65"/>
      <c r="L742" s="65"/>
      <c r="M742" s="65"/>
      <c r="N742" s="65"/>
      <c r="O742" s="65"/>
      <c r="P742" s="65"/>
      <c r="Q742" s="65"/>
      <c r="R742" s="65"/>
      <c r="S742" s="65"/>
      <c r="T742" s="65"/>
      <c r="U742" s="65"/>
      <c r="V742" s="65"/>
      <c r="W742" s="65"/>
      <c r="X742" s="65"/>
      <c r="Y742" s="65"/>
      <c r="Z742" s="65"/>
    </row>
    <row r="743" ht="15.75" customHeight="1">
      <c r="A743" s="65"/>
      <c r="B743" s="65"/>
      <c r="C743" s="65"/>
      <c r="D743" s="65"/>
      <c r="E743" s="65"/>
      <c r="F743" s="65"/>
      <c r="I743" s="65"/>
      <c r="J743" s="65"/>
      <c r="K743" s="65"/>
      <c r="L743" s="65"/>
      <c r="M743" s="65"/>
      <c r="N743" s="65"/>
      <c r="O743" s="65"/>
      <c r="P743" s="65"/>
      <c r="Q743" s="65"/>
      <c r="R743" s="65"/>
      <c r="S743" s="65"/>
      <c r="T743" s="65"/>
      <c r="U743" s="65"/>
      <c r="V743" s="65"/>
      <c r="W743" s="65"/>
      <c r="X743" s="65"/>
      <c r="Y743" s="65"/>
      <c r="Z743" s="65"/>
    </row>
    <row r="744" ht="15.75" customHeight="1">
      <c r="A744" s="65"/>
      <c r="B744" s="65"/>
      <c r="C744" s="65"/>
      <c r="D744" s="65"/>
      <c r="E744" s="65"/>
      <c r="F744" s="65"/>
      <c r="I744" s="65"/>
      <c r="J744" s="65"/>
      <c r="K744" s="65"/>
      <c r="L744" s="65"/>
      <c r="M744" s="65"/>
      <c r="N744" s="65"/>
      <c r="O744" s="65"/>
      <c r="P744" s="65"/>
      <c r="Q744" s="65"/>
      <c r="R744" s="65"/>
      <c r="S744" s="65"/>
      <c r="T744" s="65"/>
      <c r="U744" s="65"/>
      <c r="V744" s="65"/>
      <c r="W744" s="65"/>
      <c r="X744" s="65"/>
      <c r="Y744" s="65"/>
      <c r="Z744" s="65"/>
    </row>
    <row r="745" ht="15.75" customHeight="1">
      <c r="A745" s="65"/>
      <c r="B745" s="65"/>
      <c r="C745" s="65"/>
      <c r="D745" s="65"/>
      <c r="E745" s="65"/>
      <c r="F745" s="65"/>
      <c r="I745" s="65"/>
      <c r="J745" s="65"/>
      <c r="K745" s="65"/>
      <c r="L745" s="65"/>
      <c r="M745" s="65"/>
      <c r="N745" s="65"/>
      <c r="O745" s="65"/>
      <c r="P745" s="65"/>
      <c r="Q745" s="65"/>
      <c r="R745" s="65"/>
      <c r="S745" s="65"/>
      <c r="T745" s="65"/>
      <c r="U745" s="65"/>
      <c r="V745" s="65"/>
      <c r="W745" s="65"/>
      <c r="X745" s="65"/>
      <c r="Y745" s="65"/>
      <c r="Z745" s="65"/>
    </row>
    <row r="746" ht="15.75" customHeight="1">
      <c r="A746" s="65"/>
      <c r="B746" s="65"/>
      <c r="C746" s="65"/>
      <c r="D746" s="65"/>
      <c r="E746" s="65"/>
      <c r="F746" s="65"/>
      <c r="I746" s="65"/>
      <c r="J746" s="65"/>
      <c r="K746" s="65"/>
      <c r="L746" s="65"/>
      <c r="M746" s="65"/>
      <c r="N746" s="65"/>
      <c r="O746" s="65"/>
      <c r="P746" s="65"/>
      <c r="Q746" s="65"/>
      <c r="R746" s="65"/>
      <c r="S746" s="65"/>
      <c r="T746" s="65"/>
      <c r="U746" s="65"/>
      <c r="V746" s="65"/>
      <c r="W746" s="65"/>
      <c r="X746" s="65"/>
      <c r="Y746" s="65"/>
      <c r="Z746" s="65"/>
    </row>
    <row r="747" ht="15.75" customHeight="1">
      <c r="A747" s="65"/>
      <c r="B747" s="65"/>
      <c r="C747" s="65"/>
      <c r="D747" s="65"/>
      <c r="E747" s="65"/>
      <c r="F747" s="65"/>
      <c r="I747" s="65"/>
      <c r="J747" s="65"/>
      <c r="K747" s="65"/>
      <c r="L747" s="65"/>
      <c r="M747" s="65"/>
      <c r="N747" s="65"/>
      <c r="O747" s="65"/>
      <c r="P747" s="65"/>
      <c r="Q747" s="65"/>
      <c r="R747" s="65"/>
      <c r="S747" s="65"/>
      <c r="T747" s="65"/>
      <c r="U747" s="65"/>
      <c r="V747" s="65"/>
      <c r="W747" s="65"/>
      <c r="X747" s="65"/>
      <c r="Y747" s="65"/>
      <c r="Z747" s="65"/>
    </row>
    <row r="748" ht="15.75" customHeight="1">
      <c r="A748" s="65"/>
      <c r="B748" s="65"/>
      <c r="C748" s="65"/>
      <c r="D748" s="65"/>
      <c r="E748" s="65"/>
      <c r="F748" s="65"/>
      <c r="I748" s="65"/>
      <c r="J748" s="65"/>
      <c r="K748" s="65"/>
      <c r="L748" s="65"/>
      <c r="M748" s="65"/>
      <c r="N748" s="65"/>
      <c r="O748" s="65"/>
      <c r="P748" s="65"/>
      <c r="Q748" s="65"/>
      <c r="R748" s="65"/>
      <c r="S748" s="65"/>
      <c r="T748" s="65"/>
      <c r="U748" s="65"/>
      <c r="V748" s="65"/>
      <c r="W748" s="65"/>
      <c r="X748" s="65"/>
      <c r="Y748" s="65"/>
      <c r="Z748" s="65"/>
    </row>
    <row r="749" ht="15.75" customHeight="1">
      <c r="A749" s="65"/>
      <c r="B749" s="65"/>
      <c r="C749" s="65"/>
      <c r="D749" s="65"/>
      <c r="E749" s="65"/>
      <c r="F749" s="65"/>
      <c r="I749" s="65"/>
      <c r="J749" s="65"/>
      <c r="K749" s="65"/>
      <c r="L749" s="65"/>
      <c r="M749" s="65"/>
      <c r="N749" s="65"/>
      <c r="O749" s="65"/>
      <c r="P749" s="65"/>
      <c r="Q749" s="65"/>
      <c r="R749" s="65"/>
      <c r="S749" s="65"/>
      <c r="T749" s="65"/>
      <c r="U749" s="65"/>
      <c r="V749" s="65"/>
      <c r="W749" s="65"/>
      <c r="X749" s="65"/>
      <c r="Y749" s="65"/>
      <c r="Z749" s="65"/>
    </row>
    <row r="750" ht="15.75" customHeight="1">
      <c r="A750" s="65"/>
      <c r="B750" s="65"/>
      <c r="C750" s="65"/>
      <c r="D750" s="65"/>
      <c r="E750" s="65"/>
      <c r="F750" s="65"/>
      <c r="I750" s="65"/>
      <c r="J750" s="65"/>
      <c r="K750" s="65"/>
      <c r="L750" s="65"/>
      <c r="M750" s="65"/>
      <c r="N750" s="65"/>
      <c r="O750" s="65"/>
      <c r="P750" s="65"/>
      <c r="Q750" s="65"/>
      <c r="R750" s="65"/>
      <c r="S750" s="65"/>
      <c r="T750" s="65"/>
      <c r="U750" s="65"/>
      <c r="V750" s="65"/>
      <c r="W750" s="65"/>
      <c r="X750" s="65"/>
      <c r="Y750" s="65"/>
      <c r="Z750" s="65"/>
    </row>
    <row r="751" ht="15.75" customHeight="1">
      <c r="A751" s="65"/>
      <c r="B751" s="65"/>
      <c r="C751" s="65"/>
      <c r="D751" s="65"/>
      <c r="E751" s="65"/>
      <c r="F751" s="65"/>
      <c r="I751" s="65"/>
      <c r="J751" s="65"/>
      <c r="K751" s="65"/>
      <c r="L751" s="65"/>
      <c r="M751" s="65"/>
      <c r="N751" s="65"/>
      <c r="O751" s="65"/>
      <c r="P751" s="65"/>
      <c r="Q751" s="65"/>
      <c r="R751" s="65"/>
      <c r="S751" s="65"/>
      <c r="T751" s="65"/>
      <c r="U751" s="65"/>
      <c r="V751" s="65"/>
      <c r="W751" s="65"/>
      <c r="X751" s="65"/>
      <c r="Y751" s="65"/>
      <c r="Z751" s="65"/>
    </row>
    <row r="752" ht="15.75" customHeight="1">
      <c r="A752" s="65"/>
      <c r="B752" s="65"/>
      <c r="C752" s="65"/>
      <c r="D752" s="65"/>
      <c r="E752" s="65"/>
      <c r="F752" s="65"/>
      <c r="I752" s="65"/>
      <c r="J752" s="65"/>
      <c r="K752" s="65"/>
      <c r="L752" s="65"/>
      <c r="M752" s="65"/>
      <c r="N752" s="65"/>
      <c r="O752" s="65"/>
      <c r="P752" s="65"/>
      <c r="Q752" s="65"/>
      <c r="R752" s="65"/>
      <c r="S752" s="65"/>
      <c r="T752" s="65"/>
      <c r="U752" s="65"/>
      <c r="V752" s="65"/>
      <c r="W752" s="65"/>
      <c r="X752" s="65"/>
      <c r="Y752" s="65"/>
      <c r="Z752" s="65"/>
    </row>
    <row r="753" ht="15.75" customHeight="1">
      <c r="A753" s="65"/>
      <c r="B753" s="65"/>
      <c r="C753" s="65"/>
      <c r="D753" s="65"/>
      <c r="E753" s="65"/>
      <c r="F753" s="65"/>
      <c r="I753" s="65"/>
      <c r="J753" s="65"/>
      <c r="K753" s="65"/>
      <c r="L753" s="65"/>
      <c r="M753" s="65"/>
      <c r="N753" s="65"/>
      <c r="O753" s="65"/>
      <c r="P753" s="65"/>
      <c r="Q753" s="65"/>
      <c r="R753" s="65"/>
      <c r="S753" s="65"/>
      <c r="T753" s="65"/>
      <c r="U753" s="65"/>
      <c r="V753" s="65"/>
      <c r="W753" s="65"/>
      <c r="X753" s="65"/>
      <c r="Y753" s="65"/>
      <c r="Z753" s="65"/>
    </row>
    <row r="754" ht="15.75" customHeight="1">
      <c r="A754" s="65"/>
      <c r="B754" s="65"/>
      <c r="C754" s="65"/>
      <c r="D754" s="65"/>
      <c r="E754" s="65"/>
      <c r="F754" s="65"/>
      <c r="I754" s="65"/>
      <c r="J754" s="65"/>
      <c r="K754" s="65"/>
      <c r="L754" s="65"/>
      <c r="M754" s="65"/>
      <c r="N754" s="65"/>
      <c r="O754" s="65"/>
      <c r="P754" s="65"/>
      <c r="Q754" s="65"/>
      <c r="R754" s="65"/>
      <c r="S754" s="65"/>
      <c r="T754" s="65"/>
      <c r="U754" s="65"/>
      <c r="V754" s="65"/>
      <c r="W754" s="65"/>
      <c r="X754" s="65"/>
      <c r="Y754" s="65"/>
      <c r="Z754" s="65"/>
    </row>
    <row r="755" ht="15.75" customHeight="1">
      <c r="A755" s="65"/>
      <c r="B755" s="65"/>
      <c r="C755" s="65"/>
      <c r="D755" s="65"/>
      <c r="E755" s="65"/>
      <c r="F755" s="65"/>
      <c r="I755" s="65"/>
      <c r="J755" s="65"/>
      <c r="K755" s="65"/>
      <c r="L755" s="65"/>
      <c r="M755" s="65"/>
      <c r="N755" s="65"/>
      <c r="O755" s="65"/>
      <c r="P755" s="65"/>
      <c r="Q755" s="65"/>
      <c r="R755" s="65"/>
      <c r="S755" s="65"/>
      <c r="T755" s="65"/>
      <c r="U755" s="65"/>
      <c r="V755" s="65"/>
      <c r="W755" s="65"/>
      <c r="X755" s="65"/>
      <c r="Y755" s="65"/>
      <c r="Z755" s="65"/>
    </row>
    <row r="756" ht="15.75" customHeight="1">
      <c r="A756" s="65"/>
      <c r="B756" s="65"/>
      <c r="C756" s="65"/>
      <c r="D756" s="65"/>
      <c r="E756" s="65"/>
      <c r="F756" s="65"/>
      <c r="I756" s="65"/>
      <c r="J756" s="65"/>
      <c r="K756" s="65"/>
      <c r="L756" s="65"/>
      <c r="M756" s="65"/>
      <c r="N756" s="65"/>
      <c r="O756" s="65"/>
      <c r="P756" s="65"/>
      <c r="Q756" s="65"/>
      <c r="R756" s="65"/>
      <c r="S756" s="65"/>
      <c r="T756" s="65"/>
      <c r="U756" s="65"/>
      <c r="V756" s="65"/>
      <c r="W756" s="65"/>
      <c r="X756" s="65"/>
      <c r="Y756" s="65"/>
      <c r="Z756" s="65"/>
    </row>
    <row r="757" ht="15.75" customHeight="1">
      <c r="A757" s="65"/>
      <c r="B757" s="65"/>
      <c r="C757" s="65"/>
      <c r="D757" s="65"/>
      <c r="E757" s="65"/>
      <c r="F757" s="65"/>
      <c r="I757" s="65"/>
      <c r="J757" s="65"/>
      <c r="K757" s="65"/>
      <c r="L757" s="65"/>
      <c r="M757" s="65"/>
      <c r="N757" s="65"/>
      <c r="O757" s="65"/>
      <c r="P757" s="65"/>
      <c r="Q757" s="65"/>
      <c r="R757" s="65"/>
      <c r="S757" s="65"/>
      <c r="T757" s="65"/>
      <c r="U757" s="65"/>
      <c r="V757" s="65"/>
      <c r="W757" s="65"/>
      <c r="X757" s="65"/>
      <c r="Y757" s="65"/>
      <c r="Z757" s="65"/>
    </row>
    <row r="758" ht="15.75" customHeight="1">
      <c r="A758" s="65"/>
      <c r="B758" s="65"/>
      <c r="C758" s="65"/>
      <c r="D758" s="65"/>
      <c r="E758" s="65"/>
      <c r="F758" s="65"/>
      <c r="I758" s="65"/>
      <c r="J758" s="65"/>
      <c r="K758" s="65"/>
      <c r="L758" s="65"/>
      <c r="M758" s="65"/>
      <c r="N758" s="65"/>
      <c r="O758" s="65"/>
      <c r="P758" s="65"/>
      <c r="Q758" s="65"/>
      <c r="R758" s="65"/>
      <c r="S758" s="65"/>
      <c r="T758" s="65"/>
      <c r="U758" s="65"/>
      <c r="V758" s="65"/>
      <c r="W758" s="65"/>
      <c r="X758" s="65"/>
      <c r="Y758" s="65"/>
      <c r="Z758" s="65"/>
    </row>
    <row r="759" ht="15.75" customHeight="1">
      <c r="A759" s="65"/>
      <c r="B759" s="65"/>
      <c r="C759" s="65"/>
      <c r="D759" s="65"/>
      <c r="E759" s="65"/>
      <c r="F759" s="65"/>
      <c r="I759" s="65"/>
      <c r="J759" s="65"/>
      <c r="K759" s="65"/>
      <c r="L759" s="65"/>
      <c r="M759" s="65"/>
      <c r="N759" s="65"/>
      <c r="O759" s="65"/>
      <c r="P759" s="65"/>
      <c r="Q759" s="65"/>
      <c r="R759" s="65"/>
      <c r="S759" s="65"/>
      <c r="T759" s="65"/>
      <c r="U759" s="65"/>
      <c r="V759" s="65"/>
      <c r="W759" s="65"/>
      <c r="X759" s="65"/>
      <c r="Y759" s="65"/>
      <c r="Z759" s="65"/>
    </row>
    <row r="760" ht="15.75" customHeight="1">
      <c r="A760" s="65"/>
      <c r="B760" s="65"/>
      <c r="C760" s="65"/>
      <c r="D760" s="65"/>
      <c r="E760" s="65"/>
      <c r="F760" s="65"/>
      <c r="I760" s="65"/>
      <c r="J760" s="65"/>
      <c r="K760" s="65"/>
      <c r="L760" s="65"/>
      <c r="M760" s="65"/>
      <c r="N760" s="65"/>
      <c r="O760" s="65"/>
      <c r="P760" s="65"/>
      <c r="Q760" s="65"/>
      <c r="R760" s="65"/>
      <c r="S760" s="65"/>
      <c r="T760" s="65"/>
      <c r="U760" s="65"/>
      <c r="V760" s="65"/>
      <c r="W760" s="65"/>
      <c r="X760" s="65"/>
      <c r="Y760" s="65"/>
      <c r="Z760" s="65"/>
    </row>
    <row r="761" ht="15.75" customHeight="1">
      <c r="A761" s="65"/>
      <c r="B761" s="65"/>
      <c r="C761" s="65"/>
      <c r="D761" s="65"/>
      <c r="E761" s="65"/>
      <c r="F761" s="65"/>
      <c r="I761" s="65"/>
      <c r="J761" s="65"/>
      <c r="K761" s="65"/>
      <c r="L761" s="65"/>
      <c r="M761" s="65"/>
      <c r="N761" s="65"/>
      <c r="O761" s="65"/>
      <c r="P761" s="65"/>
      <c r="Q761" s="65"/>
      <c r="R761" s="65"/>
      <c r="S761" s="65"/>
      <c r="T761" s="65"/>
      <c r="U761" s="65"/>
      <c r="V761" s="65"/>
      <c r="W761" s="65"/>
      <c r="X761" s="65"/>
      <c r="Y761" s="65"/>
      <c r="Z761" s="65"/>
    </row>
    <row r="762" ht="15.75" customHeight="1">
      <c r="A762" s="65"/>
      <c r="B762" s="65"/>
      <c r="C762" s="65"/>
      <c r="D762" s="65"/>
      <c r="E762" s="65"/>
      <c r="F762" s="65"/>
      <c r="I762" s="65"/>
      <c r="J762" s="65"/>
      <c r="K762" s="65"/>
      <c r="L762" s="65"/>
      <c r="M762" s="65"/>
      <c r="N762" s="65"/>
      <c r="O762" s="65"/>
      <c r="P762" s="65"/>
      <c r="Q762" s="65"/>
      <c r="R762" s="65"/>
      <c r="S762" s="65"/>
      <c r="T762" s="65"/>
      <c r="U762" s="65"/>
      <c r="V762" s="65"/>
      <c r="W762" s="65"/>
      <c r="X762" s="65"/>
      <c r="Y762" s="65"/>
      <c r="Z762" s="65"/>
    </row>
    <row r="763" ht="15.75" customHeight="1">
      <c r="A763" s="65"/>
      <c r="B763" s="65"/>
      <c r="C763" s="65"/>
      <c r="D763" s="65"/>
      <c r="E763" s="65"/>
      <c r="F763" s="65"/>
      <c r="I763" s="65"/>
      <c r="J763" s="65"/>
      <c r="K763" s="65"/>
      <c r="L763" s="65"/>
      <c r="M763" s="65"/>
      <c r="N763" s="65"/>
      <c r="O763" s="65"/>
      <c r="P763" s="65"/>
      <c r="Q763" s="65"/>
      <c r="R763" s="65"/>
      <c r="S763" s="65"/>
      <c r="T763" s="65"/>
      <c r="U763" s="65"/>
      <c r="V763" s="65"/>
      <c r="W763" s="65"/>
      <c r="X763" s="65"/>
      <c r="Y763" s="65"/>
      <c r="Z763" s="65"/>
    </row>
    <row r="764" ht="15.75" customHeight="1">
      <c r="A764" s="65"/>
      <c r="B764" s="65"/>
      <c r="C764" s="65"/>
      <c r="D764" s="65"/>
      <c r="E764" s="65"/>
      <c r="F764" s="65"/>
      <c r="I764" s="65"/>
      <c r="J764" s="65"/>
      <c r="K764" s="65"/>
      <c r="L764" s="65"/>
      <c r="M764" s="65"/>
      <c r="N764" s="65"/>
      <c r="O764" s="65"/>
      <c r="P764" s="65"/>
      <c r="Q764" s="65"/>
      <c r="R764" s="65"/>
      <c r="S764" s="65"/>
      <c r="T764" s="65"/>
      <c r="U764" s="65"/>
      <c r="V764" s="65"/>
      <c r="W764" s="65"/>
      <c r="X764" s="65"/>
      <c r="Y764" s="65"/>
      <c r="Z764" s="65"/>
    </row>
    <row r="765" ht="15.75" customHeight="1">
      <c r="A765" s="65"/>
      <c r="B765" s="65"/>
      <c r="C765" s="65"/>
      <c r="D765" s="65"/>
      <c r="E765" s="65"/>
      <c r="F765" s="65"/>
      <c r="I765" s="65"/>
      <c r="J765" s="65"/>
      <c r="K765" s="65"/>
      <c r="L765" s="65"/>
      <c r="M765" s="65"/>
      <c r="N765" s="65"/>
      <c r="O765" s="65"/>
      <c r="P765" s="65"/>
      <c r="Q765" s="65"/>
      <c r="R765" s="65"/>
      <c r="S765" s="65"/>
      <c r="T765" s="65"/>
      <c r="U765" s="65"/>
      <c r="V765" s="65"/>
      <c r="W765" s="65"/>
      <c r="X765" s="65"/>
      <c r="Y765" s="65"/>
      <c r="Z765" s="65"/>
    </row>
    <row r="766" ht="15.75" customHeight="1">
      <c r="A766" s="65"/>
      <c r="B766" s="65"/>
      <c r="C766" s="65"/>
      <c r="D766" s="65"/>
      <c r="E766" s="65"/>
      <c r="F766" s="65"/>
      <c r="I766" s="65"/>
      <c r="J766" s="65"/>
      <c r="K766" s="65"/>
      <c r="L766" s="65"/>
      <c r="M766" s="65"/>
      <c r="N766" s="65"/>
      <c r="O766" s="65"/>
      <c r="P766" s="65"/>
      <c r="Q766" s="65"/>
      <c r="R766" s="65"/>
      <c r="S766" s="65"/>
      <c r="T766" s="65"/>
      <c r="U766" s="65"/>
      <c r="V766" s="65"/>
      <c r="W766" s="65"/>
      <c r="X766" s="65"/>
      <c r="Y766" s="65"/>
      <c r="Z766" s="65"/>
    </row>
    <row r="767" ht="15.75" customHeight="1">
      <c r="A767" s="65"/>
      <c r="B767" s="65"/>
      <c r="C767" s="65"/>
      <c r="D767" s="65"/>
      <c r="E767" s="65"/>
      <c r="F767" s="65"/>
      <c r="I767" s="65"/>
      <c r="J767" s="65"/>
      <c r="K767" s="65"/>
      <c r="L767" s="65"/>
      <c r="M767" s="65"/>
      <c r="N767" s="65"/>
      <c r="O767" s="65"/>
      <c r="P767" s="65"/>
      <c r="Q767" s="65"/>
      <c r="R767" s="65"/>
      <c r="S767" s="65"/>
      <c r="T767" s="65"/>
      <c r="U767" s="65"/>
      <c r="V767" s="65"/>
      <c r="W767" s="65"/>
      <c r="X767" s="65"/>
      <c r="Y767" s="65"/>
      <c r="Z767" s="65"/>
    </row>
    <row r="768" ht="15.75" customHeight="1">
      <c r="A768" s="65"/>
      <c r="B768" s="65"/>
      <c r="C768" s="65"/>
      <c r="D768" s="65"/>
      <c r="E768" s="65"/>
      <c r="F768" s="65"/>
      <c r="I768" s="65"/>
      <c r="J768" s="65"/>
      <c r="K768" s="65"/>
      <c r="L768" s="65"/>
      <c r="M768" s="65"/>
      <c r="N768" s="65"/>
      <c r="O768" s="65"/>
      <c r="P768" s="65"/>
      <c r="Q768" s="65"/>
      <c r="R768" s="65"/>
      <c r="S768" s="65"/>
      <c r="T768" s="65"/>
      <c r="U768" s="65"/>
      <c r="V768" s="65"/>
      <c r="W768" s="65"/>
      <c r="X768" s="65"/>
      <c r="Y768" s="65"/>
      <c r="Z768" s="65"/>
    </row>
    <row r="769" ht="15.75" customHeight="1">
      <c r="A769" s="65"/>
      <c r="B769" s="65"/>
      <c r="C769" s="65"/>
      <c r="D769" s="65"/>
      <c r="E769" s="65"/>
      <c r="F769" s="65"/>
      <c r="I769" s="65"/>
      <c r="J769" s="65"/>
      <c r="K769" s="65"/>
      <c r="L769" s="65"/>
      <c r="M769" s="65"/>
      <c r="N769" s="65"/>
      <c r="O769" s="65"/>
      <c r="P769" s="65"/>
      <c r="Q769" s="65"/>
      <c r="R769" s="65"/>
      <c r="S769" s="65"/>
      <c r="T769" s="65"/>
      <c r="U769" s="65"/>
      <c r="V769" s="65"/>
      <c r="W769" s="65"/>
      <c r="X769" s="65"/>
      <c r="Y769" s="65"/>
      <c r="Z769" s="65"/>
    </row>
    <row r="770" ht="15.75" customHeight="1">
      <c r="A770" s="65"/>
      <c r="B770" s="65"/>
      <c r="C770" s="65"/>
      <c r="D770" s="65"/>
      <c r="E770" s="65"/>
      <c r="F770" s="65"/>
      <c r="I770" s="65"/>
      <c r="J770" s="65"/>
      <c r="K770" s="65"/>
      <c r="L770" s="65"/>
      <c r="M770" s="65"/>
      <c r="N770" s="65"/>
      <c r="O770" s="65"/>
      <c r="P770" s="65"/>
      <c r="Q770" s="65"/>
      <c r="R770" s="65"/>
      <c r="S770" s="65"/>
      <c r="T770" s="65"/>
      <c r="U770" s="65"/>
      <c r="V770" s="65"/>
      <c r="W770" s="65"/>
      <c r="X770" s="65"/>
      <c r="Y770" s="65"/>
      <c r="Z770" s="65"/>
    </row>
    <row r="771" ht="15.75" customHeight="1">
      <c r="A771" s="65"/>
      <c r="B771" s="65"/>
      <c r="C771" s="65"/>
      <c r="D771" s="65"/>
      <c r="E771" s="65"/>
      <c r="F771" s="65"/>
      <c r="I771" s="65"/>
      <c r="J771" s="65"/>
      <c r="K771" s="65"/>
      <c r="L771" s="65"/>
      <c r="M771" s="65"/>
      <c r="N771" s="65"/>
      <c r="O771" s="65"/>
      <c r="P771" s="65"/>
      <c r="Q771" s="65"/>
      <c r="R771" s="65"/>
      <c r="S771" s="65"/>
      <c r="T771" s="65"/>
      <c r="U771" s="65"/>
      <c r="V771" s="65"/>
      <c r="W771" s="65"/>
      <c r="X771" s="65"/>
      <c r="Y771" s="65"/>
      <c r="Z771" s="65"/>
    </row>
    <row r="772" ht="15.75" customHeight="1">
      <c r="A772" s="65"/>
      <c r="B772" s="65"/>
      <c r="C772" s="65"/>
      <c r="D772" s="65"/>
      <c r="E772" s="65"/>
      <c r="F772" s="65"/>
      <c r="I772" s="65"/>
      <c r="J772" s="65"/>
      <c r="K772" s="65"/>
      <c r="L772" s="65"/>
      <c r="M772" s="65"/>
      <c r="N772" s="65"/>
      <c r="O772" s="65"/>
      <c r="P772" s="65"/>
      <c r="Q772" s="65"/>
      <c r="R772" s="65"/>
      <c r="S772" s="65"/>
      <c r="T772" s="65"/>
      <c r="U772" s="65"/>
      <c r="V772" s="65"/>
      <c r="W772" s="65"/>
      <c r="X772" s="65"/>
      <c r="Y772" s="65"/>
      <c r="Z772" s="65"/>
    </row>
    <row r="773" ht="15.75" customHeight="1">
      <c r="A773" s="65"/>
      <c r="B773" s="65"/>
      <c r="C773" s="65"/>
      <c r="D773" s="65"/>
      <c r="E773" s="65"/>
      <c r="F773" s="65"/>
      <c r="I773" s="65"/>
      <c r="J773" s="65"/>
      <c r="K773" s="65"/>
      <c r="L773" s="65"/>
      <c r="M773" s="65"/>
      <c r="N773" s="65"/>
      <c r="O773" s="65"/>
      <c r="P773" s="65"/>
      <c r="Q773" s="65"/>
      <c r="R773" s="65"/>
      <c r="S773" s="65"/>
      <c r="T773" s="65"/>
      <c r="U773" s="65"/>
      <c r="V773" s="65"/>
      <c r="W773" s="65"/>
      <c r="X773" s="65"/>
      <c r="Y773" s="65"/>
      <c r="Z773" s="65"/>
    </row>
    <row r="774" ht="15.75" customHeight="1">
      <c r="A774" s="65"/>
      <c r="B774" s="65"/>
      <c r="C774" s="65"/>
      <c r="D774" s="65"/>
      <c r="E774" s="65"/>
      <c r="F774" s="65"/>
      <c r="I774" s="65"/>
      <c r="J774" s="65"/>
      <c r="K774" s="65"/>
      <c r="L774" s="65"/>
      <c r="M774" s="65"/>
      <c r="N774" s="65"/>
      <c r="O774" s="65"/>
      <c r="P774" s="65"/>
      <c r="Q774" s="65"/>
      <c r="R774" s="65"/>
      <c r="S774" s="65"/>
      <c r="T774" s="65"/>
      <c r="U774" s="65"/>
      <c r="V774" s="65"/>
      <c r="W774" s="65"/>
      <c r="X774" s="65"/>
      <c r="Y774" s="65"/>
      <c r="Z774" s="65"/>
    </row>
    <row r="775" ht="15.75" customHeight="1">
      <c r="A775" s="65"/>
      <c r="B775" s="65"/>
      <c r="C775" s="65"/>
      <c r="D775" s="65"/>
      <c r="E775" s="65"/>
      <c r="F775" s="65"/>
      <c r="I775" s="65"/>
      <c r="J775" s="65"/>
      <c r="K775" s="65"/>
      <c r="L775" s="65"/>
      <c r="M775" s="65"/>
      <c r="N775" s="65"/>
      <c r="O775" s="65"/>
      <c r="P775" s="65"/>
      <c r="Q775" s="65"/>
      <c r="R775" s="65"/>
      <c r="S775" s="65"/>
      <c r="T775" s="65"/>
      <c r="U775" s="65"/>
      <c r="V775" s="65"/>
      <c r="W775" s="65"/>
      <c r="X775" s="65"/>
      <c r="Y775" s="65"/>
      <c r="Z775" s="65"/>
    </row>
    <row r="776" ht="15.75" customHeight="1">
      <c r="A776" s="65"/>
      <c r="B776" s="65"/>
      <c r="C776" s="65"/>
      <c r="D776" s="65"/>
      <c r="E776" s="65"/>
      <c r="F776" s="65"/>
      <c r="I776" s="65"/>
      <c r="J776" s="65"/>
      <c r="K776" s="65"/>
      <c r="L776" s="65"/>
      <c r="M776" s="65"/>
      <c r="N776" s="65"/>
      <c r="O776" s="65"/>
      <c r="P776" s="65"/>
      <c r="Q776" s="65"/>
      <c r="R776" s="65"/>
      <c r="S776" s="65"/>
      <c r="T776" s="65"/>
      <c r="U776" s="65"/>
      <c r="V776" s="65"/>
      <c r="W776" s="65"/>
      <c r="X776" s="65"/>
      <c r="Y776" s="65"/>
      <c r="Z776" s="65"/>
    </row>
    <row r="777" ht="15.75" customHeight="1">
      <c r="A777" s="65"/>
      <c r="B777" s="65"/>
      <c r="C777" s="65"/>
      <c r="D777" s="65"/>
      <c r="E777" s="65"/>
      <c r="F777" s="65"/>
      <c r="I777" s="65"/>
      <c r="J777" s="65"/>
      <c r="K777" s="65"/>
      <c r="L777" s="65"/>
      <c r="M777" s="65"/>
      <c r="N777" s="65"/>
      <c r="O777" s="65"/>
      <c r="P777" s="65"/>
      <c r="Q777" s="65"/>
      <c r="R777" s="65"/>
      <c r="S777" s="65"/>
      <c r="T777" s="65"/>
      <c r="U777" s="65"/>
      <c r="V777" s="65"/>
      <c r="W777" s="65"/>
      <c r="X777" s="65"/>
      <c r="Y777" s="65"/>
      <c r="Z777" s="65"/>
    </row>
    <row r="778" ht="15.75" customHeight="1">
      <c r="A778" s="65"/>
      <c r="B778" s="65"/>
      <c r="C778" s="65"/>
      <c r="D778" s="65"/>
      <c r="E778" s="65"/>
      <c r="F778" s="65"/>
      <c r="I778" s="65"/>
      <c r="J778" s="65"/>
      <c r="K778" s="65"/>
      <c r="L778" s="65"/>
      <c r="M778" s="65"/>
      <c r="N778" s="65"/>
      <c r="O778" s="65"/>
      <c r="P778" s="65"/>
      <c r="Q778" s="65"/>
      <c r="R778" s="65"/>
      <c r="S778" s="65"/>
      <c r="T778" s="65"/>
      <c r="U778" s="65"/>
      <c r="V778" s="65"/>
      <c r="W778" s="65"/>
      <c r="X778" s="65"/>
      <c r="Y778" s="65"/>
      <c r="Z778" s="65"/>
    </row>
    <row r="779" ht="15.75" customHeight="1">
      <c r="A779" s="65"/>
      <c r="B779" s="65"/>
      <c r="C779" s="65"/>
      <c r="D779" s="65"/>
      <c r="E779" s="65"/>
      <c r="F779" s="65"/>
      <c r="I779" s="65"/>
      <c r="J779" s="65"/>
      <c r="K779" s="65"/>
      <c r="L779" s="65"/>
      <c r="M779" s="65"/>
      <c r="N779" s="65"/>
      <c r="O779" s="65"/>
      <c r="P779" s="65"/>
      <c r="Q779" s="65"/>
      <c r="R779" s="65"/>
      <c r="S779" s="65"/>
      <c r="T779" s="65"/>
      <c r="U779" s="65"/>
      <c r="V779" s="65"/>
      <c r="W779" s="65"/>
      <c r="X779" s="65"/>
      <c r="Y779" s="65"/>
      <c r="Z779" s="65"/>
    </row>
    <row r="780" ht="15.75" customHeight="1">
      <c r="A780" s="65"/>
      <c r="B780" s="65"/>
      <c r="C780" s="65"/>
      <c r="D780" s="65"/>
      <c r="E780" s="65"/>
      <c r="F780" s="65"/>
      <c r="I780" s="65"/>
      <c r="J780" s="65"/>
      <c r="K780" s="65"/>
      <c r="L780" s="65"/>
      <c r="M780" s="65"/>
      <c r="N780" s="65"/>
      <c r="O780" s="65"/>
      <c r="P780" s="65"/>
      <c r="Q780" s="65"/>
      <c r="R780" s="65"/>
      <c r="S780" s="65"/>
      <c r="T780" s="65"/>
      <c r="U780" s="65"/>
      <c r="V780" s="65"/>
      <c r="W780" s="65"/>
      <c r="X780" s="65"/>
      <c r="Y780" s="65"/>
      <c r="Z780" s="65"/>
    </row>
    <row r="781" ht="15.75" customHeight="1">
      <c r="A781" s="65"/>
      <c r="B781" s="65"/>
      <c r="C781" s="65"/>
      <c r="D781" s="65"/>
      <c r="E781" s="65"/>
      <c r="F781" s="65"/>
      <c r="I781" s="65"/>
      <c r="J781" s="65"/>
      <c r="K781" s="65"/>
      <c r="L781" s="65"/>
      <c r="M781" s="65"/>
      <c r="N781" s="65"/>
      <c r="O781" s="65"/>
      <c r="P781" s="65"/>
      <c r="Q781" s="65"/>
      <c r="R781" s="65"/>
      <c r="S781" s="65"/>
      <c r="T781" s="65"/>
      <c r="U781" s="65"/>
      <c r="V781" s="65"/>
      <c r="W781" s="65"/>
      <c r="X781" s="65"/>
      <c r="Y781" s="65"/>
      <c r="Z781" s="65"/>
    </row>
    <row r="782" ht="15.75" customHeight="1">
      <c r="A782" s="65"/>
      <c r="B782" s="65"/>
      <c r="C782" s="65"/>
      <c r="D782" s="65"/>
      <c r="E782" s="65"/>
      <c r="F782" s="65"/>
      <c r="I782" s="65"/>
      <c r="J782" s="65"/>
      <c r="K782" s="65"/>
      <c r="L782" s="65"/>
      <c r="M782" s="65"/>
      <c r="N782" s="65"/>
      <c r="O782" s="65"/>
      <c r="P782" s="65"/>
      <c r="Q782" s="65"/>
      <c r="R782" s="65"/>
      <c r="S782" s="65"/>
      <c r="T782" s="65"/>
      <c r="U782" s="65"/>
      <c r="V782" s="65"/>
      <c r="W782" s="65"/>
      <c r="X782" s="65"/>
      <c r="Y782" s="65"/>
      <c r="Z782" s="65"/>
    </row>
    <row r="783" ht="15.75" customHeight="1">
      <c r="A783" s="65"/>
      <c r="B783" s="65"/>
      <c r="C783" s="65"/>
      <c r="D783" s="65"/>
      <c r="E783" s="65"/>
      <c r="F783" s="65"/>
      <c r="I783" s="65"/>
      <c r="J783" s="65"/>
      <c r="K783" s="65"/>
      <c r="L783" s="65"/>
      <c r="M783" s="65"/>
      <c r="N783" s="65"/>
      <c r="O783" s="65"/>
      <c r="P783" s="65"/>
      <c r="Q783" s="65"/>
      <c r="R783" s="65"/>
      <c r="S783" s="65"/>
      <c r="T783" s="65"/>
      <c r="U783" s="65"/>
      <c r="V783" s="65"/>
      <c r="W783" s="65"/>
      <c r="X783" s="65"/>
      <c r="Y783" s="65"/>
      <c r="Z783" s="65"/>
    </row>
    <row r="784" ht="15.75" customHeight="1">
      <c r="A784" s="65"/>
      <c r="B784" s="65"/>
      <c r="C784" s="65"/>
      <c r="D784" s="65"/>
      <c r="E784" s="65"/>
      <c r="F784" s="65"/>
      <c r="I784" s="65"/>
      <c r="J784" s="65"/>
      <c r="K784" s="65"/>
      <c r="L784" s="65"/>
      <c r="M784" s="65"/>
      <c r="N784" s="65"/>
      <c r="O784" s="65"/>
      <c r="P784" s="65"/>
      <c r="Q784" s="65"/>
      <c r="R784" s="65"/>
      <c r="S784" s="65"/>
      <c r="T784" s="65"/>
      <c r="U784" s="65"/>
      <c r="V784" s="65"/>
      <c r="W784" s="65"/>
      <c r="X784" s="65"/>
      <c r="Y784" s="65"/>
      <c r="Z784" s="65"/>
    </row>
    <row r="785" ht="15.75" customHeight="1">
      <c r="A785" s="65"/>
      <c r="B785" s="65"/>
      <c r="C785" s="65"/>
      <c r="D785" s="65"/>
      <c r="E785" s="65"/>
      <c r="F785" s="65"/>
      <c r="I785" s="65"/>
      <c r="J785" s="65"/>
      <c r="K785" s="65"/>
      <c r="L785" s="65"/>
      <c r="M785" s="65"/>
      <c r="N785" s="65"/>
      <c r="O785" s="65"/>
      <c r="P785" s="65"/>
      <c r="Q785" s="65"/>
      <c r="R785" s="65"/>
      <c r="S785" s="65"/>
      <c r="T785" s="65"/>
      <c r="U785" s="65"/>
      <c r="V785" s="65"/>
      <c r="W785" s="65"/>
      <c r="X785" s="65"/>
      <c r="Y785" s="65"/>
      <c r="Z785" s="65"/>
    </row>
    <row r="786" ht="15.75" customHeight="1">
      <c r="A786" s="65"/>
      <c r="B786" s="65"/>
      <c r="C786" s="65"/>
      <c r="D786" s="65"/>
      <c r="E786" s="65"/>
      <c r="F786" s="65"/>
      <c r="I786" s="65"/>
      <c r="J786" s="65"/>
      <c r="K786" s="65"/>
      <c r="L786" s="65"/>
      <c r="M786" s="65"/>
      <c r="N786" s="65"/>
      <c r="O786" s="65"/>
      <c r="P786" s="65"/>
      <c r="Q786" s="65"/>
      <c r="R786" s="65"/>
      <c r="S786" s="65"/>
      <c r="T786" s="65"/>
      <c r="U786" s="65"/>
      <c r="V786" s="65"/>
      <c r="W786" s="65"/>
      <c r="X786" s="65"/>
      <c r="Y786" s="65"/>
      <c r="Z786" s="65"/>
    </row>
    <row r="787" ht="15.75" customHeight="1">
      <c r="A787" s="65"/>
      <c r="B787" s="65"/>
      <c r="C787" s="65"/>
      <c r="D787" s="65"/>
      <c r="E787" s="65"/>
      <c r="F787" s="65"/>
      <c r="I787" s="65"/>
      <c r="J787" s="65"/>
      <c r="K787" s="65"/>
      <c r="L787" s="65"/>
      <c r="M787" s="65"/>
      <c r="N787" s="65"/>
      <c r="O787" s="65"/>
      <c r="P787" s="65"/>
      <c r="Q787" s="65"/>
      <c r="R787" s="65"/>
      <c r="S787" s="65"/>
      <c r="T787" s="65"/>
      <c r="U787" s="65"/>
      <c r="V787" s="65"/>
      <c r="W787" s="65"/>
      <c r="X787" s="65"/>
      <c r="Y787" s="65"/>
      <c r="Z787" s="65"/>
    </row>
    <row r="788" ht="15.75" customHeight="1">
      <c r="A788" s="65"/>
      <c r="B788" s="65"/>
      <c r="C788" s="65"/>
      <c r="D788" s="65"/>
      <c r="E788" s="65"/>
      <c r="F788" s="65"/>
      <c r="I788" s="65"/>
      <c r="J788" s="65"/>
      <c r="K788" s="65"/>
      <c r="L788" s="65"/>
      <c r="M788" s="65"/>
      <c r="N788" s="65"/>
      <c r="O788" s="65"/>
      <c r="P788" s="65"/>
      <c r="Q788" s="65"/>
      <c r="R788" s="65"/>
      <c r="S788" s="65"/>
      <c r="T788" s="65"/>
      <c r="U788" s="65"/>
      <c r="V788" s="65"/>
      <c r="W788" s="65"/>
      <c r="X788" s="65"/>
      <c r="Y788" s="65"/>
      <c r="Z788" s="65"/>
    </row>
    <row r="789" ht="15.75" customHeight="1">
      <c r="A789" s="65"/>
      <c r="B789" s="65"/>
      <c r="C789" s="65"/>
      <c r="D789" s="65"/>
      <c r="E789" s="65"/>
      <c r="F789" s="65"/>
      <c r="I789" s="65"/>
      <c r="J789" s="65"/>
      <c r="K789" s="65"/>
      <c r="L789" s="65"/>
      <c r="M789" s="65"/>
      <c r="N789" s="65"/>
      <c r="O789" s="65"/>
      <c r="P789" s="65"/>
      <c r="Q789" s="65"/>
      <c r="R789" s="65"/>
      <c r="S789" s="65"/>
      <c r="T789" s="65"/>
      <c r="U789" s="65"/>
      <c r="V789" s="65"/>
      <c r="W789" s="65"/>
      <c r="X789" s="65"/>
      <c r="Y789" s="65"/>
      <c r="Z789" s="65"/>
    </row>
    <row r="790" ht="15.75" customHeight="1">
      <c r="A790" s="65"/>
      <c r="B790" s="65"/>
      <c r="C790" s="65"/>
      <c r="D790" s="65"/>
      <c r="E790" s="65"/>
      <c r="F790" s="65"/>
      <c r="I790" s="65"/>
      <c r="J790" s="65"/>
      <c r="K790" s="65"/>
      <c r="L790" s="65"/>
      <c r="M790" s="65"/>
      <c r="N790" s="65"/>
      <c r="O790" s="65"/>
      <c r="P790" s="65"/>
      <c r="Q790" s="65"/>
      <c r="R790" s="65"/>
      <c r="S790" s="65"/>
      <c r="T790" s="65"/>
      <c r="U790" s="65"/>
      <c r="V790" s="65"/>
      <c r="W790" s="65"/>
      <c r="X790" s="65"/>
      <c r="Y790" s="65"/>
      <c r="Z790" s="65"/>
    </row>
    <row r="791" ht="15.75" customHeight="1">
      <c r="A791" s="65"/>
      <c r="B791" s="65"/>
      <c r="C791" s="65"/>
      <c r="D791" s="65"/>
      <c r="E791" s="65"/>
      <c r="F791" s="65"/>
      <c r="I791" s="65"/>
      <c r="J791" s="65"/>
      <c r="K791" s="65"/>
      <c r="L791" s="65"/>
      <c r="M791" s="65"/>
      <c r="N791" s="65"/>
      <c r="O791" s="65"/>
      <c r="P791" s="65"/>
      <c r="Q791" s="65"/>
      <c r="R791" s="65"/>
      <c r="S791" s="65"/>
      <c r="T791" s="65"/>
      <c r="U791" s="65"/>
      <c r="V791" s="65"/>
      <c r="W791" s="65"/>
      <c r="X791" s="65"/>
      <c r="Y791" s="65"/>
      <c r="Z791" s="65"/>
    </row>
    <row r="792" ht="15.75" customHeight="1">
      <c r="A792" s="65"/>
      <c r="B792" s="65"/>
      <c r="C792" s="65"/>
      <c r="D792" s="65"/>
      <c r="E792" s="65"/>
      <c r="F792" s="65"/>
      <c r="I792" s="65"/>
      <c r="J792" s="65"/>
      <c r="K792" s="65"/>
      <c r="L792" s="65"/>
      <c r="M792" s="65"/>
      <c r="N792" s="65"/>
      <c r="O792" s="65"/>
      <c r="P792" s="65"/>
      <c r="Q792" s="65"/>
      <c r="R792" s="65"/>
      <c r="S792" s="65"/>
      <c r="T792" s="65"/>
      <c r="U792" s="65"/>
      <c r="V792" s="65"/>
      <c r="W792" s="65"/>
      <c r="X792" s="65"/>
      <c r="Y792" s="65"/>
      <c r="Z792" s="65"/>
    </row>
    <row r="793" ht="15.75" customHeight="1">
      <c r="A793" s="65"/>
      <c r="B793" s="65"/>
      <c r="C793" s="65"/>
      <c r="D793" s="65"/>
      <c r="E793" s="65"/>
      <c r="F793" s="65"/>
      <c r="I793" s="65"/>
      <c r="J793" s="65"/>
      <c r="K793" s="65"/>
      <c r="L793" s="65"/>
      <c r="M793" s="65"/>
      <c r="N793" s="65"/>
      <c r="O793" s="65"/>
      <c r="P793" s="65"/>
      <c r="Q793" s="65"/>
      <c r="R793" s="65"/>
      <c r="S793" s="65"/>
      <c r="T793" s="65"/>
      <c r="U793" s="65"/>
      <c r="V793" s="65"/>
      <c r="W793" s="65"/>
      <c r="X793" s="65"/>
      <c r="Y793" s="65"/>
      <c r="Z793" s="65"/>
    </row>
    <row r="794" ht="15.75" customHeight="1">
      <c r="A794" s="65"/>
      <c r="B794" s="65"/>
      <c r="C794" s="65"/>
      <c r="D794" s="65"/>
      <c r="E794" s="65"/>
      <c r="F794" s="65"/>
      <c r="I794" s="65"/>
      <c r="J794" s="65"/>
      <c r="K794" s="65"/>
      <c r="L794" s="65"/>
      <c r="M794" s="65"/>
      <c r="N794" s="65"/>
      <c r="O794" s="65"/>
      <c r="P794" s="65"/>
      <c r="Q794" s="65"/>
      <c r="R794" s="65"/>
      <c r="S794" s="65"/>
      <c r="T794" s="65"/>
      <c r="U794" s="65"/>
      <c r="V794" s="65"/>
      <c r="W794" s="65"/>
      <c r="X794" s="65"/>
      <c r="Y794" s="65"/>
      <c r="Z794" s="65"/>
    </row>
    <row r="795" ht="15.75" customHeight="1">
      <c r="A795" s="65"/>
      <c r="B795" s="65"/>
      <c r="C795" s="65"/>
      <c r="D795" s="65"/>
      <c r="E795" s="65"/>
      <c r="F795" s="65"/>
      <c r="I795" s="65"/>
      <c r="J795" s="65"/>
      <c r="K795" s="65"/>
      <c r="L795" s="65"/>
      <c r="M795" s="65"/>
      <c r="N795" s="65"/>
      <c r="O795" s="65"/>
      <c r="P795" s="65"/>
      <c r="Q795" s="65"/>
      <c r="R795" s="65"/>
      <c r="S795" s="65"/>
      <c r="T795" s="65"/>
      <c r="U795" s="65"/>
      <c r="V795" s="65"/>
      <c r="W795" s="65"/>
      <c r="X795" s="65"/>
      <c r="Y795" s="65"/>
      <c r="Z795" s="65"/>
    </row>
    <row r="796" ht="15.75" customHeight="1">
      <c r="A796" s="65"/>
      <c r="B796" s="65"/>
      <c r="C796" s="65"/>
      <c r="D796" s="65"/>
      <c r="E796" s="65"/>
      <c r="F796" s="65"/>
      <c r="I796" s="65"/>
      <c r="J796" s="65"/>
      <c r="K796" s="65"/>
      <c r="L796" s="65"/>
      <c r="M796" s="65"/>
      <c r="N796" s="65"/>
      <c r="O796" s="65"/>
      <c r="P796" s="65"/>
      <c r="Q796" s="65"/>
      <c r="R796" s="65"/>
      <c r="S796" s="65"/>
      <c r="T796" s="65"/>
      <c r="U796" s="65"/>
      <c r="V796" s="65"/>
      <c r="W796" s="65"/>
      <c r="X796" s="65"/>
      <c r="Y796" s="65"/>
      <c r="Z796" s="65"/>
    </row>
    <row r="797" ht="15.75" customHeight="1">
      <c r="A797" s="65"/>
      <c r="B797" s="65"/>
      <c r="C797" s="65"/>
      <c r="D797" s="65"/>
      <c r="E797" s="65"/>
      <c r="F797" s="65"/>
      <c r="I797" s="65"/>
      <c r="J797" s="65"/>
      <c r="K797" s="65"/>
      <c r="L797" s="65"/>
      <c r="M797" s="65"/>
      <c r="N797" s="65"/>
      <c r="O797" s="65"/>
      <c r="P797" s="65"/>
      <c r="Q797" s="65"/>
      <c r="R797" s="65"/>
      <c r="S797" s="65"/>
      <c r="T797" s="65"/>
      <c r="U797" s="65"/>
      <c r="V797" s="65"/>
      <c r="W797" s="65"/>
      <c r="X797" s="65"/>
      <c r="Y797" s="65"/>
      <c r="Z797" s="65"/>
    </row>
    <row r="798" ht="15.75" customHeight="1">
      <c r="A798" s="65"/>
      <c r="B798" s="65"/>
      <c r="C798" s="65"/>
      <c r="D798" s="65"/>
      <c r="E798" s="65"/>
      <c r="F798" s="65"/>
      <c r="I798" s="65"/>
      <c r="J798" s="65"/>
      <c r="K798" s="65"/>
      <c r="L798" s="65"/>
      <c r="M798" s="65"/>
      <c r="N798" s="65"/>
      <c r="O798" s="65"/>
      <c r="P798" s="65"/>
      <c r="Q798" s="65"/>
      <c r="R798" s="65"/>
      <c r="S798" s="65"/>
      <c r="T798" s="65"/>
      <c r="U798" s="65"/>
      <c r="V798" s="65"/>
      <c r="W798" s="65"/>
      <c r="X798" s="65"/>
      <c r="Y798" s="65"/>
      <c r="Z798" s="65"/>
    </row>
    <row r="799" ht="15.75" customHeight="1">
      <c r="A799" s="65"/>
      <c r="B799" s="65"/>
      <c r="C799" s="65"/>
      <c r="D799" s="65"/>
      <c r="E799" s="65"/>
      <c r="F799" s="65"/>
      <c r="I799" s="65"/>
      <c r="J799" s="65"/>
      <c r="K799" s="65"/>
      <c r="L799" s="65"/>
      <c r="M799" s="65"/>
      <c r="N799" s="65"/>
      <c r="O799" s="65"/>
      <c r="P799" s="65"/>
      <c r="Q799" s="65"/>
      <c r="R799" s="65"/>
      <c r="S799" s="65"/>
      <c r="T799" s="65"/>
      <c r="U799" s="65"/>
      <c r="V799" s="65"/>
      <c r="W799" s="65"/>
      <c r="X799" s="65"/>
      <c r="Y799" s="65"/>
      <c r="Z799" s="65"/>
    </row>
    <row r="800" ht="15.75" customHeight="1">
      <c r="A800" s="65"/>
      <c r="B800" s="65"/>
      <c r="C800" s="65"/>
      <c r="D800" s="65"/>
      <c r="E800" s="65"/>
      <c r="F800" s="65"/>
      <c r="I800" s="65"/>
      <c r="J800" s="65"/>
      <c r="K800" s="65"/>
      <c r="L800" s="65"/>
      <c r="M800" s="65"/>
      <c r="N800" s="65"/>
      <c r="O800" s="65"/>
      <c r="P800" s="65"/>
      <c r="Q800" s="65"/>
      <c r="R800" s="65"/>
      <c r="S800" s="65"/>
      <c r="T800" s="65"/>
      <c r="U800" s="65"/>
      <c r="V800" s="65"/>
      <c r="W800" s="65"/>
      <c r="X800" s="65"/>
      <c r="Y800" s="65"/>
      <c r="Z800" s="65"/>
    </row>
    <row r="801" ht="15.75" customHeight="1">
      <c r="A801" s="65"/>
      <c r="B801" s="65"/>
      <c r="C801" s="65"/>
      <c r="D801" s="65"/>
      <c r="E801" s="65"/>
      <c r="F801" s="65"/>
      <c r="I801" s="65"/>
      <c r="J801" s="65"/>
      <c r="K801" s="65"/>
      <c r="L801" s="65"/>
      <c r="M801" s="65"/>
      <c r="N801" s="65"/>
      <c r="O801" s="65"/>
      <c r="P801" s="65"/>
      <c r="Q801" s="65"/>
      <c r="R801" s="65"/>
      <c r="S801" s="65"/>
      <c r="T801" s="65"/>
      <c r="U801" s="65"/>
      <c r="V801" s="65"/>
      <c r="W801" s="65"/>
      <c r="X801" s="65"/>
      <c r="Y801" s="65"/>
      <c r="Z801" s="65"/>
    </row>
    <row r="802" ht="15.75" customHeight="1">
      <c r="A802" s="65"/>
      <c r="B802" s="65"/>
      <c r="C802" s="65"/>
      <c r="D802" s="65"/>
      <c r="E802" s="65"/>
      <c r="F802" s="65"/>
      <c r="I802" s="65"/>
      <c r="J802" s="65"/>
      <c r="K802" s="65"/>
      <c r="L802" s="65"/>
      <c r="M802" s="65"/>
      <c r="N802" s="65"/>
      <c r="O802" s="65"/>
      <c r="P802" s="65"/>
      <c r="Q802" s="65"/>
      <c r="R802" s="65"/>
      <c r="S802" s="65"/>
      <c r="T802" s="65"/>
      <c r="U802" s="65"/>
      <c r="V802" s="65"/>
      <c r="W802" s="65"/>
      <c r="X802" s="65"/>
      <c r="Y802" s="65"/>
      <c r="Z802" s="65"/>
    </row>
    <row r="803" ht="15.75" customHeight="1">
      <c r="A803" s="65"/>
      <c r="B803" s="65"/>
      <c r="C803" s="65"/>
      <c r="D803" s="65"/>
      <c r="E803" s="65"/>
      <c r="F803" s="65"/>
      <c r="I803" s="65"/>
      <c r="J803" s="65"/>
      <c r="K803" s="65"/>
      <c r="L803" s="65"/>
      <c r="M803" s="65"/>
      <c r="N803" s="65"/>
      <c r="O803" s="65"/>
      <c r="P803" s="65"/>
      <c r="Q803" s="65"/>
      <c r="R803" s="65"/>
      <c r="S803" s="65"/>
      <c r="T803" s="65"/>
      <c r="U803" s="65"/>
      <c r="V803" s="65"/>
      <c r="W803" s="65"/>
      <c r="X803" s="65"/>
      <c r="Y803" s="65"/>
      <c r="Z803" s="65"/>
    </row>
    <row r="804" ht="15.75" customHeight="1">
      <c r="A804" s="65"/>
      <c r="B804" s="65"/>
      <c r="C804" s="65"/>
      <c r="D804" s="65"/>
      <c r="E804" s="65"/>
      <c r="F804" s="65"/>
      <c r="I804" s="65"/>
      <c r="J804" s="65"/>
      <c r="K804" s="65"/>
      <c r="L804" s="65"/>
      <c r="M804" s="65"/>
      <c r="N804" s="65"/>
      <c r="O804" s="65"/>
      <c r="P804" s="65"/>
      <c r="Q804" s="65"/>
      <c r="R804" s="65"/>
      <c r="S804" s="65"/>
      <c r="T804" s="65"/>
      <c r="U804" s="65"/>
      <c r="V804" s="65"/>
      <c r="W804" s="65"/>
      <c r="X804" s="65"/>
      <c r="Y804" s="65"/>
      <c r="Z804" s="65"/>
    </row>
    <row r="805" ht="15.75" customHeight="1">
      <c r="A805" s="65"/>
      <c r="B805" s="65"/>
      <c r="C805" s="65"/>
      <c r="D805" s="65"/>
      <c r="E805" s="65"/>
      <c r="F805" s="65"/>
      <c r="I805" s="65"/>
      <c r="J805" s="65"/>
      <c r="K805" s="65"/>
      <c r="L805" s="65"/>
      <c r="M805" s="65"/>
      <c r="N805" s="65"/>
      <c r="O805" s="65"/>
      <c r="P805" s="65"/>
      <c r="Q805" s="65"/>
      <c r="R805" s="65"/>
      <c r="S805" s="65"/>
      <c r="T805" s="65"/>
      <c r="U805" s="65"/>
      <c r="V805" s="65"/>
      <c r="W805" s="65"/>
      <c r="X805" s="65"/>
      <c r="Y805" s="65"/>
      <c r="Z805" s="65"/>
    </row>
    <row r="806" ht="15.75" customHeight="1">
      <c r="A806" s="65"/>
      <c r="B806" s="65"/>
      <c r="C806" s="65"/>
      <c r="D806" s="65"/>
      <c r="E806" s="65"/>
      <c r="F806" s="65"/>
      <c r="I806" s="65"/>
      <c r="J806" s="65"/>
      <c r="K806" s="65"/>
      <c r="L806" s="65"/>
      <c r="M806" s="65"/>
      <c r="N806" s="65"/>
      <c r="O806" s="65"/>
      <c r="P806" s="65"/>
      <c r="Q806" s="65"/>
      <c r="R806" s="65"/>
      <c r="S806" s="65"/>
      <c r="T806" s="65"/>
      <c r="U806" s="65"/>
      <c r="V806" s="65"/>
      <c r="W806" s="65"/>
      <c r="X806" s="65"/>
      <c r="Y806" s="65"/>
      <c r="Z806" s="65"/>
    </row>
    <row r="807" ht="15.75" customHeight="1">
      <c r="A807" s="65"/>
      <c r="B807" s="65"/>
      <c r="C807" s="65"/>
      <c r="D807" s="65"/>
      <c r="E807" s="65"/>
      <c r="F807" s="65"/>
      <c r="I807" s="65"/>
      <c r="J807" s="65"/>
      <c r="K807" s="65"/>
      <c r="L807" s="65"/>
      <c r="M807" s="65"/>
      <c r="N807" s="65"/>
      <c r="O807" s="65"/>
      <c r="P807" s="65"/>
      <c r="Q807" s="65"/>
      <c r="R807" s="65"/>
      <c r="S807" s="65"/>
      <c r="T807" s="65"/>
      <c r="U807" s="65"/>
      <c r="V807" s="65"/>
      <c r="W807" s="65"/>
      <c r="X807" s="65"/>
      <c r="Y807" s="65"/>
      <c r="Z807" s="65"/>
    </row>
    <row r="808" ht="15.75" customHeight="1">
      <c r="A808" s="65"/>
      <c r="B808" s="65"/>
      <c r="C808" s="65"/>
      <c r="D808" s="65"/>
      <c r="E808" s="65"/>
      <c r="F808" s="65"/>
      <c r="I808" s="65"/>
      <c r="J808" s="65"/>
      <c r="K808" s="65"/>
      <c r="L808" s="65"/>
      <c r="M808" s="65"/>
      <c r="N808" s="65"/>
      <c r="O808" s="65"/>
      <c r="P808" s="65"/>
      <c r="Q808" s="65"/>
      <c r="R808" s="65"/>
      <c r="S808" s="65"/>
      <c r="T808" s="65"/>
      <c r="U808" s="65"/>
      <c r="V808" s="65"/>
      <c r="W808" s="65"/>
      <c r="X808" s="65"/>
      <c r="Y808" s="65"/>
      <c r="Z808" s="65"/>
    </row>
    <row r="809" ht="15.75" customHeight="1">
      <c r="A809" s="65"/>
      <c r="B809" s="65"/>
      <c r="C809" s="65"/>
      <c r="D809" s="65"/>
      <c r="E809" s="65"/>
      <c r="F809" s="65"/>
      <c r="I809" s="65"/>
      <c r="J809" s="65"/>
      <c r="K809" s="65"/>
      <c r="L809" s="65"/>
      <c r="M809" s="65"/>
      <c r="N809" s="65"/>
      <c r="O809" s="65"/>
      <c r="P809" s="65"/>
      <c r="Q809" s="65"/>
      <c r="R809" s="65"/>
      <c r="S809" s="65"/>
      <c r="T809" s="65"/>
      <c r="U809" s="65"/>
      <c r="V809" s="65"/>
      <c r="W809" s="65"/>
      <c r="X809" s="65"/>
      <c r="Y809" s="65"/>
      <c r="Z809" s="65"/>
    </row>
    <row r="810" ht="15.75" customHeight="1">
      <c r="A810" s="65"/>
      <c r="B810" s="65"/>
      <c r="C810" s="65"/>
      <c r="D810" s="65"/>
      <c r="E810" s="65"/>
      <c r="F810" s="65"/>
      <c r="I810" s="65"/>
      <c r="J810" s="65"/>
      <c r="K810" s="65"/>
      <c r="L810" s="65"/>
      <c r="M810" s="65"/>
      <c r="N810" s="65"/>
      <c r="O810" s="65"/>
      <c r="P810" s="65"/>
      <c r="Q810" s="65"/>
      <c r="R810" s="65"/>
      <c r="S810" s="65"/>
      <c r="T810" s="65"/>
      <c r="U810" s="65"/>
      <c r="V810" s="65"/>
      <c r="W810" s="65"/>
      <c r="X810" s="65"/>
      <c r="Y810" s="65"/>
      <c r="Z810" s="65"/>
    </row>
    <row r="811" ht="15.75" customHeight="1">
      <c r="A811" s="65"/>
      <c r="B811" s="65"/>
      <c r="C811" s="65"/>
      <c r="D811" s="65"/>
      <c r="E811" s="65"/>
      <c r="F811" s="65"/>
      <c r="I811" s="65"/>
      <c r="J811" s="65"/>
      <c r="K811" s="65"/>
      <c r="L811" s="65"/>
      <c r="M811" s="65"/>
      <c r="N811" s="65"/>
      <c r="O811" s="65"/>
      <c r="P811" s="65"/>
      <c r="Q811" s="65"/>
      <c r="R811" s="65"/>
      <c r="S811" s="65"/>
      <c r="T811" s="65"/>
      <c r="U811" s="65"/>
      <c r="V811" s="65"/>
      <c r="W811" s="65"/>
      <c r="X811" s="65"/>
      <c r="Y811" s="65"/>
      <c r="Z811" s="65"/>
    </row>
    <row r="812" ht="15.75" customHeight="1">
      <c r="A812" s="65"/>
      <c r="B812" s="65"/>
      <c r="C812" s="65"/>
      <c r="D812" s="65"/>
      <c r="E812" s="65"/>
      <c r="F812" s="65"/>
      <c r="I812" s="65"/>
      <c r="J812" s="65"/>
      <c r="K812" s="65"/>
      <c r="L812" s="65"/>
      <c r="M812" s="65"/>
      <c r="N812" s="65"/>
      <c r="O812" s="65"/>
      <c r="P812" s="65"/>
      <c r="Q812" s="65"/>
      <c r="R812" s="65"/>
      <c r="S812" s="65"/>
      <c r="T812" s="65"/>
      <c r="U812" s="65"/>
      <c r="V812" s="65"/>
      <c r="W812" s="65"/>
      <c r="X812" s="65"/>
      <c r="Y812" s="65"/>
      <c r="Z812" s="65"/>
    </row>
    <row r="813" ht="15.75" customHeight="1">
      <c r="A813" s="65"/>
      <c r="B813" s="65"/>
      <c r="C813" s="65"/>
      <c r="D813" s="65"/>
      <c r="E813" s="65"/>
      <c r="F813" s="65"/>
      <c r="I813" s="65"/>
      <c r="J813" s="65"/>
      <c r="K813" s="65"/>
      <c r="L813" s="65"/>
      <c r="M813" s="65"/>
      <c r="N813" s="65"/>
      <c r="O813" s="65"/>
      <c r="P813" s="65"/>
      <c r="Q813" s="65"/>
      <c r="R813" s="65"/>
      <c r="S813" s="65"/>
      <c r="T813" s="65"/>
      <c r="U813" s="65"/>
      <c r="V813" s="65"/>
      <c r="W813" s="65"/>
      <c r="X813" s="65"/>
      <c r="Y813" s="65"/>
      <c r="Z813" s="65"/>
    </row>
    <row r="814" ht="15.75" customHeight="1">
      <c r="A814" s="65"/>
      <c r="B814" s="65"/>
      <c r="C814" s="65"/>
      <c r="D814" s="65"/>
      <c r="E814" s="65"/>
      <c r="F814" s="65"/>
      <c r="I814" s="65"/>
      <c r="J814" s="65"/>
      <c r="K814" s="65"/>
      <c r="L814" s="65"/>
      <c r="M814" s="65"/>
      <c r="N814" s="65"/>
      <c r="O814" s="65"/>
      <c r="P814" s="65"/>
      <c r="Q814" s="65"/>
      <c r="R814" s="65"/>
      <c r="S814" s="65"/>
      <c r="T814" s="65"/>
      <c r="U814" s="65"/>
      <c r="V814" s="65"/>
      <c r="W814" s="65"/>
      <c r="X814" s="65"/>
      <c r="Y814" s="65"/>
      <c r="Z814" s="65"/>
    </row>
    <row r="815" ht="15.75" customHeight="1">
      <c r="A815" s="65"/>
      <c r="B815" s="65"/>
      <c r="C815" s="65"/>
      <c r="D815" s="65"/>
      <c r="E815" s="65"/>
      <c r="F815" s="65"/>
      <c r="I815" s="65"/>
      <c r="J815" s="65"/>
      <c r="K815" s="65"/>
      <c r="L815" s="65"/>
      <c r="M815" s="65"/>
      <c r="N815" s="65"/>
      <c r="O815" s="65"/>
      <c r="P815" s="65"/>
      <c r="Q815" s="65"/>
      <c r="R815" s="65"/>
      <c r="S815" s="65"/>
      <c r="T815" s="65"/>
      <c r="U815" s="65"/>
      <c r="V815" s="65"/>
      <c r="W815" s="65"/>
      <c r="X815" s="65"/>
      <c r="Y815" s="65"/>
      <c r="Z815" s="65"/>
    </row>
    <row r="816" ht="15.75" customHeight="1">
      <c r="A816" s="65"/>
      <c r="B816" s="65"/>
      <c r="C816" s="65"/>
      <c r="D816" s="65"/>
      <c r="E816" s="65"/>
      <c r="F816" s="65"/>
      <c r="I816" s="65"/>
      <c r="J816" s="65"/>
      <c r="K816" s="65"/>
      <c r="L816" s="65"/>
      <c r="M816" s="65"/>
      <c r="N816" s="65"/>
      <c r="O816" s="65"/>
      <c r="P816" s="65"/>
      <c r="Q816" s="65"/>
      <c r="R816" s="65"/>
      <c r="S816" s="65"/>
      <c r="T816" s="65"/>
      <c r="U816" s="65"/>
      <c r="V816" s="65"/>
      <c r="W816" s="65"/>
      <c r="X816" s="65"/>
      <c r="Y816" s="65"/>
      <c r="Z816" s="65"/>
    </row>
    <row r="817" ht="15.75" customHeight="1">
      <c r="A817" s="65"/>
      <c r="B817" s="65"/>
      <c r="C817" s="65"/>
      <c r="D817" s="65"/>
      <c r="E817" s="65"/>
      <c r="F817" s="65"/>
      <c r="I817" s="65"/>
      <c r="J817" s="65"/>
      <c r="K817" s="65"/>
      <c r="L817" s="65"/>
      <c r="M817" s="65"/>
      <c r="N817" s="65"/>
      <c r="O817" s="65"/>
      <c r="P817" s="65"/>
      <c r="Q817" s="65"/>
      <c r="R817" s="65"/>
      <c r="S817" s="65"/>
      <c r="T817" s="65"/>
      <c r="U817" s="65"/>
      <c r="V817" s="65"/>
      <c r="W817" s="65"/>
      <c r="X817" s="65"/>
      <c r="Y817" s="65"/>
      <c r="Z817" s="65"/>
    </row>
    <row r="818" ht="15.75" customHeight="1">
      <c r="A818" s="65"/>
      <c r="B818" s="65"/>
      <c r="C818" s="65"/>
      <c r="D818" s="65"/>
      <c r="E818" s="65"/>
      <c r="F818" s="65"/>
      <c r="I818" s="65"/>
      <c r="J818" s="65"/>
      <c r="K818" s="65"/>
      <c r="L818" s="65"/>
      <c r="M818" s="65"/>
      <c r="N818" s="65"/>
      <c r="O818" s="65"/>
      <c r="P818" s="65"/>
      <c r="Q818" s="65"/>
      <c r="R818" s="65"/>
      <c r="S818" s="65"/>
      <c r="T818" s="65"/>
      <c r="U818" s="65"/>
      <c r="V818" s="65"/>
      <c r="W818" s="65"/>
      <c r="X818" s="65"/>
      <c r="Y818" s="65"/>
      <c r="Z818" s="65"/>
    </row>
    <row r="819" ht="15.75" customHeight="1">
      <c r="A819" s="65"/>
      <c r="B819" s="65"/>
      <c r="C819" s="65"/>
      <c r="D819" s="65"/>
      <c r="E819" s="65"/>
      <c r="F819" s="65"/>
      <c r="I819" s="65"/>
      <c r="J819" s="65"/>
      <c r="K819" s="65"/>
      <c r="L819" s="65"/>
      <c r="M819" s="65"/>
      <c r="N819" s="65"/>
      <c r="O819" s="65"/>
      <c r="P819" s="65"/>
      <c r="Q819" s="65"/>
      <c r="R819" s="65"/>
      <c r="S819" s="65"/>
      <c r="T819" s="65"/>
      <c r="U819" s="65"/>
      <c r="V819" s="65"/>
      <c r="W819" s="65"/>
      <c r="X819" s="65"/>
      <c r="Y819" s="65"/>
      <c r="Z819" s="65"/>
    </row>
    <row r="820" ht="15.75" customHeight="1">
      <c r="A820" s="65"/>
      <c r="B820" s="65"/>
      <c r="C820" s="65"/>
      <c r="D820" s="65"/>
      <c r="E820" s="65"/>
      <c r="F820" s="65"/>
      <c r="I820" s="65"/>
      <c r="J820" s="65"/>
      <c r="K820" s="65"/>
      <c r="L820" s="65"/>
      <c r="M820" s="65"/>
      <c r="N820" s="65"/>
      <c r="O820" s="65"/>
      <c r="P820" s="65"/>
      <c r="Q820" s="65"/>
      <c r="R820" s="65"/>
      <c r="S820" s="65"/>
      <c r="T820" s="65"/>
      <c r="U820" s="65"/>
      <c r="V820" s="65"/>
      <c r="W820" s="65"/>
      <c r="X820" s="65"/>
      <c r="Y820" s="65"/>
      <c r="Z820" s="65"/>
    </row>
    <row r="821" ht="15.75" customHeight="1">
      <c r="A821" s="65"/>
      <c r="B821" s="65"/>
      <c r="C821" s="65"/>
      <c r="D821" s="65"/>
      <c r="E821" s="65"/>
      <c r="F821" s="65"/>
      <c r="I821" s="65"/>
      <c r="J821" s="65"/>
      <c r="K821" s="65"/>
      <c r="L821" s="65"/>
      <c r="M821" s="65"/>
      <c r="N821" s="65"/>
      <c r="O821" s="65"/>
      <c r="P821" s="65"/>
      <c r="Q821" s="65"/>
      <c r="R821" s="65"/>
      <c r="S821" s="65"/>
      <c r="T821" s="65"/>
      <c r="U821" s="65"/>
      <c r="V821" s="65"/>
      <c r="W821" s="65"/>
      <c r="X821" s="65"/>
      <c r="Y821" s="65"/>
      <c r="Z821" s="65"/>
    </row>
    <row r="822" ht="15.75" customHeight="1">
      <c r="A822" s="65"/>
      <c r="B822" s="65"/>
      <c r="C822" s="65"/>
      <c r="D822" s="65"/>
      <c r="E822" s="65"/>
      <c r="F822" s="65"/>
      <c r="I822" s="65"/>
      <c r="J822" s="65"/>
      <c r="K822" s="65"/>
      <c r="L822" s="65"/>
      <c r="M822" s="65"/>
      <c r="N822" s="65"/>
      <c r="O822" s="65"/>
      <c r="P822" s="65"/>
      <c r="Q822" s="65"/>
      <c r="R822" s="65"/>
      <c r="S822" s="65"/>
      <c r="T822" s="65"/>
      <c r="U822" s="65"/>
      <c r="V822" s="65"/>
      <c r="W822" s="65"/>
      <c r="X822" s="65"/>
      <c r="Y822" s="65"/>
      <c r="Z822" s="65"/>
    </row>
    <row r="823" ht="15.75" customHeight="1">
      <c r="A823" s="65"/>
      <c r="B823" s="65"/>
      <c r="C823" s="65"/>
      <c r="D823" s="65"/>
      <c r="E823" s="65"/>
      <c r="F823" s="65"/>
      <c r="I823" s="65"/>
      <c r="J823" s="65"/>
      <c r="K823" s="65"/>
      <c r="L823" s="65"/>
      <c r="M823" s="65"/>
      <c r="N823" s="65"/>
      <c r="O823" s="65"/>
      <c r="P823" s="65"/>
      <c r="Q823" s="65"/>
      <c r="R823" s="65"/>
      <c r="S823" s="65"/>
      <c r="T823" s="65"/>
      <c r="U823" s="65"/>
      <c r="V823" s="65"/>
      <c r="W823" s="65"/>
      <c r="X823" s="65"/>
      <c r="Y823" s="65"/>
      <c r="Z823" s="65"/>
    </row>
    <row r="824" ht="15.75" customHeight="1">
      <c r="A824" s="65"/>
      <c r="B824" s="65"/>
      <c r="C824" s="65"/>
      <c r="D824" s="65"/>
      <c r="E824" s="65"/>
      <c r="F824" s="65"/>
      <c r="I824" s="65"/>
      <c r="J824" s="65"/>
      <c r="K824" s="65"/>
      <c r="L824" s="65"/>
      <c r="M824" s="65"/>
      <c r="N824" s="65"/>
      <c r="O824" s="65"/>
      <c r="P824" s="65"/>
      <c r="Q824" s="65"/>
      <c r="R824" s="65"/>
      <c r="S824" s="65"/>
      <c r="T824" s="65"/>
      <c r="U824" s="65"/>
      <c r="V824" s="65"/>
      <c r="W824" s="65"/>
      <c r="X824" s="65"/>
      <c r="Y824" s="65"/>
      <c r="Z824" s="65"/>
    </row>
    <row r="825" ht="15.75" customHeight="1">
      <c r="A825" s="65"/>
      <c r="B825" s="65"/>
      <c r="C825" s="65"/>
      <c r="D825" s="65"/>
      <c r="E825" s="65"/>
      <c r="F825" s="65"/>
      <c r="I825" s="65"/>
      <c r="J825" s="65"/>
      <c r="K825" s="65"/>
      <c r="L825" s="65"/>
      <c r="M825" s="65"/>
      <c r="N825" s="65"/>
      <c r="O825" s="65"/>
      <c r="P825" s="65"/>
      <c r="Q825" s="65"/>
      <c r="R825" s="65"/>
      <c r="S825" s="65"/>
      <c r="T825" s="65"/>
      <c r="U825" s="65"/>
      <c r="V825" s="65"/>
      <c r="W825" s="65"/>
      <c r="X825" s="65"/>
      <c r="Y825" s="65"/>
      <c r="Z825" s="65"/>
    </row>
    <row r="826" ht="15.75" customHeight="1">
      <c r="A826" s="65"/>
      <c r="B826" s="65"/>
      <c r="C826" s="65"/>
      <c r="D826" s="65"/>
      <c r="E826" s="65"/>
      <c r="F826" s="65"/>
      <c r="I826" s="65"/>
      <c r="J826" s="65"/>
      <c r="K826" s="65"/>
      <c r="L826" s="65"/>
      <c r="M826" s="65"/>
      <c r="N826" s="65"/>
      <c r="O826" s="65"/>
      <c r="P826" s="65"/>
      <c r="Q826" s="65"/>
      <c r="R826" s="65"/>
      <c r="S826" s="65"/>
      <c r="T826" s="65"/>
      <c r="U826" s="65"/>
      <c r="V826" s="65"/>
      <c r="W826" s="65"/>
      <c r="X826" s="65"/>
      <c r="Y826" s="65"/>
      <c r="Z826" s="65"/>
    </row>
    <row r="827" ht="15.75" customHeight="1">
      <c r="A827" s="65"/>
      <c r="B827" s="65"/>
      <c r="C827" s="65"/>
      <c r="D827" s="65"/>
      <c r="E827" s="65"/>
      <c r="F827" s="65"/>
      <c r="I827" s="65"/>
      <c r="J827" s="65"/>
      <c r="K827" s="65"/>
      <c r="L827" s="65"/>
      <c r="M827" s="65"/>
      <c r="N827" s="65"/>
      <c r="O827" s="65"/>
      <c r="P827" s="65"/>
      <c r="Q827" s="65"/>
      <c r="R827" s="65"/>
      <c r="S827" s="65"/>
      <c r="T827" s="65"/>
      <c r="U827" s="65"/>
      <c r="V827" s="65"/>
      <c r="W827" s="65"/>
      <c r="X827" s="65"/>
      <c r="Y827" s="65"/>
      <c r="Z827" s="65"/>
    </row>
    <row r="828" ht="15.75" customHeight="1">
      <c r="A828" s="65"/>
      <c r="B828" s="65"/>
      <c r="C828" s="65"/>
      <c r="D828" s="65"/>
      <c r="E828" s="65"/>
      <c r="F828" s="65"/>
      <c r="I828" s="65"/>
      <c r="J828" s="65"/>
      <c r="K828" s="65"/>
      <c r="L828" s="65"/>
      <c r="M828" s="65"/>
      <c r="N828" s="65"/>
      <c r="O828" s="65"/>
      <c r="P828" s="65"/>
      <c r="Q828" s="65"/>
      <c r="R828" s="65"/>
      <c r="S828" s="65"/>
      <c r="T828" s="65"/>
      <c r="U828" s="65"/>
      <c r="V828" s="65"/>
      <c r="W828" s="65"/>
      <c r="X828" s="65"/>
      <c r="Y828" s="65"/>
      <c r="Z828" s="65"/>
    </row>
    <row r="829" ht="15.75" customHeight="1">
      <c r="A829" s="65"/>
      <c r="B829" s="65"/>
      <c r="C829" s="65"/>
      <c r="D829" s="65"/>
      <c r="E829" s="65"/>
      <c r="F829" s="65"/>
      <c r="I829" s="65"/>
      <c r="J829" s="65"/>
      <c r="K829" s="65"/>
      <c r="L829" s="65"/>
      <c r="M829" s="65"/>
      <c r="N829" s="65"/>
      <c r="O829" s="65"/>
      <c r="P829" s="65"/>
      <c r="Q829" s="65"/>
      <c r="R829" s="65"/>
      <c r="S829" s="65"/>
      <c r="T829" s="65"/>
      <c r="U829" s="65"/>
      <c r="V829" s="65"/>
      <c r="W829" s="65"/>
      <c r="X829" s="65"/>
      <c r="Y829" s="65"/>
      <c r="Z829" s="65"/>
    </row>
    <row r="830" ht="15.75" customHeight="1">
      <c r="A830" s="65"/>
      <c r="B830" s="65"/>
      <c r="C830" s="65"/>
      <c r="D830" s="65"/>
      <c r="E830" s="65"/>
      <c r="F830" s="65"/>
      <c r="I830" s="65"/>
      <c r="J830" s="65"/>
      <c r="K830" s="65"/>
      <c r="L830" s="65"/>
      <c r="M830" s="65"/>
      <c r="N830" s="65"/>
      <c r="O830" s="65"/>
      <c r="P830" s="65"/>
      <c r="Q830" s="65"/>
      <c r="R830" s="65"/>
      <c r="S830" s="65"/>
      <c r="T830" s="65"/>
      <c r="U830" s="65"/>
      <c r="V830" s="65"/>
      <c r="W830" s="65"/>
      <c r="X830" s="65"/>
      <c r="Y830" s="65"/>
      <c r="Z830" s="65"/>
    </row>
    <row r="831" ht="15.75" customHeight="1">
      <c r="A831" s="65"/>
      <c r="B831" s="65"/>
      <c r="C831" s="65"/>
      <c r="D831" s="65"/>
      <c r="E831" s="65"/>
      <c r="F831" s="65"/>
      <c r="I831" s="65"/>
      <c r="J831" s="65"/>
      <c r="K831" s="65"/>
      <c r="L831" s="65"/>
      <c r="M831" s="65"/>
      <c r="N831" s="65"/>
      <c r="O831" s="65"/>
      <c r="P831" s="65"/>
      <c r="Q831" s="65"/>
      <c r="R831" s="65"/>
      <c r="S831" s="65"/>
      <c r="T831" s="65"/>
      <c r="U831" s="65"/>
      <c r="V831" s="65"/>
      <c r="W831" s="65"/>
      <c r="X831" s="65"/>
      <c r="Y831" s="65"/>
      <c r="Z831" s="65"/>
    </row>
    <row r="832" ht="15.75" customHeight="1">
      <c r="A832" s="65"/>
      <c r="B832" s="65"/>
      <c r="C832" s="65"/>
      <c r="D832" s="65"/>
      <c r="E832" s="65"/>
      <c r="F832" s="65"/>
      <c r="I832" s="65"/>
      <c r="J832" s="65"/>
      <c r="K832" s="65"/>
      <c r="L832" s="65"/>
      <c r="M832" s="65"/>
      <c r="N832" s="65"/>
      <c r="O832" s="65"/>
      <c r="P832" s="65"/>
      <c r="Q832" s="65"/>
      <c r="R832" s="65"/>
      <c r="S832" s="65"/>
      <c r="T832" s="65"/>
      <c r="U832" s="65"/>
      <c r="V832" s="65"/>
      <c r="W832" s="65"/>
      <c r="X832" s="65"/>
      <c r="Y832" s="65"/>
      <c r="Z832" s="65"/>
    </row>
    <row r="833" ht="15.75" customHeight="1">
      <c r="A833" s="65"/>
      <c r="B833" s="65"/>
      <c r="C833" s="65"/>
      <c r="D833" s="65"/>
      <c r="E833" s="65"/>
      <c r="F833" s="65"/>
      <c r="I833" s="65"/>
      <c r="J833" s="65"/>
      <c r="K833" s="65"/>
      <c r="L833" s="65"/>
      <c r="M833" s="65"/>
      <c r="N833" s="65"/>
      <c r="O833" s="65"/>
      <c r="P833" s="65"/>
      <c r="Q833" s="65"/>
      <c r="R833" s="65"/>
      <c r="S833" s="65"/>
      <c r="T833" s="65"/>
      <c r="U833" s="65"/>
      <c r="V833" s="65"/>
      <c r="W833" s="65"/>
      <c r="X833" s="65"/>
      <c r="Y833" s="65"/>
      <c r="Z833" s="65"/>
    </row>
    <row r="834" ht="15.75" customHeight="1">
      <c r="A834" s="65"/>
      <c r="B834" s="65"/>
      <c r="C834" s="65"/>
      <c r="D834" s="65"/>
      <c r="E834" s="65"/>
      <c r="F834" s="65"/>
      <c r="I834" s="65"/>
      <c r="J834" s="65"/>
      <c r="K834" s="65"/>
      <c r="L834" s="65"/>
      <c r="M834" s="65"/>
      <c r="N834" s="65"/>
      <c r="O834" s="65"/>
      <c r="P834" s="65"/>
      <c r="Q834" s="65"/>
      <c r="R834" s="65"/>
      <c r="S834" s="65"/>
      <c r="T834" s="65"/>
      <c r="U834" s="65"/>
      <c r="V834" s="65"/>
      <c r="W834" s="65"/>
      <c r="X834" s="65"/>
      <c r="Y834" s="65"/>
      <c r="Z834" s="65"/>
    </row>
    <row r="835" ht="15.75" customHeight="1">
      <c r="A835" s="65"/>
      <c r="B835" s="65"/>
      <c r="C835" s="65"/>
      <c r="D835" s="65"/>
      <c r="E835" s="65"/>
      <c r="F835" s="65"/>
      <c r="I835" s="65"/>
      <c r="J835" s="65"/>
      <c r="K835" s="65"/>
      <c r="L835" s="65"/>
      <c r="M835" s="65"/>
      <c r="N835" s="65"/>
      <c r="O835" s="65"/>
      <c r="P835" s="65"/>
      <c r="Q835" s="65"/>
      <c r="R835" s="65"/>
      <c r="S835" s="65"/>
      <c r="T835" s="65"/>
      <c r="U835" s="65"/>
      <c r="V835" s="65"/>
      <c r="W835" s="65"/>
      <c r="X835" s="65"/>
      <c r="Y835" s="65"/>
      <c r="Z835" s="65"/>
    </row>
    <row r="836" ht="15.75" customHeight="1">
      <c r="A836" s="65"/>
      <c r="B836" s="65"/>
      <c r="C836" s="65"/>
      <c r="D836" s="65"/>
      <c r="E836" s="65"/>
      <c r="F836" s="65"/>
      <c r="I836" s="65"/>
      <c r="J836" s="65"/>
      <c r="K836" s="65"/>
      <c r="L836" s="65"/>
      <c r="M836" s="65"/>
      <c r="N836" s="65"/>
      <c r="O836" s="65"/>
      <c r="P836" s="65"/>
      <c r="Q836" s="65"/>
      <c r="R836" s="65"/>
      <c r="S836" s="65"/>
      <c r="T836" s="65"/>
      <c r="U836" s="65"/>
      <c r="V836" s="65"/>
      <c r="W836" s="65"/>
      <c r="X836" s="65"/>
      <c r="Y836" s="65"/>
      <c r="Z836" s="65"/>
    </row>
    <row r="837" ht="15.75" customHeight="1">
      <c r="A837" s="65"/>
      <c r="B837" s="65"/>
      <c r="C837" s="65"/>
      <c r="D837" s="65"/>
      <c r="E837" s="65"/>
      <c r="F837" s="65"/>
      <c r="I837" s="65"/>
      <c r="J837" s="65"/>
      <c r="K837" s="65"/>
      <c r="L837" s="65"/>
      <c r="M837" s="65"/>
      <c r="N837" s="65"/>
      <c r="O837" s="65"/>
      <c r="P837" s="65"/>
      <c r="Q837" s="65"/>
      <c r="R837" s="65"/>
      <c r="S837" s="65"/>
      <c r="T837" s="65"/>
      <c r="U837" s="65"/>
      <c r="V837" s="65"/>
      <c r="W837" s="65"/>
      <c r="X837" s="65"/>
      <c r="Y837" s="65"/>
      <c r="Z837" s="65"/>
    </row>
    <row r="838" ht="15.75" customHeight="1">
      <c r="A838" s="65"/>
      <c r="B838" s="65"/>
      <c r="C838" s="65"/>
      <c r="D838" s="65"/>
      <c r="E838" s="65"/>
      <c r="F838" s="65"/>
      <c r="I838" s="65"/>
      <c r="J838" s="65"/>
      <c r="K838" s="65"/>
      <c r="L838" s="65"/>
      <c r="M838" s="65"/>
      <c r="N838" s="65"/>
      <c r="O838" s="65"/>
      <c r="P838" s="65"/>
      <c r="Q838" s="65"/>
      <c r="R838" s="65"/>
      <c r="S838" s="65"/>
      <c r="T838" s="65"/>
      <c r="U838" s="65"/>
      <c r="V838" s="65"/>
      <c r="W838" s="65"/>
      <c r="X838" s="65"/>
      <c r="Y838" s="65"/>
      <c r="Z838" s="65"/>
    </row>
    <row r="839" ht="15.75" customHeight="1">
      <c r="A839" s="65"/>
      <c r="B839" s="65"/>
      <c r="C839" s="65"/>
      <c r="D839" s="65"/>
      <c r="E839" s="65"/>
      <c r="F839" s="65"/>
      <c r="I839" s="65"/>
      <c r="J839" s="65"/>
      <c r="K839" s="65"/>
      <c r="L839" s="65"/>
      <c r="M839" s="65"/>
      <c r="N839" s="65"/>
      <c r="O839" s="65"/>
      <c r="P839" s="65"/>
      <c r="Q839" s="65"/>
      <c r="R839" s="65"/>
      <c r="S839" s="65"/>
      <c r="T839" s="65"/>
      <c r="U839" s="65"/>
      <c r="V839" s="65"/>
      <c r="W839" s="65"/>
      <c r="X839" s="65"/>
      <c r="Y839" s="65"/>
      <c r="Z839" s="65"/>
    </row>
    <row r="840" ht="15.75" customHeight="1">
      <c r="A840" s="65"/>
      <c r="B840" s="65"/>
      <c r="C840" s="65"/>
      <c r="D840" s="65"/>
      <c r="E840" s="65"/>
      <c r="F840" s="65"/>
      <c r="I840" s="65"/>
      <c r="J840" s="65"/>
      <c r="K840" s="65"/>
      <c r="L840" s="65"/>
      <c r="M840" s="65"/>
      <c r="N840" s="65"/>
      <c r="O840" s="65"/>
      <c r="P840" s="65"/>
      <c r="Q840" s="65"/>
      <c r="R840" s="65"/>
      <c r="S840" s="65"/>
      <c r="T840" s="65"/>
      <c r="U840" s="65"/>
      <c r="V840" s="65"/>
      <c r="W840" s="65"/>
      <c r="X840" s="65"/>
      <c r="Y840" s="65"/>
      <c r="Z840" s="65"/>
    </row>
    <row r="841" ht="15.75" customHeight="1">
      <c r="A841" s="65"/>
      <c r="B841" s="65"/>
      <c r="C841" s="65"/>
      <c r="D841" s="65"/>
      <c r="E841" s="65"/>
      <c r="F841" s="65"/>
      <c r="I841" s="65"/>
      <c r="J841" s="65"/>
      <c r="K841" s="65"/>
      <c r="L841" s="65"/>
      <c r="M841" s="65"/>
      <c r="N841" s="65"/>
      <c r="O841" s="65"/>
      <c r="P841" s="65"/>
      <c r="Q841" s="65"/>
      <c r="R841" s="65"/>
      <c r="S841" s="65"/>
      <c r="T841" s="65"/>
      <c r="U841" s="65"/>
      <c r="V841" s="65"/>
      <c r="W841" s="65"/>
      <c r="X841" s="65"/>
      <c r="Y841" s="65"/>
      <c r="Z841" s="65"/>
    </row>
    <row r="842" ht="15.75" customHeight="1">
      <c r="A842" s="65"/>
      <c r="B842" s="65"/>
      <c r="C842" s="65"/>
      <c r="D842" s="65"/>
      <c r="E842" s="65"/>
      <c r="F842" s="65"/>
      <c r="I842" s="65"/>
      <c r="J842" s="65"/>
      <c r="K842" s="65"/>
      <c r="L842" s="65"/>
      <c r="M842" s="65"/>
      <c r="N842" s="65"/>
      <c r="O842" s="65"/>
      <c r="P842" s="65"/>
      <c r="Q842" s="65"/>
      <c r="R842" s="65"/>
      <c r="S842" s="65"/>
      <c r="T842" s="65"/>
      <c r="U842" s="65"/>
      <c r="V842" s="65"/>
      <c r="W842" s="65"/>
      <c r="X842" s="65"/>
      <c r="Y842" s="65"/>
      <c r="Z842" s="65"/>
    </row>
    <row r="843" ht="15.75" customHeight="1">
      <c r="A843" s="65"/>
      <c r="B843" s="65"/>
      <c r="C843" s="65"/>
      <c r="D843" s="65"/>
      <c r="E843" s="65"/>
      <c r="F843" s="65"/>
      <c r="I843" s="65"/>
      <c r="J843" s="65"/>
      <c r="K843" s="65"/>
      <c r="L843" s="65"/>
      <c r="M843" s="65"/>
      <c r="N843" s="65"/>
      <c r="O843" s="65"/>
      <c r="P843" s="65"/>
      <c r="Q843" s="65"/>
      <c r="R843" s="65"/>
      <c r="S843" s="65"/>
      <c r="T843" s="65"/>
      <c r="U843" s="65"/>
      <c r="V843" s="65"/>
      <c r="W843" s="65"/>
      <c r="X843" s="65"/>
      <c r="Y843" s="65"/>
      <c r="Z843" s="65"/>
    </row>
    <row r="844" ht="15.75" customHeight="1">
      <c r="A844" s="65"/>
      <c r="B844" s="65"/>
      <c r="C844" s="65"/>
      <c r="D844" s="65"/>
      <c r="E844" s="65"/>
      <c r="F844" s="65"/>
      <c r="I844" s="65"/>
      <c r="J844" s="65"/>
      <c r="K844" s="65"/>
      <c r="L844" s="65"/>
      <c r="M844" s="65"/>
      <c r="N844" s="65"/>
      <c r="O844" s="65"/>
      <c r="P844" s="65"/>
      <c r="Q844" s="65"/>
      <c r="R844" s="65"/>
      <c r="S844" s="65"/>
      <c r="T844" s="65"/>
      <c r="U844" s="65"/>
      <c r="V844" s="65"/>
      <c r="W844" s="65"/>
      <c r="X844" s="65"/>
      <c r="Y844" s="65"/>
      <c r="Z844" s="65"/>
    </row>
    <row r="845" ht="15.75" customHeight="1">
      <c r="A845" s="65"/>
      <c r="B845" s="65"/>
      <c r="C845" s="65"/>
      <c r="D845" s="65"/>
      <c r="E845" s="65"/>
      <c r="F845" s="65"/>
      <c r="I845" s="65"/>
      <c r="J845" s="65"/>
      <c r="K845" s="65"/>
      <c r="L845" s="65"/>
      <c r="M845" s="65"/>
      <c r="N845" s="65"/>
      <c r="O845" s="65"/>
      <c r="P845" s="65"/>
      <c r="Q845" s="65"/>
      <c r="R845" s="65"/>
      <c r="S845" s="65"/>
      <c r="T845" s="65"/>
      <c r="U845" s="65"/>
      <c r="V845" s="65"/>
      <c r="W845" s="65"/>
      <c r="X845" s="65"/>
      <c r="Y845" s="65"/>
      <c r="Z845" s="65"/>
    </row>
    <row r="846" ht="15.75" customHeight="1">
      <c r="A846" s="65"/>
      <c r="B846" s="65"/>
      <c r="C846" s="65"/>
      <c r="D846" s="65"/>
      <c r="E846" s="65"/>
      <c r="F846" s="65"/>
      <c r="I846" s="65"/>
      <c r="J846" s="65"/>
      <c r="K846" s="65"/>
      <c r="L846" s="65"/>
      <c r="M846" s="65"/>
      <c r="N846" s="65"/>
      <c r="O846" s="65"/>
      <c r="P846" s="65"/>
      <c r="Q846" s="65"/>
      <c r="R846" s="65"/>
      <c r="S846" s="65"/>
      <c r="T846" s="65"/>
      <c r="U846" s="65"/>
      <c r="V846" s="65"/>
      <c r="W846" s="65"/>
      <c r="X846" s="65"/>
      <c r="Y846" s="65"/>
      <c r="Z846" s="65"/>
    </row>
    <row r="847" ht="15.75" customHeight="1">
      <c r="A847" s="65"/>
      <c r="B847" s="65"/>
      <c r="C847" s="65"/>
      <c r="D847" s="65"/>
      <c r="E847" s="65"/>
      <c r="F847" s="65"/>
      <c r="I847" s="65"/>
      <c r="J847" s="65"/>
      <c r="K847" s="65"/>
      <c r="L847" s="65"/>
      <c r="M847" s="65"/>
      <c r="N847" s="65"/>
      <c r="O847" s="65"/>
      <c r="P847" s="65"/>
      <c r="Q847" s="65"/>
      <c r="R847" s="65"/>
      <c r="S847" s="65"/>
      <c r="T847" s="65"/>
      <c r="U847" s="65"/>
      <c r="V847" s="65"/>
      <c r="W847" s="65"/>
      <c r="X847" s="65"/>
      <c r="Y847" s="65"/>
      <c r="Z847" s="65"/>
    </row>
    <row r="848" ht="15.75" customHeight="1">
      <c r="A848" s="65"/>
      <c r="B848" s="65"/>
      <c r="C848" s="65"/>
      <c r="D848" s="65"/>
      <c r="E848" s="65"/>
      <c r="F848" s="65"/>
      <c r="I848" s="65"/>
      <c r="J848" s="65"/>
      <c r="K848" s="65"/>
      <c r="L848" s="65"/>
      <c r="M848" s="65"/>
      <c r="N848" s="65"/>
      <c r="O848" s="65"/>
      <c r="P848" s="65"/>
      <c r="Q848" s="65"/>
      <c r="R848" s="65"/>
      <c r="S848" s="65"/>
      <c r="T848" s="65"/>
      <c r="U848" s="65"/>
      <c r="V848" s="65"/>
      <c r="W848" s="65"/>
      <c r="X848" s="65"/>
      <c r="Y848" s="65"/>
      <c r="Z848" s="65"/>
    </row>
    <row r="849" ht="15.75" customHeight="1">
      <c r="A849" s="65"/>
      <c r="B849" s="65"/>
      <c r="C849" s="65"/>
      <c r="D849" s="65"/>
      <c r="E849" s="65"/>
      <c r="F849" s="65"/>
      <c r="I849" s="65"/>
      <c r="J849" s="65"/>
      <c r="K849" s="65"/>
      <c r="L849" s="65"/>
      <c r="M849" s="65"/>
      <c r="N849" s="65"/>
      <c r="O849" s="65"/>
      <c r="P849" s="65"/>
      <c r="Q849" s="65"/>
      <c r="R849" s="65"/>
      <c r="S849" s="65"/>
      <c r="T849" s="65"/>
      <c r="U849" s="65"/>
      <c r="V849" s="65"/>
      <c r="W849" s="65"/>
      <c r="X849" s="65"/>
      <c r="Y849" s="65"/>
      <c r="Z849" s="65"/>
    </row>
    <row r="850" ht="15.75" customHeight="1">
      <c r="A850" s="65"/>
      <c r="B850" s="65"/>
      <c r="C850" s="65"/>
      <c r="D850" s="65"/>
      <c r="E850" s="65"/>
      <c r="F850" s="65"/>
      <c r="I850" s="65"/>
      <c r="J850" s="65"/>
      <c r="K850" s="65"/>
      <c r="L850" s="65"/>
      <c r="M850" s="65"/>
      <c r="N850" s="65"/>
      <c r="O850" s="65"/>
      <c r="P850" s="65"/>
      <c r="Q850" s="65"/>
      <c r="R850" s="65"/>
      <c r="S850" s="65"/>
      <c r="T850" s="65"/>
      <c r="U850" s="65"/>
      <c r="V850" s="65"/>
      <c r="W850" s="65"/>
      <c r="X850" s="65"/>
      <c r="Y850" s="65"/>
      <c r="Z850" s="65"/>
    </row>
    <row r="851" ht="15.75" customHeight="1">
      <c r="A851" s="65"/>
      <c r="B851" s="65"/>
      <c r="C851" s="65"/>
      <c r="D851" s="65"/>
      <c r="E851" s="65"/>
      <c r="F851" s="65"/>
      <c r="I851" s="65"/>
      <c r="J851" s="65"/>
      <c r="K851" s="65"/>
      <c r="L851" s="65"/>
      <c r="M851" s="65"/>
      <c r="N851" s="65"/>
      <c r="O851" s="65"/>
      <c r="P851" s="65"/>
      <c r="Q851" s="65"/>
      <c r="R851" s="65"/>
      <c r="S851" s="65"/>
      <c r="T851" s="65"/>
      <c r="U851" s="65"/>
      <c r="V851" s="65"/>
      <c r="W851" s="65"/>
      <c r="X851" s="65"/>
      <c r="Y851" s="65"/>
      <c r="Z851" s="65"/>
    </row>
    <row r="852" ht="15.75" customHeight="1">
      <c r="A852" s="65"/>
      <c r="B852" s="65"/>
      <c r="C852" s="65"/>
      <c r="D852" s="65"/>
      <c r="E852" s="65"/>
      <c r="F852" s="65"/>
      <c r="I852" s="65"/>
      <c r="J852" s="65"/>
      <c r="K852" s="65"/>
      <c r="L852" s="65"/>
      <c r="M852" s="65"/>
      <c r="N852" s="65"/>
      <c r="O852" s="65"/>
      <c r="P852" s="65"/>
      <c r="Q852" s="65"/>
      <c r="R852" s="65"/>
      <c r="S852" s="65"/>
      <c r="T852" s="65"/>
      <c r="U852" s="65"/>
      <c r="V852" s="65"/>
      <c r="W852" s="65"/>
      <c r="X852" s="65"/>
      <c r="Y852" s="65"/>
      <c r="Z852" s="65"/>
    </row>
    <row r="853" ht="15.75" customHeight="1">
      <c r="A853" s="65"/>
      <c r="B853" s="65"/>
      <c r="C853" s="65"/>
      <c r="D853" s="65"/>
      <c r="E853" s="65"/>
      <c r="F853" s="65"/>
      <c r="I853" s="65"/>
      <c r="J853" s="65"/>
      <c r="K853" s="65"/>
      <c r="L853" s="65"/>
      <c r="M853" s="65"/>
      <c r="N853" s="65"/>
      <c r="O853" s="65"/>
      <c r="P853" s="65"/>
      <c r="Q853" s="65"/>
      <c r="R853" s="65"/>
      <c r="S853" s="65"/>
      <c r="T853" s="65"/>
      <c r="U853" s="65"/>
      <c r="V853" s="65"/>
      <c r="W853" s="65"/>
      <c r="X853" s="65"/>
      <c r="Y853" s="65"/>
      <c r="Z853" s="65"/>
    </row>
    <row r="854" ht="15.75" customHeight="1">
      <c r="A854" s="65"/>
      <c r="B854" s="65"/>
      <c r="C854" s="65"/>
      <c r="D854" s="65"/>
      <c r="E854" s="65"/>
      <c r="F854" s="65"/>
      <c r="I854" s="65"/>
      <c r="J854" s="65"/>
      <c r="K854" s="65"/>
      <c r="L854" s="65"/>
      <c r="M854" s="65"/>
      <c r="N854" s="65"/>
      <c r="O854" s="65"/>
      <c r="P854" s="65"/>
      <c r="Q854" s="65"/>
      <c r="R854" s="65"/>
      <c r="S854" s="65"/>
      <c r="T854" s="65"/>
      <c r="U854" s="65"/>
      <c r="V854" s="65"/>
      <c r="W854" s="65"/>
      <c r="X854" s="65"/>
      <c r="Y854" s="65"/>
      <c r="Z854" s="65"/>
    </row>
    <row r="855" ht="15.75" customHeight="1">
      <c r="A855" s="65"/>
      <c r="B855" s="65"/>
      <c r="C855" s="65"/>
      <c r="D855" s="65"/>
      <c r="E855" s="65"/>
      <c r="F855" s="65"/>
      <c r="I855" s="65"/>
      <c r="J855" s="65"/>
      <c r="K855" s="65"/>
      <c r="L855" s="65"/>
      <c r="M855" s="65"/>
      <c r="N855" s="65"/>
      <c r="O855" s="65"/>
      <c r="P855" s="65"/>
      <c r="Q855" s="65"/>
      <c r="R855" s="65"/>
      <c r="S855" s="65"/>
      <c r="T855" s="65"/>
      <c r="U855" s="65"/>
      <c r="V855" s="65"/>
      <c r="W855" s="65"/>
      <c r="X855" s="65"/>
      <c r="Y855" s="65"/>
      <c r="Z855" s="65"/>
    </row>
    <row r="856" ht="15.75" customHeight="1">
      <c r="A856" s="65"/>
      <c r="B856" s="65"/>
      <c r="C856" s="65"/>
      <c r="D856" s="65"/>
      <c r="E856" s="65"/>
      <c r="F856" s="65"/>
      <c r="I856" s="65"/>
      <c r="J856" s="65"/>
      <c r="K856" s="65"/>
      <c r="L856" s="65"/>
      <c r="M856" s="65"/>
      <c r="N856" s="65"/>
      <c r="O856" s="65"/>
      <c r="P856" s="65"/>
      <c r="Q856" s="65"/>
      <c r="R856" s="65"/>
      <c r="S856" s="65"/>
      <c r="T856" s="65"/>
      <c r="U856" s="65"/>
      <c r="V856" s="65"/>
      <c r="W856" s="65"/>
      <c r="X856" s="65"/>
      <c r="Y856" s="65"/>
      <c r="Z856" s="65"/>
    </row>
    <row r="857" ht="15.75" customHeight="1">
      <c r="A857" s="65"/>
      <c r="B857" s="65"/>
      <c r="C857" s="65"/>
      <c r="D857" s="65"/>
      <c r="E857" s="65"/>
      <c r="F857" s="65"/>
      <c r="I857" s="65"/>
      <c r="J857" s="65"/>
      <c r="K857" s="65"/>
      <c r="L857" s="65"/>
      <c r="M857" s="65"/>
      <c r="N857" s="65"/>
      <c r="O857" s="65"/>
      <c r="P857" s="65"/>
      <c r="Q857" s="65"/>
      <c r="R857" s="65"/>
      <c r="S857" s="65"/>
      <c r="T857" s="65"/>
      <c r="U857" s="65"/>
      <c r="V857" s="65"/>
      <c r="W857" s="65"/>
      <c r="X857" s="65"/>
      <c r="Y857" s="65"/>
      <c r="Z857" s="65"/>
    </row>
    <row r="858" ht="15.75" customHeight="1">
      <c r="A858" s="65"/>
      <c r="B858" s="65"/>
      <c r="C858" s="65"/>
      <c r="D858" s="65"/>
      <c r="E858" s="65"/>
      <c r="F858" s="65"/>
      <c r="I858" s="65"/>
      <c r="J858" s="65"/>
      <c r="K858" s="65"/>
      <c r="L858" s="65"/>
      <c r="M858" s="65"/>
      <c r="N858" s="65"/>
      <c r="O858" s="65"/>
      <c r="P858" s="65"/>
      <c r="Q858" s="65"/>
      <c r="R858" s="65"/>
      <c r="S858" s="65"/>
      <c r="T858" s="65"/>
      <c r="U858" s="65"/>
      <c r="V858" s="65"/>
      <c r="W858" s="65"/>
      <c r="X858" s="65"/>
      <c r="Y858" s="65"/>
      <c r="Z858" s="65"/>
    </row>
    <row r="859" ht="15.75" customHeight="1">
      <c r="A859" s="65"/>
      <c r="B859" s="65"/>
      <c r="C859" s="65"/>
      <c r="D859" s="65"/>
      <c r="E859" s="65"/>
      <c r="F859" s="65"/>
      <c r="I859" s="65"/>
      <c r="J859" s="65"/>
      <c r="K859" s="65"/>
      <c r="L859" s="65"/>
      <c r="M859" s="65"/>
      <c r="N859" s="65"/>
      <c r="O859" s="65"/>
      <c r="P859" s="65"/>
      <c r="Q859" s="65"/>
      <c r="R859" s="65"/>
      <c r="S859" s="65"/>
      <c r="T859" s="65"/>
      <c r="U859" s="65"/>
      <c r="V859" s="65"/>
      <c r="W859" s="65"/>
      <c r="X859" s="65"/>
      <c r="Y859" s="65"/>
      <c r="Z859" s="65"/>
    </row>
    <row r="860" ht="15.75" customHeight="1">
      <c r="A860" s="65"/>
      <c r="B860" s="65"/>
      <c r="C860" s="65"/>
      <c r="D860" s="65"/>
      <c r="E860" s="65"/>
      <c r="F860" s="65"/>
      <c r="I860" s="65"/>
      <c r="J860" s="65"/>
      <c r="K860" s="65"/>
      <c r="L860" s="65"/>
      <c r="M860" s="65"/>
      <c r="N860" s="65"/>
      <c r="O860" s="65"/>
      <c r="P860" s="65"/>
      <c r="Q860" s="65"/>
      <c r="R860" s="65"/>
      <c r="S860" s="65"/>
      <c r="T860" s="65"/>
      <c r="U860" s="65"/>
      <c r="V860" s="65"/>
      <c r="W860" s="65"/>
      <c r="X860" s="65"/>
      <c r="Y860" s="65"/>
      <c r="Z860" s="65"/>
    </row>
    <row r="861" ht="15.75" customHeight="1">
      <c r="A861" s="65"/>
      <c r="B861" s="65"/>
      <c r="C861" s="65"/>
      <c r="D861" s="65"/>
      <c r="E861" s="65"/>
      <c r="F861" s="65"/>
      <c r="I861" s="65"/>
      <c r="J861" s="65"/>
      <c r="K861" s="65"/>
      <c r="L861" s="65"/>
      <c r="M861" s="65"/>
      <c r="N861" s="65"/>
      <c r="O861" s="65"/>
      <c r="P861" s="65"/>
      <c r="Q861" s="65"/>
      <c r="R861" s="65"/>
      <c r="S861" s="65"/>
      <c r="T861" s="65"/>
      <c r="U861" s="65"/>
      <c r="V861" s="65"/>
      <c r="W861" s="65"/>
      <c r="X861" s="65"/>
      <c r="Y861" s="65"/>
      <c r="Z861" s="65"/>
    </row>
    <row r="862" ht="15.75" customHeight="1">
      <c r="A862" s="65"/>
      <c r="B862" s="65"/>
      <c r="C862" s="65"/>
      <c r="D862" s="65"/>
      <c r="E862" s="65"/>
      <c r="F862" s="65"/>
      <c r="I862" s="65"/>
      <c r="J862" s="65"/>
      <c r="K862" s="65"/>
      <c r="L862" s="65"/>
      <c r="M862" s="65"/>
      <c r="N862" s="65"/>
      <c r="O862" s="65"/>
      <c r="P862" s="65"/>
      <c r="Q862" s="65"/>
      <c r="R862" s="65"/>
      <c r="S862" s="65"/>
      <c r="T862" s="65"/>
      <c r="U862" s="65"/>
      <c r="V862" s="65"/>
      <c r="W862" s="65"/>
      <c r="X862" s="65"/>
      <c r="Y862" s="65"/>
      <c r="Z862" s="65"/>
    </row>
    <row r="863" ht="15.75" customHeight="1">
      <c r="A863" s="65"/>
      <c r="B863" s="65"/>
      <c r="C863" s="65"/>
      <c r="D863" s="65"/>
      <c r="E863" s="65"/>
      <c r="F863" s="65"/>
      <c r="I863" s="65"/>
      <c r="J863" s="65"/>
      <c r="K863" s="65"/>
      <c r="L863" s="65"/>
      <c r="M863" s="65"/>
      <c r="N863" s="65"/>
      <c r="O863" s="65"/>
      <c r="P863" s="65"/>
      <c r="Q863" s="65"/>
      <c r="R863" s="65"/>
      <c r="S863" s="65"/>
      <c r="T863" s="65"/>
      <c r="U863" s="65"/>
      <c r="V863" s="65"/>
      <c r="W863" s="65"/>
      <c r="X863" s="65"/>
      <c r="Y863" s="65"/>
      <c r="Z863" s="65"/>
    </row>
    <row r="864" ht="15.75" customHeight="1">
      <c r="A864" s="65"/>
      <c r="B864" s="65"/>
      <c r="C864" s="65"/>
      <c r="D864" s="65"/>
      <c r="E864" s="65"/>
      <c r="F864" s="65"/>
      <c r="I864" s="65"/>
      <c r="J864" s="65"/>
      <c r="K864" s="65"/>
      <c r="L864" s="65"/>
      <c r="M864" s="65"/>
      <c r="N864" s="65"/>
      <c r="O864" s="65"/>
      <c r="P864" s="65"/>
      <c r="Q864" s="65"/>
      <c r="R864" s="65"/>
      <c r="S864" s="65"/>
      <c r="T864" s="65"/>
      <c r="U864" s="65"/>
      <c r="V864" s="65"/>
      <c r="W864" s="65"/>
      <c r="X864" s="65"/>
      <c r="Y864" s="65"/>
      <c r="Z864" s="65"/>
    </row>
    <row r="865" ht="15.75" customHeight="1">
      <c r="A865" s="65"/>
      <c r="B865" s="65"/>
      <c r="C865" s="65"/>
      <c r="D865" s="65"/>
      <c r="E865" s="65"/>
      <c r="F865" s="65"/>
      <c r="I865" s="65"/>
      <c r="J865" s="65"/>
      <c r="K865" s="65"/>
      <c r="L865" s="65"/>
      <c r="M865" s="65"/>
      <c r="N865" s="65"/>
      <c r="O865" s="65"/>
      <c r="P865" s="65"/>
      <c r="Q865" s="65"/>
      <c r="R865" s="65"/>
      <c r="S865" s="65"/>
      <c r="T865" s="65"/>
      <c r="U865" s="65"/>
      <c r="V865" s="65"/>
      <c r="W865" s="65"/>
      <c r="X865" s="65"/>
      <c r="Y865" s="65"/>
      <c r="Z865" s="65"/>
    </row>
    <row r="866" ht="15.75" customHeight="1">
      <c r="A866" s="65"/>
      <c r="B866" s="65"/>
      <c r="C866" s="65"/>
      <c r="D866" s="65"/>
      <c r="E866" s="65"/>
      <c r="F866" s="65"/>
      <c r="I866" s="65"/>
      <c r="J866" s="65"/>
      <c r="K866" s="65"/>
      <c r="L866" s="65"/>
      <c r="M866" s="65"/>
      <c r="N866" s="65"/>
      <c r="O866" s="65"/>
      <c r="P866" s="65"/>
      <c r="Q866" s="65"/>
      <c r="R866" s="65"/>
      <c r="S866" s="65"/>
      <c r="T866" s="65"/>
      <c r="U866" s="65"/>
      <c r="V866" s="65"/>
      <c r="W866" s="65"/>
      <c r="X866" s="65"/>
      <c r="Y866" s="65"/>
      <c r="Z866" s="65"/>
    </row>
    <row r="867" ht="15.75" customHeight="1">
      <c r="A867" s="65"/>
      <c r="B867" s="65"/>
      <c r="C867" s="65"/>
      <c r="D867" s="65"/>
      <c r="E867" s="65"/>
      <c r="F867" s="65"/>
      <c r="I867" s="65"/>
      <c r="J867" s="65"/>
      <c r="K867" s="65"/>
      <c r="L867" s="65"/>
      <c r="M867" s="65"/>
      <c r="N867" s="65"/>
      <c r="O867" s="65"/>
      <c r="P867" s="65"/>
      <c r="Q867" s="65"/>
      <c r="R867" s="65"/>
      <c r="S867" s="65"/>
      <c r="T867" s="65"/>
      <c r="U867" s="65"/>
      <c r="V867" s="65"/>
      <c r="W867" s="65"/>
      <c r="X867" s="65"/>
      <c r="Y867" s="65"/>
      <c r="Z867" s="65"/>
    </row>
    <row r="868" ht="15.75" customHeight="1">
      <c r="A868" s="65"/>
      <c r="B868" s="65"/>
      <c r="C868" s="65"/>
      <c r="D868" s="65"/>
      <c r="E868" s="65"/>
      <c r="F868" s="65"/>
      <c r="I868" s="65"/>
      <c r="J868" s="65"/>
      <c r="K868" s="65"/>
      <c r="L868" s="65"/>
      <c r="M868" s="65"/>
      <c r="N868" s="65"/>
      <c r="O868" s="65"/>
      <c r="P868" s="65"/>
      <c r="Q868" s="65"/>
      <c r="R868" s="65"/>
      <c r="S868" s="65"/>
      <c r="T868" s="65"/>
      <c r="U868" s="65"/>
      <c r="V868" s="65"/>
      <c r="W868" s="65"/>
      <c r="X868" s="65"/>
      <c r="Y868" s="65"/>
      <c r="Z868" s="65"/>
    </row>
    <row r="869" ht="15.75" customHeight="1">
      <c r="A869" s="65"/>
      <c r="B869" s="65"/>
      <c r="C869" s="65"/>
      <c r="D869" s="65"/>
      <c r="E869" s="65"/>
      <c r="F869" s="65"/>
      <c r="I869" s="65"/>
      <c r="J869" s="65"/>
      <c r="K869" s="65"/>
      <c r="L869" s="65"/>
      <c r="M869" s="65"/>
      <c r="N869" s="65"/>
      <c r="O869" s="65"/>
      <c r="P869" s="65"/>
      <c r="Q869" s="65"/>
      <c r="R869" s="65"/>
      <c r="S869" s="65"/>
      <c r="T869" s="65"/>
      <c r="U869" s="65"/>
      <c r="V869" s="65"/>
      <c r="W869" s="65"/>
      <c r="X869" s="65"/>
      <c r="Y869" s="65"/>
      <c r="Z869" s="65"/>
    </row>
    <row r="870" ht="15.75" customHeight="1">
      <c r="A870" s="65"/>
      <c r="B870" s="65"/>
      <c r="C870" s="65"/>
      <c r="D870" s="65"/>
      <c r="E870" s="65"/>
      <c r="F870" s="65"/>
      <c r="I870" s="65"/>
      <c r="J870" s="65"/>
      <c r="K870" s="65"/>
      <c r="L870" s="65"/>
      <c r="M870" s="65"/>
      <c r="N870" s="65"/>
      <c r="O870" s="65"/>
      <c r="P870" s="65"/>
      <c r="Q870" s="65"/>
      <c r="R870" s="65"/>
      <c r="S870" s="65"/>
      <c r="T870" s="65"/>
      <c r="U870" s="65"/>
      <c r="V870" s="65"/>
      <c r="W870" s="65"/>
      <c r="X870" s="65"/>
      <c r="Y870" s="65"/>
      <c r="Z870" s="65"/>
    </row>
    <row r="871" ht="15.75" customHeight="1">
      <c r="A871" s="65"/>
      <c r="B871" s="65"/>
      <c r="C871" s="65"/>
      <c r="D871" s="65"/>
      <c r="E871" s="65"/>
      <c r="F871" s="65"/>
      <c r="I871" s="65"/>
      <c r="J871" s="65"/>
      <c r="K871" s="65"/>
      <c r="L871" s="65"/>
      <c r="M871" s="65"/>
      <c r="N871" s="65"/>
      <c r="O871" s="65"/>
      <c r="P871" s="65"/>
      <c r="Q871" s="65"/>
      <c r="R871" s="65"/>
      <c r="S871" s="65"/>
      <c r="T871" s="65"/>
      <c r="U871" s="65"/>
      <c r="V871" s="65"/>
      <c r="W871" s="65"/>
      <c r="X871" s="65"/>
      <c r="Y871" s="65"/>
      <c r="Z871" s="65"/>
    </row>
    <row r="872" ht="15.75" customHeight="1">
      <c r="A872" s="65"/>
      <c r="B872" s="65"/>
      <c r="C872" s="65"/>
      <c r="D872" s="65"/>
      <c r="E872" s="65"/>
      <c r="F872" s="65"/>
      <c r="I872" s="65"/>
      <c r="J872" s="65"/>
      <c r="K872" s="65"/>
      <c r="L872" s="65"/>
      <c r="M872" s="65"/>
      <c r="N872" s="65"/>
      <c r="O872" s="65"/>
      <c r="P872" s="65"/>
      <c r="Q872" s="65"/>
      <c r="R872" s="65"/>
      <c r="S872" s="65"/>
      <c r="T872" s="65"/>
      <c r="U872" s="65"/>
      <c r="V872" s="65"/>
      <c r="W872" s="65"/>
      <c r="X872" s="65"/>
      <c r="Y872" s="65"/>
      <c r="Z872" s="65"/>
    </row>
    <row r="873" ht="15.75" customHeight="1">
      <c r="A873" s="65"/>
      <c r="B873" s="65"/>
      <c r="C873" s="65"/>
      <c r="D873" s="65"/>
      <c r="E873" s="65"/>
      <c r="F873" s="65"/>
      <c r="I873" s="65"/>
      <c r="J873" s="65"/>
      <c r="K873" s="65"/>
      <c r="L873" s="65"/>
      <c r="M873" s="65"/>
      <c r="N873" s="65"/>
      <c r="O873" s="65"/>
      <c r="P873" s="65"/>
      <c r="Q873" s="65"/>
      <c r="R873" s="65"/>
      <c r="S873" s="65"/>
      <c r="T873" s="65"/>
      <c r="U873" s="65"/>
      <c r="V873" s="65"/>
      <c r="W873" s="65"/>
      <c r="X873" s="65"/>
      <c r="Y873" s="65"/>
      <c r="Z873" s="65"/>
    </row>
    <row r="874" ht="15.75" customHeight="1">
      <c r="A874" s="65"/>
      <c r="B874" s="65"/>
      <c r="C874" s="65"/>
      <c r="D874" s="65"/>
      <c r="E874" s="65"/>
      <c r="F874" s="65"/>
      <c r="I874" s="65"/>
      <c r="J874" s="65"/>
      <c r="K874" s="65"/>
      <c r="L874" s="65"/>
      <c r="M874" s="65"/>
      <c r="N874" s="65"/>
      <c r="O874" s="65"/>
      <c r="P874" s="65"/>
      <c r="Q874" s="65"/>
      <c r="R874" s="65"/>
      <c r="S874" s="65"/>
      <c r="T874" s="65"/>
      <c r="U874" s="65"/>
      <c r="V874" s="65"/>
      <c r="W874" s="65"/>
      <c r="X874" s="65"/>
      <c r="Y874" s="65"/>
      <c r="Z874" s="65"/>
    </row>
    <row r="875" ht="15.75" customHeight="1">
      <c r="A875" s="65"/>
      <c r="B875" s="65"/>
      <c r="C875" s="65"/>
      <c r="D875" s="65"/>
      <c r="E875" s="65"/>
      <c r="F875" s="65"/>
      <c r="I875" s="65"/>
      <c r="J875" s="65"/>
      <c r="K875" s="65"/>
      <c r="L875" s="65"/>
      <c r="M875" s="65"/>
      <c r="N875" s="65"/>
      <c r="O875" s="65"/>
      <c r="P875" s="65"/>
      <c r="Q875" s="65"/>
      <c r="R875" s="65"/>
      <c r="S875" s="65"/>
      <c r="T875" s="65"/>
      <c r="U875" s="65"/>
      <c r="V875" s="65"/>
      <c r="W875" s="65"/>
      <c r="X875" s="65"/>
      <c r="Y875" s="65"/>
      <c r="Z875" s="65"/>
    </row>
    <row r="876" ht="15.75" customHeight="1">
      <c r="A876" s="65"/>
      <c r="B876" s="65"/>
      <c r="C876" s="65"/>
      <c r="D876" s="65"/>
      <c r="E876" s="65"/>
      <c r="F876" s="65"/>
      <c r="I876" s="65"/>
      <c r="J876" s="65"/>
      <c r="K876" s="65"/>
      <c r="L876" s="65"/>
      <c r="M876" s="65"/>
      <c r="N876" s="65"/>
      <c r="O876" s="65"/>
      <c r="P876" s="65"/>
      <c r="Q876" s="65"/>
      <c r="R876" s="65"/>
      <c r="S876" s="65"/>
      <c r="T876" s="65"/>
      <c r="U876" s="65"/>
      <c r="V876" s="65"/>
      <c r="W876" s="65"/>
      <c r="X876" s="65"/>
      <c r="Y876" s="65"/>
      <c r="Z876" s="65"/>
    </row>
    <row r="877" ht="15.75" customHeight="1">
      <c r="A877" s="65"/>
      <c r="B877" s="65"/>
      <c r="C877" s="65"/>
      <c r="D877" s="65"/>
      <c r="E877" s="65"/>
      <c r="F877" s="65"/>
      <c r="I877" s="65"/>
      <c r="J877" s="65"/>
      <c r="K877" s="65"/>
      <c r="L877" s="65"/>
      <c r="M877" s="65"/>
      <c r="N877" s="65"/>
      <c r="O877" s="65"/>
      <c r="P877" s="65"/>
      <c r="Q877" s="65"/>
      <c r="R877" s="65"/>
      <c r="S877" s="65"/>
      <c r="T877" s="65"/>
      <c r="U877" s="65"/>
      <c r="V877" s="65"/>
      <c r="W877" s="65"/>
      <c r="X877" s="65"/>
      <c r="Y877" s="65"/>
      <c r="Z877" s="65"/>
    </row>
    <row r="878" ht="15.75" customHeight="1">
      <c r="A878" s="65"/>
      <c r="B878" s="65"/>
      <c r="C878" s="65"/>
      <c r="D878" s="65"/>
      <c r="E878" s="65"/>
      <c r="F878" s="65"/>
      <c r="I878" s="65"/>
      <c r="J878" s="65"/>
      <c r="K878" s="65"/>
      <c r="L878" s="65"/>
      <c r="M878" s="65"/>
      <c r="N878" s="65"/>
      <c r="O878" s="65"/>
      <c r="P878" s="65"/>
      <c r="Q878" s="65"/>
      <c r="R878" s="65"/>
      <c r="S878" s="65"/>
      <c r="T878" s="65"/>
      <c r="U878" s="65"/>
      <c r="V878" s="65"/>
      <c r="W878" s="65"/>
      <c r="X878" s="65"/>
      <c r="Y878" s="65"/>
      <c r="Z878" s="65"/>
    </row>
    <row r="879" ht="15.75" customHeight="1">
      <c r="A879" s="65"/>
      <c r="B879" s="65"/>
      <c r="C879" s="65"/>
      <c r="D879" s="65"/>
      <c r="E879" s="65"/>
      <c r="F879" s="65"/>
      <c r="I879" s="65"/>
      <c r="J879" s="65"/>
      <c r="K879" s="65"/>
      <c r="L879" s="65"/>
      <c r="M879" s="65"/>
      <c r="N879" s="65"/>
      <c r="O879" s="65"/>
      <c r="P879" s="65"/>
      <c r="Q879" s="65"/>
      <c r="R879" s="65"/>
      <c r="S879" s="65"/>
      <c r="T879" s="65"/>
      <c r="U879" s="65"/>
      <c r="V879" s="65"/>
      <c r="W879" s="65"/>
      <c r="X879" s="65"/>
      <c r="Y879" s="65"/>
      <c r="Z879" s="65"/>
    </row>
    <row r="880" ht="15.75" customHeight="1">
      <c r="A880" s="65"/>
      <c r="B880" s="65"/>
      <c r="C880" s="65"/>
      <c r="D880" s="65"/>
      <c r="E880" s="65"/>
      <c r="F880" s="65"/>
      <c r="I880" s="65"/>
      <c r="J880" s="65"/>
      <c r="K880" s="65"/>
      <c r="L880" s="65"/>
      <c r="M880" s="65"/>
      <c r="N880" s="65"/>
      <c r="O880" s="65"/>
      <c r="P880" s="65"/>
      <c r="Q880" s="65"/>
      <c r="R880" s="65"/>
      <c r="S880" s="65"/>
      <c r="T880" s="65"/>
      <c r="U880" s="65"/>
      <c r="V880" s="65"/>
      <c r="W880" s="65"/>
      <c r="X880" s="65"/>
      <c r="Y880" s="65"/>
      <c r="Z880" s="65"/>
    </row>
    <row r="881" ht="15.75" customHeight="1">
      <c r="A881" s="65"/>
      <c r="B881" s="65"/>
      <c r="C881" s="65"/>
      <c r="D881" s="65"/>
      <c r="E881" s="65"/>
      <c r="F881" s="65"/>
      <c r="I881" s="65"/>
      <c r="J881" s="65"/>
      <c r="K881" s="65"/>
      <c r="L881" s="65"/>
      <c r="M881" s="65"/>
      <c r="N881" s="65"/>
      <c r="O881" s="65"/>
      <c r="P881" s="65"/>
      <c r="Q881" s="65"/>
      <c r="R881" s="65"/>
      <c r="S881" s="65"/>
      <c r="T881" s="65"/>
      <c r="U881" s="65"/>
      <c r="V881" s="65"/>
      <c r="W881" s="65"/>
      <c r="X881" s="65"/>
      <c r="Y881" s="65"/>
      <c r="Z881" s="65"/>
    </row>
    <row r="882" ht="15.75" customHeight="1">
      <c r="A882" s="65"/>
      <c r="B882" s="65"/>
      <c r="C882" s="65"/>
      <c r="D882" s="65"/>
      <c r="E882" s="65"/>
      <c r="F882" s="65"/>
      <c r="I882" s="65"/>
      <c r="J882" s="65"/>
      <c r="K882" s="65"/>
      <c r="L882" s="65"/>
      <c r="M882" s="65"/>
      <c r="N882" s="65"/>
      <c r="O882" s="65"/>
      <c r="P882" s="65"/>
      <c r="Q882" s="65"/>
      <c r="R882" s="65"/>
      <c r="S882" s="65"/>
      <c r="T882" s="65"/>
      <c r="U882" s="65"/>
      <c r="V882" s="65"/>
      <c r="W882" s="65"/>
      <c r="X882" s="65"/>
      <c r="Y882" s="65"/>
      <c r="Z882" s="65"/>
    </row>
    <row r="883" ht="15.75" customHeight="1">
      <c r="A883" s="65"/>
      <c r="B883" s="65"/>
      <c r="C883" s="65"/>
      <c r="D883" s="65"/>
      <c r="E883" s="65"/>
      <c r="F883" s="65"/>
      <c r="I883" s="65"/>
      <c r="J883" s="65"/>
      <c r="K883" s="65"/>
      <c r="L883" s="65"/>
      <c r="M883" s="65"/>
      <c r="N883" s="65"/>
      <c r="O883" s="65"/>
      <c r="P883" s="65"/>
      <c r="Q883" s="65"/>
      <c r="R883" s="65"/>
      <c r="S883" s="65"/>
      <c r="T883" s="65"/>
      <c r="U883" s="65"/>
      <c r="V883" s="65"/>
      <c r="W883" s="65"/>
      <c r="X883" s="65"/>
      <c r="Y883" s="65"/>
      <c r="Z883" s="65"/>
    </row>
    <row r="884" ht="15.75" customHeight="1">
      <c r="A884" s="65"/>
      <c r="B884" s="65"/>
      <c r="C884" s="65"/>
      <c r="D884" s="65"/>
      <c r="E884" s="65"/>
      <c r="F884" s="65"/>
      <c r="I884" s="65"/>
      <c r="J884" s="65"/>
      <c r="K884" s="65"/>
      <c r="L884" s="65"/>
      <c r="M884" s="65"/>
      <c r="N884" s="65"/>
      <c r="O884" s="65"/>
      <c r="P884" s="65"/>
      <c r="Q884" s="65"/>
      <c r="R884" s="65"/>
      <c r="S884" s="65"/>
      <c r="T884" s="65"/>
      <c r="U884" s="65"/>
      <c r="V884" s="65"/>
      <c r="W884" s="65"/>
      <c r="X884" s="65"/>
      <c r="Y884" s="65"/>
      <c r="Z884" s="65"/>
    </row>
    <row r="885" ht="15.75" customHeight="1">
      <c r="A885" s="65"/>
      <c r="B885" s="65"/>
      <c r="C885" s="65"/>
      <c r="D885" s="65"/>
      <c r="E885" s="65"/>
      <c r="F885" s="65"/>
      <c r="I885" s="65"/>
      <c r="J885" s="65"/>
      <c r="K885" s="65"/>
      <c r="L885" s="65"/>
      <c r="M885" s="65"/>
      <c r="N885" s="65"/>
      <c r="O885" s="65"/>
      <c r="P885" s="65"/>
      <c r="Q885" s="65"/>
      <c r="R885" s="65"/>
      <c r="S885" s="65"/>
      <c r="T885" s="65"/>
      <c r="U885" s="65"/>
      <c r="V885" s="65"/>
      <c r="W885" s="65"/>
      <c r="X885" s="65"/>
      <c r="Y885" s="65"/>
      <c r="Z885" s="65"/>
    </row>
    <row r="886" ht="15.75" customHeight="1">
      <c r="A886" s="65"/>
      <c r="B886" s="65"/>
      <c r="C886" s="65"/>
      <c r="D886" s="65"/>
      <c r="E886" s="65"/>
      <c r="F886" s="65"/>
      <c r="I886" s="65"/>
      <c r="J886" s="65"/>
      <c r="K886" s="65"/>
      <c r="L886" s="65"/>
      <c r="M886" s="65"/>
      <c r="N886" s="65"/>
      <c r="O886" s="65"/>
      <c r="P886" s="65"/>
      <c r="Q886" s="65"/>
      <c r="R886" s="65"/>
      <c r="S886" s="65"/>
      <c r="T886" s="65"/>
      <c r="U886" s="65"/>
      <c r="V886" s="65"/>
      <c r="W886" s="65"/>
      <c r="X886" s="65"/>
      <c r="Y886" s="65"/>
      <c r="Z886" s="65"/>
    </row>
    <row r="887" ht="15.75" customHeight="1">
      <c r="A887" s="65"/>
      <c r="B887" s="65"/>
      <c r="C887" s="65"/>
      <c r="D887" s="65"/>
      <c r="E887" s="65"/>
      <c r="F887" s="65"/>
      <c r="I887" s="65"/>
      <c r="J887" s="65"/>
      <c r="K887" s="65"/>
      <c r="L887" s="65"/>
      <c r="M887" s="65"/>
      <c r="N887" s="65"/>
      <c r="O887" s="65"/>
      <c r="P887" s="65"/>
      <c r="Q887" s="65"/>
      <c r="R887" s="65"/>
      <c r="S887" s="65"/>
      <c r="T887" s="65"/>
      <c r="U887" s="65"/>
      <c r="V887" s="65"/>
      <c r="W887" s="65"/>
      <c r="X887" s="65"/>
      <c r="Y887" s="65"/>
      <c r="Z887" s="65"/>
    </row>
    <row r="888" ht="15.75" customHeight="1">
      <c r="A888" s="65"/>
      <c r="B888" s="65"/>
      <c r="C888" s="65"/>
      <c r="D888" s="65"/>
      <c r="E888" s="65"/>
      <c r="F888" s="65"/>
      <c r="I888" s="65"/>
      <c r="J888" s="65"/>
      <c r="K888" s="65"/>
      <c r="L888" s="65"/>
      <c r="M888" s="65"/>
      <c r="N888" s="65"/>
      <c r="O888" s="65"/>
      <c r="P888" s="65"/>
      <c r="Q888" s="65"/>
      <c r="R888" s="65"/>
      <c r="S888" s="65"/>
      <c r="T888" s="65"/>
      <c r="U888" s="65"/>
      <c r="V888" s="65"/>
      <c r="W888" s="65"/>
      <c r="X888" s="65"/>
      <c r="Y888" s="65"/>
      <c r="Z888" s="65"/>
    </row>
    <row r="889" ht="15.75" customHeight="1">
      <c r="A889" s="65"/>
      <c r="B889" s="65"/>
      <c r="C889" s="65"/>
      <c r="D889" s="65"/>
      <c r="E889" s="65"/>
      <c r="F889" s="65"/>
      <c r="I889" s="65"/>
      <c r="J889" s="65"/>
      <c r="K889" s="65"/>
      <c r="L889" s="65"/>
      <c r="M889" s="65"/>
      <c r="N889" s="65"/>
      <c r="O889" s="65"/>
      <c r="P889" s="65"/>
      <c r="Q889" s="65"/>
      <c r="R889" s="65"/>
      <c r="S889" s="65"/>
      <c r="T889" s="65"/>
      <c r="U889" s="65"/>
      <c r="V889" s="65"/>
      <c r="W889" s="65"/>
      <c r="X889" s="65"/>
      <c r="Y889" s="65"/>
      <c r="Z889" s="65"/>
    </row>
    <row r="890" ht="15.75" customHeight="1">
      <c r="A890" s="65"/>
      <c r="B890" s="65"/>
      <c r="C890" s="65"/>
      <c r="D890" s="65"/>
      <c r="E890" s="65"/>
      <c r="F890" s="65"/>
      <c r="I890" s="65"/>
      <c r="J890" s="65"/>
      <c r="K890" s="65"/>
      <c r="L890" s="65"/>
      <c r="M890" s="65"/>
      <c r="N890" s="65"/>
      <c r="O890" s="65"/>
      <c r="P890" s="65"/>
      <c r="Q890" s="65"/>
      <c r="R890" s="65"/>
      <c r="S890" s="65"/>
      <c r="T890" s="65"/>
      <c r="U890" s="65"/>
      <c r="V890" s="65"/>
      <c r="W890" s="65"/>
      <c r="X890" s="65"/>
      <c r="Y890" s="65"/>
      <c r="Z890" s="65"/>
    </row>
    <row r="891" ht="15.75" customHeight="1">
      <c r="A891" s="65"/>
      <c r="B891" s="65"/>
      <c r="C891" s="65"/>
      <c r="D891" s="65"/>
      <c r="E891" s="65"/>
      <c r="F891" s="65"/>
      <c r="I891" s="65"/>
      <c r="J891" s="65"/>
      <c r="K891" s="65"/>
      <c r="L891" s="65"/>
      <c r="M891" s="65"/>
      <c r="N891" s="65"/>
      <c r="O891" s="65"/>
      <c r="P891" s="65"/>
      <c r="Q891" s="65"/>
      <c r="R891" s="65"/>
      <c r="S891" s="65"/>
      <c r="T891" s="65"/>
      <c r="U891" s="65"/>
      <c r="V891" s="65"/>
      <c r="W891" s="65"/>
      <c r="X891" s="65"/>
      <c r="Y891" s="65"/>
      <c r="Z891" s="65"/>
    </row>
    <row r="892" ht="15.75" customHeight="1">
      <c r="A892" s="65"/>
      <c r="B892" s="65"/>
      <c r="C892" s="65"/>
      <c r="D892" s="65"/>
      <c r="E892" s="65"/>
      <c r="F892" s="65"/>
      <c r="I892" s="65"/>
      <c r="J892" s="65"/>
      <c r="K892" s="65"/>
      <c r="L892" s="65"/>
      <c r="M892" s="65"/>
      <c r="N892" s="65"/>
      <c r="O892" s="65"/>
      <c r="P892" s="65"/>
      <c r="Q892" s="65"/>
      <c r="R892" s="65"/>
      <c r="S892" s="65"/>
      <c r="T892" s="65"/>
      <c r="U892" s="65"/>
      <c r="V892" s="65"/>
      <c r="W892" s="65"/>
      <c r="X892" s="65"/>
      <c r="Y892" s="65"/>
      <c r="Z892" s="65"/>
    </row>
    <row r="893" ht="15.75" customHeight="1">
      <c r="A893" s="65"/>
      <c r="B893" s="65"/>
      <c r="C893" s="65"/>
      <c r="D893" s="65"/>
      <c r="E893" s="65"/>
      <c r="F893" s="65"/>
      <c r="I893" s="65"/>
      <c r="J893" s="65"/>
      <c r="K893" s="65"/>
      <c r="L893" s="65"/>
      <c r="M893" s="65"/>
      <c r="N893" s="65"/>
      <c r="O893" s="65"/>
      <c r="P893" s="65"/>
      <c r="Q893" s="65"/>
      <c r="R893" s="65"/>
      <c r="S893" s="65"/>
      <c r="T893" s="65"/>
      <c r="U893" s="65"/>
      <c r="V893" s="65"/>
      <c r="W893" s="65"/>
      <c r="X893" s="65"/>
      <c r="Y893" s="65"/>
      <c r="Z893" s="65"/>
    </row>
    <row r="894" ht="15.75" customHeight="1">
      <c r="A894" s="65"/>
      <c r="B894" s="65"/>
      <c r="C894" s="65"/>
      <c r="D894" s="65"/>
      <c r="E894" s="65"/>
      <c r="F894" s="65"/>
      <c r="I894" s="65"/>
      <c r="J894" s="65"/>
      <c r="K894" s="65"/>
      <c r="L894" s="65"/>
      <c r="M894" s="65"/>
      <c r="N894" s="65"/>
      <c r="O894" s="65"/>
      <c r="P894" s="65"/>
      <c r="Q894" s="65"/>
      <c r="R894" s="65"/>
      <c r="S894" s="65"/>
      <c r="T894" s="65"/>
      <c r="U894" s="65"/>
      <c r="V894" s="65"/>
      <c r="W894" s="65"/>
      <c r="X894" s="65"/>
      <c r="Y894" s="65"/>
      <c r="Z894" s="65"/>
    </row>
    <row r="895" ht="15.75" customHeight="1">
      <c r="A895" s="65"/>
      <c r="B895" s="65"/>
      <c r="C895" s="65"/>
      <c r="D895" s="65"/>
      <c r="E895" s="65"/>
      <c r="F895" s="65"/>
      <c r="I895" s="65"/>
      <c r="J895" s="65"/>
      <c r="K895" s="65"/>
      <c r="L895" s="65"/>
      <c r="M895" s="65"/>
      <c r="N895" s="65"/>
      <c r="O895" s="65"/>
      <c r="P895" s="65"/>
      <c r="Q895" s="65"/>
      <c r="R895" s="65"/>
      <c r="S895" s="65"/>
      <c r="T895" s="65"/>
      <c r="U895" s="65"/>
      <c r="V895" s="65"/>
      <c r="W895" s="65"/>
      <c r="X895" s="65"/>
      <c r="Y895" s="65"/>
      <c r="Z895" s="65"/>
    </row>
    <row r="896" ht="15.75" customHeight="1">
      <c r="A896" s="65"/>
      <c r="B896" s="65"/>
      <c r="C896" s="65"/>
      <c r="D896" s="65"/>
      <c r="E896" s="65"/>
      <c r="F896" s="65"/>
      <c r="I896" s="65"/>
      <c r="J896" s="65"/>
      <c r="K896" s="65"/>
      <c r="L896" s="65"/>
      <c r="M896" s="65"/>
      <c r="N896" s="65"/>
      <c r="O896" s="65"/>
      <c r="P896" s="65"/>
      <c r="Q896" s="65"/>
      <c r="R896" s="65"/>
      <c r="S896" s="65"/>
      <c r="T896" s="65"/>
      <c r="U896" s="65"/>
      <c r="V896" s="65"/>
      <c r="W896" s="65"/>
      <c r="X896" s="65"/>
      <c r="Y896" s="65"/>
      <c r="Z896" s="65"/>
    </row>
    <row r="897" ht="15.75" customHeight="1">
      <c r="A897" s="65"/>
      <c r="B897" s="65"/>
      <c r="C897" s="65"/>
      <c r="D897" s="65"/>
      <c r="E897" s="65"/>
      <c r="F897" s="65"/>
      <c r="I897" s="65"/>
      <c r="J897" s="65"/>
      <c r="K897" s="65"/>
      <c r="L897" s="65"/>
      <c r="M897" s="65"/>
      <c r="N897" s="65"/>
      <c r="O897" s="65"/>
      <c r="P897" s="65"/>
      <c r="Q897" s="65"/>
      <c r="R897" s="65"/>
      <c r="S897" s="65"/>
      <c r="T897" s="65"/>
      <c r="U897" s="65"/>
      <c r="V897" s="65"/>
      <c r="W897" s="65"/>
      <c r="X897" s="65"/>
      <c r="Y897" s="65"/>
      <c r="Z897" s="65"/>
    </row>
    <row r="898" ht="15.75" customHeight="1">
      <c r="A898" s="65"/>
      <c r="B898" s="65"/>
      <c r="C898" s="65"/>
      <c r="D898" s="65"/>
      <c r="E898" s="65"/>
      <c r="F898" s="65"/>
      <c r="I898" s="65"/>
      <c r="J898" s="65"/>
      <c r="K898" s="65"/>
      <c r="L898" s="65"/>
      <c r="M898" s="65"/>
      <c r="N898" s="65"/>
      <c r="O898" s="65"/>
      <c r="P898" s="65"/>
      <c r="Q898" s="65"/>
      <c r="R898" s="65"/>
      <c r="S898" s="65"/>
      <c r="T898" s="65"/>
      <c r="U898" s="65"/>
      <c r="V898" s="65"/>
      <c r="W898" s="65"/>
      <c r="X898" s="65"/>
      <c r="Y898" s="65"/>
      <c r="Z898" s="65"/>
    </row>
    <row r="899" ht="15.75" customHeight="1">
      <c r="A899" s="65"/>
      <c r="B899" s="65"/>
      <c r="C899" s="65"/>
      <c r="D899" s="65"/>
      <c r="E899" s="65"/>
      <c r="F899" s="65"/>
      <c r="I899" s="65"/>
      <c r="J899" s="65"/>
      <c r="K899" s="65"/>
      <c r="L899" s="65"/>
      <c r="M899" s="65"/>
      <c r="N899" s="65"/>
      <c r="O899" s="65"/>
      <c r="P899" s="65"/>
      <c r="Q899" s="65"/>
      <c r="R899" s="65"/>
      <c r="S899" s="65"/>
      <c r="T899" s="65"/>
      <c r="U899" s="65"/>
      <c r="V899" s="65"/>
      <c r="W899" s="65"/>
      <c r="X899" s="65"/>
      <c r="Y899" s="65"/>
      <c r="Z899" s="65"/>
    </row>
    <row r="900" ht="15.75" customHeight="1">
      <c r="A900" s="65"/>
      <c r="B900" s="65"/>
      <c r="C900" s="65"/>
      <c r="D900" s="65"/>
      <c r="E900" s="65"/>
      <c r="F900" s="65"/>
      <c r="I900" s="65"/>
      <c r="J900" s="65"/>
      <c r="K900" s="65"/>
      <c r="L900" s="65"/>
      <c r="M900" s="65"/>
      <c r="N900" s="65"/>
      <c r="O900" s="65"/>
      <c r="P900" s="65"/>
      <c r="Q900" s="65"/>
      <c r="R900" s="65"/>
      <c r="S900" s="65"/>
      <c r="T900" s="65"/>
      <c r="U900" s="65"/>
      <c r="V900" s="65"/>
      <c r="W900" s="65"/>
      <c r="X900" s="65"/>
      <c r="Y900" s="65"/>
      <c r="Z900" s="65"/>
    </row>
    <row r="901" ht="15.75" customHeight="1">
      <c r="A901" s="65"/>
      <c r="B901" s="65"/>
      <c r="C901" s="65"/>
      <c r="D901" s="65"/>
      <c r="E901" s="65"/>
      <c r="F901" s="65"/>
      <c r="I901" s="65"/>
      <c r="J901" s="65"/>
      <c r="K901" s="65"/>
      <c r="L901" s="65"/>
      <c r="M901" s="65"/>
      <c r="N901" s="65"/>
      <c r="O901" s="65"/>
      <c r="P901" s="65"/>
      <c r="Q901" s="65"/>
      <c r="R901" s="65"/>
      <c r="S901" s="65"/>
      <c r="T901" s="65"/>
      <c r="U901" s="65"/>
      <c r="V901" s="65"/>
      <c r="W901" s="65"/>
      <c r="X901" s="65"/>
      <c r="Y901" s="65"/>
      <c r="Z901" s="65"/>
    </row>
    <row r="902" ht="15.75" customHeight="1">
      <c r="A902" s="65"/>
      <c r="B902" s="65"/>
      <c r="C902" s="65"/>
      <c r="D902" s="65"/>
      <c r="E902" s="65"/>
      <c r="F902" s="65"/>
      <c r="I902" s="65"/>
      <c r="J902" s="65"/>
      <c r="K902" s="65"/>
      <c r="L902" s="65"/>
      <c r="M902" s="65"/>
      <c r="N902" s="65"/>
      <c r="O902" s="65"/>
      <c r="P902" s="65"/>
      <c r="Q902" s="65"/>
      <c r="R902" s="65"/>
      <c r="S902" s="65"/>
      <c r="T902" s="65"/>
      <c r="U902" s="65"/>
      <c r="V902" s="65"/>
      <c r="W902" s="65"/>
      <c r="X902" s="65"/>
      <c r="Y902" s="65"/>
      <c r="Z902" s="65"/>
    </row>
    <row r="903" ht="15.75" customHeight="1">
      <c r="A903" s="65"/>
      <c r="B903" s="65"/>
      <c r="C903" s="65"/>
      <c r="D903" s="65"/>
      <c r="E903" s="65"/>
      <c r="F903" s="65"/>
      <c r="I903" s="65"/>
      <c r="J903" s="65"/>
      <c r="K903" s="65"/>
      <c r="L903" s="65"/>
      <c r="M903" s="65"/>
      <c r="N903" s="65"/>
      <c r="O903" s="65"/>
      <c r="P903" s="65"/>
      <c r="Q903" s="65"/>
      <c r="R903" s="65"/>
      <c r="S903" s="65"/>
      <c r="T903" s="65"/>
      <c r="U903" s="65"/>
      <c r="V903" s="65"/>
      <c r="W903" s="65"/>
      <c r="X903" s="65"/>
      <c r="Y903" s="65"/>
      <c r="Z903" s="65"/>
    </row>
    <row r="904" ht="15.75" customHeight="1">
      <c r="A904" s="65"/>
      <c r="B904" s="65"/>
      <c r="C904" s="65"/>
      <c r="D904" s="65"/>
      <c r="E904" s="65"/>
      <c r="F904" s="65"/>
      <c r="I904" s="65"/>
      <c r="J904" s="65"/>
      <c r="K904" s="65"/>
      <c r="L904" s="65"/>
      <c r="M904" s="65"/>
      <c r="N904" s="65"/>
      <c r="O904" s="65"/>
      <c r="P904" s="65"/>
      <c r="Q904" s="65"/>
      <c r="R904" s="65"/>
      <c r="S904" s="65"/>
      <c r="T904" s="65"/>
      <c r="U904" s="65"/>
      <c r="V904" s="65"/>
      <c r="W904" s="65"/>
      <c r="X904" s="65"/>
      <c r="Y904" s="65"/>
      <c r="Z904" s="65"/>
    </row>
    <row r="905" ht="15.75" customHeight="1">
      <c r="A905" s="65"/>
      <c r="B905" s="65"/>
      <c r="C905" s="65"/>
      <c r="D905" s="65"/>
      <c r="E905" s="65"/>
      <c r="F905" s="65"/>
      <c r="I905" s="65"/>
      <c r="J905" s="65"/>
      <c r="K905" s="65"/>
      <c r="L905" s="65"/>
      <c r="M905" s="65"/>
      <c r="N905" s="65"/>
      <c r="O905" s="65"/>
      <c r="P905" s="65"/>
      <c r="Q905" s="65"/>
      <c r="R905" s="65"/>
      <c r="S905" s="65"/>
      <c r="T905" s="65"/>
      <c r="U905" s="65"/>
      <c r="V905" s="65"/>
      <c r="W905" s="65"/>
      <c r="X905" s="65"/>
      <c r="Y905" s="65"/>
      <c r="Z905" s="65"/>
    </row>
    <row r="906" ht="15.75" customHeight="1">
      <c r="A906" s="65"/>
      <c r="B906" s="65"/>
      <c r="C906" s="65"/>
      <c r="D906" s="65"/>
      <c r="E906" s="65"/>
      <c r="F906" s="65"/>
      <c r="I906" s="65"/>
      <c r="J906" s="65"/>
      <c r="K906" s="65"/>
      <c r="L906" s="65"/>
      <c r="M906" s="65"/>
      <c r="N906" s="65"/>
      <c r="O906" s="65"/>
      <c r="P906" s="65"/>
      <c r="Q906" s="65"/>
      <c r="R906" s="65"/>
      <c r="S906" s="65"/>
      <c r="T906" s="65"/>
      <c r="U906" s="65"/>
      <c r="V906" s="65"/>
      <c r="W906" s="65"/>
      <c r="X906" s="65"/>
      <c r="Y906" s="65"/>
      <c r="Z906" s="65"/>
    </row>
    <row r="907" ht="15.75" customHeight="1">
      <c r="A907" s="65"/>
      <c r="B907" s="65"/>
      <c r="C907" s="65"/>
      <c r="D907" s="65"/>
      <c r="E907" s="65"/>
      <c r="F907" s="65"/>
      <c r="I907" s="65"/>
      <c r="J907" s="65"/>
      <c r="K907" s="65"/>
      <c r="L907" s="65"/>
      <c r="M907" s="65"/>
      <c r="N907" s="65"/>
      <c r="O907" s="65"/>
      <c r="P907" s="65"/>
      <c r="Q907" s="65"/>
      <c r="R907" s="65"/>
      <c r="S907" s="65"/>
      <c r="T907" s="65"/>
      <c r="U907" s="65"/>
      <c r="V907" s="65"/>
      <c r="W907" s="65"/>
      <c r="X907" s="65"/>
      <c r="Y907" s="65"/>
      <c r="Z907" s="65"/>
    </row>
    <row r="908" ht="15.75" customHeight="1">
      <c r="A908" s="65"/>
      <c r="B908" s="65"/>
      <c r="C908" s="65"/>
      <c r="D908" s="65"/>
      <c r="E908" s="65"/>
      <c r="F908" s="65"/>
      <c r="I908" s="65"/>
      <c r="J908" s="65"/>
      <c r="K908" s="65"/>
      <c r="L908" s="65"/>
      <c r="M908" s="65"/>
      <c r="N908" s="65"/>
      <c r="O908" s="65"/>
      <c r="P908" s="65"/>
      <c r="Q908" s="65"/>
      <c r="R908" s="65"/>
      <c r="S908" s="65"/>
      <c r="T908" s="65"/>
      <c r="U908" s="65"/>
      <c r="V908" s="65"/>
      <c r="W908" s="65"/>
      <c r="X908" s="65"/>
      <c r="Y908" s="65"/>
      <c r="Z908" s="65"/>
    </row>
    <row r="909" ht="15.75" customHeight="1">
      <c r="A909" s="65"/>
      <c r="B909" s="65"/>
      <c r="C909" s="65"/>
      <c r="D909" s="65"/>
      <c r="E909" s="65"/>
      <c r="F909" s="65"/>
      <c r="I909" s="65"/>
      <c r="J909" s="65"/>
      <c r="K909" s="65"/>
      <c r="L909" s="65"/>
      <c r="M909" s="65"/>
      <c r="N909" s="65"/>
      <c r="O909" s="65"/>
      <c r="P909" s="65"/>
      <c r="Q909" s="65"/>
      <c r="R909" s="65"/>
      <c r="S909" s="65"/>
      <c r="T909" s="65"/>
      <c r="U909" s="65"/>
      <c r="V909" s="65"/>
      <c r="W909" s="65"/>
      <c r="X909" s="65"/>
      <c r="Y909" s="65"/>
      <c r="Z909" s="65"/>
    </row>
    <row r="910" ht="15.75" customHeight="1">
      <c r="A910" s="65"/>
      <c r="B910" s="65"/>
      <c r="C910" s="65"/>
      <c r="D910" s="65"/>
      <c r="E910" s="65"/>
      <c r="F910" s="65"/>
      <c r="I910" s="65"/>
      <c r="J910" s="65"/>
      <c r="K910" s="65"/>
      <c r="L910" s="65"/>
      <c r="M910" s="65"/>
      <c r="N910" s="65"/>
      <c r="O910" s="65"/>
      <c r="P910" s="65"/>
      <c r="Q910" s="65"/>
      <c r="R910" s="65"/>
      <c r="S910" s="65"/>
      <c r="T910" s="65"/>
      <c r="U910" s="65"/>
      <c r="V910" s="65"/>
      <c r="W910" s="65"/>
      <c r="X910" s="65"/>
      <c r="Y910" s="65"/>
      <c r="Z910" s="65"/>
    </row>
    <row r="911" ht="15.75" customHeight="1">
      <c r="A911" s="65"/>
      <c r="B911" s="65"/>
      <c r="C911" s="65"/>
      <c r="D911" s="65"/>
      <c r="E911" s="65"/>
      <c r="F911" s="65"/>
      <c r="I911" s="65"/>
      <c r="J911" s="65"/>
      <c r="K911" s="65"/>
      <c r="L911" s="65"/>
      <c r="M911" s="65"/>
      <c r="N911" s="65"/>
      <c r="O911" s="65"/>
      <c r="P911" s="65"/>
      <c r="Q911" s="65"/>
      <c r="R911" s="65"/>
      <c r="S911" s="65"/>
      <c r="T911" s="65"/>
      <c r="U911" s="65"/>
      <c r="V911" s="65"/>
      <c r="W911" s="65"/>
      <c r="X911" s="65"/>
      <c r="Y911" s="65"/>
      <c r="Z911" s="65"/>
    </row>
    <row r="912" ht="15.75" customHeight="1">
      <c r="A912" s="65"/>
      <c r="B912" s="65"/>
      <c r="C912" s="65"/>
      <c r="D912" s="65"/>
      <c r="E912" s="65"/>
      <c r="F912" s="65"/>
      <c r="I912" s="65"/>
      <c r="J912" s="65"/>
      <c r="K912" s="65"/>
      <c r="L912" s="65"/>
      <c r="M912" s="65"/>
      <c r="N912" s="65"/>
      <c r="O912" s="65"/>
      <c r="P912" s="65"/>
      <c r="Q912" s="65"/>
      <c r="R912" s="65"/>
      <c r="S912" s="65"/>
      <c r="T912" s="65"/>
      <c r="U912" s="65"/>
      <c r="V912" s="65"/>
      <c r="W912" s="65"/>
      <c r="X912" s="65"/>
      <c r="Y912" s="65"/>
      <c r="Z912" s="65"/>
    </row>
    <row r="913" ht="15.75" customHeight="1">
      <c r="A913" s="65"/>
      <c r="B913" s="65"/>
      <c r="C913" s="65"/>
      <c r="D913" s="65"/>
      <c r="E913" s="65"/>
      <c r="F913" s="65"/>
      <c r="I913" s="65"/>
      <c r="J913" s="65"/>
      <c r="K913" s="65"/>
      <c r="L913" s="65"/>
      <c r="M913" s="65"/>
      <c r="N913" s="65"/>
      <c r="O913" s="65"/>
      <c r="P913" s="65"/>
      <c r="Q913" s="65"/>
      <c r="R913" s="65"/>
      <c r="S913" s="65"/>
      <c r="T913" s="65"/>
      <c r="U913" s="65"/>
      <c r="V913" s="65"/>
      <c r="W913" s="65"/>
      <c r="X913" s="65"/>
      <c r="Y913" s="65"/>
      <c r="Z913" s="65"/>
    </row>
    <row r="914" ht="15.75" customHeight="1">
      <c r="A914" s="65"/>
      <c r="B914" s="65"/>
      <c r="C914" s="65"/>
      <c r="D914" s="65"/>
      <c r="E914" s="65"/>
      <c r="F914" s="65"/>
      <c r="I914" s="65"/>
      <c r="J914" s="65"/>
      <c r="K914" s="65"/>
      <c r="L914" s="65"/>
      <c r="M914" s="65"/>
      <c r="N914" s="65"/>
      <c r="O914" s="65"/>
      <c r="P914" s="65"/>
      <c r="Q914" s="65"/>
      <c r="R914" s="65"/>
      <c r="S914" s="65"/>
      <c r="T914" s="65"/>
      <c r="U914" s="65"/>
      <c r="V914" s="65"/>
      <c r="W914" s="65"/>
      <c r="X914" s="65"/>
      <c r="Y914" s="65"/>
      <c r="Z914" s="65"/>
    </row>
    <row r="915" ht="15.75" customHeight="1">
      <c r="A915" s="65"/>
      <c r="B915" s="65"/>
      <c r="C915" s="65"/>
      <c r="D915" s="65"/>
      <c r="E915" s="65"/>
      <c r="F915" s="65"/>
      <c r="I915" s="65"/>
      <c r="J915" s="65"/>
      <c r="K915" s="65"/>
      <c r="L915" s="65"/>
      <c r="M915" s="65"/>
      <c r="N915" s="65"/>
      <c r="O915" s="65"/>
      <c r="P915" s="65"/>
      <c r="Q915" s="65"/>
      <c r="R915" s="65"/>
      <c r="S915" s="65"/>
      <c r="T915" s="65"/>
      <c r="U915" s="65"/>
      <c r="V915" s="65"/>
      <c r="W915" s="65"/>
      <c r="X915" s="65"/>
      <c r="Y915" s="65"/>
      <c r="Z915" s="65"/>
    </row>
    <row r="916" ht="15.75" customHeight="1">
      <c r="A916" s="65"/>
      <c r="B916" s="65"/>
      <c r="C916" s="65"/>
      <c r="D916" s="65"/>
      <c r="E916" s="65"/>
      <c r="F916" s="65"/>
      <c r="I916" s="65"/>
      <c r="J916" s="65"/>
      <c r="K916" s="65"/>
      <c r="L916" s="65"/>
      <c r="M916" s="65"/>
      <c r="N916" s="65"/>
      <c r="O916" s="65"/>
      <c r="P916" s="65"/>
      <c r="Q916" s="65"/>
      <c r="R916" s="65"/>
      <c r="S916" s="65"/>
      <c r="T916" s="65"/>
      <c r="U916" s="65"/>
      <c r="V916" s="65"/>
      <c r="W916" s="65"/>
      <c r="X916" s="65"/>
      <c r="Y916" s="65"/>
      <c r="Z916" s="65"/>
    </row>
    <row r="917" ht="15.75" customHeight="1">
      <c r="A917" s="65"/>
      <c r="B917" s="65"/>
      <c r="C917" s="65"/>
      <c r="D917" s="65"/>
      <c r="E917" s="65"/>
      <c r="F917" s="65"/>
      <c r="I917" s="65"/>
      <c r="J917" s="65"/>
      <c r="K917" s="65"/>
      <c r="L917" s="65"/>
      <c r="M917" s="65"/>
      <c r="N917" s="65"/>
      <c r="O917" s="65"/>
      <c r="P917" s="65"/>
      <c r="Q917" s="65"/>
      <c r="R917" s="65"/>
      <c r="S917" s="65"/>
      <c r="T917" s="65"/>
      <c r="U917" s="65"/>
      <c r="V917" s="65"/>
      <c r="W917" s="65"/>
      <c r="X917" s="65"/>
      <c r="Y917" s="65"/>
      <c r="Z917" s="65"/>
    </row>
    <row r="918" ht="15.75" customHeight="1">
      <c r="A918" s="65"/>
      <c r="B918" s="65"/>
      <c r="C918" s="65"/>
      <c r="D918" s="65"/>
      <c r="E918" s="65"/>
      <c r="F918" s="65"/>
      <c r="I918" s="65"/>
      <c r="J918" s="65"/>
      <c r="K918" s="65"/>
      <c r="L918" s="65"/>
      <c r="M918" s="65"/>
      <c r="N918" s="65"/>
      <c r="O918" s="65"/>
      <c r="P918" s="65"/>
      <c r="Q918" s="65"/>
      <c r="R918" s="65"/>
      <c r="S918" s="65"/>
      <c r="T918" s="65"/>
      <c r="U918" s="65"/>
      <c r="V918" s="65"/>
      <c r="W918" s="65"/>
      <c r="X918" s="65"/>
      <c r="Y918" s="65"/>
      <c r="Z918" s="65"/>
    </row>
    <row r="919" ht="15.75" customHeight="1">
      <c r="A919" s="65"/>
      <c r="B919" s="65"/>
      <c r="C919" s="65"/>
      <c r="D919" s="65"/>
      <c r="E919" s="65"/>
      <c r="F919" s="65"/>
      <c r="I919" s="65"/>
      <c r="J919" s="65"/>
      <c r="K919" s="65"/>
      <c r="L919" s="65"/>
      <c r="M919" s="65"/>
      <c r="N919" s="65"/>
      <c r="O919" s="65"/>
      <c r="P919" s="65"/>
      <c r="Q919" s="65"/>
      <c r="R919" s="65"/>
      <c r="S919" s="65"/>
      <c r="T919" s="65"/>
      <c r="U919" s="65"/>
      <c r="V919" s="65"/>
      <c r="W919" s="65"/>
      <c r="X919" s="65"/>
      <c r="Y919" s="65"/>
      <c r="Z919" s="65"/>
    </row>
    <row r="920" ht="15.75" customHeight="1">
      <c r="A920" s="65"/>
      <c r="B920" s="65"/>
      <c r="C920" s="65"/>
      <c r="D920" s="65"/>
      <c r="E920" s="65"/>
      <c r="F920" s="65"/>
      <c r="I920" s="65"/>
      <c r="J920" s="65"/>
      <c r="K920" s="65"/>
      <c r="L920" s="65"/>
      <c r="M920" s="65"/>
      <c r="N920" s="65"/>
      <c r="O920" s="65"/>
      <c r="P920" s="65"/>
      <c r="Q920" s="65"/>
      <c r="R920" s="65"/>
      <c r="S920" s="65"/>
      <c r="T920" s="65"/>
      <c r="U920" s="65"/>
      <c r="V920" s="65"/>
      <c r="W920" s="65"/>
      <c r="X920" s="65"/>
      <c r="Y920" s="65"/>
      <c r="Z920" s="65"/>
    </row>
    <row r="921" ht="15.75" customHeight="1">
      <c r="A921" s="65"/>
      <c r="B921" s="65"/>
      <c r="C921" s="65"/>
      <c r="D921" s="65"/>
      <c r="E921" s="65"/>
      <c r="F921" s="65"/>
      <c r="I921" s="65"/>
      <c r="J921" s="65"/>
      <c r="K921" s="65"/>
      <c r="L921" s="65"/>
      <c r="M921" s="65"/>
      <c r="N921" s="65"/>
      <c r="O921" s="65"/>
      <c r="P921" s="65"/>
      <c r="Q921" s="65"/>
      <c r="R921" s="65"/>
      <c r="S921" s="65"/>
      <c r="T921" s="65"/>
      <c r="U921" s="65"/>
      <c r="V921" s="65"/>
      <c r="W921" s="65"/>
      <c r="X921" s="65"/>
      <c r="Y921" s="65"/>
      <c r="Z921" s="65"/>
    </row>
    <row r="922" ht="15.75" customHeight="1">
      <c r="A922" s="65"/>
      <c r="B922" s="65"/>
      <c r="C922" s="65"/>
      <c r="D922" s="65"/>
      <c r="E922" s="65"/>
      <c r="F922" s="65"/>
      <c r="I922" s="65"/>
      <c r="J922" s="65"/>
      <c r="K922" s="65"/>
      <c r="L922" s="65"/>
      <c r="M922" s="65"/>
      <c r="N922" s="65"/>
      <c r="O922" s="65"/>
      <c r="P922" s="65"/>
      <c r="Q922" s="65"/>
      <c r="R922" s="65"/>
      <c r="S922" s="65"/>
      <c r="T922" s="65"/>
      <c r="U922" s="65"/>
      <c r="V922" s="65"/>
      <c r="W922" s="65"/>
      <c r="X922" s="65"/>
      <c r="Y922" s="65"/>
      <c r="Z922" s="65"/>
    </row>
    <row r="923" ht="15.75" customHeight="1">
      <c r="A923" s="65"/>
      <c r="B923" s="65"/>
      <c r="C923" s="65"/>
      <c r="D923" s="65"/>
      <c r="E923" s="65"/>
      <c r="F923" s="65"/>
      <c r="I923" s="65"/>
      <c r="J923" s="65"/>
      <c r="K923" s="65"/>
      <c r="L923" s="65"/>
      <c r="M923" s="65"/>
      <c r="N923" s="65"/>
      <c r="O923" s="65"/>
      <c r="P923" s="65"/>
      <c r="Q923" s="65"/>
      <c r="R923" s="65"/>
      <c r="S923" s="65"/>
      <c r="T923" s="65"/>
      <c r="U923" s="65"/>
      <c r="V923" s="65"/>
      <c r="W923" s="65"/>
      <c r="X923" s="65"/>
      <c r="Y923" s="65"/>
      <c r="Z923" s="65"/>
    </row>
    <row r="924" ht="15.75" customHeight="1">
      <c r="A924" s="65"/>
      <c r="B924" s="65"/>
      <c r="C924" s="65"/>
      <c r="D924" s="65"/>
      <c r="E924" s="65"/>
      <c r="F924" s="65"/>
      <c r="I924" s="65"/>
      <c r="J924" s="65"/>
      <c r="K924" s="65"/>
      <c r="L924" s="65"/>
      <c r="M924" s="65"/>
      <c r="N924" s="65"/>
      <c r="O924" s="65"/>
      <c r="P924" s="65"/>
      <c r="Q924" s="65"/>
      <c r="R924" s="65"/>
      <c r="S924" s="65"/>
      <c r="T924" s="65"/>
      <c r="U924" s="65"/>
      <c r="V924" s="65"/>
      <c r="W924" s="65"/>
      <c r="X924" s="65"/>
      <c r="Y924" s="65"/>
      <c r="Z924" s="65"/>
    </row>
    <row r="925" ht="15.75" customHeight="1">
      <c r="A925" s="65"/>
      <c r="B925" s="65"/>
      <c r="C925" s="65"/>
      <c r="D925" s="65"/>
      <c r="E925" s="65"/>
      <c r="F925" s="65"/>
      <c r="I925" s="65"/>
      <c r="J925" s="65"/>
      <c r="K925" s="65"/>
      <c r="L925" s="65"/>
      <c r="M925" s="65"/>
      <c r="N925" s="65"/>
      <c r="O925" s="65"/>
      <c r="P925" s="65"/>
      <c r="Q925" s="65"/>
      <c r="R925" s="65"/>
      <c r="S925" s="65"/>
      <c r="T925" s="65"/>
      <c r="U925" s="65"/>
      <c r="V925" s="65"/>
      <c r="W925" s="65"/>
      <c r="X925" s="65"/>
      <c r="Y925" s="65"/>
      <c r="Z925" s="65"/>
    </row>
    <row r="926" ht="15.75" customHeight="1">
      <c r="A926" s="65"/>
      <c r="B926" s="65"/>
      <c r="C926" s="65"/>
      <c r="D926" s="65"/>
      <c r="E926" s="65"/>
      <c r="F926" s="65"/>
      <c r="I926" s="65"/>
      <c r="J926" s="65"/>
      <c r="K926" s="65"/>
      <c r="L926" s="65"/>
      <c r="M926" s="65"/>
      <c r="N926" s="65"/>
      <c r="O926" s="65"/>
      <c r="P926" s="65"/>
      <c r="Q926" s="65"/>
      <c r="R926" s="65"/>
      <c r="S926" s="65"/>
      <c r="T926" s="65"/>
      <c r="U926" s="65"/>
      <c r="V926" s="65"/>
      <c r="W926" s="65"/>
      <c r="X926" s="65"/>
      <c r="Y926" s="65"/>
      <c r="Z926" s="65"/>
    </row>
    <row r="927" ht="15.75" customHeight="1">
      <c r="A927" s="65"/>
      <c r="B927" s="65"/>
      <c r="C927" s="65"/>
      <c r="D927" s="65"/>
      <c r="E927" s="65"/>
      <c r="F927" s="65"/>
      <c r="I927" s="65"/>
      <c r="J927" s="65"/>
      <c r="K927" s="65"/>
      <c r="L927" s="65"/>
      <c r="M927" s="65"/>
      <c r="N927" s="65"/>
      <c r="O927" s="65"/>
      <c r="P927" s="65"/>
      <c r="Q927" s="65"/>
      <c r="R927" s="65"/>
      <c r="S927" s="65"/>
      <c r="T927" s="65"/>
      <c r="U927" s="65"/>
      <c r="V927" s="65"/>
      <c r="W927" s="65"/>
      <c r="X927" s="65"/>
      <c r="Y927" s="65"/>
      <c r="Z927" s="65"/>
    </row>
    <row r="928" ht="15.75" customHeight="1">
      <c r="A928" s="65"/>
      <c r="B928" s="65"/>
      <c r="C928" s="65"/>
      <c r="D928" s="65"/>
      <c r="E928" s="65"/>
      <c r="F928" s="65"/>
      <c r="I928" s="65"/>
      <c r="J928" s="65"/>
      <c r="K928" s="65"/>
      <c r="L928" s="65"/>
      <c r="M928" s="65"/>
      <c r="N928" s="65"/>
      <c r="O928" s="65"/>
      <c r="P928" s="65"/>
      <c r="Q928" s="65"/>
      <c r="R928" s="65"/>
      <c r="S928" s="65"/>
      <c r="T928" s="65"/>
      <c r="U928" s="65"/>
      <c r="V928" s="65"/>
      <c r="W928" s="65"/>
      <c r="X928" s="65"/>
      <c r="Y928" s="65"/>
      <c r="Z928" s="65"/>
    </row>
    <row r="929" ht="15.75" customHeight="1">
      <c r="A929" s="65"/>
      <c r="B929" s="65"/>
      <c r="C929" s="65"/>
      <c r="D929" s="65"/>
      <c r="E929" s="65"/>
      <c r="F929" s="65"/>
      <c r="I929" s="65"/>
      <c r="J929" s="65"/>
      <c r="K929" s="65"/>
      <c r="L929" s="65"/>
      <c r="M929" s="65"/>
      <c r="N929" s="65"/>
      <c r="O929" s="65"/>
      <c r="P929" s="65"/>
      <c r="Q929" s="65"/>
      <c r="R929" s="65"/>
      <c r="S929" s="65"/>
      <c r="T929" s="65"/>
      <c r="U929" s="65"/>
      <c r="V929" s="65"/>
      <c r="W929" s="65"/>
      <c r="X929" s="65"/>
      <c r="Y929" s="65"/>
      <c r="Z929" s="65"/>
    </row>
    <row r="930" ht="15.75" customHeight="1">
      <c r="A930" s="65"/>
      <c r="B930" s="65"/>
      <c r="C930" s="65"/>
      <c r="D930" s="65"/>
      <c r="E930" s="65"/>
      <c r="F930" s="65"/>
      <c r="I930" s="65"/>
      <c r="J930" s="65"/>
      <c r="K930" s="65"/>
      <c r="L930" s="65"/>
      <c r="M930" s="65"/>
      <c r="N930" s="65"/>
      <c r="O930" s="65"/>
      <c r="P930" s="65"/>
      <c r="Q930" s="65"/>
      <c r="R930" s="65"/>
      <c r="S930" s="65"/>
      <c r="T930" s="65"/>
      <c r="U930" s="65"/>
      <c r="V930" s="65"/>
      <c r="W930" s="65"/>
      <c r="X930" s="65"/>
      <c r="Y930" s="65"/>
      <c r="Z930" s="65"/>
    </row>
    <row r="931" ht="15.75" customHeight="1">
      <c r="A931" s="65"/>
      <c r="B931" s="65"/>
      <c r="C931" s="65"/>
      <c r="D931" s="65"/>
      <c r="E931" s="65"/>
      <c r="F931" s="65"/>
      <c r="I931" s="65"/>
      <c r="J931" s="65"/>
      <c r="K931" s="65"/>
      <c r="L931" s="65"/>
      <c r="M931" s="65"/>
      <c r="N931" s="65"/>
      <c r="O931" s="65"/>
      <c r="P931" s="65"/>
      <c r="Q931" s="65"/>
      <c r="R931" s="65"/>
      <c r="S931" s="65"/>
      <c r="T931" s="65"/>
      <c r="U931" s="65"/>
      <c r="V931" s="65"/>
      <c r="W931" s="65"/>
      <c r="X931" s="65"/>
      <c r="Y931" s="65"/>
      <c r="Z931" s="65"/>
    </row>
    <row r="932" ht="15.75" customHeight="1">
      <c r="A932" s="65"/>
      <c r="B932" s="65"/>
      <c r="C932" s="65"/>
      <c r="D932" s="65"/>
      <c r="E932" s="65"/>
      <c r="F932" s="65"/>
      <c r="I932" s="65"/>
      <c r="J932" s="65"/>
      <c r="K932" s="65"/>
      <c r="L932" s="65"/>
      <c r="M932" s="65"/>
      <c r="N932" s="65"/>
      <c r="O932" s="65"/>
      <c r="P932" s="65"/>
      <c r="Q932" s="65"/>
      <c r="R932" s="65"/>
      <c r="S932" s="65"/>
      <c r="T932" s="65"/>
      <c r="U932" s="65"/>
      <c r="V932" s="65"/>
      <c r="W932" s="65"/>
      <c r="X932" s="65"/>
      <c r="Y932" s="65"/>
      <c r="Z932" s="65"/>
    </row>
    <row r="933" ht="15.75" customHeight="1">
      <c r="A933" s="65"/>
      <c r="B933" s="65"/>
      <c r="C933" s="65"/>
      <c r="D933" s="65"/>
      <c r="E933" s="65"/>
      <c r="F933" s="65"/>
      <c r="I933" s="65"/>
      <c r="J933" s="65"/>
      <c r="K933" s="65"/>
      <c r="L933" s="65"/>
      <c r="M933" s="65"/>
      <c r="N933" s="65"/>
      <c r="O933" s="65"/>
      <c r="P933" s="65"/>
      <c r="Q933" s="65"/>
      <c r="R933" s="65"/>
      <c r="S933" s="65"/>
      <c r="T933" s="65"/>
      <c r="U933" s="65"/>
      <c r="V933" s="65"/>
      <c r="W933" s="65"/>
      <c r="X933" s="65"/>
      <c r="Y933" s="65"/>
      <c r="Z933" s="65"/>
    </row>
    <row r="934" ht="15.75" customHeight="1">
      <c r="A934" s="65"/>
      <c r="B934" s="65"/>
      <c r="C934" s="65"/>
      <c r="D934" s="65"/>
      <c r="E934" s="65"/>
      <c r="F934" s="65"/>
      <c r="I934" s="65"/>
      <c r="J934" s="65"/>
      <c r="K934" s="65"/>
      <c r="L934" s="65"/>
      <c r="M934" s="65"/>
      <c r="N934" s="65"/>
      <c r="O934" s="65"/>
      <c r="P934" s="65"/>
      <c r="Q934" s="65"/>
      <c r="R934" s="65"/>
      <c r="S934" s="65"/>
      <c r="T934" s="65"/>
      <c r="U934" s="65"/>
      <c r="V934" s="65"/>
      <c r="W934" s="65"/>
      <c r="X934" s="65"/>
      <c r="Y934" s="65"/>
      <c r="Z934" s="65"/>
    </row>
    <row r="935" ht="15.75" customHeight="1">
      <c r="A935" s="65"/>
      <c r="B935" s="65"/>
      <c r="C935" s="65"/>
      <c r="D935" s="65"/>
      <c r="E935" s="65"/>
      <c r="F935" s="65"/>
      <c r="I935" s="65"/>
      <c r="J935" s="65"/>
      <c r="K935" s="65"/>
      <c r="L935" s="65"/>
      <c r="M935" s="65"/>
      <c r="N935" s="65"/>
      <c r="O935" s="65"/>
      <c r="P935" s="65"/>
      <c r="Q935" s="65"/>
      <c r="R935" s="65"/>
      <c r="S935" s="65"/>
      <c r="T935" s="65"/>
      <c r="U935" s="65"/>
      <c r="V935" s="65"/>
      <c r="W935" s="65"/>
      <c r="X935" s="65"/>
      <c r="Y935" s="65"/>
      <c r="Z935" s="65"/>
    </row>
    <row r="936" ht="15.75" customHeight="1">
      <c r="A936" s="65"/>
      <c r="B936" s="65"/>
      <c r="C936" s="65"/>
      <c r="D936" s="65"/>
      <c r="E936" s="65"/>
      <c r="F936" s="65"/>
      <c r="I936" s="65"/>
      <c r="J936" s="65"/>
      <c r="K936" s="65"/>
      <c r="L936" s="65"/>
      <c r="M936" s="65"/>
      <c r="N936" s="65"/>
      <c r="O936" s="65"/>
      <c r="P936" s="65"/>
      <c r="Q936" s="65"/>
      <c r="R936" s="65"/>
      <c r="S936" s="65"/>
      <c r="T936" s="65"/>
      <c r="U936" s="65"/>
      <c r="V936" s="65"/>
      <c r="W936" s="65"/>
      <c r="X936" s="65"/>
      <c r="Y936" s="65"/>
      <c r="Z936" s="65"/>
    </row>
    <row r="937" ht="15.75" customHeight="1">
      <c r="A937" s="65"/>
      <c r="B937" s="65"/>
      <c r="C937" s="65"/>
      <c r="D937" s="65"/>
      <c r="E937" s="65"/>
      <c r="F937" s="65"/>
      <c r="I937" s="65"/>
      <c r="J937" s="65"/>
      <c r="K937" s="65"/>
      <c r="L937" s="65"/>
      <c r="M937" s="65"/>
      <c r="N937" s="65"/>
      <c r="O937" s="65"/>
      <c r="P937" s="65"/>
      <c r="Q937" s="65"/>
      <c r="R937" s="65"/>
      <c r="S937" s="65"/>
      <c r="T937" s="65"/>
      <c r="U937" s="65"/>
      <c r="V937" s="65"/>
      <c r="W937" s="65"/>
      <c r="X937" s="65"/>
      <c r="Y937" s="65"/>
      <c r="Z937" s="65"/>
    </row>
    <row r="938" ht="15.75" customHeight="1">
      <c r="A938" s="65"/>
      <c r="B938" s="65"/>
      <c r="C938" s="65"/>
      <c r="D938" s="65"/>
      <c r="E938" s="65"/>
      <c r="F938" s="65"/>
      <c r="I938" s="65"/>
      <c r="J938" s="65"/>
      <c r="K938" s="65"/>
      <c r="L938" s="65"/>
      <c r="M938" s="65"/>
      <c r="N938" s="65"/>
      <c r="O938" s="65"/>
      <c r="P938" s="65"/>
      <c r="Q938" s="65"/>
      <c r="R938" s="65"/>
      <c r="S938" s="65"/>
      <c r="T938" s="65"/>
      <c r="U938" s="65"/>
      <c r="V938" s="65"/>
      <c r="W938" s="65"/>
      <c r="X938" s="65"/>
      <c r="Y938" s="65"/>
      <c r="Z938" s="65"/>
    </row>
    <row r="939" ht="15.75" customHeight="1">
      <c r="A939" s="65"/>
      <c r="B939" s="65"/>
      <c r="C939" s="65"/>
      <c r="D939" s="65"/>
      <c r="E939" s="65"/>
      <c r="F939" s="65"/>
      <c r="I939" s="65"/>
      <c r="J939" s="65"/>
      <c r="K939" s="65"/>
      <c r="L939" s="65"/>
      <c r="M939" s="65"/>
      <c r="N939" s="65"/>
      <c r="O939" s="65"/>
      <c r="P939" s="65"/>
      <c r="Q939" s="65"/>
      <c r="R939" s="65"/>
      <c r="S939" s="65"/>
      <c r="T939" s="65"/>
      <c r="U939" s="65"/>
      <c r="V939" s="65"/>
      <c r="W939" s="65"/>
      <c r="X939" s="65"/>
      <c r="Y939" s="65"/>
      <c r="Z939" s="65"/>
    </row>
    <row r="940" ht="15.75" customHeight="1">
      <c r="A940" s="65"/>
      <c r="B940" s="65"/>
      <c r="C940" s="65"/>
      <c r="D940" s="65"/>
      <c r="E940" s="65"/>
      <c r="F940" s="65"/>
      <c r="I940" s="65"/>
      <c r="J940" s="65"/>
      <c r="K940" s="65"/>
      <c r="L940" s="65"/>
      <c r="M940" s="65"/>
      <c r="N940" s="65"/>
      <c r="O940" s="65"/>
      <c r="P940" s="65"/>
      <c r="Q940" s="65"/>
      <c r="R940" s="65"/>
      <c r="S940" s="65"/>
      <c r="T940" s="65"/>
      <c r="U940" s="65"/>
      <c r="V940" s="65"/>
      <c r="W940" s="65"/>
      <c r="X940" s="65"/>
      <c r="Y940" s="65"/>
      <c r="Z940" s="65"/>
    </row>
    <row r="941" ht="15.75" customHeight="1">
      <c r="A941" s="65"/>
      <c r="B941" s="65"/>
      <c r="C941" s="65"/>
      <c r="D941" s="65"/>
      <c r="E941" s="65"/>
      <c r="F941" s="65"/>
      <c r="I941" s="65"/>
      <c r="J941" s="65"/>
      <c r="K941" s="65"/>
      <c r="L941" s="65"/>
      <c r="M941" s="65"/>
      <c r="N941" s="65"/>
      <c r="O941" s="65"/>
      <c r="P941" s="65"/>
      <c r="Q941" s="65"/>
      <c r="R941" s="65"/>
      <c r="S941" s="65"/>
      <c r="T941" s="65"/>
      <c r="U941" s="65"/>
      <c r="V941" s="65"/>
      <c r="W941" s="65"/>
      <c r="X941" s="65"/>
      <c r="Y941" s="65"/>
      <c r="Z941" s="65"/>
    </row>
    <row r="942" ht="15.75" customHeight="1">
      <c r="A942" s="65"/>
      <c r="B942" s="65"/>
      <c r="C942" s="65"/>
      <c r="D942" s="65"/>
      <c r="E942" s="65"/>
      <c r="F942" s="65"/>
      <c r="I942" s="65"/>
      <c r="J942" s="65"/>
      <c r="K942" s="65"/>
      <c r="L942" s="65"/>
      <c r="M942" s="65"/>
      <c r="N942" s="65"/>
      <c r="O942" s="65"/>
      <c r="P942" s="65"/>
      <c r="Q942" s="65"/>
      <c r="R942" s="65"/>
      <c r="S942" s="65"/>
      <c r="T942" s="65"/>
      <c r="U942" s="65"/>
      <c r="V942" s="65"/>
      <c r="W942" s="65"/>
      <c r="X942" s="65"/>
      <c r="Y942" s="65"/>
      <c r="Z942" s="65"/>
    </row>
    <row r="943" ht="15.75" customHeight="1">
      <c r="A943" s="65"/>
      <c r="B943" s="65"/>
      <c r="C943" s="65"/>
      <c r="D943" s="65"/>
      <c r="E943" s="65"/>
      <c r="F943" s="65"/>
      <c r="I943" s="65"/>
      <c r="J943" s="65"/>
      <c r="K943" s="65"/>
      <c r="L943" s="65"/>
      <c r="M943" s="65"/>
      <c r="N943" s="65"/>
      <c r="O943" s="65"/>
      <c r="P943" s="65"/>
      <c r="Q943" s="65"/>
      <c r="R943" s="65"/>
      <c r="S943" s="65"/>
      <c r="T943" s="65"/>
      <c r="U943" s="65"/>
      <c r="V943" s="65"/>
      <c r="W943" s="65"/>
      <c r="X943" s="65"/>
      <c r="Y943" s="65"/>
      <c r="Z943" s="65"/>
    </row>
    <row r="944" ht="15.75" customHeight="1">
      <c r="A944" s="65"/>
      <c r="B944" s="65"/>
      <c r="C944" s="65"/>
      <c r="D944" s="65"/>
      <c r="E944" s="65"/>
      <c r="F944" s="65"/>
      <c r="I944" s="65"/>
      <c r="J944" s="65"/>
      <c r="K944" s="65"/>
      <c r="L944" s="65"/>
      <c r="M944" s="65"/>
      <c r="N944" s="65"/>
      <c r="O944" s="65"/>
      <c r="P944" s="65"/>
      <c r="Q944" s="65"/>
      <c r="R944" s="65"/>
      <c r="S944" s="65"/>
      <c r="T944" s="65"/>
      <c r="U944" s="65"/>
      <c r="V944" s="65"/>
      <c r="W944" s="65"/>
      <c r="X944" s="65"/>
      <c r="Y944" s="65"/>
      <c r="Z944" s="65"/>
    </row>
    <row r="945" ht="15.75" customHeight="1">
      <c r="A945" s="65"/>
      <c r="B945" s="65"/>
      <c r="C945" s="65"/>
      <c r="D945" s="65"/>
      <c r="E945" s="65"/>
      <c r="F945" s="65"/>
      <c r="I945" s="65"/>
      <c r="J945" s="65"/>
      <c r="K945" s="65"/>
      <c r="L945" s="65"/>
      <c r="M945" s="65"/>
      <c r="N945" s="65"/>
      <c r="O945" s="65"/>
      <c r="P945" s="65"/>
      <c r="Q945" s="65"/>
      <c r="R945" s="65"/>
      <c r="S945" s="65"/>
      <c r="T945" s="65"/>
      <c r="U945" s="65"/>
      <c r="V945" s="65"/>
      <c r="W945" s="65"/>
      <c r="X945" s="65"/>
      <c r="Y945" s="65"/>
      <c r="Z945" s="65"/>
    </row>
    <row r="946" ht="15.75" customHeight="1">
      <c r="A946" s="65"/>
      <c r="B946" s="65"/>
      <c r="C946" s="65"/>
      <c r="D946" s="65"/>
      <c r="E946" s="65"/>
      <c r="F946" s="65"/>
      <c r="I946" s="65"/>
      <c r="J946" s="65"/>
      <c r="K946" s="65"/>
      <c r="L946" s="65"/>
      <c r="M946" s="65"/>
      <c r="N946" s="65"/>
      <c r="O946" s="65"/>
      <c r="P946" s="65"/>
      <c r="Q946" s="65"/>
      <c r="R946" s="65"/>
      <c r="S946" s="65"/>
      <c r="T946" s="65"/>
      <c r="U946" s="65"/>
      <c r="V946" s="65"/>
      <c r="W946" s="65"/>
      <c r="X946" s="65"/>
      <c r="Y946" s="65"/>
      <c r="Z946" s="65"/>
    </row>
    <row r="947" ht="15.75" customHeight="1">
      <c r="A947" s="65"/>
      <c r="B947" s="65"/>
      <c r="C947" s="65"/>
      <c r="D947" s="65"/>
      <c r="E947" s="65"/>
      <c r="F947" s="65"/>
      <c r="I947" s="65"/>
      <c r="J947" s="65"/>
      <c r="K947" s="65"/>
      <c r="L947" s="65"/>
      <c r="M947" s="65"/>
      <c r="N947" s="65"/>
      <c r="O947" s="65"/>
      <c r="P947" s="65"/>
      <c r="Q947" s="65"/>
      <c r="R947" s="65"/>
      <c r="S947" s="65"/>
      <c r="T947" s="65"/>
      <c r="U947" s="65"/>
      <c r="V947" s="65"/>
      <c r="W947" s="65"/>
      <c r="X947" s="65"/>
      <c r="Y947" s="65"/>
      <c r="Z947" s="65"/>
    </row>
    <row r="948" ht="15.75" customHeight="1">
      <c r="A948" s="65"/>
      <c r="B948" s="65"/>
      <c r="C948" s="65"/>
      <c r="D948" s="65"/>
      <c r="E948" s="65"/>
      <c r="F948" s="65"/>
      <c r="I948" s="65"/>
      <c r="J948" s="65"/>
      <c r="K948" s="65"/>
      <c r="L948" s="65"/>
      <c r="M948" s="65"/>
      <c r="N948" s="65"/>
      <c r="O948" s="65"/>
      <c r="P948" s="65"/>
      <c r="Q948" s="65"/>
      <c r="R948" s="65"/>
      <c r="S948" s="65"/>
      <c r="T948" s="65"/>
      <c r="U948" s="65"/>
      <c r="V948" s="65"/>
      <c r="W948" s="65"/>
      <c r="X948" s="65"/>
      <c r="Y948" s="65"/>
      <c r="Z948" s="65"/>
    </row>
    <row r="949" ht="15.75" customHeight="1">
      <c r="A949" s="65"/>
      <c r="B949" s="65"/>
      <c r="C949" s="65"/>
      <c r="D949" s="65"/>
      <c r="E949" s="65"/>
      <c r="F949" s="65"/>
      <c r="I949" s="65"/>
      <c r="J949" s="65"/>
      <c r="K949" s="65"/>
      <c r="L949" s="65"/>
      <c r="M949" s="65"/>
      <c r="N949" s="65"/>
      <c r="O949" s="65"/>
      <c r="P949" s="65"/>
      <c r="Q949" s="65"/>
      <c r="R949" s="65"/>
      <c r="S949" s="65"/>
      <c r="T949" s="65"/>
      <c r="U949" s="65"/>
      <c r="V949" s="65"/>
      <c r="W949" s="65"/>
      <c r="X949" s="65"/>
      <c r="Y949" s="65"/>
      <c r="Z949" s="65"/>
    </row>
    <row r="950" ht="15.75" customHeight="1">
      <c r="A950" s="65"/>
      <c r="B950" s="65"/>
      <c r="C950" s="65"/>
      <c r="D950" s="65"/>
      <c r="E950" s="65"/>
      <c r="F950" s="65"/>
      <c r="I950" s="65"/>
      <c r="J950" s="65"/>
      <c r="K950" s="65"/>
      <c r="L950" s="65"/>
      <c r="M950" s="65"/>
      <c r="N950" s="65"/>
      <c r="O950" s="65"/>
      <c r="P950" s="65"/>
      <c r="Q950" s="65"/>
      <c r="R950" s="65"/>
      <c r="S950" s="65"/>
      <c r="T950" s="65"/>
      <c r="U950" s="65"/>
      <c r="V950" s="65"/>
      <c r="W950" s="65"/>
      <c r="X950" s="65"/>
      <c r="Y950" s="65"/>
      <c r="Z950" s="65"/>
    </row>
    <row r="951" ht="15.75" customHeight="1">
      <c r="A951" s="65"/>
      <c r="B951" s="65"/>
      <c r="C951" s="65"/>
      <c r="D951" s="65"/>
      <c r="E951" s="65"/>
      <c r="F951" s="65"/>
      <c r="I951" s="65"/>
      <c r="J951" s="65"/>
      <c r="K951" s="65"/>
      <c r="L951" s="65"/>
      <c r="M951" s="65"/>
      <c r="N951" s="65"/>
      <c r="O951" s="65"/>
      <c r="P951" s="65"/>
      <c r="Q951" s="65"/>
      <c r="R951" s="65"/>
      <c r="S951" s="65"/>
      <c r="T951" s="65"/>
      <c r="U951" s="65"/>
      <c r="V951" s="65"/>
      <c r="W951" s="65"/>
      <c r="X951" s="65"/>
      <c r="Y951" s="65"/>
      <c r="Z951" s="65"/>
    </row>
    <row r="952" ht="15.75" customHeight="1">
      <c r="A952" s="65"/>
      <c r="B952" s="65"/>
      <c r="C952" s="65"/>
      <c r="D952" s="65"/>
      <c r="E952" s="65"/>
      <c r="F952" s="65"/>
      <c r="I952" s="65"/>
      <c r="J952" s="65"/>
      <c r="K952" s="65"/>
      <c r="L952" s="65"/>
      <c r="M952" s="65"/>
      <c r="N952" s="65"/>
      <c r="O952" s="65"/>
      <c r="P952" s="65"/>
      <c r="Q952" s="65"/>
      <c r="R952" s="65"/>
      <c r="S952" s="65"/>
      <c r="T952" s="65"/>
      <c r="U952" s="65"/>
      <c r="V952" s="65"/>
      <c r="W952" s="65"/>
      <c r="X952" s="65"/>
      <c r="Y952" s="65"/>
      <c r="Z952" s="65"/>
    </row>
    <row r="953" ht="15.75" customHeight="1">
      <c r="A953" s="65"/>
      <c r="B953" s="65"/>
      <c r="C953" s="65"/>
      <c r="D953" s="65"/>
      <c r="E953" s="65"/>
      <c r="F953" s="65"/>
      <c r="I953" s="65"/>
      <c r="J953" s="65"/>
      <c r="K953" s="65"/>
      <c r="L953" s="65"/>
      <c r="M953" s="65"/>
      <c r="N953" s="65"/>
      <c r="O953" s="65"/>
      <c r="P953" s="65"/>
      <c r="Q953" s="65"/>
      <c r="R953" s="65"/>
      <c r="S953" s="65"/>
      <c r="T953" s="65"/>
      <c r="U953" s="65"/>
      <c r="V953" s="65"/>
      <c r="W953" s="65"/>
      <c r="X953" s="65"/>
      <c r="Y953" s="65"/>
      <c r="Z953" s="65"/>
    </row>
    <row r="954" ht="15.75" customHeight="1">
      <c r="A954" s="65"/>
      <c r="B954" s="65"/>
      <c r="C954" s="65"/>
      <c r="D954" s="65"/>
      <c r="E954" s="65"/>
      <c r="F954" s="65"/>
      <c r="I954" s="65"/>
      <c r="J954" s="65"/>
      <c r="K954" s="65"/>
      <c r="L954" s="65"/>
      <c r="M954" s="65"/>
      <c r="N954" s="65"/>
      <c r="O954" s="65"/>
      <c r="P954" s="65"/>
      <c r="Q954" s="65"/>
      <c r="R954" s="65"/>
      <c r="S954" s="65"/>
      <c r="T954" s="65"/>
      <c r="U954" s="65"/>
      <c r="V954" s="65"/>
      <c r="W954" s="65"/>
      <c r="X954" s="65"/>
      <c r="Y954" s="65"/>
      <c r="Z954" s="65"/>
    </row>
    <row r="955" ht="15.75" customHeight="1">
      <c r="A955" s="65"/>
      <c r="B955" s="65"/>
      <c r="C955" s="65"/>
      <c r="D955" s="65"/>
      <c r="E955" s="65"/>
      <c r="F955" s="65"/>
      <c r="I955" s="65"/>
      <c r="J955" s="65"/>
      <c r="K955" s="65"/>
      <c r="L955" s="65"/>
      <c r="M955" s="65"/>
      <c r="N955" s="65"/>
      <c r="O955" s="65"/>
      <c r="P955" s="65"/>
      <c r="Q955" s="65"/>
      <c r="R955" s="65"/>
      <c r="S955" s="65"/>
      <c r="T955" s="65"/>
      <c r="U955" s="65"/>
      <c r="V955" s="65"/>
      <c r="W955" s="65"/>
      <c r="X955" s="65"/>
      <c r="Y955" s="65"/>
      <c r="Z955" s="65"/>
    </row>
    <row r="956" ht="15.75" customHeight="1">
      <c r="A956" s="65"/>
      <c r="B956" s="65"/>
      <c r="C956" s="65"/>
      <c r="D956" s="65"/>
      <c r="E956" s="65"/>
      <c r="F956" s="65"/>
      <c r="I956" s="65"/>
      <c r="J956" s="65"/>
      <c r="K956" s="65"/>
      <c r="L956" s="65"/>
      <c r="M956" s="65"/>
      <c r="N956" s="65"/>
      <c r="O956" s="65"/>
      <c r="P956" s="65"/>
      <c r="Q956" s="65"/>
      <c r="R956" s="65"/>
      <c r="S956" s="65"/>
      <c r="T956" s="65"/>
      <c r="U956" s="65"/>
      <c r="V956" s="65"/>
      <c r="W956" s="65"/>
      <c r="X956" s="65"/>
      <c r="Y956" s="65"/>
      <c r="Z956" s="65"/>
    </row>
    <row r="957" ht="15.75" customHeight="1">
      <c r="A957" s="65"/>
      <c r="B957" s="65"/>
      <c r="C957" s="65"/>
      <c r="D957" s="65"/>
      <c r="E957" s="65"/>
      <c r="F957" s="65"/>
      <c r="I957" s="65"/>
      <c r="J957" s="65"/>
      <c r="K957" s="65"/>
      <c r="L957" s="65"/>
      <c r="M957" s="65"/>
      <c r="N957" s="65"/>
      <c r="O957" s="65"/>
      <c r="P957" s="65"/>
      <c r="Q957" s="65"/>
      <c r="R957" s="65"/>
      <c r="S957" s="65"/>
      <c r="T957" s="65"/>
      <c r="U957" s="65"/>
      <c r="V957" s="65"/>
      <c r="W957" s="65"/>
      <c r="X957" s="65"/>
      <c r="Y957" s="65"/>
      <c r="Z957" s="65"/>
    </row>
    <row r="958" ht="15.75" customHeight="1">
      <c r="A958" s="65"/>
      <c r="B958" s="65"/>
      <c r="C958" s="65"/>
      <c r="D958" s="65"/>
      <c r="E958" s="65"/>
      <c r="F958" s="65"/>
      <c r="I958" s="65"/>
      <c r="J958" s="65"/>
      <c r="K958" s="65"/>
      <c r="L958" s="65"/>
      <c r="M958" s="65"/>
      <c r="N958" s="65"/>
      <c r="O958" s="65"/>
      <c r="P958" s="65"/>
      <c r="Q958" s="65"/>
      <c r="R958" s="65"/>
      <c r="S958" s="65"/>
      <c r="T958" s="65"/>
      <c r="U958" s="65"/>
      <c r="V958" s="65"/>
      <c r="W958" s="65"/>
      <c r="X958" s="65"/>
      <c r="Y958" s="65"/>
      <c r="Z958" s="65"/>
    </row>
    <row r="959" ht="15.75" customHeight="1">
      <c r="A959" s="65"/>
      <c r="B959" s="65"/>
      <c r="C959" s="65"/>
      <c r="D959" s="65"/>
      <c r="E959" s="65"/>
      <c r="F959" s="65"/>
      <c r="I959" s="65"/>
      <c r="J959" s="65"/>
      <c r="K959" s="65"/>
      <c r="L959" s="65"/>
      <c r="M959" s="65"/>
      <c r="N959" s="65"/>
      <c r="O959" s="65"/>
      <c r="P959" s="65"/>
      <c r="Q959" s="65"/>
      <c r="R959" s="65"/>
      <c r="S959" s="65"/>
      <c r="T959" s="65"/>
      <c r="U959" s="65"/>
      <c r="V959" s="65"/>
      <c r="W959" s="65"/>
      <c r="X959" s="65"/>
      <c r="Y959" s="65"/>
      <c r="Z959" s="65"/>
    </row>
    <row r="960" ht="15.75" customHeight="1">
      <c r="A960" s="65"/>
      <c r="B960" s="65"/>
      <c r="C960" s="65"/>
      <c r="D960" s="65"/>
      <c r="E960" s="65"/>
      <c r="F960" s="65"/>
      <c r="I960" s="65"/>
      <c r="J960" s="65"/>
      <c r="K960" s="65"/>
      <c r="L960" s="65"/>
      <c r="M960" s="65"/>
      <c r="N960" s="65"/>
      <c r="O960" s="65"/>
      <c r="P960" s="65"/>
      <c r="Q960" s="65"/>
      <c r="R960" s="65"/>
      <c r="S960" s="65"/>
      <c r="T960" s="65"/>
      <c r="U960" s="65"/>
      <c r="V960" s="65"/>
      <c r="W960" s="65"/>
      <c r="X960" s="65"/>
      <c r="Y960" s="65"/>
      <c r="Z960" s="65"/>
    </row>
    <row r="961" ht="15.75" customHeight="1">
      <c r="A961" s="65"/>
      <c r="B961" s="65"/>
      <c r="C961" s="65"/>
      <c r="D961" s="65"/>
      <c r="E961" s="65"/>
      <c r="F961" s="65"/>
      <c r="I961" s="65"/>
      <c r="J961" s="65"/>
      <c r="K961" s="65"/>
      <c r="L961" s="65"/>
      <c r="M961" s="65"/>
      <c r="N961" s="65"/>
      <c r="O961" s="65"/>
      <c r="P961" s="65"/>
      <c r="Q961" s="65"/>
      <c r="R961" s="65"/>
      <c r="S961" s="65"/>
      <c r="T961" s="65"/>
      <c r="U961" s="65"/>
      <c r="V961" s="65"/>
      <c r="W961" s="65"/>
      <c r="X961" s="65"/>
      <c r="Y961" s="65"/>
      <c r="Z961" s="65"/>
    </row>
    <row r="962" ht="15.75" customHeight="1">
      <c r="A962" s="65"/>
      <c r="B962" s="65"/>
      <c r="C962" s="65"/>
      <c r="D962" s="65"/>
      <c r="E962" s="65"/>
      <c r="F962" s="65"/>
      <c r="I962" s="65"/>
      <c r="J962" s="65"/>
      <c r="K962" s="65"/>
      <c r="L962" s="65"/>
      <c r="M962" s="65"/>
      <c r="N962" s="65"/>
      <c r="O962" s="65"/>
      <c r="P962" s="65"/>
      <c r="Q962" s="65"/>
      <c r="R962" s="65"/>
      <c r="S962" s="65"/>
      <c r="T962" s="65"/>
      <c r="U962" s="65"/>
      <c r="V962" s="65"/>
      <c r="W962" s="65"/>
      <c r="X962" s="65"/>
      <c r="Y962" s="65"/>
      <c r="Z962" s="65"/>
    </row>
    <row r="963" ht="15.75" customHeight="1">
      <c r="A963" s="65"/>
      <c r="B963" s="65"/>
      <c r="C963" s="65"/>
      <c r="D963" s="65"/>
      <c r="E963" s="65"/>
      <c r="F963" s="65"/>
      <c r="I963" s="65"/>
      <c r="J963" s="65"/>
      <c r="K963" s="65"/>
      <c r="L963" s="65"/>
      <c r="M963" s="65"/>
      <c r="N963" s="65"/>
      <c r="O963" s="65"/>
      <c r="P963" s="65"/>
      <c r="Q963" s="65"/>
      <c r="R963" s="65"/>
      <c r="S963" s="65"/>
      <c r="T963" s="65"/>
      <c r="U963" s="65"/>
      <c r="V963" s="65"/>
      <c r="W963" s="65"/>
      <c r="X963" s="65"/>
      <c r="Y963" s="65"/>
      <c r="Z963" s="65"/>
    </row>
    <row r="964" ht="15.75" customHeight="1">
      <c r="A964" s="65"/>
      <c r="B964" s="65"/>
      <c r="C964" s="65"/>
      <c r="D964" s="65"/>
      <c r="E964" s="65"/>
      <c r="F964" s="65"/>
      <c r="I964" s="65"/>
      <c r="J964" s="65"/>
      <c r="K964" s="65"/>
      <c r="L964" s="65"/>
      <c r="M964" s="65"/>
      <c r="N964" s="65"/>
      <c r="O964" s="65"/>
      <c r="P964" s="65"/>
      <c r="Q964" s="65"/>
      <c r="R964" s="65"/>
      <c r="S964" s="65"/>
      <c r="T964" s="65"/>
      <c r="U964" s="65"/>
      <c r="V964" s="65"/>
      <c r="W964" s="65"/>
      <c r="X964" s="65"/>
      <c r="Y964" s="65"/>
      <c r="Z964" s="65"/>
    </row>
    <row r="965" ht="15.75" customHeight="1">
      <c r="A965" s="65"/>
      <c r="B965" s="65"/>
      <c r="C965" s="65"/>
      <c r="D965" s="65"/>
      <c r="E965" s="65"/>
      <c r="F965" s="65"/>
      <c r="I965" s="65"/>
      <c r="J965" s="65"/>
      <c r="K965" s="65"/>
      <c r="L965" s="65"/>
      <c r="M965" s="65"/>
      <c r="N965" s="65"/>
      <c r="O965" s="65"/>
      <c r="P965" s="65"/>
      <c r="Q965" s="65"/>
      <c r="R965" s="65"/>
      <c r="S965" s="65"/>
      <c r="T965" s="65"/>
      <c r="U965" s="65"/>
      <c r="V965" s="65"/>
      <c r="W965" s="65"/>
      <c r="X965" s="65"/>
      <c r="Y965" s="65"/>
      <c r="Z965" s="65"/>
    </row>
    <row r="966" ht="15.75" customHeight="1">
      <c r="A966" s="65"/>
      <c r="B966" s="65"/>
      <c r="C966" s="65"/>
      <c r="D966" s="65"/>
      <c r="E966" s="65"/>
      <c r="F966" s="65"/>
      <c r="I966" s="65"/>
      <c r="J966" s="65"/>
      <c r="K966" s="65"/>
      <c r="L966" s="65"/>
      <c r="M966" s="65"/>
      <c r="N966" s="65"/>
      <c r="O966" s="65"/>
      <c r="P966" s="65"/>
      <c r="Q966" s="65"/>
      <c r="R966" s="65"/>
      <c r="S966" s="65"/>
      <c r="T966" s="65"/>
      <c r="U966" s="65"/>
      <c r="V966" s="65"/>
      <c r="W966" s="65"/>
      <c r="X966" s="65"/>
      <c r="Y966" s="65"/>
      <c r="Z966" s="65"/>
    </row>
    <row r="967" ht="15.75" customHeight="1">
      <c r="A967" s="65"/>
      <c r="B967" s="65"/>
      <c r="C967" s="65"/>
      <c r="D967" s="65"/>
      <c r="E967" s="65"/>
      <c r="F967" s="65"/>
      <c r="I967" s="65"/>
      <c r="J967" s="65"/>
      <c r="K967" s="65"/>
      <c r="L967" s="65"/>
      <c r="M967" s="65"/>
      <c r="N967" s="65"/>
      <c r="O967" s="65"/>
      <c r="P967" s="65"/>
      <c r="Q967" s="65"/>
      <c r="R967" s="65"/>
      <c r="S967" s="65"/>
      <c r="T967" s="65"/>
      <c r="U967" s="65"/>
      <c r="V967" s="65"/>
      <c r="W967" s="65"/>
      <c r="X967" s="65"/>
      <c r="Y967" s="65"/>
      <c r="Z967" s="65"/>
    </row>
    <row r="968" ht="15.75" customHeight="1">
      <c r="A968" s="65"/>
      <c r="B968" s="65"/>
      <c r="C968" s="65"/>
      <c r="D968" s="65"/>
      <c r="E968" s="65"/>
      <c r="F968" s="65"/>
      <c r="I968" s="65"/>
      <c r="J968" s="65"/>
      <c r="K968" s="65"/>
      <c r="L968" s="65"/>
      <c r="M968" s="65"/>
      <c r="N968" s="65"/>
      <c r="O968" s="65"/>
      <c r="P968" s="65"/>
      <c r="Q968" s="65"/>
      <c r="R968" s="65"/>
      <c r="S968" s="65"/>
      <c r="T968" s="65"/>
      <c r="U968" s="65"/>
      <c r="V968" s="65"/>
      <c r="W968" s="65"/>
      <c r="X968" s="65"/>
      <c r="Y968" s="65"/>
      <c r="Z968" s="65"/>
    </row>
    <row r="969" ht="15.75" customHeight="1">
      <c r="A969" s="65"/>
      <c r="B969" s="65"/>
      <c r="C969" s="65"/>
      <c r="D969" s="65"/>
      <c r="E969" s="65"/>
      <c r="F969" s="65"/>
      <c r="I969" s="65"/>
      <c r="J969" s="65"/>
      <c r="K969" s="65"/>
      <c r="L969" s="65"/>
      <c r="M969" s="65"/>
      <c r="N969" s="65"/>
      <c r="O969" s="65"/>
      <c r="P969" s="65"/>
      <c r="Q969" s="65"/>
      <c r="R969" s="65"/>
      <c r="S969" s="65"/>
      <c r="T969" s="65"/>
      <c r="U969" s="65"/>
      <c r="V969" s="65"/>
      <c r="W969" s="65"/>
      <c r="X969" s="65"/>
      <c r="Y969" s="65"/>
      <c r="Z969" s="65"/>
    </row>
    <row r="970" ht="15.75" customHeight="1">
      <c r="A970" s="65"/>
      <c r="B970" s="65"/>
      <c r="C970" s="65"/>
      <c r="D970" s="65"/>
      <c r="E970" s="65"/>
      <c r="F970" s="65"/>
      <c r="I970" s="65"/>
      <c r="J970" s="65"/>
      <c r="K970" s="65"/>
      <c r="L970" s="65"/>
      <c r="M970" s="65"/>
      <c r="N970" s="65"/>
      <c r="O970" s="65"/>
      <c r="P970" s="65"/>
      <c r="Q970" s="65"/>
      <c r="R970" s="65"/>
      <c r="S970" s="65"/>
      <c r="T970" s="65"/>
      <c r="U970" s="65"/>
      <c r="V970" s="65"/>
      <c r="W970" s="65"/>
      <c r="X970" s="65"/>
      <c r="Y970" s="65"/>
      <c r="Z970" s="65"/>
    </row>
    <row r="971" ht="15.75" customHeight="1">
      <c r="A971" s="65"/>
      <c r="B971" s="65"/>
      <c r="C971" s="65"/>
      <c r="D971" s="65"/>
      <c r="E971" s="65"/>
      <c r="F971" s="65"/>
      <c r="I971" s="65"/>
      <c r="J971" s="65"/>
      <c r="K971" s="65"/>
      <c r="L971" s="65"/>
      <c r="M971" s="65"/>
      <c r="N971" s="65"/>
      <c r="O971" s="65"/>
      <c r="P971" s="65"/>
      <c r="Q971" s="65"/>
      <c r="R971" s="65"/>
      <c r="S971" s="65"/>
      <c r="T971" s="65"/>
      <c r="U971" s="65"/>
      <c r="V971" s="65"/>
      <c r="W971" s="65"/>
      <c r="X971" s="65"/>
      <c r="Y971" s="65"/>
      <c r="Z971" s="65"/>
    </row>
    <row r="972" ht="15.75" customHeight="1">
      <c r="A972" s="65"/>
      <c r="B972" s="65"/>
      <c r="C972" s="65"/>
      <c r="D972" s="65"/>
      <c r="E972" s="65"/>
      <c r="F972" s="65"/>
      <c r="I972" s="65"/>
      <c r="J972" s="65"/>
      <c r="K972" s="65"/>
      <c r="L972" s="65"/>
      <c r="M972" s="65"/>
      <c r="N972" s="65"/>
      <c r="O972" s="65"/>
      <c r="P972" s="65"/>
      <c r="Q972" s="65"/>
      <c r="R972" s="65"/>
      <c r="S972" s="65"/>
      <c r="T972" s="65"/>
      <c r="U972" s="65"/>
      <c r="V972" s="65"/>
      <c r="W972" s="65"/>
      <c r="X972" s="65"/>
      <c r="Y972" s="65"/>
      <c r="Z972" s="65"/>
    </row>
    <row r="973" ht="15.75" customHeight="1">
      <c r="A973" s="65"/>
      <c r="B973" s="65"/>
      <c r="C973" s="65"/>
      <c r="D973" s="65"/>
      <c r="E973" s="65"/>
      <c r="F973" s="65"/>
      <c r="I973" s="65"/>
      <c r="J973" s="65"/>
      <c r="K973" s="65"/>
      <c r="L973" s="65"/>
      <c r="M973" s="65"/>
      <c r="N973" s="65"/>
      <c r="O973" s="65"/>
      <c r="P973" s="65"/>
      <c r="Q973" s="65"/>
      <c r="R973" s="65"/>
      <c r="S973" s="65"/>
      <c r="T973" s="65"/>
      <c r="U973" s="65"/>
      <c r="V973" s="65"/>
      <c r="W973" s="65"/>
      <c r="X973" s="65"/>
      <c r="Y973" s="65"/>
      <c r="Z973" s="65"/>
    </row>
    <row r="974" ht="15.75" customHeight="1">
      <c r="A974" s="65"/>
      <c r="B974" s="65"/>
      <c r="C974" s="65"/>
      <c r="D974" s="65"/>
      <c r="E974" s="65"/>
      <c r="F974" s="65"/>
      <c r="I974" s="65"/>
      <c r="J974" s="65"/>
      <c r="K974" s="65"/>
      <c r="L974" s="65"/>
      <c r="M974" s="65"/>
      <c r="N974" s="65"/>
      <c r="O974" s="65"/>
      <c r="P974" s="65"/>
      <c r="Q974" s="65"/>
      <c r="R974" s="65"/>
      <c r="S974" s="65"/>
      <c r="T974" s="65"/>
      <c r="U974" s="65"/>
      <c r="V974" s="65"/>
      <c r="W974" s="65"/>
      <c r="X974" s="65"/>
      <c r="Y974" s="65"/>
      <c r="Z974" s="65"/>
    </row>
    <row r="975" ht="15.75" customHeight="1">
      <c r="A975" s="65"/>
      <c r="B975" s="65"/>
      <c r="C975" s="65"/>
      <c r="D975" s="65"/>
      <c r="E975" s="65"/>
      <c r="F975" s="65"/>
      <c r="I975" s="65"/>
      <c r="J975" s="65"/>
      <c r="K975" s="65"/>
      <c r="L975" s="65"/>
      <c r="M975" s="65"/>
      <c r="N975" s="65"/>
      <c r="O975" s="65"/>
      <c r="P975" s="65"/>
      <c r="Q975" s="65"/>
      <c r="R975" s="65"/>
      <c r="S975" s="65"/>
      <c r="T975" s="65"/>
      <c r="U975" s="65"/>
      <c r="V975" s="65"/>
      <c r="W975" s="65"/>
      <c r="X975" s="65"/>
      <c r="Y975" s="65"/>
      <c r="Z975" s="65"/>
    </row>
    <row r="976" ht="15.75" customHeight="1">
      <c r="A976" s="65"/>
      <c r="B976" s="65"/>
      <c r="C976" s="65"/>
      <c r="D976" s="65"/>
      <c r="E976" s="65"/>
      <c r="F976" s="65"/>
      <c r="I976" s="65"/>
      <c r="J976" s="65"/>
      <c r="K976" s="65"/>
      <c r="L976" s="65"/>
      <c r="M976" s="65"/>
      <c r="N976" s="65"/>
      <c r="O976" s="65"/>
      <c r="P976" s="65"/>
      <c r="Q976" s="65"/>
      <c r="R976" s="65"/>
      <c r="S976" s="65"/>
      <c r="T976" s="65"/>
      <c r="U976" s="65"/>
      <c r="V976" s="65"/>
      <c r="W976" s="65"/>
      <c r="X976" s="65"/>
      <c r="Y976" s="65"/>
      <c r="Z976" s="65"/>
    </row>
    <row r="977" ht="15.75" customHeight="1">
      <c r="A977" s="65"/>
      <c r="B977" s="65"/>
      <c r="C977" s="65"/>
      <c r="D977" s="65"/>
      <c r="E977" s="65"/>
      <c r="F977" s="65"/>
      <c r="I977" s="65"/>
      <c r="J977" s="65"/>
      <c r="K977" s="65"/>
      <c r="L977" s="65"/>
      <c r="M977" s="65"/>
      <c r="N977" s="65"/>
      <c r="O977" s="65"/>
      <c r="P977" s="65"/>
      <c r="Q977" s="65"/>
      <c r="R977" s="65"/>
      <c r="S977" s="65"/>
      <c r="T977" s="65"/>
      <c r="U977" s="65"/>
      <c r="V977" s="65"/>
      <c r="W977" s="65"/>
      <c r="X977" s="65"/>
      <c r="Y977" s="65"/>
      <c r="Z977" s="65"/>
    </row>
    <row r="978" ht="15.75" customHeight="1">
      <c r="A978" s="65"/>
      <c r="B978" s="65"/>
      <c r="C978" s="65"/>
      <c r="D978" s="65"/>
      <c r="E978" s="65"/>
      <c r="F978" s="65"/>
      <c r="I978" s="65"/>
      <c r="J978" s="65"/>
      <c r="K978" s="65"/>
      <c r="L978" s="65"/>
      <c r="M978" s="65"/>
      <c r="N978" s="65"/>
      <c r="O978" s="65"/>
      <c r="P978" s="65"/>
      <c r="Q978" s="65"/>
      <c r="R978" s="65"/>
      <c r="S978" s="65"/>
      <c r="T978" s="65"/>
      <c r="U978" s="65"/>
      <c r="V978" s="65"/>
      <c r="W978" s="65"/>
      <c r="X978" s="65"/>
      <c r="Y978" s="65"/>
      <c r="Z978" s="65"/>
    </row>
    <row r="979" ht="15.75" customHeight="1">
      <c r="A979" s="65"/>
      <c r="B979" s="65"/>
      <c r="C979" s="65"/>
      <c r="D979" s="65"/>
      <c r="E979" s="65"/>
      <c r="F979" s="65"/>
      <c r="I979" s="65"/>
      <c r="J979" s="65"/>
      <c r="K979" s="65"/>
      <c r="L979" s="65"/>
      <c r="M979" s="65"/>
      <c r="N979" s="65"/>
      <c r="O979" s="65"/>
      <c r="P979" s="65"/>
      <c r="Q979" s="65"/>
      <c r="R979" s="65"/>
      <c r="S979" s="65"/>
      <c r="T979" s="65"/>
      <c r="U979" s="65"/>
      <c r="V979" s="65"/>
      <c r="W979" s="65"/>
      <c r="X979" s="65"/>
      <c r="Y979" s="65"/>
      <c r="Z979" s="65"/>
    </row>
    <row r="980" ht="15.75" customHeight="1">
      <c r="A980" s="65"/>
      <c r="B980" s="65"/>
      <c r="C980" s="65"/>
      <c r="D980" s="65"/>
      <c r="E980" s="65"/>
      <c r="F980" s="65"/>
      <c r="I980" s="65"/>
      <c r="J980" s="65"/>
      <c r="K980" s="65"/>
      <c r="L980" s="65"/>
      <c r="M980" s="65"/>
      <c r="N980" s="65"/>
      <c r="O980" s="65"/>
      <c r="P980" s="65"/>
      <c r="Q980" s="65"/>
      <c r="R980" s="65"/>
      <c r="S980" s="65"/>
      <c r="T980" s="65"/>
      <c r="U980" s="65"/>
      <c r="V980" s="65"/>
      <c r="W980" s="65"/>
      <c r="X980" s="65"/>
      <c r="Y980" s="65"/>
      <c r="Z980" s="65"/>
    </row>
    <row r="981" ht="15.75" customHeight="1">
      <c r="A981" s="65"/>
      <c r="B981" s="65"/>
      <c r="C981" s="65"/>
      <c r="D981" s="65"/>
      <c r="E981" s="65"/>
      <c r="F981" s="65"/>
      <c r="I981" s="65"/>
      <c r="J981" s="65"/>
      <c r="K981" s="65"/>
      <c r="L981" s="65"/>
      <c r="M981" s="65"/>
      <c r="N981" s="65"/>
      <c r="O981" s="65"/>
      <c r="P981" s="65"/>
      <c r="Q981" s="65"/>
      <c r="R981" s="65"/>
      <c r="S981" s="65"/>
      <c r="T981" s="65"/>
      <c r="U981" s="65"/>
      <c r="V981" s="65"/>
      <c r="W981" s="65"/>
      <c r="X981" s="65"/>
      <c r="Y981" s="65"/>
      <c r="Z981" s="65"/>
    </row>
    <row r="982" ht="15.75" customHeight="1">
      <c r="A982" s="65"/>
      <c r="B982" s="65"/>
      <c r="C982" s="65"/>
      <c r="D982" s="65"/>
      <c r="E982" s="65"/>
      <c r="F982" s="65"/>
      <c r="I982" s="65"/>
      <c r="J982" s="65"/>
      <c r="K982" s="65"/>
      <c r="L982" s="65"/>
      <c r="M982" s="65"/>
      <c r="N982" s="65"/>
      <c r="O982" s="65"/>
      <c r="P982" s="65"/>
      <c r="Q982" s="65"/>
      <c r="R982" s="65"/>
      <c r="S982" s="65"/>
      <c r="T982" s="65"/>
      <c r="U982" s="65"/>
      <c r="V982" s="65"/>
      <c r="W982" s="65"/>
      <c r="X982" s="65"/>
      <c r="Y982" s="65"/>
      <c r="Z982" s="65"/>
    </row>
    <row r="983" ht="15.75" customHeight="1">
      <c r="A983" s="65"/>
      <c r="B983" s="65"/>
      <c r="C983" s="65"/>
      <c r="D983" s="65"/>
      <c r="E983" s="65"/>
      <c r="F983" s="65"/>
      <c r="I983" s="65"/>
      <c r="J983" s="65"/>
      <c r="K983" s="65"/>
      <c r="L983" s="65"/>
      <c r="M983" s="65"/>
      <c r="N983" s="65"/>
      <c r="O983" s="65"/>
      <c r="P983" s="65"/>
      <c r="Q983" s="65"/>
      <c r="R983" s="65"/>
      <c r="S983" s="65"/>
      <c r="T983" s="65"/>
      <c r="U983" s="65"/>
      <c r="V983" s="65"/>
      <c r="W983" s="65"/>
      <c r="X983" s="65"/>
      <c r="Y983" s="65"/>
      <c r="Z983" s="65"/>
    </row>
    <row r="984" ht="15.75" customHeight="1">
      <c r="A984" s="65"/>
      <c r="B984" s="65"/>
      <c r="C984" s="65"/>
      <c r="D984" s="65"/>
      <c r="E984" s="65"/>
      <c r="F984" s="65"/>
      <c r="I984" s="65"/>
      <c r="J984" s="65"/>
      <c r="K984" s="65"/>
      <c r="L984" s="65"/>
      <c r="M984" s="65"/>
      <c r="N984" s="65"/>
      <c r="O984" s="65"/>
      <c r="P984" s="65"/>
      <c r="Q984" s="65"/>
      <c r="R984" s="65"/>
      <c r="S984" s="65"/>
      <c r="T984" s="65"/>
      <c r="U984" s="65"/>
      <c r="V984" s="65"/>
      <c r="W984" s="65"/>
      <c r="X984" s="65"/>
      <c r="Y984" s="65"/>
      <c r="Z984" s="65"/>
    </row>
    <row r="985" ht="15.75" customHeight="1">
      <c r="A985" s="65"/>
      <c r="B985" s="65"/>
      <c r="C985" s="65"/>
      <c r="D985" s="65"/>
      <c r="E985" s="65"/>
      <c r="F985" s="65"/>
      <c r="I985" s="65"/>
      <c r="J985" s="65"/>
      <c r="K985" s="65"/>
      <c r="L985" s="65"/>
      <c r="M985" s="65"/>
      <c r="N985" s="65"/>
      <c r="O985" s="65"/>
      <c r="P985" s="65"/>
      <c r="Q985" s="65"/>
      <c r="R985" s="65"/>
      <c r="S985" s="65"/>
      <c r="T985" s="65"/>
      <c r="U985" s="65"/>
      <c r="V985" s="65"/>
      <c r="W985" s="65"/>
      <c r="X985" s="65"/>
      <c r="Y985" s="65"/>
      <c r="Z985" s="65"/>
    </row>
    <row r="986" ht="15.75" customHeight="1">
      <c r="A986" s="65"/>
      <c r="B986" s="65"/>
      <c r="C986" s="65"/>
      <c r="D986" s="65"/>
      <c r="E986" s="65"/>
      <c r="F986" s="65"/>
      <c r="I986" s="65"/>
      <c r="J986" s="65"/>
      <c r="K986" s="65"/>
      <c r="L986" s="65"/>
      <c r="M986" s="65"/>
      <c r="N986" s="65"/>
      <c r="O986" s="65"/>
      <c r="P986" s="65"/>
      <c r="Q986" s="65"/>
      <c r="R986" s="65"/>
      <c r="S986" s="65"/>
      <c r="T986" s="65"/>
      <c r="U986" s="65"/>
      <c r="V986" s="65"/>
      <c r="W986" s="65"/>
      <c r="X986" s="65"/>
      <c r="Y986" s="65"/>
      <c r="Z986" s="65"/>
    </row>
    <row r="987" ht="15.75" customHeight="1">
      <c r="A987" s="65"/>
      <c r="B987" s="65"/>
      <c r="C987" s="65"/>
      <c r="D987" s="65"/>
      <c r="E987" s="65"/>
      <c r="F987" s="65"/>
      <c r="I987" s="65"/>
      <c r="J987" s="65"/>
      <c r="K987" s="65"/>
      <c r="L987" s="65"/>
      <c r="M987" s="65"/>
      <c r="N987" s="65"/>
      <c r="O987" s="65"/>
      <c r="P987" s="65"/>
      <c r="Q987" s="65"/>
      <c r="R987" s="65"/>
      <c r="S987" s="65"/>
      <c r="T987" s="65"/>
      <c r="U987" s="65"/>
      <c r="V987" s="65"/>
      <c r="W987" s="65"/>
      <c r="X987" s="65"/>
      <c r="Y987" s="65"/>
      <c r="Z987" s="65"/>
    </row>
    <row r="988" ht="15.75" customHeight="1">
      <c r="A988" s="65"/>
      <c r="B988" s="65"/>
      <c r="C988" s="65"/>
      <c r="D988" s="65"/>
      <c r="E988" s="65"/>
      <c r="F988" s="65"/>
      <c r="I988" s="65"/>
      <c r="J988" s="65"/>
      <c r="K988" s="65"/>
      <c r="L988" s="65"/>
      <c r="M988" s="65"/>
      <c r="N988" s="65"/>
      <c r="O988" s="65"/>
      <c r="P988" s="65"/>
      <c r="Q988" s="65"/>
      <c r="R988" s="65"/>
      <c r="S988" s="65"/>
      <c r="T988" s="65"/>
      <c r="U988" s="65"/>
      <c r="V988" s="65"/>
      <c r="W988" s="65"/>
      <c r="X988" s="65"/>
      <c r="Y988" s="65"/>
      <c r="Z988" s="65"/>
    </row>
    <row r="989" ht="15.75" customHeight="1">
      <c r="A989" s="65"/>
      <c r="B989" s="65"/>
      <c r="C989" s="65"/>
      <c r="D989" s="65"/>
      <c r="E989" s="65"/>
      <c r="F989" s="65"/>
      <c r="I989" s="65"/>
      <c r="J989" s="65"/>
      <c r="K989" s="65"/>
      <c r="L989" s="65"/>
      <c r="M989" s="65"/>
      <c r="N989" s="65"/>
      <c r="O989" s="65"/>
      <c r="P989" s="65"/>
      <c r="Q989" s="65"/>
      <c r="R989" s="65"/>
      <c r="S989" s="65"/>
      <c r="T989" s="65"/>
      <c r="U989" s="65"/>
      <c r="V989" s="65"/>
      <c r="W989" s="65"/>
      <c r="X989" s="65"/>
      <c r="Y989" s="65"/>
      <c r="Z989" s="65"/>
    </row>
    <row r="990" ht="15.75" customHeight="1">
      <c r="A990" s="65"/>
      <c r="B990" s="65"/>
      <c r="C990" s="65"/>
      <c r="D990" s="65"/>
      <c r="E990" s="65"/>
      <c r="F990" s="65"/>
      <c r="I990" s="65"/>
      <c r="J990" s="65"/>
      <c r="K990" s="65"/>
      <c r="L990" s="65"/>
      <c r="M990" s="65"/>
      <c r="N990" s="65"/>
      <c r="O990" s="65"/>
      <c r="P990" s="65"/>
      <c r="Q990" s="65"/>
      <c r="R990" s="65"/>
      <c r="S990" s="65"/>
      <c r="T990" s="65"/>
      <c r="U990" s="65"/>
      <c r="V990" s="65"/>
      <c r="W990" s="65"/>
      <c r="X990" s="65"/>
      <c r="Y990" s="65"/>
      <c r="Z990" s="65"/>
    </row>
    <row r="991" ht="15.75" customHeight="1">
      <c r="A991" s="65"/>
      <c r="B991" s="65"/>
      <c r="C991" s="65"/>
      <c r="D991" s="65"/>
      <c r="E991" s="65"/>
      <c r="F991" s="65"/>
      <c r="I991" s="65"/>
      <c r="J991" s="65"/>
      <c r="K991" s="65"/>
      <c r="L991" s="65"/>
      <c r="M991" s="65"/>
      <c r="N991" s="65"/>
      <c r="O991" s="65"/>
      <c r="P991" s="65"/>
      <c r="Q991" s="65"/>
      <c r="R991" s="65"/>
      <c r="S991" s="65"/>
      <c r="T991" s="65"/>
      <c r="U991" s="65"/>
      <c r="V991" s="65"/>
      <c r="W991" s="65"/>
      <c r="X991" s="65"/>
      <c r="Y991" s="65"/>
      <c r="Z991" s="65"/>
    </row>
    <row r="992" ht="15.75" customHeight="1">
      <c r="A992" s="65"/>
      <c r="B992" s="65"/>
      <c r="C992" s="65"/>
      <c r="D992" s="65"/>
      <c r="E992" s="65"/>
      <c r="F992" s="65"/>
      <c r="I992" s="65"/>
      <c r="J992" s="65"/>
      <c r="K992" s="65"/>
      <c r="L992" s="65"/>
      <c r="M992" s="65"/>
      <c r="N992" s="65"/>
      <c r="O992" s="65"/>
      <c r="P992" s="65"/>
      <c r="Q992" s="65"/>
      <c r="R992" s="65"/>
      <c r="S992" s="65"/>
      <c r="T992" s="65"/>
      <c r="U992" s="65"/>
      <c r="V992" s="65"/>
      <c r="W992" s="65"/>
      <c r="X992" s="65"/>
      <c r="Y992" s="65"/>
      <c r="Z992" s="65"/>
    </row>
    <row r="993" ht="15.75" customHeight="1">
      <c r="A993" s="65"/>
      <c r="B993" s="65"/>
      <c r="C993" s="65"/>
      <c r="D993" s="65"/>
      <c r="E993" s="65"/>
      <c r="F993" s="65"/>
      <c r="I993" s="65"/>
      <c r="J993" s="65"/>
      <c r="K993" s="65"/>
      <c r="L993" s="65"/>
      <c r="M993" s="65"/>
      <c r="N993" s="65"/>
      <c r="O993" s="65"/>
      <c r="P993" s="65"/>
      <c r="Q993" s="65"/>
      <c r="R993" s="65"/>
      <c r="S993" s="65"/>
      <c r="T993" s="65"/>
      <c r="U993" s="65"/>
      <c r="V993" s="65"/>
      <c r="W993" s="65"/>
      <c r="X993" s="65"/>
      <c r="Y993" s="65"/>
      <c r="Z993" s="65"/>
    </row>
    <row r="994" ht="15.75" customHeight="1">
      <c r="A994" s="65"/>
      <c r="B994" s="65"/>
      <c r="C994" s="65"/>
      <c r="D994" s="65"/>
      <c r="E994" s="65"/>
      <c r="F994" s="65"/>
      <c r="I994" s="65"/>
      <c r="J994" s="65"/>
      <c r="K994" s="65"/>
      <c r="L994" s="65"/>
      <c r="M994" s="65"/>
      <c r="N994" s="65"/>
      <c r="O994" s="65"/>
      <c r="P994" s="65"/>
      <c r="Q994" s="65"/>
      <c r="R994" s="65"/>
      <c r="S994" s="65"/>
      <c r="T994" s="65"/>
      <c r="U994" s="65"/>
      <c r="V994" s="65"/>
      <c r="W994" s="65"/>
      <c r="X994" s="65"/>
      <c r="Y994" s="65"/>
      <c r="Z994" s="65"/>
    </row>
    <row r="995" ht="15.75" customHeight="1">
      <c r="A995" s="65"/>
      <c r="B995" s="65"/>
      <c r="C995" s="65"/>
      <c r="D995" s="65"/>
      <c r="E995" s="65"/>
      <c r="F995" s="65"/>
      <c r="I995" s="65"/>
      <c r="J995" s="65"/>
      <c r="K995" s="65"/>
      <c r="L995" s="65"/>
      <c r="M995" s="65"/>
      <c r="N995" s="65"/>
      <c r="O995" s="65"/>
      <c r="P995" s="65"/>
      <c r="Q995" s="65"/>
      <c r="R995" s="65"/>
      <c r="S995" s="65"/>
      <c r="T995" s="65"/>
      <c r="U995" s="65"/>
      <c r="V995" s="65"/>
      <c r="W995" s="65"/>
      <c r="X995" s="65"/>
      <c r="Y995" s="65"/>
      <c r="Z995" s="65"/>
    </row>
    <row r="996" ht="15.75" customHeight="1">
      <c r="A996" s="65"/>
      <c r="B996" s="65"/>
      <c r="C996" s="65"/>
      <c r="D996" s="65"/>
      <c r="E996" s="65"/>
      <c r="F996" s="65"/>
      <c r="I996" s="65"/>
      <c r="J996" s="65"/>
      <c r="K996" s="65"/>
      <c r="L996" s="65"/>
      <c r="M996" s="65"/>
      <c r="N996" s="65"/>
      <c r="O996" s="65"/>
      <c r="P996" s="65"/>
      <c r="Q996" s="65"/>
      <c r="R996" s="65"/>
      <c r="S996" s="65"/>
      <c r="T996" s="65"/>
      <c r="U996" s="65"/>
      <c r="V996" s="65"/>
      <c r="W996" s="65"/>
      <c r="X996" s="65"/>
      <c r="Y996" s="65"/>
      <c r="Z996" s="65"/>
    </row>
    <row r="997" ht="15.75" customHeight="1">
      <c r="A997" s="65"/>
      <c r="B997" s="65"/>
      <c r="C997" s="65"/>
      <c r="D997" s="65"/>
      <c r="E997" s="65"/>
      <c r="F997" s="65"/>
      <c r="I997" s="65"/>
      <c r="J997" s="65"/>
      <c r="K997" s="65"/>
      <c r="L997" s="65"/>
      <c r="M997" s="65"/>
      <c r="N997" s="65"/>
      <c r="O997" s="65"/>
      <c r="P997" s="65"/>
      <c r="Q997" s="65"/>
      <c r="R997" s="65"/>
      <c r="S997" s="65"/>
      <c r="T997" s="65"/>
      <c r="U997" s="65"/>
      <c r="V997" s="65"/>
      <c r="W997" s="65"/>
      <c r="X997" s="65"/>
      <c r="Y997" s="65"/>
      <c r="Z997" s="65"/>
    </row>
    <row r="998" ht="15.75" customHeight="1">
      <c r="A998" s="65"/>
      <c r="B998" s="65"/>
      <c r="C998" s="65"/>
      <c r="D998" s="65"/>
      <c r="E998" s="65"/>
      <c r="F998" s="65"/>
      <c r="I998" s="65"/>
      <c r="J998" s="65"/>
      <c r="K998" s="65"/>
      <c r="L998" s="65"/>
      <c r="M998" s="65"/>
      <c r="N998" s="65"/>
      <c r="O998" s="65"/>
      <c r="P998" s="65"/>
      <c r="Q998" s="65"/>
      <c r="R998" s="65"/>
      <c r="S998" s="65"/>
      <c r="T998" s="65"/>
      <c r="U998" s="65"/>
      <c r="V998" s="65"/>
      <c r="W998" s="65"/>
      <c r="X998" s="65"/>
      <c r="Y998" s="65"/>
      <c r="Z998" s="65"/>
    </row>
    <row r="999" ht="15.75" customHeight="1">
      <c r="A999" s="65"/>
      <c r="B999" s="65"/>
      <c r="C999" s="65"/>
      <c r="D999" s="65"/>
      <c r="E999" s="65"/>
      <c r="F999" s="65"/>
      <c r="I999" s="65"/>
      <c r="J999" s="65"/>
      <c r="K999" s="65"/>
      <c r="L999" s="65"/>
      <c r="M999" s="65"/>
      <c r="N999" s="65"/>
      <c r="O999" s="65"/>
      <c r="P999" s="65"/>
      <c r="Q999" s="65"/>
      <c r="R999" s="65"/>
      <c r="S999" s="65"/>
      <c r="T999" s="65"/>
      <c r="U999" s="65"/>
      <c r="V999" s="65"/>
      <c r="W999" s="65"/>
      <c r="X999" s="65"/>
      <c r="Y999" s="65"/>
      <c r="Z999" s="65"/>
    </row>
    <row r="1000" ht="15.75" customHeight="1">
      <c r="A1000" s="65"/>
      <c r="B1000" s="65"/>
      <c r="C1000" s="65"/>
      <c r="D1000" s="65"/>
      <c r="E1000" s="65"/>
      <c r="F1000" s="65"/>
      <c r="I1000" s="65"/>
      <c r="J1000" s="65"/>
      <c r="K1000" s="65"/>
      <c r="L1000" s="65"/>
      <c r="M1000" s="65"/>
      <c r="N1000" s="65"/>
      <c r="O1000" s="65"/>
      <c r="P1000" s="65"/>
      <c r="Q1000" s="65"/>
      <c r="R1000" s="65"/>
      <c r="S1000" s="65"/>
      <c r="T1000" s="65"/>
      <c r="U1000" s="65"/>
      <c r="V1000" s="65"/>
      <c r="W1000" s="65"/>
      <c r="X1000" s="65"/>
      <c r="Y1000" s="65"/>
      <c r="Z1000" s="65"/>
    </row>
  </sheetData>
  <autoFilter ref="$C$2:$C$433"/>
  <customSheetViews>
    <customSheetView guid="{04528F92-8E56-4677-A3DB-C7A262F6642E}" filter="1" showAutoFilter="1">
      <autoFilter ref="$C$3:$C$433"/>
    </customSheetView>
    <customSheetView guid="{EDEEA2F4-9C27-4E57-915C-9CF246C87824}" filter="1" showAutoFilter="1">
      <autoFilter ref="$B$3:$B$433"/>
    </customSheetView>
  </customSheetViews>
  <mergeCells count="1">
    <mergeCell ref="A1:E1"/>
  </mergeCells>
  <conditionalFormatting sqref="A1:A433 K1:K65">
    <cfRule type="expression" dxfId="27" priority="1">
      <formula>ISNUMBER(MATCH(A1,D$3:D$17,0))</formula>
    </cfRule>
  </conditionalFormatting>
  <conditionalFormatting sqref="A1:A433 K1:K65">
    <cfRule type="containsText" dxfId="28" priority="2" operator="containsText" text=": ">
      <formula>NOT(ISERROR(SEARCH((": "),(A1))))</formula>
    </cfRule>
  </conditionalFormatting>
  <conditionalFormatting sqref="B2:B433 E2">
    <cfRule type="expression" dxfId="29" priority="3">
      <formula>ISNUMBER(MATCH(B2,E$2:E$17,0))</formula>
    </cfRule>
  </conditionalFormatting>
  <conditionalFormatting sqref="C2:C433">
    <cfRule type="expression" dxfId="29" priority="4">
      <formula>ISNUMBER(MATCH(C2,D$2:D$17,0))</formula>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63"/>
    <col customWidth="1" min="2" max="2" width="19.25"/>
    <col customWidth="1" min="3" max="3" width="6.88"/>
    <col customWidth="1" min="4" max="4" width="5.75"/>
    <col customWidth="1" min="5" max="5" width="6.63"/>
    <col customWidth="1" min="6" max="6" width="8.38"/>
    <col customWidth="1" min="7" max="7" width="11.5"/>
    <col customWidth="1" min="8" max="8" width="10.13"/>
    <col customWidth="1" min="9" max="9" width="8.38"/>
    <col customWidth="1" min="10" max="10" width="10.88"/>
    <col customWidth="1" min="11" max="11" width="5.5"/>
    <col customWidth="1" min="12" max="12" width="5.38"/>
    <col customWidth="1" min="13" max="13" width="5.5"/>
    <col customWidth="1" min="14" max="14" width="5.25"/>
    <col customWidth="1" min="15" max="15" width="4.0"/>
    <col customWidth="1" min="16" max="16" width="4.63"/>
    <col customWidth="1" min="17" max="17" width="4.88"/>
  </cols>
  <sheetData>
    <row r="1">
      <c r="A1" s="378" t="s">
        <v>43</v>
      </c>
      <c r="B1" s="378" t="s">
        <v>3237</v>
      </c>
      <c r="C1" s="379" t="s">
        <v>734</v>
      </c>
      <c r="D1" s="379" t="s">
        <v>735</v>
      </c>
      <c r="E1" s="379" t="s">
        <v>736</v>
      </c>
      <c r="F1" s="379" t="s">
        <v>737</v>
      </c>
      <c r="G1" s="379" t="s">
        <v>738</v>
      </c>
      <c r="H1" s="379" t="s">
        <v>739</v>
      </c>
      <c r="I1" s="379" t="s">
        <v>740</v>
      </c>
      <c r="J1" s="379" t="s">
        <v>741</v>
      </c>
      <c r="K1" s="379" t="s">
        <v>742</v>
      </c>
      <c r="L1" s="379" t="s">
        <v>744</v>
      </c>
      <c r="M1" s="379" t="s">
        <v>745</v>
      </c>
      <c r="N1" s="379" t="s">
        <v>746</v>
      </c>
      <c r="O1" s="379" t="s">
        <v>747</v>
      </c>
      <c r="P1" s="379" t="s">
        <v>748</v>
      </c>
      <c r="Q1" s="379" t="s">
        <v>749</v>
      </c>
      <c r="R1" s="232"/>
      <c r="S1" s="232" t="s">
        <v>852</v>
      </c>
      <c r="T1" s="232"/>
      <c r="U1" s="232"/>
      <c r="V1" s="232"/>
    </row>
    <row r="2">
      <c r="A2" s="380" t="s">
        <v>3238</v>
      </c>
      <c r="B2" s="380" t="s">
        <v>3239</v>
      </c>
      <c r="C2" s="381" t="s">
        <v>767</v>
      </c>
      <c r="D2" s="379" t="s">
        <v>768</v>
      </c>
      <c r="E2" s="381" t="s">
        <v>769</v>
      </c>
      <c r="F2" s="381" t="s">
        <v>770</v>
      </c>
      <c r="G2" s="381" t="s">
        <v>771</v>
      </c>
      <c r="H2" s="381" t="s">
        <v>1448</v>
      </c>
      <c r="I2" s="381" t="s">
        <v>1449</v>
      </c>
      <c r="J2" s="381" t="s">
        <v>1450</v>
      </c>
      <c r="K2" s="381" t="s">
        <v>775</v>
      </c>
      <c r="L2" s="381" t="s">
        <v>788</v>
      </c>
      <c r="M2" s="381" t="s">
        <v>980</v>
      </c>
      <c r="N2" s="381" t="s">
        <v>847</v>
      </c>
      <c r="O2" s="381" t="s">
        <v>775</v>
      </c>
      <c r="P2" s="381" t="s">
        <v>775</v>
      </c>
      <c r="Q2" s="381" t="s">
        <v>775</v>
      </c>
      <c r="R2" s="232"/>
      <c r="S2" s="232" t="s">
        <v>774</v>
      </c>
      <c r="T2" s="232"/>
      <c r="U2" s="232"/>
      <c r="V2" s="232"/>
    </row>
    <row r="3">
      <c r="A3" s="380" t="s">
        <v>3240</v>
      </c>
      <c r="B3" s="380" t="s">
        <v>3241</v>
      </c>
      <c r="C3" s="381" t="s">
        <v>767</v>
      </c>
      <c r="D3" s="379" t="s">
        <v>768</v>
      </c>
      <c r="E3" s="381" t="s">
        <v>769</v>
      </c>
      <c r="F3" s="381" t="s">
        <v>770</v>
      </c>
      <c r="G3" s="381" t="s">
        <v>771</v>
      </c>
      <c r="H3" s="381" t="s">
        <v>1448</v>
      </c>
      <c r="I3" s="381" t="s">
        <v>1449</v>
      </c>
      <c r="J3" s="381" t="s">
        <v>1450</v>
      </c>
      <c r="K3" s="381" t="s">
        <v>775</v>
      </c>
      <c r="L3" s="381" t="s">
        <v>788</v>
      </c>
      <c r="M3" s="381" t="s">
        <v>980</v>
      </c>
      <c r="N3" s="381" t="s">
        <v>847</v>
      </c>
      <c r="O3" s="381" t="s">
        <v>775</v>
      </c>
      <c r="P3" s="381" t="s">
        <v>775</v>
      </c>
      <c r="Q3" s="381" t="s">
        <v>775</v>
      </c>
      <c r="R3" s="232"/>
      <c r="S3" s="380" t="s">
        <v>846</v>
      </c>
      <c r="T3" s="232"/>
      <c r="U3" s="232"/>
      <c r="V3" s="232"/>
    </row>
    <row r="4">
      <c r="A4" s="380" t="s">
        <v>3242</v>
      </c>
      <c r="B4" s="380" t="s">
        <v>3243</v>
      </c>
      <c r="C4" s="381" t="s">
        <v>767</v>
      </c>
      <c r="D4" s="379" t="s">
        <v>768</v>
      </c>
      <c r="E4" s="381" t="s">
        <v>769</v>
      </c>
      <c r="F4" s="381" t="s">
        <v>770</v>
      </c>
      <c r="G4" s="381" t="s">
        <v>771</v>
      </c>
      <c r="H4" s="381" t="s">
        <v>1448</v>
      </c>
      <c r="I4" s="381" t="s">
        <v>1449</v>
      </c>
      <c r="J4" s="381" t="s">
        <v>1450</v>
      </c>
      <c r="K4" s="381" t="s">
        <v>775</v>
      </c>
      <c r="L4" s="381" t="s">
        <v>788</v>
      </c>
      <c r="M4" s="381" t="s">
        <v>980</v>
      </c>
      <c r="N4" s="381" t="s">
        <v>847</v>
      </c>
      <c r="O4" s="381" t="s">
        <v>775</v>
      </c>
      <c r="P4" s="381" t="s">
        <v>775</v>
      </c>
      <c r="Q4" s="381" t="s">
        <v>775</v>
      </c>
      <c r="R4" s="232"/>
      <c r="S4" s="232"/>
      <c r="T4" s="232"/>
      <c r="U4" s="232"/>
      <c r="V4" s="232"/>
    </row>
    <row r="5">
      <c r="A5" s="380" t="s">
        <v>3244</v>
      </c>
      <c r="B5" s="380" t="s">
        <v>3245</v>
      </c>
      <c r="C5" s="381" t="s">
        <v>767</v>
      </c>
      <c r="D5" s="379" t="s">
        <v>768</v>
      </c>
      <c r="E5" s="381" t="s">
        <v>769</v>
      </c>
      <c r="F5" s="381" t="s">
        <v>770</v>
      </c>
      <c r="G5" s="381" t="s">
        <v>771</v>
      </c>
      <c r="H5" s="381" t="s">
        <v>1448</v>
      </c>
      <c r="I5" s="381" t="s">
        <v>1449</v>
      </c>
      <c r="J5" s="381" t="s">
        <v>1450</v>
      </c>
      <c r="K5" s="381" t="s">
        <v>775</v>
      </c>
      <c r="L5" s="381" t="s">
        <v>788</v>
      </c>
      <c r="M5" s="381" t="s">
        <v>980</v>
      </c>
      <c r="N5" s="381" t="s">
        <v>847</v>
      </c>
      <c r="O5" s="381" t="s">
        <v>775</v>
      </c>
      <c r="P5" s="381" t="s">
        <v>775</v>
      </c>
      <c r="Q5" s="381" t="s">
        <v>775</v>
      </c>
      <c r="R5" s="232"/>
      <c r="S5" s="232"/>
      <c r="T5" s="232"/>
      <c r="U5" s="232"/>
      <c r="V5" s="232"/>
    </row>
    <row r="6">
      <c r="A6" s="380" t="s">
        <v>3246</v>
      </c>
      <c r="B6" s="380" t="s">
        <v>3247</v>
      </c>
      <c r="C6" s="380" t="s">
        <v>767</v>
      </c>
      <c r="D6" s="378" t="s">
        <v>768</v>
      </c>
      <c r="E6" s="382" t="s">
        <v>769</v>
      </c>
      <c r="F6" s="383" t="s">
        <v>770</v>
      </c>
      <c r="G6" s="380" t="s">
        <v>771</v>
      </c>
      <c r="H6" s="384" t="s">
        <v>1448</v>
      </c>
      <c r="I6" s="385" t="s">
        <v>1449</v>
      </c>
      <c r="J6" s="386" t="s">
        <v>1450</v>
      </c>
      <c r="K6" s="380" t="s">
        <v>775</v>
      </c>
      <c r="L6" s="387" t="s">
        <v>804</v>
      </c>
      <c r="M6" s="380" t="s">
        <v>789</v>
      </c>
      <c r="N6" s="380" t="s">
        <v>790</v>
      </c>
      <c r="O6" s="380" t="s">
        <v>775</v>
      </c>
      <c r="P6" s="380" t="s">
        <v>775</v>
      </c>
      <c r="Q6" s="380" t="s">
        <v>775</v>
      </c>
      <c r="R6" s="232"/>
      <c r="S6" s="232"/>
      <c r="T6" s="232"/>
      <c r="U6" s="232"/>
      <c r="V6" s="232"/>
    </row>
    <row r="7">
      <c r="A7" s="380" t="s">
        <v>3248</v>
      </c>
      <c r="B7" s="380" t="s">
        <v>3249</v>
      </c>
      <c r="C7" s="380" t="s">
        <v>767</v>
      </c>
      <c r="D7" s="378" t="s">
        <v>768</v>
      </c>
      <c r="E7" s="382" t="s">
        <v>769</v>
      </c>
      <c r="F7" s="383" t="s">
        <v>770</v>
      </c>
      <c r="G7" s="380" t="s">
        <v>771</v>
      </c>
      <c r="H7" s="384" t="s">
        <v>1448</v>
      </c>
      <c r="I7" s="385" t="s">
        <v>1449</v>
      </c>
      <c r="J7" s="386" t="s">
        <v>1450</v>
      </c>
      <c r="K7" s="380" t="s">
        <v>775</v>
      </c>
      <c r="L7" s="387" t="s">
        <v>804</v>
      </c>
      <c r="M7" s="380" t="s">
        <v>789</v>
      </c>
      <c r="N7" s="380" t="s">
        <v>790</v>
      </c>
      <c r="O7" s="380" t="s">
        <v>775</v>
      </c>
      <c r="P7" s="380" t="s">
        <v>775</v>
      </c>
      <c r="Q7" s="380" t="s">
        <v>775</v>
      </c>
      <c r="R7" s="232"/>
      <c r="S7" s="232"/>
      <c r="T7" s="232"/>
      <c r="U7" s="232"/>
      <c r="V7" s="232"/>
    </row>
    <row r="8">
      <c r="A8" s="380" t="s">
        <v>3250</v>
      </c>
      <c r="B8" s="380" t="s">
        <v>3251</v>
      </c>
      <c r="C8" s="380" t="s">
        <v>767</v>
      </c>
      <c r="D8" s="378" t="s">
        <v>768</v>
      </c>
      <c r="E8" s="382" t="s">
        <v>769</v>
      </c>
      <c r="F8" s="383" t="s">
        <v>770</v>
      </c>
      <c r="G8" s="380" t="s">
        <v>771</v>
      </c>
      <c r="H8" s="384" t="s">
        <v>1448</v>
      </c>
      <c r="I8" s="385" t="s">
        <v>1449</v>
      </c>
      <c r="J8" s="386" t="s">
        <v>1450</v>
      </c>
      <c r="K8" s="380" t="s">
        <v>775</v>
      </c>
      <c r="L8" s="387" t="s">
        <v>876</v>
      </c>
      <c r="M8" s="380" t="s">
        <v>987</v>
      </c>
      <c r="N8" s="380" t="s">
        <v>1497</v>
      </c>
      <c r="O8" s="380" t="s">
        <v>904</v>
      </c>
      <c r="P8" s="380" t="s">
        <v>792</v>
      </c>
      <c r="Q8" s="380" t="s">
        <v>775</v>
      </c>
      <c r="R8" s="232"/>
      <c r="S8" s="232"/>
      <c r="T8" s="232"/>
      <c r="U8" s="232"/>
      <c r="V8" s="232"/>
    </row>
    <row r="9">
      <c r="A9" s="380" t="s">
        <v>1945</v>
      </c>
      <c r="B9" s="380" t="s">
        <v>3252</v>
      </c>
      <c r="C9" s="380" t="s">
        <v>767</v>
      </c>
      <c r="D9" s="378" t="s">
        <v>768</v>
      </c>
      <c r="E9" s="382" t="s">
        <v>769</v>
      </c>
      <c r="F9" s="383" t="s">
        <v>770</v>
      </c>
      <c r="G9" s="380" t="s">
        <v>771</v>
      </c>
      <c r="H9" s="384" t="s">
        <v>1448</v>
      </c>
      <c r="I9" s="385" t="s">
        <v>1449</v>
      </c>
      <c r="J9" s="386" t="s">
        <v>1450</v>
      </c>
      <c r="K9" s="380" t="s">
        <v>775</v>
      </c>
      <c r="L9" s="387" t="s">
        <v>876</v>
      </c>
      <c r="M9" s="380" t="s">
        <v>987</v>
      </c>
      <c r="N9" s="380" t="s">
        <v>1497</v>
      </c>
      <c r="O9" s="380" t="s">
        <v>904</v>
      </c>
      <c r="P9" s="380" t="s">
        <v>792</v>
      </c>
      <c r="Q9" s="380" t="s">
        <v>775</v>
      </c>
      <c r="R9" s="232"/>
      <c r="S9" s="232"/>
      <c r="T9" s="232"/>
      <c r="U9" s="232"/>
      <c r="V9" s="232"/>
    </row>
    <row r="10">
      <c r="A10" s="380" t="s">
        <v>3253</v>
      </c>
      <c r="B10" s="380" t="s">
        <v>3251</v>
      </c>
      <c r="C10" s="380" t="s">
        <v>767</v>
      </c>
      <c r="D10" s="378" t="s">
        <v>768</v>
      </c>
      <c r="E10" s="382" t="s">
        <v>769</v>
      </c>
      <c r="F10" s="383" t="s">
        <v>770</v>
      </c>
      <c r="G10" s="380" t="s">
        <v>771</v>
      </c>
      <c r="H10" s="384" t="s">
        <v>1448</v>
      </c>
      <c r="I10" s="385" t="s">
        <v>1449</v>
      </c>
      <c r="J10" s="386" t="s">
        <v>1450</v>
      </c>
      <c r="K10" s="380" t="s">
        <v>775</v>
      </c>
      <c r="L10" s="387" t="s">
        <v>876</v>
      </c>
      <c r="M10" s="380" t="s">
        <v>987</v>
      </c>
      <c r="N10" s="380" t="s">
        <v>1497</v>
      </c>
      <c r="O10" s="380" t="s">
        <v>904</v>
      </c>
      <c r="P10" s="380" t="s">
        <v>792</v>
      </c>
      <c r="Q10" s="380" t="s">
        <v>775</v>
      </c>
      <c r="R10" s="232"/>
      <c r="S10" s="232"/>
      <c r="T10" s="232"/>
      <c r="U10" s="232"/>
      <c r="V10" s="232"/>
    </row>
    <row r="11">
      <c r="A11" s="380" t="s">
        <v>3254</v>
      </c>
      <c r="B11" s="380" t="s">
        <v>3255</v>
      </c>
      <c r="C11" s="380" t="s">
        <v>767</v>
      </c>
      <c r="D11" s="378" t="s">
        <v>768</v>
      </c>
      <c r="E11" s="382" t="s">
        <v>769</v>
      </c>
      <c r="F11" s="383" t="s">
        <v>770</v>
      </c>
      <c r="G11" s="380" t="s">
        <v>771</v>
      </c>
      <c r="H11" s="384" t="s">
        <v>1448</v>
      </c>
      <c r="I11" s="385" t="s">
        <v>1449</v>
      </c>
      <c r="J11" s="386" t="s">
        <v>1450</v>
      </c>
      <c r="K11" s="380" t="s">
        <v>775</v>
      </c>
      <c r="L11" s="387" t="s">
        <v>876</v>
      </c>
      <c r="M11" s="380" t="s">
        <v>987</v>
      </c>
      <c r="N11" s="380" t="s">
        <v>1497</v>
      </c>
      <c r="O11" s="380" t="s">
        <v>904</v>
      </c>
      <c r="P11" s="380" t="s">
        <v>792</v>
      </c>
      <c r="Q11" s="380" t="s">
        <v>775</v>
      </c>
      <c r="R11" s="232"/>
      <c r="S11" s="232"/>
      <c r="T11" s="232"/>
      <c r="U11" s="232"/>
      <c r="V11" s="232"/>
    </row>
    <row r="12">
      <c r="A12" s="380" t="s">
        <v>3256</v>
      </c>
      <c r="B12" s="380" t="s">
        <v>3251</v>
      </c>
      <c r="C12" s="380" t="s">
        <v>767</v>
      </c>
      <c r="D12" s="378" t="s">
        <v>768</v>
      </c>
      <c r="E12" s="382" t="s">
        <v>769</v>
      </c>
      <c r="F12" s="383" t="s">
        <v>770</v>
      </c>
      <c r="G12" s="380" t="s">
        <v>771</v>
      </c>
      <c r="H12" s="384" t="s">
        <v>1448</v>
      </c>
      <c r="I12" s="385" t="s">
        <v>1449</v>
      </c>
      <c r="J12" s="386" t="s">
        <v>1450</v>
      </c>
      <c r="K12" s="380" t="s">
        <v>775</v>
      </c>
      <c r="L12" s="387" t="s">
        <v>876</v>
      </c>
      <c r="M12" s="380" t="s">
        <v>987</v>
      </c>
      <c r="N12" s="380" t="s">
        <v>1497</v>
      </c>
      <c r="O12" s="380" t="s">
        <v>904</v>
      </c>
      <c r="P12" s="380" t="s">
        <v>792</v>
      </c>
      <c r="Q12" s="380" t="s">
        <v>775</v>
      </c>
      <c r="R12" s="232"/>
      <c r="S12" s="232"/>
      <c r="T12" s="232"/>
      <c r="U12" s="232"/>
      <c r="V12" s="232"/>
    </row>
    <row r="13">
      <c r="A13" s="380" t="s">
        <v>3257</v>
      </c>
      <c r="B13" s="380" t="s">
        <v>3251</v>
      </c>
      <c r="C13" s="380" t="s">
        <v>767</v>
      </c>
      <c r="D13" s="378" t="s">
        <v>768</v>
      </c>
      <c r="E13" s="382" t="s">
        <v>769</v>
      </c>
      <c r="F13" s="383" t="s">
        <v>770</v>
      </c>
      <c r="G13" s="380" t="s">
        <v>771</v>
      </c>
      <c r="H13" s="384" t="s">
        <v>1448</v>
      </c>
      <c r="I13" s="385" t="s">
        <v>1449</v>
      </c>
      <c r="J13" s="386" t="s">
        <v>1450</v>
      </c>
      <c r="K13" s="380" t="s">
        <v>775</v>
      </c>
      <c r="L13" s="387" t="s">
        <v>876</v>
      </c>
      <c r="M13" s="380" t="s">
        <v>987</v>
      </c>
      <c r="N13" s="380" t="s">
        <v>1497</v>
      </c>
      <c r="O13" s="380" t="s">
        <v>904</v>
      </c>
      <c r="P13" s="380" t="s">
        <v>792</v>
      </c>
      <c r="Q13" s="380" t="s">
        <v>775</v>
      </c>
      <c r="R13" s="232"/>
      <c r="S13" s="232"/>
      <c r="T13" s="232"/>
      <c r="U13" s="232"/>
      <c r="V13" s="232"/>
    </row>
    <row r="14">
      <c r="A14" s="380" t="s">
        <v>3258</v>
      </c>
      <c r="B14" s="380" t="s">
        <v>3259</v>
      </c>
      <c r="C14" s="380" t="s">
        <v>767</v>
      </c>
      <c r="D14" s="378" t="s">
        <v>768</v>
      </c>
      <c r="E14" s="382" t="s">
        <v>769</v>
      </c>
      <c r="F14" s="383" t="s">
        <v>770</v>
      </c>
      <c r="G14" s="380" t="s">
        <v>771</v>
      </c>
      <c r="H14" s="384" t="s">
        <v>1448</v>
      </c>
      <c r="I14" s="385" t="s">
        <v>1449</v>
      </c>
      <c r="J14" s="386" t="s">
        <v>1450</v>
      </c>
      <c r="K14" s="380" t="s">
        <v>775</v>
      </c>
      <c r="L14" s="387" t="s">
        <v>788</v>
      </c>
      <c r="M14" s="380" t="s">
        <v>832</v>
      </c>
      <c r="N14" s="380" t="s">
        <v>833</v>
      </c>
      <c r="O14" s="380" t="s">
        <v>791</v>
      </c>
      <c r="P14" s="380" t="s">
        <v>775</v>
      </c>
      <c r="Q14" s="380" t="s">
        <v>775</v>
      </c>
      <c r="R14" s="232"/>
      <c r="S14" s="232"/>
      <c r="T14" s="232"/>
      <c r="U14" s="232"/>
      <c r="V14" s="232"/>
    </row>
    <row r="15">
      <c r="A15" s="380" t="s">
        <v>3260</v>
      </c>
      <c r="B15" s="380" t="s">
        <v>3261</v>
      </c>
      <c r="C15" s="380" t="s">
        <v>767</v>
      </c>
      <c r="D15" s="378" t="s">
        <v>768</v>
      </c>
      <c r="E15" s="382" t="s">
        <v>769</v>
      </c>
      <c r="F15" s="383" t="s">
        <v>770</v>
      </c>
      <c r="G15" s="380" t="s">
        <v>771</v>
      </c>
      <c r="H15" s="384" t="s">
        <v>1448</v>
      </c>
      <c r="I15" s="385" t="s">
        <v>1449</v>
      </c>
      <c r="J15" s="386" t="s">
        <v>1450</v>
      </c>
      <c r="K15" s="380" t="s">
        <v>775</v>
      </c>
      <c r="L15" s="387" t="s">
        <v>788</v>
      </c>
      <c r="M15" s="380" t="s">
        <v>832</v>
      </c>
      <c r="N15" s="380" t="s">
        <v>833</v>
      </c>
      <c r="O15" s="380" t="s">
        <v>791</v>
      </c>
      <c r="P15" s="380" t="s">
        <v>775</v>
      </c>
      <c r="Q15" s="380" t="s">
        <v>775</v>
      </c>
      <c r="R15" s="232"/>
      <c r="S15" s="232"/>
      <c r="T15" s="232"/>
      <c r="U15" s="232"/>
      <c r="V15" s="232"/>
    </row>
    <row r="16">
      <c r="A16" s="380" t="s">
        <v>3262</v>
      </c>
      <c r="B16" s="380" t="s">
        <v>3263</v>
      </c>
      <c r="C16" s="380" t="s">
        <v>767</v>
      </c>
      <c r="D16" s="378" t="s">
        <v>768</v>
      </c>
      <c r="E16" s="382" t="s">
        <v>769</v>
      </c>
      <c r="F16" s="383" t="s">
        <v>770</v>
      </c>
      <c r="G16" s="380" t="s">
        <v>771</v>
      </c>
      <c r="H16" s="384" t="s">
        <v>1448</v>
      </c>
      <c r="I16" s="385" t="s">
        <v>1449</v>
      </c>
      <c r="J16" s="386" t="s">
        <v>1450</v>
      </c>
      <c r="K16" s="380" t="s">
        <v>775</v>
      </c>
      <c r="L16" s="387" t="s">
        <v>788</v>
      </c>
      <c r="M16" s="380" t="s">
        <v>832</v>
      </c>
      <c r="N16" s="380" t="s">
        <v>833</v>
      </c>
      <c r="O16" s="380" t="s">
        <v>791</v>
      </c>
      <c r="P16" s="380" t="s">
        <v>775</v>
      </c>
      <c r="Q16" s="380" t="s">
        <v>775</v>
      </c>
      <c r="R16" s="232"/>
      <c r="S16" s="232"/>
      <c r="T16" s="232"/>
      <c r="U16" s="232"/>
      <c r="V16" s="232"/>
    </row>
    <row r="17">
      <c r="A17" s="380" t="s">
        <v>3264</v>
      </c>
      <c r="B17" s="380" t="s">
        <v>3265</v>
      </c>
      <c r="C17" s="380" t="s">
        <v>767</v>
      </c>
      <c r="D17" s="378" t="s">
        <v>768</v>
      </c>
      <c r="E17" s="382" t="s">
        <v>769</v>
      </c>
      <c r="F17" s="383" t="s">
        <v>770</v>
      </c>
      <c r="G17" s="380" t="s">
        <v>771</v>
      </c>
      <c r="H17" s="384" t="s">
        <v>1448</v>
      </c>
      <c r="I17" s="385" t="s">
        <v>1449</v>
      </c>
      <c r="J17" s="386" t="s">
        <v>1450</v>
      </c>
      <c r="K17" s="380" t="s">
        <v>775</v>
      </c>
      <c r="L17" s="387" t="s">
        <v>788</v>
      </c>
      <c r="M17" s="380" t="s">
        <v>832</v>
      </c>
      <c r="N17" s="380" t="s">
        <v>833</v>
      </c>
      <c r="O17" s="380" t="s">
        <v>791</v>
      </c>
      <c r="P17" s="380" t="s">
        <v>775</v>
      </c>
      <c r="Q17" s="380" t="s">
        <v>775</v>
      </c>
      <c r="R17" s="232"/>
      <c r="S17" s="232"/>
      <c r="T17" s="232"/>
      <c r="U17" s="232"/>
      <c r="V17" s="232"/>
    </row>
    <row r="18">
      <c r="A18" s="380" t="s">
        <v>3266</v>
      </c>
      <c r="B18" s="380" t="s">
        <v>3267</v>
      </c>
      <c r="C18" s="380" t="s">
        <v>767</v>
      </c>
      <c r="D18" s="378" t="s">
        <v>768</v>
      </c>
      <c r="E18" s="382" t="s">
        <v>769</v>
      </c>
      <c r="F18" s="383" t="s">
        <v>770</v>
      </c>
      <c r="G18" s="380" t="s">
        <v>771</v>
      </c>
      <c r="H18" s="384" t="s">
        <v>1448</v>
      </c>
      <c r="I18" s="385" t="s">
        <v>1449</v>
      </c>
      <c r="J18" s="386" t="s">
        <v>1450</v>
      </c>
      <c r="K18" s="380" t="s">
        <v>775</v>
      </c>
      <c r="L18" s="387" t="s">
        <v>788</v>
      </c>
      <c r="M18" s="380" t="s">
        <v>832</v>
      </c>
      <c r="N18" s="380" t="s">
        <v>833</v>
      </c>
      <c r="O18" s="380" t="s">
        <v>791</v>
      </c>
      <c r="P18" s="380" t="s">
        <v>775</v>
      </c>
      <c r="Q18" s="380" t="s">
        <v>775</v>
      </c>
      <c r="R18" s="232"/>
      <c r="S18" s="232"/>
      <c r="T18" s="232"/>
      <c r="U18" s="232"/>
      <c r="V18" s="232"/>
    </row>
    <row r="19">
      <c r="A19" s="380" t="s">
        <v>3268</v>
      </c>
      <c r="B19" s="380" t="s">
        <v>3269</v>
      </c>
      <c r="C19" s="380" t="s">
        <v>767</v>
      </c>
      <c r="D19" s="378" t="s">
        <v>768</v>
      </c>
      <c r="E19" s="382" t="s">
        <v>769</v>
      </c>
      <c r="F19" s="383" t="s">
        <v>770</v>
      </c>
      <c r="G19" s="380" t="s">
        <v>771</v>
      </c>
      <c r="H19" s="384" t="s">
        <v>1448</v>
      </c>
      <c r="I19" s="385" t="s">
        <v>1449</v>
      </c>
      <c r="J19" s="386" t="s">
        <v>1450</v>
      </c>
      <c r="K19" s="380" t="s">
        <v>775</v>
      </c>
      <c r="L19" s="387" t="s">
        <v>788</v>
      </c>
      <c r="M19" s="380" t="s">
        <v>832</v>
      </c>
      <c r="N19" s="380" t="s">
        <v>833</v>
      </c>
      <c r="O19" s="380" t="s">
        <v>791</v>
      </c>
      <c r="P19" s="380" t="s">
        <v>775</v>
      </c>
      <c r="Q19" s="380" t="s">
        <v>775</v>
      </c>
      <c r="R19" s="232"/>
      <c r="S19" s="232"/>
      <c r="T19" s="232"/>
      <c r="U19" s="232"/>
      <c r="V19" s="232"/>
    </row>
    <row r="20">
      <c r="A20" s="380" t="s">
        <v>3270</v>
      </c>
      <c r="B20" s="380" t="s">
        <v>3271</v>
      </c>
      <c r="C20" s="380" t="s">
        <v>767</v>
      </c>
      <c r="D20" s="378" t="s">
        <v>768</v>
      </c>
      <c r="E20" s="382" t="s">
        <v>769</v>
      </c>
      <c r="F20" s="383" t="s">
        <v>770</v>
      </c>
      <c r="G20" s="380" t="s">
        <v>771</v>
      </c>
      <c r="H20" s="384" t="s">
        <v>1448</v>
      </c>
      <c r="I20" s="385" t="s">
        <v>1449</v>
      </c>
      <c r="J20" s="386" t="s">
        <v>1450</v>
      </c>
      <c r="K20" s="380" t="s">
        <v>775</v>
      </c>
      <c r="L20" s="387" t="s">
        <v>788</v>
      </c>
      <c r="M20" s="380" t="s">
        <v>832</v>
      </c>
      <c r="N20" s="380" t="s">
        <v>833</v>
      </c>
      <c r="O20" s="380" t="s">
        <v>791</v>
      </c>
      <c r="P20" s="380" t="s">
        <v>775</v>
      </c>
      <c r="Q20" s="380" t="s">
        <v>775</v>
      </c>
      <c r="R20" s="232"/>
      <c r="S20" s="232"/>
      <c r="T20" s="232"/>
      <c r="U20" s="232"/>
      <c r="V20" s="232"/>
    </row>
    <row r="21" ht="15.75" customHeight="1">
      <c r="A21" s="380" t="s">
        <v>3272</v>
      </c>
      <c r="B21" s="380" t="s">
        <v>3273</v>
      </c>
      <c r="C21" s="380" t="s">
        <v>767</v>
      </c>
      <c r="D21" s="380"/>
      <c r="E21" s="382" t="s">
        <v>769</v>
      </c>
      <c r="F21" s="380" t="s">
        <v>860</v>
      </c>
      <c r="G21" s="380" t="s">
        <v>775</v>
      </c>
      <c r="H21" s="380" t="s">
        <v>785</v>
      </c>
      <c r="I21" s="380" t="s">
        <v>786</v>
      </c>
      <c r="J21" s="380" t="s">
        <v>846</v>
      </c>
      <c r="K21" s="380" t="s">
        <v>775</v>
      </c>
      <c r="L21" s="380" t="s">
        <v>775</v>
      </c>
      <c r="M21" s="380" t="s">
        <v>925</v>
      </c>
      <c r="N21" s="380" t="s">
        <v>926</v>
      </c>
      <c r="O21" s="380" t="s">
        <v>775</v>
      </c>
      <c r="P21" s="380" t="s">
        <v>775</v>
      </c>
      <c r="Q21" s="380" t="s">
        <v>775</v>
      </c>
      <c r="R21" s="232"/>
      <c r="S21" s="388"/>
      <c r="T21" s="232"/>
      <c r="U21" s="232"/>
      <c r="V21" s="232"/>
    </row>
    <row r="22" ht="15.75" customHeight="1">
      <c r="A22" s="380" t="s">
        <v>3274</v>
      </c>
      <c r="B22" s="380" t="s">
        <v>3273</v>
      </c>
      <c r="C22" s="380" t="s">
        <v>767</v>
      </c>
      <c r="D22" s="380"/>
      <c r="E22" s="382" t="s">
        <v>769</v>
      </c>
      <c r="F22" s="380" t="s">
        <v>860</v>
      </c>
      <c r="G22" s="380" t="s">
        <v>775</v>
      </c>
      <c r="H22" s="380" t="s">
        <v>785</v>
      </c>
      <c r="I22" s="380" t="s">
        <v>786</v>
      </c>
      <c r="J22" s="380" t="s">
        <v>846</v>
      </c>
      <c r="K22" s="380" t="s">
        <v>775</v>
      </c>
      <c r="L22" s="380" t="s">
        <v>775</v>
      </c>
      <c r="M22" s="380" t="s">
        <v>925</v>
      </c>
      <c r="N22" s="380" t="s">
        <v>926</v>
      </c>
      <c r="O22" s="380" t="s">
        <v>775</v>
      </c>
      <c r="P22" s="380" t="s">
        <v>775</v>
      </c>
      <c r="Q22" s="380" t="s">
        <v>775</v>
      </c>
      <c r="R22" s="232"/>
      <c r="S22" s="232"/>
      <c r="T22" s="232"/>
      <c r="U22" s="232"/>
      <c r="V22" s="232"/>
    </row>
    <row r="23" ht="15.75" customHeight="1">
      <c r="A23" s="380" t="s">
        <v>3275</v>
      </c>
      <c r="B23" s="380" t="s">
        <v>3276</v>
      </c>
      <c r="C23" s="381" t="s">
        <v>767</v>
      </c>
      <c r="D23" s="379" t="s">
        <v>768</v>
      </c>
      <c r="E23" s="381" t="s">
        <v>769</v>
      </c>
      <c r="F23" s="381" t="s">
        <v>770</v>
      </c>
      <c r="G23" s="381" t="s">
        <v>771</v>
      </c>
      <c r="H23" s="381" t="s">
        <v>1448</v>
      </c>
      <c r="I23" s="381" t="s">
        <v>1449</v>
      </c>
      <c r="J23" s="381" t="s">
        <v>1450</v>
      </c>
      <c r="K23" s="381" t="s">
        <v>775</v>
      </c>
      <c r="L23" s="381" t="s">
        <v>777</v>
      </c>
      <c r="M23" s="381" t="s">
        <v>778</v>
      </c>
      <c r="N23" s="381" t="s">
        <v>779</v>
      </c>
      <c r="O23" s="381" t="s">
        <v>775</v>
      </c>
      <c r="P23" s="381" t="s">
        <v>775</v>
      </c>
      <c r="Q23" s="381" t="s">
        <v>775</v>
      </c>
      <c r="R23" s="232"/>
      <c r="S23" s="232"/>
      <c r="T23" s="232"/>
      <c r="U23" s="232"/>
      <c r="V23" s="232"/>
    </row>
    <row r="24" ht="15.75" customHeight="1">
      <c r="A24" s="380" t="s">
        <v>3277</v>
      </c>
      <c r="B24" s="380" t="s">
        <v>3276</v>
      </c>
      <c r="C24" s="381" t="s">
        <v>767</v>
      </c>
      <c r="D24" s="379" t="s">
        <v>768</v>
      </c>
      <c r="E24" s="381" t="s">
        <v>769</v>
      </c>
      <c r="F24" s="381" t="s">
        <v>770</v>
      </c>
      <c r="G24" s="381" t="s">
        <v>771</v>
      </c>
      <c r="H24" s="381" t="s">
        <v>1448</v>
      </c>
      <c r="I24" s="381" t="s">
        <v>1449</v>
      </c>
      <c r="J24" s="381" t="s">
        <v>1450</v>
      </c>
      <c r="K24" s="381" t="s">
        <v>775</v>
      </c>
      <c r="L24" s="381" t="s">
        <v>777</v>
      </c>
      <c r="M24" s="381" t="s">
        <v>778</v>
      </c>
      <c r="N24" s="381" t="s">
        <v>779</v>
      </c>
      <c r="O24" s="381" t="s">
        <v>775</v>
      </c>
      <c r="P24" s="381" t="s">
        <v>775</v>
      </c>
      <c r="Q24" s="381" t="s">
        <v>775</v>
      </c>
      <c r="R24" s="232"/>
      <c r="S24" s="232"/>
      <c r="T24" s="232"/>
      <c r="U24" s="232"/>
      <c r="V24" s="232"/>
    </row>
    <row r="25" ht="15.75" customHeight="1">
      <c r="A25" s="380" t="s">
        <v>3278</v>
      </c>
      <c r="B25" s="380" t="s">
        <v>3276</v>
      </c>
      <c r="C25" s="381" t="s">
        <v>767</v>
      </c>
      <c r="D25" s="379" t="s">
        <v>768</v>
      </c>
      <c r="E25" s="381" t="s">
        <v>769</v>
      </c>
      <c r="F25" s="381" t="s">
        <v>770</v>
      </c>
      <c r="G25" s="381" t="s">
        <v>771</v>
      </c>
      <c r="H25" s="381" t="s">
        <v>1448</v>
      </c>
      <c r="I25" s="381" t="s">
        <v>1449</v>
      </c>
      <c r="J25" s="381" t="s">
        <v>1450</v>
      </c>
      <c r="K25" s="381" t="s">
        <v>775</v>
      </c>
      <c r="L25" s="381" t="s">
        <v>777</v>
      </c>
      <c r="M25" s="381" t="s">
        <v>778</v>
      </c>
      <c r="N25" s="381" t="s">
        <v>779</v>
      </c>
      <c r="O25" s="381" t="s">
        <v>775</v>
      </c>
      <c r="P25" s="381" t="s">
        <v>775</v>
      </c>
      <c r="Q25" s="381" t="s">
        <v>775</v>
      </c>
      <c r="R25" s="232"/>
      <c r="S25" s="232"/>
      <c r="T25" s="232"/>
      <c r="U25" s="232"/>
      <c r="V25" s="232"/>
    </row>
    <row r="26" ht="15.75" customHeight="1">
      <c r="A26" s="380" t="s">
        <v>3279</v>
      </c>
      <c r="B26" s="380" t="s">
        <v>3280</v>
      </c>
      <c r="C26" s="381" t="s">
        <v>767</v>
      </c>
      <c r="D26" s="379" t="s">
        <v>768</v>
      </c>
      <c r="E26" s="381" t="s">
        <v>769</v>
      </c>
      <c r="F26" s="381" t="s">
        <v>770</v>
      </c>
      <c r="G26" s="381" t="s">
        <v>771</v>
      </c>
      <c r="H26" s="381" t="s">
        <v>1448</v>
      </c>
      <c r="I26" s="381" t="s">
        <v>1449</v>
      </c>
      <c r="J26" s="381" t="s">
        <v>1450</v>
      </c>
      <c r="K26" s="381" t="s">
        <v>775</v>
      </c>
      <c r="L26" s="381" t="s">
        <v>777</v>
      </c>
      <c r="M26" s="381" t="s">
        <v>778</v>
      </c>
      <c r="N26" s="381" t="s">
        <v>779</v>
      </c>
      <c r="O26" s="381" t="s">
        <v>775</v>
      </c>
      <c r="P26" s="381" t="s">
        <v>775</v>
      </c>
      <c r="Q26" s="381" t="s">
        <v>775</v>
      </c>
      <c r="R26" s="232"/>
      <c r="S26" s="232"/>
      <c r="T26" s="232"/>
      <c r="U26" s="232"/>
      <c r="V26" s="232"/>
    </row>
    <row r="27" ht="15.75" customHeight="1">
      <c r="A27" s="380" t="s">
        <v>3281</v>
      </c>
      <c r="B27" s="380" t="s">
        <v>3276</v>
      </c>
      <c r="C27" s="381" t="s">
        <v>767</v>
      </c>
      <c r="D27" s="379" t="s">
        <v>768</v>
      </c>
      <c r="E27" s="381" t="s">
        <v>769</v>
      </c>
      <c r="F27" s="381" t="s">
        <v>770</v>
      </c>
      <c r="G27" s="381" t="s">
        <v>771</v>
      </c>
      <c r="H27" s="381" t="s">
        <v>1448</v>
      </c>
      <c r="I27" s="381" t="s">
        <v>1449</v>
      </c>
      <c r="J27" s="381" t="s">
        <v>1450</v>
      </c>
      <c r="K27" s="381" t="s">
        <v>775</v>
      </c>
      <c r="L27" s="381" t="s">
        <v>777</v>
      </c>
      <c r="M27" s="381" t="s">
        <v>778</v>
      </c>
      <c r="N27" s="381" t="s">
        <v>779</v>
      </c>
      <c r="O27" s="381" t="s">
        <v>775</v>
      </c>
      <c r="P27" s="381" t="s">
        <v>775</v>
      </c>
      <c r="Q27" s="381" t="s">
        <v>775</v>
      </c>
      <c r="R27" s="232"/>
      <c r="S27" s="232"/>
      <c r="T27" s="232"/>
      <c r="U27" s="232"/>
      <c r="V27" s="232"/>
    </row>
    <row r="28" ht="15.75" customHeight="1">
      <c r="A28" s="380" t="s">
        <v>3282</v>
      </c>
      <c r="B28" s="380" t="s">
        <v>3283</v>
      </c>
      <c r="C28" s="232" t="s">
        <v>767</v>
      </c>
      <c r="D28" s="194" t="s">
        <v>768</v>
      </c>
      <c r="E28" s="389" t="s">
        <v>769</v>
      </c>
      <c r="F28" s="390" t="s">
        <v>770</v>
      </c>
      <c r="G28" s="232" t="s">
        <v>771</v>
      </c>
      <c r="H28" s="391" t="s">
        <v>1448</v>
      </c>
      <c r="I28" s="392" t="s">
        <v>1449</v>
      </c>
      <c r="J28" s="393" t="s">
        <v>1450</v>
      </c>
      <c r="K28" s="232" t="s">
        <v>775</v>
      </c>
      <c r="L28" s="394" t="s">
        <v>788</v>
      </c>
      <c r="M28" s="232" t="s">
        <v>980</v>
      </c>
      <c r="N28" s="232" t="s">
        <v>847</v>
      </c>
      <c r="O28" s="232" t="s">
        <v>1094</v>
      </c>
      <c r="P28" s="232" t="s">
        <v>905</v>
      </c>
      <c r="Q28" s="232" t="s">
        <v>775</v>
      </c>
      <c r="R28" s="232"/>
      <c r="S28" s="232"/>
      <c r="T28" s="232"/>
      <c r="U28" s="232"/>
      <c r="V28" s="232"/>
    </row>
    <row r="29" ht="15.75" customHeight="1">
      <c r="A29" s="380" t="s">
        <v>3284</v>
      </c>
      <c r="B29" s="380" t="s">
        <v>3285</v>
      </c>
      <c r="C29" s="232" t="s">
        <v>767</v>
      </c>
      <c r="D29" s="194" t="s">
        <v>768</v>
      </c>
      <c r="E29" s="389" t="s">
        <v>769</v>
      </c>
      <c r="F29" s="390" t="s">
        <v>770</v>
      </c>
      <c r="G29" s="232" t="s">
        <v>771</v>
      </c>
      <c r="H29" s="391" t="s">
        <v>1448</v>
      </c>
      <c r="I29" s="392" t="s">
        <v>1449</v>
      </c>
      <c r="J29" s="393" t="s">
        <v>1450</v>
      </c>
      <c r="K29" s="232" t="s">
        <v>775</v>
      </c>
      <c r="L29" s="394" t="s">
        <v>788</v>
      </c>
      <c r="M29" s="232" t="s">
        <v>980</v>
      </c>
      <c r="N29" s="232" t="s">
        <v>847</v>
      </c>
      <c r="O29" s="232" t="s">
        <v>1094</v>
      </c>
      <c r="P29" s="232" t="s">
        <v>905</v>
      </c>
      <c r="Q29" s="232" t="s">
        <v>775</v>
      </c>
      <c r="R29" s="232"/>
      <c r="S29" s="232"/>
      <c r="T29" s="232"/>
      <c r="U29" s="232"/>
      <c r="V29" s="232"/>
    </row>
    <row r="30" ht="15.75" customHeight="1">
      <c r="A30" s="380" t="s">
        <v>3286</v>
      </c>
      <c r="B30" s="380" t="s">
        <v>3287</v>
      </c>
      <c r="C30" s="232" t="s">
        <v>767</v>
      </c>
      <c r="D30" s="194" t="s">
        <v>768</v>
      </c>
      <c r="E30" s="389" t="s">
        <v>769</v>
      </c>
      <c r="F30" s="390" t="s">
        <v>770</v>
      </c>
      <c r="G30" s="232" t="s">
        <v>771</v>
      </c>
      <c r="H30" s="391" t="s">
        <v>1448</v>
      </c>
      <c r="I30" s="392" t="s">
        <v>1449</v>
      </c>
      <c r="J30" s="393" t="s">
        <v>1450</v>
      </c>
      <c r="K30" s="232" t="s">
        <v>775</v>
      </c>
      <c r="L30" s="394" t="s">
        <v>788</v>
      </c>
      <c r="M30" s="232" t="s">
        <v>980</v>
      </c>
      <c r="N30" s="232" t="s">
        <v>847</v>
      </c>
      <c r="O30" s="232" t="s">
        <v>1094</v>
      </c>
      <c r="P30" s="232" t="s">
        <v>905</v>
      </c>
      <c r="Q30" s="232" t="s">
        <v>775</v>
      </c>
      <c r="R30" s="232"/>
      <c r="S30" s="232"/>
      <c r="T30" s="232"/>
      <c r="U30" s="232"/>
      <c r="V30" s="232"/>
    </row>
    <row r="31" ht="15.75" customHeight="1">
      <c r="A31" s="380" t="s">
        <v>3288</v>
      </c>
      <c r="B31" s="380" t="s">
        <v>3283</v>
      </c>
      <c r="C31" s="232" t="s">
        <v>767</v>
      </c>
      <c r="D31" s="194" t="s">
        <v>768</v>
      </c>
      <c r="E31" s="389" t="s">
        <v>769</v>
      </c>
      <c r="F31" s="390" t="s">
        <v>770</v>
      </c>
      <c r="G31" s="232" t="s">
        <v>771</v>
      </c>
      <c r="H31" s="391" t="s">
        <v>1448</v>
      </c>
      <c r="I31" s="392" t="s">
        <v>1449</v>
      </c>
      <c r="J31" s="393" t="s">
        <v>1450</v>
      </c>
      <c r="K31" s="232" t="s">
        <v>775</v>
      </c>
      <c r="L31" s="394" t="s">
        <v>788</v>
      </c>
      <c r="M31" s="232" t="s">
        <v>980</v>
      </c>
      <c r="N31" s="232" t="s">
        <v>847</v>
      </c>
      <c r="O31" s="232" t="s">
        <v>1094</v>
      </c>
      <c r="P31" s="232" t="s">
        <v>905</v>
      </c>
      <c r="Q31" s="232" t="s">
        <v>775</v>
      </c>
      <c r="R31" s="232"/>
      <c r="S31" s="232"/>
      <c r="T31" s="232"/>
      <c r="U31" s="232"/>
      <c r="V31" s="232"/>
    </row>
    <row r="32" ht="15.75" customHeight="1">
      <c r="A32" s="380" t="s">
        <v>3289</v>
      </c>
      <c r="B32" s="380" t="s">
        <v>3290</v>
      </c>
      <c r="C32" s="232" t="s">
        <v>767</v>
      </c>
      <c r="D32" s="194" t="s">
        <v>768</v>
      </c>
      <c r="E32" s="389" t="s">
        <v>769</v>
      </c>
      <c r="F32" s="390" t="s">
        <v>770</v>
      </c>
      <c r="G32" s="232" t="s">
        <v>771</v>
      </c>
      <c r="H32" s="391" t="s">
        <v>1448</v>
      </c>
      <c r="I32" s="392" t="s">
        <v>1449</v>
      </c>
      <c r="J32" s="393" t="s">
        <v>1450</v>
      </c>
      <c r="K32" s="232" t="s">
        <v>775</v>
      </c>
      <c r="L32" s="394" t="s">
        <v>876</v>
      </c>
      <c r="M32" s="232" t="s">
        <v>882</v>
      </c>
      <c r="N32" s="232" t="s">
        <v>883</v>
      </c>
      <c r="O32" s="232" t="s">
        <v>775</v>
      </c>
      <c r="P32" s="232" t="s">
        <v>775</v>
      </c>
      <c r="Q32" s="232" t="s">
        <v>775</v>
      </c>
      <c r="R32" s="232"/>
      <c r="S32" s="232"/>
      <c r="T32" s="232"/>
      <c r="U32" s="232"/>
      <c r="V32" s="232"/>
    </row>
    <row r="33" ht="15.75" customHeight="1">
      <c r="A33" s="380" t="s">
        <v>3291</v>
      </c>
      <c r="B33" s="380" t="s">
        <v>3292</v>
      </c>
      <c r="C33" s="232" t="s">
        <v>767</v>
      </c>
      <c r="D33" s="194" t="s">
        <v>768</v>
      </c>
      <c r="E33" s="389" t="s">
        <v>769</v>
      </c>
      <c r="F33" s="390" t="s">
        <v>770</v>
      </c>
      <c r="G33" s="232" t="s">
        <v>771</v>
      </c>
      <c r="H33" s="391" t="s">
        <v>1448</v>
      </c>
      <c r="I33" s="392" t="s">
        <v>1449</v>
      </c>
      <c r="J33" s="393" t="s">
        <v>1450</v>
      </c>
      <c r="K33" s="232" t="s">
        <v>775</v>
      </c>
      <c r="L33" s="394" t="s">
        <v>876</v>
      </c>
      <c r="M33" s="232" t="s">
        <v>882</v>
      </c>
      <c r="N33" s="232" t="s">
        <v>883</v>
      </c>
      <c r="O33" s="232" t="s">
        <v>775</v>
      </c>
      <c r="P33" s="232" t="s">
        <v>775</v>
      </c>
      <c r="Q33" s="232" t="s">
        <v>775</v>
      </c>
      <c r="R33" s="232"/>
      <c r="S33" s="232"/>
      <c r="T33" s="232"/>
      <c r="U33" s="232"/>
      <c r="V33" s="232"/>
    </row>
    <row r="34" ht="15.75" customHeight="1">
      <c r="A34" s="380" t="s">
        <v>3293</v>
      </c>
      <c r="B34" s="380" t="s">
        <v>3294</v>
      </c>
      <c r="C34" s="232" t="s">
        <v>767</v>
      </c>
      <c r="D34" s="194" t="s">
        <v>768</v>
      </c>
      <c r="E34" s="389" t="s">
        <v>769</v>
      </c>
      <c r="F34" s="390" t="s">
        <v>770</v>
      </c>
      <c r="G34" s="232" t="s">
        <v>771</v>
      </c>
      <c r="H34" s="391" t="s">
        <v>1448</v>
      </c>
      <c r="I34" s="392" t="s">
        <v>1449</v>
      </c>
      <c r="J34" s="393" t="s">
        <v>1450</v>
      </c>
      <c r="K34" s="232" t="s">
        <v>775</v>
      </c>
      <c r="L34" s="394" t="s">
        <v>876</v>
      </c>
      <c r="M34" s="232" t="s">
        <v>882</v>
      </c>
      <c r="N34" s="232" t="s">
        <v>883</v>
      </c>
      <c r="O34" s="232" t="s">
        <v>775</v>
      </c>
      <c r="P34" s="232" t="s">
        <v>775</v>
      </c>
      <c r="Q34" s="232" t="s">
        <v>775</v>
      </c>
      <c r="R34" s="232"/>
      <c r="S34" s="232"/>
      <c r="T34" s="232"/>
      <c r="U34" s="232"/>
      <c r="V34" s="232"/>
    </row>
    <row r="35" ht="15.75" customHeight="1">
      <c r="A35" s="380" t="s">
        <v>3295</v>
      </c>
      <c r="B35" s="380" t="s">
        <v>3296</v>
      </c>
      <c r="C35" s="232" t="s">
        <v>767</v>
      </c>
      <c r="D35" s="194" t="s">
        <v>768</v>
      </c>
      <c r="E35" s="389" t="s">
        <v>769</v>
      </c>
      <c r="F35" s="390" t="s">
        <v>770</v>
      </c>
      <c r="G35" s="232" t="s">
        <v>771</v>
      </c>
      <c r="H35" s="391" t="s">
        <v>1448</v>
      </c>
      <c r="I35" s="392" t="s">
        <v>1449</v>
      </c>
      <c r="J35" s="393" t="s">
        <v>1450</v>
      </c>
      <c r="K35" s="232" t="s">
        <v>775</v>
      </c>
      <c r="L35" s="394" t="s">
        <v>876</v>
      </c>
      <c r="M35" s="232" t="s">
        <v>882</v>
      </c>
      <c r="N35" s="232" t="s">
        <v>883</v>
      </c>
      <c r="O35" s="232" t="s">
        <v>775</v>
      </c>
      <c r="P35" s="232" t="s">
        <v>775</v>
      </c>
      <c r="Q35" s="232" t="s">
        <v>775</v>
      </c>
      <c r="R35" s="232"/>
      <c r="S35" s="232"/>
      <c r="T35" s="232"/>
      <c r="U35" s="232"/>
      <c r="V35" s="232"/>
    </row>
    <row r="36" ht="15.75" customHeight="1">
      <c r="A36" s="380" t="s">
        <v>3297</v>
      </c>
      <c r="B36" s="380" t="s">
        <v>3298</v>
      </c>
      <c r="C36" s="232" t="s">
        <v>767</v>
      </c>
      <c r="D36" s="194" t="s">
        <v>768</v>
      </c>
      <c r="E36" s="389" t="s">
        <v>769</v>
      </c>
      <c r="F36" s="390" t="s">
        <v>770</v>
      </c>
      <c r="G36" s="232" t="s">
        <v>771</v>
      </c>
      <c r="H36" s="391" t="s">
        <v>1448</v>
      </c>
      <c r="I36" s="392" t="s">
        <v>1449</v>
      </c>
      <c r="J36" s="393" t="s">
        <v>1450</v>
      </c>
      <c r="K36" s="232" t="s">
        <v>775</v>
      </c>
      <c r="L36" s="394" t="s">
        <v>876</v>
      </c>
      <c r="M36" s="232" t="s">
        <v>882</v>
      </c>
      <c r="N36" s="232" t="s">
        <v>883</v>
      </c>
      <c r="O36" s="232" t="s">
        <v>775</v>
      </c>
      <c r="P36" s="232" t="s">
        <v>775</v>
      </c>
      <c r="Q36" s="232" t="s">
        <v>775</v>
      </c>
      <c r="R36" s="232"/>
      <c r="S36" s="232"/>
      <c r="T36" s="232"/>
      <c r="U36" s="232"/>
      <c r="V36" s="232"/>
    </row>
    <row r="37" ht="15.75" customHeight="1">
      <c r="A37" s="380" t="s">
        <v>3299</v>
      </c>
      <c r="B37" s="380" t="s">
        <v>3300</v>
      </c>
      <c r="C37" s="232" t="s">
        <v>767</v>
      </c>
      <c r="D37" s="194" t="s">
        <v>768</v>
      </c>
      <c r="E37" s="389" t="s">
        <v>769</v>
      </c>
      <c r="F37" s="390" t="s">
        <v>770</v>
      </c>
      <c r="G37" s="232" t="s">
        <v>771</v>
      </c>
      <c r="H37" s="391" t="s">
        <v>1448</v>
      </c>
      <c r="I37" s="392" t="s">
        <v>1449</v>
      </c>
      <c r="J37" s="393" t="s">
        <v>1450</v>
      </c>
      <c r="K37" s="232" t="s">
        <v>775</v>
      </c>
      <c r="L37" s="394" t="s">
        <v>876</v>
      </c>
      <c r="M37" s="232" t="s">
        <v>882</v>
      </c>
      <c r="N37" s="232" t="s">
        <v>883</v>
      </c>
      <c r="O37" s="232" t="s">
        <v>775</v>
      </c>
      <c r="P37" s="232" t="s">
        <v>775</v>
      </c>
      <c r="Q37" s="232" t="s">
        <v>775</v>
      </c>
      <c r="R37" s="232"/>
      <c r="S37" s="232"/>
      <c r="T37" s="232"/>
      <c r="U37" s="232"/>
      <c r="V37" s="232"/>
    </row>
    <row r="38" ht="15.75" customHeight="1">
      <c r="A38" s="380" t="s">
        <v>3301</v>
      </c>
      <c r="B38" s="380" t="s">
        <v>3294</v>
      </c>
      <c r="C38" s="232" t="s">
        <v>767</v>
      </c>
      <c r="D38" s="194" t="s">
        <v>768</v>
      </c>
      <c r="E38" s="389" t="s">
        <v>769</v>
      </c>
      <c r="F38" s="390" t="s">
        <v>770</v>
      </c>
      <c r="G38" s="232" t="s">
        <v>771</v>
      </c>
      <c r="H38" s="391" t="s">
        <v>1448</v>
      </c>
      <c r="I38" s="392" t="s">
        <v>1449</v>
      </c>
      <c r="J38" s="393" t="s">
        <v>1450</v>
      </c>
      <c r="K38" s="232" t="s">
        <v>775</v>
      </c>
      <c r="L38" s="394" t="s">
        <v>876</v>
      </c>
      <c r="M38" s="232" t="s">
        <v>882</v>
      </c>
      <c r="N38" s="232" t="s">
        <v>883</v>
      </c>
      <c r="O38" s="232" t="s">
        <v>775</v>
      </c>
      <c r="P38" s="232" t="s">
        <v>775</v>
      </c>
      <c r="Q38" s="232" t="s">
        <v>775</v>
      </c>
      <c r="R38" s="232"/>
      <c r="S38" s="232"/>
      <c r="T38" s="232"/>
      <c r="U38" s="232"/>
      <c r="V38" s="232"/>
    </row>
    <row r="39" ht="15.75" customHeight="1">
      <c r="A39" s="380" t="s">
        <v>3302</v>
      </c>
      <c r="B39" s="380" t="s">
        <v>3303</v>
      </c>
      <c r="C39" s="232" t="s">
        <v>767</v>
      </c>
      <c r="D39" s="194" t="s">
        <v>768</v>
      </c>
      <c r="E39" s="389" t="s">
        <v>769</v>
      </c>
      <c r="F39" s="390" t="s">
        <v>770</v>
      </c>
      <c r="G39" s="232" t="s">
        <v>771</v>
      </c>
      <c r="H39" s="391" t="s">
        <v>1448</v>
      </c>
      <c r="I39" s="392" t="s">
        <v>1449</v>
      </c>
      <c r="J39" s="393" t="s">
        <v>1450</v>
      </c>
      <c r="K39" s="232" t="s">
        <v>775</v>
      </c>
      <c r="L39" s="394" t="s">
        <v>876</v>
      </c>
      <c r="M39" s="232" t="s">
        <v>882</v>
      </c>
      <c r="N39" s="232" t="s">
        <v>883</v>
      </c>
      <c r="O39" s="232" t="s">
        <v>775</v>
      </c>
      <c r="P39" s="232" t="s">
        <v>775</v>
      </c>
      <c r="Q39" s="232" t="s">
        <v>775</v>
      </c>
      <c r="R39" s="232"/>
      <c r="S39" s="232"/>
      <c r="T39" s="232"/>
      <c r="U39" s="232"/>
      <c r="V39" s="232"/>
    </row>
    <row r="40" ht="15.75" customHeight="1">
      <c r="A40" s="380" t="s">
        <v>3304</v>
      </c>
      <c r="B40" s="380" t="s">
        <v>3305</v>
      </c>
      <c r="C40" s="232" t="s">
        <v>767</v>
      </c>
      <c r="D40" s="194" t="s">
        <v>768</v>
      </c>
      <c r="E40" s="389" t="s">
        <v>769</v>
      </c>
      <c r="F40" s="390" t="s">
        <v>770</v>
      </c>
      <c r="G40" s="232" t="s">
        <v>771</v>
      </c>
      <c r="H40" s="391" t="s">
        <v>1448</v>
      </c>
      <c r="I40" s="392" t="s">
        <v>1449</v>
      </c>
      <c r="J40" s="393" t="s">
        <v>1450</v>
      </c>
      <c r="K40" s="232" t="s">
        <v>775</v>
      </c>
      <c r="L40" s="394" t="s">
        <v>876</v>
      </c>
      <c r="M40" s="232" t="s">
        <v>987</v>
      </c>
      <c r="N40" s="232" t="s">
        <v>1497</v>
      </c>
      <c r="O40" s="232" t="s">
        <v>904</v>
      </c>
      <c r="P40" s="232" t="s">
        <v>991</v>
      </c>
      <c r="Q40" s="232" t="s">
        <v>775</v>
      </c>
      <c r="R40" s="232"/>
      <c r="S40" s="232"/>
      <c r="T40" s="232"/>
      <c r="U40" s="232"/>
      <c r="V40" s="232"/>
    </row>
    <row r="41" ht="15.75" customHeight="1">
      <c r="A41" s="380" t="s">
        <v>3306</v>
      </c>
      <c r="B41" s="380" t="s">
        <v>3307</v>
      </c>
      <c r="C41" s="232" t="s">
        <v>767</v>
      </c>
      <c r="D41" s="194" t="s">
        <v>768</v>
      </c>
      <c r="E41" s="389" t="s">
        <v>769</v>
      </c>
      <c r="F41" s="390" t="s">
        <v>770</v>
      </c>
      <c r="G41" s="232" t="s">
        <v>771</v>
      </c>
      <c r="H41" s="391" t="s">
        <v>1448</v>
      </c>
      <c r="I41" s="392" t="s">
        <v>1449</v>
      </c>
      <c r="J41" s="393" t="s">
        <v>1450</v>
      </c>
      <c r="K41" s="232" t="s">
        <v>775</v>
      </c>
      <c r="L41" s="394" t="s">
        <v>876</v>
      </c>
      <c r="M41" s="232" t="s">
        <v>987</v>
      </c>
      <c r="N41" s="232" t="s">
        <v>1497</v>
      </c>
      <c r="O41" s="232" t="s">
        <v>904</v>
      </c>
      <c r="P41" s="232" t="s">
        <v>991</v>
      </c>
      <c r="Q41" s="232" t="s">
        <v>775</v>
      </c>
      <c r="R41" s="232"/>
      <c r="S41" s="232"/>
      <c r="T41" s="232"/>
      <c r="U41" s="232"/>
      <c r="V41" s="232"/>
    </row>
    <row r="42" ht="15.75" customHeight="1">
      <c r="A42" s="380" t="s">
        <v>2278</v>
      </c>
      <c r="B42" s="380" t="s">
        <v>3308</v>
      </c>
      <c r="C42" s="232" t="s">
        <v>767</v>
      </c>
      <c r="D42" s="194" t="s">
        <v>768</v>
      </c>
      <c r="E42" s="389" t="s">
        <v>769</v>
      </c>
      <c r="F42" s="390" t="s">
        <v>770</v>
      </c>
      <c r="G42" s="232" t="s">
        <v>771</v>
      </c>
      <c r="H42" s="391" t="s">
        <v>1448</v>
      </c>
      <c r="I42" s="392" t="s">
        <v>1449</v>
      </c>
      <c r="J42" s="393" t="s">
        <v>1450</v>
      </c>
      <c r="K42" s="232" t="s">
        <v>775</v>
      </c>
      <c r="L42" s="394" t="s">
        <v>876</v>
      </c>
      <c r="M42" s="232" t="s">
        <v>987</v>
      </c>
      <c r="N42" s="232" t="s">
        <v>1497</v>
      </c>
      <c r="O42" s="232" t="s">
        <v>904</v>
      </c>
      <c r="P42" s="232" t="s">
        <v>991</v>
      </c>
      <c r="Q42" s="232" t="s">
        <v>775</v>
      </c>
      <c r="R42" s="232"/>
      <c r="S42" s="232"/>
      <c r="T42" s="232"/>
      <c r="U42" s="232"/>
      <c r="V42" s="232"/>
    </row>
    <row r="43" ht="15.75" customHeight="1">
      <c r="A43" s="380" t="s">
        <v>3309</v>
      </c>
      <c r="B43" s="380" t="s">
        <v>3310</v>
      </c>
      <c r="C43" s="232" t="s">
        <v>767</v>
      </c>
      <c r="D43" s="194" t="s">
        <v>768</v>
      </c>
      <c r="E43" s="389" t="s">
        <v>769</v>
      </c>
      <c r="F43" s="390" t="s">
        <v>770</v>
      </c>
      <c r="G43" s="232" t="s">
        <v>771</v>
      </c>
      <c r="H43" s="391" t="s">
        <v>1448</v>
      </c>
      <c r="I43" s="392" t="s">
        <v>1449</v>
      </c>
      <c r="J43" s="393" t="s">
        <v>1450</v>
      </c>
      <c r="K43" s="232" t="s">
        <v>775</v>
      </c>
      <c r="L43" s="394" t="s">
        <v>876</v>
      </c>
      <c r="M43" s="232" t="s">
        <v>987</v>
      </c>
      <c r="N43" s="232" t="s">
        <v>1497</v>
      </c>
      <c r="O43" s="232" t="s">
        <v>904</v>
      </c>
      <c r="P43" s="232" t="s">
        <v>991</v>
      </c>
      <c r="Q43" s="232" t="s">
        <v>775</v>
      </c>
      <c r="R43" s="232"/>
      <c r="S43" s="232"/>
      <c r="T43" s="232"/>
      <c r="U43" s="232"/>
      <c r="V43" s="232"/>
    </row>
    <row r="44" ht="15.75" customHeight="1">
      <c r="A44" s="380" t="s">
        <v>3311</v>
      </c>
      <c r="B44" s="380" t="s">
        <v>3312</v>
      </c>
      <c r="C44" s="232" t="s">
        <v>767</v>
      </c>
      <c r="D44" s="194" t="s">
        <v>768</v>
      </c>
      <c r="E44" s="389" t="s">
        <v>769</v>
      </c>
      <c r="F44" s="390" t="s">
        <v>770</v>
      </c>
      <c r="G44" s="232" t="s">
        <v>771</v>
      </c>
      <c r="H44" s="391" t="s">
        <v>1448</v>
      </c>
      <c r="I44" s="392" t="s">
        <v>1449</v>
      </c>
      <c r="J44" s="393" t="s">
        <v>1450</v>
      </c>
      <c r="K44" s="232" t="s">
        <v>775</v>
      </c>
      <c r="L44" s="394" t="s">
        <v>876</v>
      </c>
      <c r="M44" s="232" t="s">
        <v>987</v>
      </c>
      <c r="N44" s="232" t="s">
        <v>1497</v>
      </c>
      <c r="O44" s="232" t="s">
        <v>904</v>
      </c>
      <c r="P44" s="232" t="s">
        <v>991</v>
      </c>
      <c r="Q44" s="232" t="s">
        <v>775</v>
      </c>
      <c r="R44" s="232"/>
      <c r="S44" s="232"/>
      <c r="T44" s="232"/>
      <c r="U44" s="232"/>
      <c r="V44" s="232"/>
    </row>
    <row r="45" ht="15.75" customHeight="1">
      <c r="A45" s="380" t="s">
        <v>3313</v>
      </c>
      <c r="B45" s="380" t="s">
        <v>3314</v>
      </c>
      <c r="C45" s="232" t="s">
        <v>767</v>
      </c>
      <c r="D45" s="194" t="s">
        <v>768</v>
      </c>
      <c r="E45" s="389" t="s">
        <v>769</v>
      </c>
      <c r="F45" s="390" t="s">
        <v>770</v>
      </c>
      <c r="G45" s="232" t="s">
        <v>771</v>
      </c>
      <c r="H45" s="391" t="s">
        <v>1448</v>
      </c>
      <c r="I45" s="392" t="s">
        <v>1449</v>
      </c>
      <c r="J45" s="393" t="s">
        <v>1450</v>
      </c>
      <c r="K45" s="232" t="s">
        <v>775</v>
      </c>
      <c r="L45" s="394" t="s">
        <v>804</v>
      </c>
      <c r="M45" s="232" t="s">
        <v>941</v>
      </c>
      <c r="N45" s="232" t="s">
        <v>897</v>
      </c>
      <c r="O45" s="232" t="s">
        <v>1051</v>
      </c>
      <c r="P45" s="232" t="s">
        <v>1052</v>
      </c>
      <c r="Q45" s="232" t="s">
        <v>775</v>
      </c>
      <c r="R45" s="395"/>
      <c r="S45" s="396"/>
      <c r="T45" s="232"/>
      <c r="U45" s="232"/>
      <c r="V45" s="232"/>
    </row>
    <row r="46" ht="15.75" customHeight="1">
      <c r="A46" s="380" t="s">
        <v>3315</v>
      </c>
      <c r="B46" s="380" t="s">
        <v>3316</v>
      </c>
      <c r="C46" s="232" t="s">
        <v>767</v>
      </c>
      <c r="D46" s="194" t="s">
        <v>768</v>
      </c>
      <c r="E46" s="389" t="s">
        <v>769</v>
      </c>
      <c r="F46" s="390" t="s">
        <v>770</v>
      </c>
      <c r="G46" s="232" t="s">
        <v>771</v>
      </c>
      <c r="H46" s="391" t="s">
        <v>1448</v>
      </c>
      <c r="I46" s="392" t="s">
        <v>1449</v>
      </c>
      <c r="J46" s="393" t="s">
        <v>1450</v>
      </c>
      <c r="K46" s="232" t="s">
        <v>775</v>
      </c>
      <c r="L46" s="394" t="s">
        <v>804</v>
      </c>
      <c r="M46" s="232" t="s">
        <v>941</v>
      </c>
      <c r="N46" s="232" t="s">
        <v>897</v>
      </c>
      <c r="O46" s="232" t="s">
        <v>1051</v>
      </c>
      <c r="P46" s="232" t="s">
        <v>1052</v>
      </c>
      <c r="Q46" s="232" t="s">
        <v>775</v>
      </c>
      <c r="R46" s="232"/>
      <c r="S46" s="232"/>
      <c r="T46" s="232"/>
      <c r="U46" s="232"/>
      <c r="V46" s="232"/>
    </row>
    <row r="47" ht="15.75" customHeight="1">
      <c r="A47" s="380" t="s">
        <v>3317</v>
      </c>
      <c r="B47" s="380" t="s">
        <v>3318</v>
      </c>
      <c r="C47" s="232" t="s">
        <v>767</v>
      </c>
      <c r="D47" s="194" t="s">
        <v>768</v>
      </c>
      <c r="E47" s="389" t="s">
        <v>769</v>
      </c>
      <c r="F47" s="390" t="s">
        <v>770</v>
      </c>
      <c r="G47" s="232" t="s">
        <v>771</v>
      </c>
      <c r="H47" s="391" t="s">
        <v>1448</v>
      </c>
      <c r="I47" s="392" t="s">
        <v>1449</v>
      </c>
      <c r="J47" s="393" t="s">
        <v>1450</v>
      </c>
      <c r="K47" s="232" t="s">
        <v>775</v>
      </c>
      <c r="L47" s="394" t="s">
        <v>804</v>
      </c>
      <c r="M47" s="232" t="s">
        <v>941</v>
      </c>
      <c r="N47" s="232" t="s">
        <v>897</v>
      </c>
      <c r="O47" s="232" t="s">
        <v>1051</v>
      </c>
      <c r="P47" s="232" t="s">
        <v>1052</v>
      </c>
      <c r="Q47" s="232" t="s">
        <v>775</v>
      </c>
      <c r="R47" s="232"/>
      <c r="S47" s="232"/>
      <c r="T47" s="232"/>
      <c r="U47" s="232"/>
      <c r="V47" s="232"/>
    </row>
    <row r="48" ht="15.75" customHeight="1">
      <c r="A48" s="380" t="s">
        <v>3319</v>
      </c>
      <c r="B48" s="380" t="s">
        <v>3320</v>
      </c>
      <c r="C48" s="232" t="s">
        <v>767</v>
      </c>
      <c r="D48" s="194" t="s">
        <v>768</v>
      </c>
      <c r="E48" s="389" t="s">
        <v>769</v>
      </c>
      <c r="F48" s="390" t="s">
        <v>770</v>
      </c>
      <c r="G48" s="232" t="s">
        <v>771</v>
      </c>
      <c r="H48" s="391" t="s">
        <v>1448</v>
      </c>
      <c r="I48" s="392" t="s">
        <v>1449</v>
      </c>
      <c r="J48" s="393" t="s">
        <v>1450</v>
      </c>
      <c r="K48" s="232" t="s">
        <v>775</v>
      </c>
      <c r="L48" s="394" t="s">
        <v>804</v>
      </c>
      <c r="M48" s="232" t="s">
        <v>941</v>
      </c>
      <c r="N48" s="232" t="s">
        <v>897</v>
      </c>
      <c r="O48" s="232" t="s">
        <v>1051</v>
      </c>
      <c r="P48" s="232" t="s">
        <v>1052</v>
      </c>
      <c r="Q48" s="232" t="s">
        <v>775</v>
      </c>
      <c r="R48" s="232"/>
      <c r="S48" s="232"/>
      <c r="T48" s="232"/>
      <c r="U48" s="232"/>
      <c r="V48" s="232"/>
    </row>
    <row r="49" ht="15.75" customHeight="1">
      <c r="A49" s="380" t="s">
        <v>3321</v>
      </c>
      <c r="B49" s="380" t="s">
        <v>3322</v>
      </c>
      <c r="C49" s="232" t="s">
        <v>767</v>
      </c>
      <c r="D49" s="194" t="s">
        <v>768</v>
      </c>
      <c r="E49" s="389" t="s">
        <v>769</v>
      </c>
      <c r="F49" s="390" t="s">
        <v>770</v>
      </c>
      <c r="G49" s="232" t="s">
        <v>771</v>
      </c>
      <c r="H49" s="391" t="s">
        <v>1448</v>
      </c>
      <c r="I49" s="392" t="s">
        <v>1449</v>
      </c>
      <c r="J49" s="393" t="s">
        <v>1450</v>
      </c>
      <c r="K49" s="232" t="s">
        <v>775</v>
      </c>
      <c r="L49" s="394" t="s">
        <v>804</v>
      </c>
      <c r="M49" s="232" t="s">
        <v>941</v>
      </c>
      <c r="N49" s="232" t="s">
        <v>897</v>
      </c>
      <c r="O49" s="232" t="s">
        <v>1051</v>
      </c>
      <c r="P49" s="232" t="s">
        <v>1052</v>
      </c>
      <c r="Q49" s="232" t="s">
        <v>775</v>
      </c>
      <c r="R49" s="232"/>
      <c r="S49" s="232"/>
      <c r="T49" s="232"/>
      <c r="U49" s="232"/>
      <c r="V49" s="232"/>
    </row>
    <row r="50" ht="15.75" customHeight="1">
      <c r="A50" s="380" t="s">
        <v>3323</v>
      </c>
      <c r="B50" s="380" t="s">
        <v>3324</v>
      </c>
      <c r="C50" s="232" t="s">
        <v>767</v>
      </c>
      <c r="D50" s="194" t="s">
        <v>768</v>
      </c>
      <c r="E50" s="389" t="s">
        <v>769</v>
      </c>
      <c r="F50" s="390" t="s">
        <v>770</v>
      </c>
      <c r="G50" s="232" t="s">
        <v>771</v>
      </c>
      <c r="H50" s="391" t="s">
        <v>1448</v>
      </c>
      <c r="I50" s="392" t="s">
        <v>1449</v>
      </c>
      <c r="J50" s="393" t="s">
        <v>1450</v>
      </c>
      <c r="K50" s="232" t="s">
        <v>775</v>
      </c>
      <c r="L50" s="394" t="s">
        <v>804</v>
      </c>
      <c r="M50" s="232" t="s">
        <v>941</v>
      </c>
      <c r="N50" s="232" t="s">
        <v>897</v>
      </c>
      <c r="O50" s="232" t="s">
        <v>1051</v>
      </c>
      <c r="P50" s="232" t="s">
        <v>1052</v>
      </c>
      <c r="Q50" s="232" t="s">
        <v>775</v>
      </c>
      <c r="R50" s="232"/>
      <c r="S50" s="232"/>
      <c r="T50" s="232"/>
      <c r="U50" s="232"/>
      <c r="V50" s="232"/>
    </row>
    <row r="51" ht="15.75" customHeight="1">
      <c r="A51" s="380" t="s">
        <v>3325</v>
      </c>
      <c r="B51" s="380" t="s">
        <v>3326</v>
      </c>
      <c r="C51" s="232" t="s">
        <v>767</v>
      </c>
      <c r="D51" s="194" t="s">
        <v>768</v>
      </c>
      <c r="E51" s="389" t="s">
        <v>769</v>
      </c>
      <c r="F51" s="390" t="s">
        <v>770</v>
      </c>
      <c r="G51" s="232" t="s">
        <v>771</v>
      </c>
      <c r="H51" s="391" t="s">
        <v>1448</v>
      </c>
      <c r="I51" s="392" t="s">
        <v>1449</v>
      </c>
      <c r="J51" s="393" t="s">
        <v>1450</v>
      </c>
      <c r="K51" s="232" t="s">
        <v>775</v>
      </c>
      <c r="L51" s="394" t="s">
        <v>804</v>
      </c>
      <c r="M51" s="232" t="s">
        <v>941</v>
      </c>
      <c r="N51" s="232" t="s">
        <v>897</v>
      </c>
      <c r="O51" s="232" t="s">
        <v>1051</v>
      </c>
      <c r="P51" s="232" t="s">
        <v>1052</v>
      </c>
      <c r="Q51" s="232" t="s">
        <v>775</v>
      </c>
      <c r="R51" s="232"/>
      <c r="S51" s="232"/>
      <c r="T51" s="232"/>
      <c r="U51" s="232"/>
      <c r="V51" s="232"/>
    </row>
    <row r="52" ht="15.75" customHeight="1">
      <c r="A52" s="380" t="s">
        <v>3327</v>
      </c>
      <c r="B52" s="380" t="s">
        <v>3328</v>
      </c>
      <c r="C52" s="232" t="s">
        <v>767</v>
      </c>
      <c r="D52" s="194" t="s">
        <v>768</v>
      </c>
      <c r="E52" s="389" t="s">
        <v>769</v>
      </c>
      <c r="F52" s="390" t="s">
        <v>770</v>
      </c>
      <c r="G52" s="232" t="s">
        <v>771</v>
      </c>
      <c r="H52" s="391" t="s">
        <v>1448</v>
      </c>
      <c r="I52" s="392" t="s">
        <v>1449</v>
      </c>
      <c r="J52" s="393" t="s">
        <v>1450</v>
      </c>
      <c r="K52" s="232" t="s">
        <v>775</v>
      </c>
      <c r="L52" s="394" t="s">
        <v>804</v>
      </c>
      <c r="M52" s="232" t="s">
        <v>941</v>
      </c>
      <c r="N52" s="232" t="s">
        <v>897</v>
      </c>
      <c r="O52" s="232" t="s">
        <v>1051</v>
      </c>
      <c r="P52" s="232" t="s">
        <v>1052</v>
      </c>
      <c r="Q52" s="232" t="s">
        <v>775</v>
      </c>
      <c r="R52" s="232"/>
      <c r="S52" s="232"/>
      <c r="T52" s="232"/>
      <c r="U52" s="232"/>
      <c r="V52" s="232"/>
    </row>
    <row r="53" ht="15.75" customHeight="1">
      <c r="A53" s="380" t="s">
        <v>3329</v>
      </c>
      <c r="B53" s="380" t="s">
        <v>3330</v>
      </c>
      <c r="C53" s="232" t="s">
        <v>767</v>
      </c>
      <c r="D53" s="194" t="s">
        <v>768</v>
      </c>
      <c r="E53" s="389" t="s">
        <v>769</v>
      </c>
      <c r="F53" s="390" t="s">
        <v>770</v>
      </c>
      <c r="G53" s="232" t="s">
        <v>771</v>
      </c>
      <c r="H53" s="391" t="s">
        <v>1448</v>
      </c>
      <c r="I53" s="392" t="s">
        <v>1449</v>
      </c>
      <c r="J53" s="393" t="s">
        <v>1450</v>
      </c>
      <c r="K53" s="232" t="s">
        <v>775</v>
      </c>
      <c r="L53" s="394" t="s">
        <v>804</v>
      </c>
      <c r="M53" s="232" t="s">
        <v>941</v>
      </c>
      <c r="N53" s="232" t="s">
        <v>897</v>
      </c>
      <c r="O53" s="232" t="s">
        <v>1051</v>
      </c>
      <c r="P53" s="232" t="s">
        <v>1052</v>
      </c>
      <c r="Q53" s="232" t="s">
        <v>775</v>
      </c>
      <c r="R53" s="232"/>
      <c r="S53" s="232"/>
      <c r="T53" s="232"/>
      <c r="U53" s="232"/>
      <c r="V53" s="232"/>
    </row>
    <row r="54" ht="15.75" customHeight="1">
      <c r="A54" s="380" t="s">
        <v>3331</v>
      </c>
      <c r="B54" s="232" t="s">
        <v>3314</v>
      </c>
      <c r="C54" s="232" t="s">
        <v>767</v>
      </c>
      <c r="D54" s="194" t="s">
        <v>768</v>
      </c>
      <c r="E54" s="389" t="s">
        <v>769</v>
      </c>
      <c r="F54" s="390" t="s">
        <v>770</v>
      </c>
      <c r="G54" s="232" t="s">
        <v>771</v>
      </c>
      <c r="H54" s="391" t="s">
        <v>1448</v>
      </c>
      <c r="I54" s="392" t="s">
        <v>1449</v>
      </c>
      <c r="J54" s="393" t="s">
        <v>1450</v>
      </c>
      <c r="K54" s="232" t="s">
        <v>775</v>
      </c>
      <c r="L54" s="394" t="s">
        <v>804</v>
      </c>
      <c r="M54" s="232" t="s">
        <v>941</v>
      </c>
      <c r="N54" s="232" t="s">
        <v>897</v>
      </c>
      <c r="O54" s="232" t="s">
        <v>1051</v>
      </c>
      <c r="P54" s="232" t="s">
        <v>1052</v>
      </c>
      <c r="Q54" s="232" t="s">
        <v>775</v>
      </c>
      <c r="R54" s="232"/>
      <c r="S54" s="232"/>
      <c r="T54" s="232"/>
      <c r="U54" s="232"/>
      <c r="V54" s="232"/>
    </row>
    <row r="55" ht="15.75" customHeight="1">
      <c r="A55" s="380" t="s">
        <v>3332</v>
      </c>
      <c r="B55" s="380" t="s">
        <v>3333</v>
      </c>
      <c r="C55" s="232" t="s">
        <v>767</v>
      </c>
      <c r="D55" s="194" t="s">
        <v>768</v>
      </c>
      <c r="E55" s="389" t="s">
        <v>769</v>
      </c>
      <c r="F55" s="390" t="s">
        <v>770</v>
      </c>
      <c r="G55" s="232" t="s">
        <v>771</v>
      </c>
      <c r="H55" s="391" t="s">
        <v>1448</v>
      </c>
      <c r="I55" s="392" t="s">
        <v>1449</v>
      </c>
      <c r="J55" s="393" t="s">
        <v>1450</v>
      </c>
      <c r="K55" s="232" t="s">
        <v>775</v>
      </c>
      <c r="L55" s="394" t="s">
        <v>804</v>
      </c>
      <c r="M55" s="232" t="s">
        <v>941</v>
      </c>
      <c r="N55" s="232" t="s">
        <v>897</v>
      </c>
      <c r="O55" s="232" t="s">
        <v>1051</v>
      </c>
      <c r="P55" s="232" t="s">
        <v>1052</v>
      </c>
      <c r="Q55" s="232" t="s">
        <v>775</v>
      </c>
      <c r="R55" s="232"/>
      <c r="S55" s="232"/>
      <c r="T55" s="232"/>
      <c r="U55" s="232"/>
      <c r="V55" s="232"/>
    </row>
    <row r="56" ht="15.75" customHeight="1">
      <c r="A56" s="380" t="s">
        <v>3334</v>
      </c>
      <c r="B56" s="380" t="s">
        <v>3335</v>
      </c>
      <c r="C56" s="232" t="s">
        <v>767</v>
      </c>
      <c r="D56" s="194" t="s">
        <v>768</v>
      </c>
      <c r="E56" s="389" t="s">
        <v>769</v>
      </c>
      <c r="F56" s="390" t="s">
        <v>770</v>
      </c>
      <c r="G56" s="232" t="s">
        <v>771</v>
      </c>
      <c r="H56" s="391" t="s">
        <v>1448</v>
      </c>
      <c r="I56" s="392" t="s">
        <v>1449</v>
      </c>
      <c r="J56" s="393" t="s">
        <v>1450</v>
      </c>
      <c r="K56" s="232" t="s">
        <v>775</v>
      </c>
      <c r="L56" s="394" t="s">
        <v>804</v>
      </c>
      <c r="M56" s="232" t="s">
        <v>941</v>
      </c>
      <c r="N56" s="232" t="s">
        <v>897</v>
      </c>
      <c r="O56" s="232" t="s">
        <v>1051</v>
      </c>
      <c r="P56" s="232" t="s">
        <v>1052</v>
      </c>
      <c r="Q56" s="232" t="s">
        <v>775</v>
      </c>
      <c r="R56" s="232"/>
      <c r="S56" s="232"/>
      <c r="T56" s="232"/>
      <c r="U56" s="232"/>
      <c r="V56" s="232"/>
    </row>
    <row r="57" ht="15.75" customHeight="1">
      <c r="A57" s="380" t="s">
        <v>3336</v>
      </c>
      <c r="B57" s="380" t="s">
        <v>3337</v>
      </c>
      <c r="C57" s="232" t="s">
        <v>767</v>
      </c>
      <c r="D57" s="194" t="s">
        <v>768</v>
      </c>
      <c r="E57" s="389" t="s">
        <v>769</v>
      </c>
      <c r="F57" s="390" t="s">
        <v>770</v>
      </c>
      <c r="G57" s="232" t="s">
        <v>771</v>
      </c>
      <c r="H57" s="391" t="s">
        <v>1448</v>
      </c>
      <c r="I57" s="392" t="s">
        <v>1449</v>
      </c>
      <c r="J57" s="393" t="s">
        <v>1450</v>
      </c>
      <c r="K57" s="232" t="s">
        <v>775</v>
      </c>
      <c r="L57" s="394" t="s">
        <v>804</v>
      </c>
      <c r="M57" s="232" t="s">
        <v>941</v>
      </c>
      <c r="N57" s="232" t="s">
        <v>897</v>
      </c>
      <c r="O57" s="232" t="s">
        <v>1051</v>
      </c>
      <c r="P57" s="232" t="s">
        <v>1052</v>
      </c>
      <c r="Q57" s="232" t="s">
        <v>775</v>
      </c>
      <c r="R57" s="232"/>
      <c r="S57" s="232"/>
      <c r="T57" s="232"/>
      <c r="U57" s="232"/>
      <c r="V57" s="232"/>
    </row>
    <row r="58" ht="15.75" customHeight="1">
      <c r="A58" s="380" t="s">
        <v>3338</v>
      </c>
      <c r="B58" s="380" t="s">
        <v>3339</v>
      </c>
      <c r="C58" s="232" t="s">
        <v>767</v>
      </c>
      <c r="D58" s="194" t="s">
        <v>768</v>
      </c>
      <c r="E58" s="389" t="s">
        <v>769</v>
      </c>
      <c r="F58" s="390" t="s">
        <v>770</v>
      </c>
      <c r="G58" s="232" t="s">
        <v>771</v>
      </c>
      <c r="H58" s="391" t="s">
        <v>1448</v>
      </c>
      <c r="I58" s="392" t="s">
        <v>1449</v>
      </c>
      <c r="J58" s="393" t="s">
        <v>1450</v>
      </c>
      <c r="K58" s="232" t="s">
        <v>775</v>
      </c>
      <c r="L58" s="394" t="s">
        <v>804</v>
      </c>
      <c r="M58" s="232" t="s">
        <v>941</v>
      </c>
      <c r="N58" s="232" t="s">
        <v>897</v>
      </c>
      <c r="O58" s="232" t="s">
        <v>1051</v>
      </c>
      <c r="P58" s="232" t="s">
        <v>1052</v>
      </c>
      <c r="Q58" s="232" t="s">
        <v>775</v>
      </c>
      <c r="R58" s="232"/>
      <c r="S58" s="232"/>
      <c r="T58" s="232"/>
      <c r="U58" s="232"/>
      <c r="V58" s="232"/>
    </row>
    <row r="59" ht="15.75" customHeight="1">
      <c r="A59" s="232" t="s">
        <v>3340</v>
      </c>
      <c r="B59" s="232" t="s">
        <v>3341</v>
      </c>
      <c r="C59" s="232" t="s">
        <v>767</v>
      </c>
      <c r="D59" s="194" t="s">
        <v>768</v>
      </c>
      <c r="E59" s="389" t="s">
        <v>769</v>
      </c>
      <c r="F59" s="390" t="s">
        <v>770</v>
      </c>
      <c r="G59" s="232" t="s">
        <v>771</v>
      </c>
      <c r="H59" s="391" t="s">
        <v>1448</v>
      </c>
      <c r="I59" s="392" t="s">
        <v>1449</v>
      </c>
      <c r="J59" s="393" t="s">
        <v>1450</v>
      </c>
      <c r="K59" s="232" t="s">
        <v>775</v>
      </c>
      <c r="L59" s="394" t="s">
        <v>788</v>
      </c>
      <c r="M59" s="232" t="s">
        <v>778</v>
      </c>
      <c r="N59" s="232" t="s">
        <v>873</v>
      </c>
      <c r="O59" s="232" t="s">
        <v>795</v>
      </c>
      <c r="P59" s="232" t="s">
        <v>916</v>
      </c>
      <c r="Q59" s="232" t="s">
        <v>775</v>
      </c>
      <c r="R59" s="232"/>
      <c r="S59" s="232"/>
      <c r="T59" s="232"/>
      <c r="U59" s="232"/>
      <c r="V59" s="232"/>
    </row>
    <row r="60" ht="15.75" customHeight="1">
      <c r="A60" s="232" t="s">
        <v>3342</v>
      </c>
      <c r="B60" s="232" t="s">
        <v>3343</v>
      </c>
      <c r="C60" s="232" t="s">
        <v>767</v>
      </c>
      <c r="D60" s="194" t="s">
        <v>768</v>
      </c>
      <c r="E60" s="389" t="s">
        <v>769</v>
      </c>
      <c r="F60" s="390" t="s">
        <v>770</v>
      </c>
      <c r="G60" s="232" t="s">
        <v>771</v>
      </c>
      <c r="H60" s="391" t="s">
        <v>1448</v>
      </c>
      <c r="I60" s="392" t="s">
        <v>1449</v>
      </c>
      <c r="J60" s="393" t="s">
        <v>1450</v>
      </c>
      <c r="K60" s="232" t="s">
        <v>775</v>
      </c>
      <c r="L60" s="394" t="s">
        <v>788</v>
      </c>
      <c r="M60" s="232" t="s">
        <v>778</v>
      </c>
      <c r="N60" s="232" t="s">
        <v>873</v>
      </c>
      <c r="O60" s="232" t="s">
        <v>795</v>
      </c>
      <c r="P60" s="232" t="s">
        <v>916</v>
      </c>
      <c r="Q60" s="232" t="s">
        <v>775</v>
      </c>
      <c r="R60" s="232"/>
      <c r="S60" s="232"/>
      <c r="T60" s="232"/>
      <c r="U60" s="232"/>
      <c r="V60" s="232"/>
    </row>
    <row r="61" ht="15.75" customHeight="1">
      <c r="A61" s="232" t="s">
        <v>3344</v>
      </c>
      <c r="B61" s="232" t="s">
        <v>3345</v>
      </c>
      <c r="C61" s="232" t="s">
        <v>767</v>
      </c>
      <c r="D61" s="194" t="s">
        <v>768</v>
      </c>
      <c r="E61" s="389" t="s">
        <v>769</v>
      </c>
      <c r="F61" s="390" t="s">
        <v>770</v>
      </c>
      <c r="G61" s="232" t="s">
        <v>771</v>
      </c>
      <c r="H61" s="391" t="s">
        <v>1448</v>
      </c>
      <c r="I61" s="392" t="s">
        <v>1449</v>
      </c>
      <c r="J61" s="393" t="s">
        <v>1450</v>
      </c>
      <c r="K61" s="232" t="s">
        <v>775</v>
      </c>
      <c r="L61" s="394" t="s">
        <v>788</v>
      </c>
      <c r="M61" s="232" t="s">
        <v>778</v>
      </c>
      <c r="N61" s="232" t="s">
        <v>873</v>
      </c>
      <c r="O61" s="232" t="s">
        <v>795</v>
      </c>
      <c r="P61" s="232" t="s">
        <v>916</v>
      </c>
      <c r="Q61" s="232" t="s">
        <v>775</v>
      </c>
      <c r="R61" s="232"/>
      <c r="S61" s="232"/>
      <c r="T61" s="232"/>
      <c r="U61" s="232"/>
      <c r="V61" s="232"/>
    </row>
    <row r="62" ht="15.75" customHeight="1">
      <c r="A62" s="232" t="s">
        <v>3346</v>
      </c>
      <c r="B62" s="232" t="s">
        <v>3347</v>
      </c>
      <c r="C62" s="232" t="s">
        <v>767</v>
      </c>
      <c r="D62" s="194" t="s">
        <v>768</v>
      </c>
      <c r="E62" s="389" t="s">
        <v>769</v>
      </c>
      <c r="F62" s="390" t="s">
        <v>770</v>
      </c>
      <c r="G62" s="232" t="s">
        <v>771</v>
      </c>
      <c r="H62" s="391" t="s">
        <v>1448</v>
      </c>
      <c r="I62" s="392" t="s">
        <v>1449</v>
      </c>
      <c r="J62" s="393" t="s">
        <v>1450</v>
      </c>
      <c r="K62" s="232" t="s">
        <v>775</v>
      </c>
      <c r="L62" s="394" t="s">
        <v>788</v>
      </c>
      <c r="M62" s="232" t="s">
        <v>778</v>
      </c>
      <c r="N62" s="232" t="s">
        <v>873</v>
      </c>
      <c r="O62" s="232" t="s">
        <v>795</v>
      </c>
      <c r="P62" s="232" t="s">
        <v>916</v>
      </c>
      <c r="Q62" s="232" t="s">
        <v>775</v>
      </c>
      <c r="R62" s="232"/>
      <c r="S62" s="232"/>
      <c r="T62" s="232"/>
      <c r="U62" s="232"/>
      <c r="V62" s="232"/>
    </row>
    <row r="63" ht="15.75" customHeight="1">
      <c r="A63" s="232" t="s">
        <v>3348</v>
      </c>
      <c r="B63" s="232" t="s">
        <v>3349</v>
      </c>
      <c r="C63" s="232" t="s">
        <v>767</v>
      </c>
      <c r="D63" s="194" t="s">
        <v>768</v>
      </c>
      <c r="E63" s="389" t="s">
        <v>769</v>
      </c>
      <c r="F63" s="390" t="s">
        <v>770</v>
      </c>
      <c r="G63" s="232" t="s">
        <v>771</v>
      </c>
      <c r="H63" s="391" t="s">
        <v>1448</v>
      </c>
      <c r="I63" s="392" t="s">
        <v>1449</v>
      </c>
      <c r="J63" s="393" t="s">
        <v>1450</v>
      </c>
      <c r="K63" s="232" t="s">
        <v>775</v>
      </c>
      <c r="L63" s="394" t="s">
        <v>788</v>
      </c>
      <c r="M63" s="232" t="s">
        <v>778</v>
      </c>
      <c r="N63" s="232" t="s">
        <v>873</v>
      </c>
      <c r="O63" s="232" t="s">
        <v>795</v>
      </c>
      <c r="P63" s="232" t="s">
        <v>916</v>
      </c>
      <c r="Q63" s="232" t="s">
        <v>775</v>
      </c>
      <c r="R63" s="232"/>
      <c r="S63" s="232"/>
      <c r="T63" s="232"/>
      <c r="U63" s="232"/>
      <c r="V63" s="232"/>
    </row>
    <row r="64" ht="15.75" customHeight="1">
      <c r="A64" s="232" t="s">
        <v>3350</v>
      </c>
      <c r="B64" s="232" t="s">
        <v>3351</v>
      </c>
      <c r="C64" s="232" t="s">
        <v>767</v>
      </c>
      <c r="D64" s="194" t="s">
        <v>768</v>
      </c>
      <c r="E64" s="389" t="s">
        <v>769</v>
      </c>
      <c r="F64" s="390" t="s">
        <v>770</v>
      </c>
      <c r="G64" s="232" t="s">
        <v>771</v>
      </c>
      <c r="H64" s="391" t="s">
        <v>1448</v>
      </c>
      <c r="I64" s="392" t="s">
        <v>1449</v>
      </c>
      <c r="J64" s="393" t="s">
        <v>1450</v>
      </c>
      <c r="K64" s="232" t="s">
        <v>775</v>
      </c>
      <c r="L64" s="394" t="s">
        <v>788</v>
      </c>
      <c r="M64" s="232" t="s">
        <v>778</v>
      </c>
      <c r="N64" s="232" t="s">
        <v>873</v>
      </c>
      <c r="O64" s="232" t="s">
        <v>795</v>
      </c>
      <c r="P64" s="232" t="s">
        <v>916</v>
      </c>
      <c r="Q64" s="232" t="s">
        <v>775</v>
      </c>
      <c r="R64" s="232"/>
      <c r="S64" s="232"/>
      <c r="T64" s="232"/>
      <c r="U64" s="232"/>
      <c r="V64" s="232"/>
    </row>
    <row r="65" ht="15.75" customHeight="1">
      <c r="A65" s="232" t="s">
        <v>3352</v>
      </c>
      <c r="B65" s="232" t="s">
        <v>3353</v>
      </c>
      <c r="C65" s="232" t="s">
        <v>767</v>
      </c>
      <c r="D65" s="194" t="s">
        <v>768</v>
      </c>
      <c r="E65" s="389" t="s">
        <v>769</v>
      </c>
      <c r="F65" s="390" t="s">
        <v>770</v>
      </c>
      <c r="G65" s="232" t="s">
        <v>771</v>
      </c>
      <c r="H65" s="391" t="s">
        <v>1448</v>
      </c>
      <c r="I65" s="392" t="s">
        <v>1449</v>
      </c>
      <c r="J65" s="393" t="s">
        <v>1450</v>
      </c>
      <c r="K65" s="232" t="s">
        <v>775</v>
      </c>
      <c r="L65" s="394" t="s">
        <v>788</v>
      </c>
      <c r="M65" s="232" t="s">
        <v>778</v>
      </c>
      <c r="N65" s="232" t="s">
        <v>873</v>
      </c>
      <c r="O65" s="232" t="s">
        <v>795</v>
      </c>
      <c r="P65" s="232" t="s">
        <v>916</v>
      </c>
      <c r="Q65" s="232" t="s">
        <v>775</v>
      </c>
      <c r="R65" s="232"/>
      <c r="S65" s="232"/>
      <c r="T65" s="232"/>
      <c r="U65" s="232"/>
      <c r="V65" s="232"/>
    </row>
    <row r="66" ht="15.75" customHeight="1">
      <c r="A66" s="232" t="s">
        <v>3354</v>
      </c>
      <c r="B66" s="232" t="s">
        <v>3355</v>
      </c>
      <c r="C66" s="232" t="s">
        <v>767</v>
      </c>
      <c r="D66" s="194" t="s">
        <v>768</v>
      </c>
      <c r="E66" s="389" t="s">
        <v>769</v>
      </c>
      <c r="F66" s="390" t="s">
        <v>770</v>
      </c>
      <c r="G66" s="232" t="s">
        <v>771</v>
      </c>
      <c r="H66" s="391" t="s">
        <v>1448</v>
      </c>
      <c r="I66" s="392" t="s">
        <v>1449</v>
      </c>
      <c r="J66" s="393" t="s">
        <v>1450</v>
      </c>
      <c r="K66" s="232" t="s">
        <v>775</v>
      </c>
      <c r="L66" s="394" t="s">
        <v>788</v>
      </c>
      <c r="M66" s="232" t="s">
        <v>778</v>
      </c>
      <c r="N66" s="232" t="s">
        <v>873</v>
      </c>
      <c r="O66" s="232" t="s">
        <v>795</v>
      </c>
      <c r="P66" s="232" t="s">
        <v>916</v>
      </c>
      <c r="Q66" s="232" t="s">
        <v>775</v>
      </c>
      <c r="R66" s="232"/>
      <c r="S66" s="232"/>
      <c r="T66" s="232"/>
      <c r="U66" s="232"/>
      <c r="V66" s="232"/>
    </row>
    <row r="67" ht="15.75" customHeight="1">
      <c r="A67" s="232" t="s">
        <v>3356</v>
      </c>
      <c r="B67" s="232" t="s">
        <v>3357</v>
      </c>
      <c r="C67" s="232" t="s">
        <v>767</v>
      </c>
      <c r="D67" s="194" t="s">
        <v>768</v>
      </c>
      <c r="E67" s="389" t="s">
        <v>769</v>
      </c>
      <c r="F67" s="390" t="s">
        <v>770</v>
      </c>
      <c r="G67" s="232" t="s">
        <v>771</v>
      </c>
      <c r="H67" s="391" t="s">
        <v>1448</v>
      </c>
      <c r="I67" s="392" t="s">
        <v>1449</v>
      </c>
      <c r="J67" s="393" t="s">
        <v>1450</v>
      </c>
      <c r="K67" s="232" t="s">
        <v>775</v>
      </c>
      <c r="L67" s="394" t="s">
        <v>788</v>
      </c>
      <c r="M67" s="232" t="s">
        <v>778</v>
      </c>
      <c r="N67" s="232" t="s">
        <v>873</v>
      </c>
      <c r="O67" s="232" t="s">
        <v>795</v>
      </c>
      <c r="P67" s="232" t="s">
        <v>916</v>
      </c>
      <c r="Q67" s="232" t="s">
        <v>775</v>
      </c>
      <c r="R67" s="232"/>
      <c r="S67" s="232"/>
      <c r="T67" s="232"/>
      <c r="U67" s="232"/>
      <c r="V67" s="232"/>
    </row>
    <row r="68" ht="15.75" customHeight="1">
      <c r="A68" s="232" t="s">
        <v>3358</v>
      </c>
      <c r="B68" s="232" t="s">
        <v>3359</v>
      </c>
      <c r="C68" s="232" t="s">
        <v>767</v>
      </c>
      <c r="D68" s="194" t="s">
        <v>768</v>
      </c>
      <c r="E68" s="389" t="s">
        <v>769</v>
      </c>
      <c r="F68" s="390" t="s">
        <v>770</v>
      </c>
      <c r="G68" s="232" t="s">
        <v>771</v>
      </c>
      <c r="H68" s="391" t="s">
        <v>1448</v>
      </c>
      <c r="I68" s="392" t="s">
        <v>1449</v>
      </c>
      <c r="J68" s="393" t="s">
        <v>1450</v>
      </c>
      <c r="K68" s="232" t="s">
        <v>775</v>
      </c>
      <c r="L68" s="394" t="s">
        <v>788</v>
      </c>
      <c r="M68" s="232" t="s">
        <v>778</v>
      </c>
      <c r="N68" s="232" t="s">
        <v>873</v>
      </c>
      <c r="O68" s="232" t="s">
        <v>795</v>
      </c>
      <c r="P68" s="232" t="s">
        <v>916</v>
      </c>
      <c r="Q68" s="232" t="s">
        <v>775</v>
      </c>
      <c r="R68" s="232"/>
      <c r="S68" s="232"/>
      <c r="T68" s="232"/>
      <c r="U68" s="232"/>
      <c r="V68" s="232"/>
    </row>
    <row r="69" ht="15.75" customHeight="1">
      <c r="A69" s="232" t="s">
        <v>3360</v>
      </c>
      <c r="B69" s="232" t="s">
        <v>3361</v>
      </c>
      <c r="C69" s="232" t="s">
        <v>767</v>
      </c>
      <c r="D69" s="194" t="s">
        <v>768</v>
      </c>
      <c r="E69" s="389" t="s">
        <v>769</v>
      </c>
      <c r="F69" s="390" t="s">
        <v>770</v>
      </c>
      <c r="G69" s="232" t="s">
        <v>771</v>
      </c>
      <c r="H69" s="391" t="s">
        <v>1448</v>
      </c>
      <c r="I69" s="392" t="s">
        <v>1449</v>
      </c>
      <c r="J69" s="393" t="s">
        <v>1450</v>
      </c>
      <c r="K69" s="232" t="s">
        <v>775</v>
      </c>
      <c r="L69" s="394" t="s">
        <v>788</v>
      </c>
      <c r="M69" s="232" t="s">
        <v>778</v>
      </c>
      <c r="N69" s="232" t="s">
        <v>873</v>
      </c>
      <c r="O69" s="232" t="s">
        <v>795</v>
      </c>
      <c r="P69" s="232" t="s">
        <v>916</v>
      </c>
      <c r="Q69" s="232" t="s">
        <v>775</v>
      </c>
      <c r="R69" s="232"/>
      <c r="S69" s="232"/>
      <c r="T69" s="232"/>
      <c r="U69" s="232"/>
      <c r="V69" s="232"/>
    </row>
    <row r="70" ht="15.75" customHeight="1">
      <c r="A70" s="232" t="s">
        <v>3362</v>
      </c>
      <c r="B70" s="232" t="s">
        <v>3363</v>
      </c>
      <c r="C70" s="232" t="s">
        <v>767</v>
      </c>
      <c r="D70" s="194" t="s">
        <v>768</v>
      </c>
      <c r="E70" s="389" t="s">
        <v>769</v>
      </c>
      <c r="F70" s="390" t="s">
        <v>770</v>
      </c>
      <c r="G70" s="232" t="s">
        <v>771</v>
      </c>
      <c r="H70" s="391" t="s">
        <v>1448</v>
      </c>
      <c r="I70" s="392" t="s">
        <v>1449</v>
      </c>
      <c r="J70" s="393" t="s">
        <v>1450</v>
      </c>
      <c r="K70" s="232" t="s">
        <v>775</v>
      </c>
      <c r="L70" s="394" t="s">
        <v>788</v>
      </c>
      <c r="M70" s="232" t="s">
        <v>778</v>
      </c>
      <c r="N70" s="232" t="s">
        <v>873</v>
      </c>
      <c r="O70" s="232" t="s">
        <v>795</v>
      </c>
      <c r="P70" s="232" t="s">
        <v>916</v>
      </c>
      <c r="Q70" s="232" t="s">
        <v>775</v>
      </c>
      <c r="R70" s="232"/>
      <c r="S70" s="232"/>
      <c r="T70" s="232"/>
      <c r="U70" s="232"/>
      <c r="V70" s="232"/>
    </row>
    <row r="71" ht="15.75" customHeight="1">
      <c r="A71" s="232" t="s">
        <v>3364</v>
      </c>
      <c r="B71" s="232" t="s">
        <v>3365</v>
      </c>
      <c r="C71" s="232" t="s">
        <v>767</v>
      </c>
      <c r="D71" s="194" t="s">
        <v>768</v>
      </c>
      <c r="E71" s="389" t="s">
        <v>769</v>
      </c>
      <c r="F71" s="390" t="s">
        <v>770</v>
      </c>
      <c r="G71" s="232" t="s">
        <v>771</v>
      </c>
      <c r="H71" s="391" t="s">
        <v>1448</v>
      </c>
      <c r="I71" s="392" t="s">
        <v>1449</v>
      </c>
      <c r="J71" s="393" t="s">
        <v>1450</v>
      </c>
      <c r="K71" s="232" t="s">
        <v>775</v>
      </c>
      <c r="L71" s="394" t="s">
        <v>788</v>
      </c>
      <c r="M71" s="232" t="s">
        <v>778</v>
      </c>
      <c r="N71" s="232" t="s">
        <v>873</v>
      </c>
      <c r="O71" s="232" t="s">
        <v>795</v>
      </c>
      <c r="P71" s="232" t="s">
        <v>916</v>
      </c>
      <c r="Q71" s="232" t="s">
        <v>775</v>
      </c>
      <c r="R71" s="232"/>
      <c r="S71" s="232"/>
      <c r="T71" s="232"/>
      <c r="U71" s="232"/>
      <c r="V71" s="232"/>
    </row>
    <row r="72" ht="15.75" customHeight="1">
      <c r="A72" s="232" t="s">
        <v>3366</v>
      </c>
      <c r="B72" s="232" t="s">
        <v>3367</v>
      </c>
      <c r="C72" s="232" t="s">
        <v>767</v>
      </c>
      <c r="D72" s="194" t="s">
        <v>768</v>
      </c>
      <c r="E72" s="389" t="s">
        <v>769</v>
      </c>
      <c r="F72" s="390" t="s">
        <v>770</v>
      </c>
      <c r="G72" s="232" t="s">
        <v>771</v>
      </c>
      <c r="H72" s="391" t="s">
        <v>1448</v>
      </c>
      <c r="I72" s="392" t="s">
        <v>1449</v>
      </c>
      <c r="J72" s="393" t="s">
        <v>1450</v>
      </c>
      <c r="K72" s="232" t="s">
        <v>775</v>
      </c>
      <c r="L72" s="394" t="s">
        <v>788</v>
      </c>
      <c r="M72" s="232" t="s">
        <v>778</v>
      </c>
      <c r="N72" s="232" t="s">
        <v>873</v>
      </c>
      <c r="O72" s="232" t="s">
        <v>795</v>
      </c>
      <c r="P72" s="232" t="s">
        <v>916</v>
      </c>
      <c r="Q72" s="232" t="s">
        <v>775</v>
      </c>
      <c r="R72" s="232"/>
      <c r="S72" s="232"/>
      <c r="T72" s="232"/>
      <c r="U72" s="232"/>
      <c r="V72" s="232"/>
    </row>
    <row r="73" ht="15.75" customHeight="1">
      <c r="A73" s="232" t="s">
        <v>3368</v>
      </c>
      <c r="B73" s="232" t="s">
        <v>3369</v>
      </c>
      <c r="C73" s="232" t="s">
        <v>767</v>
      </c>
      <c r="D73" s="194" t="s">
        <v>768</v>
      </c>
      <c r="E73" s="389" t="s">
        <v>769</v>
      </c>
      <c r="F73" s="390" t="s">
        <v>770</v>
      </c>
      <c r="G73" s="232" t="s">
        <v>771</v>
      </c>
      <c r="H73" s="391" t="s">
        <v>1448</v>
      </c>
      <c r="I73" s="392" t="s">
        <v>1449</v>
      </c>
      <c r="J73" s="393" t="s">
        <v>1450</v>
      </c>
      <c r="K73" s="232" t="s">
        <v>775</v>
      </c>
      <c r="L73" s="394" t="s">
        <v>788</v>
      </c>
      <c r="M73" s="232" t="s">
        <v>778</v>
      </c>
      <c r="N73" s="232" t="s">
        <v>873</v>
      </c>
      <c r="O73" s="232" t="s">
        <v>795</v>
      </c>
      <c r="P73" s="232" t="s">
        <v>916</v>
      </c>
      <c r="Q73" s="232" t="s">
        <v>775</v>
      </c>
      <c r="R73" s="232"/>
      <c r="S73" s="232"/>
      <c r="T73" s="232"/>
      <c r="U73" s="232"/>
      <c r="V73" s="232"/>
    </row>
    <row r="74" ht="15.75" customHeight="1">
      <c r="A74" s="232" t="s">
        <v>3370</v>
      </c>
      <c r="B74" s="232" t="s">
        <v>3371</v>
      </c>
      <c r="C74" s="232" t="s">
        <v>767</v>
      </c>
      <c r="D74" s="194" t="s">
        <v>768</v>
      </c>
      <c r="E74" s="389" t="s">
        <v>769</v>
      </c>
      <c r="F74" s="390" t="s">
        <v>770</v>
      </c>
      <c r="G74" s="232" t="s">
        <v>771</v>
      </c>
      <c r="H74" s="391" t="s">
        <v>1448</v>
      </c>
      <c r="I74" s="392" t="s">
        <v>1449</v>
      </c>
      <c r="J74" s="393" t="s">
        <v>1450</v>
      </c>
      <c r="K74" s="232" t="s">
        <v>775</v>
      </c>
      <c r="L74" s="394" t="s">
        <v>788</v>
      </c>
      <c r="M74" s="232" t="s">
        <v>778</v>
      </c>
      <c r="N74" s="232" t="s">
        <v>873</v>
      </c>
      <c r="O74" s="232" t="s">
        <v>795</v>
      </c>
      <c r="P74" s="232" t="s">
        <v>916</v>
      </c>
      <c r="Q74" s="232" t="s">
        <v>775</v>
      </c>
      <c r="R74" s="232"/>
      <c r="S74" s="232"/>
      <c r="T74" s="232"/>
      <c r="U74" s="232"/>
      <c r="V74" s="232"/>
    </row>
    <row r="75" ht="15.75" customHeight="1">
      <c r="A75" s="232" t="s">
        <v>3372</v>
      </c>
      <c r="B75" s="232" t="s">
        <v>3373</v>
      </c>
      <c r="C75" s="232" t="s">
        <v>767</v>
      </c>
      <c r="D75" s="194" t="s">
        <v>768</v>
      </c>
      <c r="E75" s="389" t="s">
        <v>769</v>
      </c>
      <c r="F75" s="390" t="s">
        <v>770</v>
      </c>
      <c r="G75" s="232" t="s">
        <v>771</v>
      </c>
      <c r="H75" s="391" t="s">
        <v>1448</v>
      </c>
      <c r="I75" s="392" t="s">
        <v>1449</v>
      </c>
      <c r="J75" s="393" t="s">
        <v>1450</v>
      </c>
      <c r="K75" s="232" t="s">
        <v>775</v>
      </c>
      <c r="L75" s="394" t="s">
        <v>788</v>
      </c>
      <c r="M75" s="232" t="s">
        <v>778</v>
      </c>
      <c r="N75" s="232" t="s">
        <v>873</v>
      </c>
      <c r="O75" s="232" t="s">
        <v>795</v>
      </c>
      <c r="P75" s="232" t="s">
        <v>916</v>
      </c>
      <c r="Q75" s="232" t="s">
        <v>775</v>
      </c>
      <c r="R75" s="232"/>
      <c r="S75" s="232"/>
      <c r="T75" s="232"/>
      <c r="U75" s="232"/>
      <c r="V75" s="232"/>
    </row>
    <row r="76" ht="15.75" customHeight="1">
      <c r="A76" s="232" t="s">
        <v>3374</v>
      </c>
      <c r="B76" s="232" t="s">
        <v>3375</v>
      </c>
      <c r="C76" s="232" t="s">
        <v>767</v>
      </c>
      <c r="D76" s="194" t="s">
        <v>768</v>
      </c>
      <c r="E76" s="389" t="s">
        <v>769</v>
      </c>
      <c r="F76" s="390" t="s">
        <v>770</v>
      </c>
      <c r="G76" s="232" t="s">
        <v>771</v>
      </c>
      <c r="H76" s="391" t="s">
        <v>1448</v>
      </c>
      <c r="I76" s="392" t="s">
        <v>1449</v>
      </c>
      <c r="J76" s="393" t="s">
        <v>1450</v>
      </c>
      <c r="K76" s="232" t="s">
        <v>775</v>
      </c>
      <c r="L76" s="394" t="s">
        <v>788</v>
      </c>
      <c r="M76" s="232" t="s">
        <v>778</v>
      </c>
      <c r="N76" s="232" t="s">
        <v>873</v>
      </c>
      <c r="O76" s="232" t="s">
        <v>795</v>
      </c>
      <c r="P76" s="232" t="s">
        <v>916</v>
      </c>
      <c r="Q76" s="232" t="s">
        <v>775</v>
      </c>
      <c r="R76" s="232"/>
      <c r="S76" s="232"/>
      <c r="T76" s="232"/>
      <c r="U76" s="232"/>
      <c r="V76" s="232"/>
    </row>
    <row r="77" ht="15.75" customHeight="1">
      <c r="A77" s="232" t="s">
        <v>3376</v>
      </c>
      <c r="B77" s="232" t="s">
        <v>3377</v>
      </c>
      <c r="C77" s="232" t="s">
        <v>767</v>
      </c>
      <c r="D77" s="194" t="s">
        <v>768</v>
      </c>
      <c r="E77" s="389" t="s">
        <v>769</v>
      </c>
      <c r="F77" s="390" t="s">
        <v>770</v>
      </c>
      <c r="G77" s="232" t="s">
        <v>771</v>
      </c>
      <c r="H77" s="391" t="s">
        <v>1448</v>
      </c>
      <c r="I77" s="392" t="s">
        <v>1449</v>
      </c>
      <c r="J77" s="393" t="s">
        <v>1450</v>
      </c>
      <c r="K77" s="232" t="s">
        <v>775</v>
      </c>
      <c r="L77" s="394" t="s">
        <v>788</v>
      </c>
      <c r="M77" s="232" t="s">
        <v>778</v>
      </c>
      <c r="N77" s="232" t="s">
        <v>873</v>
      </c>
      <c r="O77" s="232" t="s">
        <v>795</v>
      </c>
      <c r="P77" s="232" t="s">
        <v>916</v>
      </c>
      <c r="Q77" s="232" t="s">
        <v>775</v>
      </c>
      <c r="R77" s="232"/>
      <c r="S77" s="232"/>
      <c r="T77" s="232"/>
      <c r="U77" s="232"/>
      <c r="V77" s="232"/>
    </row>
    <row r="78" ht="15.75" customHeight="1">
      <c r="A78" s="232" t="s">
        <v>3378</v>
      </c>
      <c r="B78" s="232" t="s">
        <v>3379</v>
      </c>
      <c r="C78" s="232" t="s">
        <v>767</v>
      </c>
      <c r="D78" s="194" t="s">
        <v>768</v>
      </c>
      <c r="E78" s="389" t="s">
        <v>769</v>
      </c>
      <c r="F78" s="390" t="s">
        <v>770</v>
      </c>
      <c r="G78" s="232" t="s">
        <v>771</v>
      </c>
      <c r="H78" s="391" t="s">
        <v>1448</v>
      </c>
      <c r="I78" s="392" t="s">
        <v>1449</v>
      </c>
      <c r="J78" s="393" t="s">
        <v>1450</v>
      </c>
      <c r="K78" s="232" t="s">
        <v>775</v>
      </c>
      <c r="L78" s="394" t="s">
        <v>788</v>
      </c>
      <c r="M78" s="232" t="s">
        <v>778</v>
      </c>
      <c r="N78" s="232" t="s">
        <v>873</v>
      </c>
      <c r="O78" s="232" t="s">
        <v>795</v>
      </c>
      <c r="P78" s="232" t="s">
        <v>916</v>
      </c>
      <c r="Q78" s="232" t="s">
        <v>775</v>
      </c>
      <c r="R78" s="232"/>
      <c r="S78" s="232"/>
      <c r="T78" s="232"/>
      <c r="U78" s="232"/>
      <c r="V78" s="232"/>
    </row>
    <row r="79" ht="15.75" customHeight="1">
      <c r="A79" s="232" t="s">
        <v>3380</v>
      </c>
      <c r="B79" s="232" t="s">
        <v>3381</v>
      </c>
      <c r="C79" s="232" t="s">
        <v>767</v>
      </c>
      <c r="D79" s="194" t="s">
        <v>768</v>
      </c>
      <c r="E79" s="389" t="s">
        <v>769</v>
      </c>
      <c r="F79" s="390" t="s">
        <v>770</v>
      </c>
      <c r="G79" s="232" t="s">
        <v>771</v>
      </c>
      <c r="H79" s="391" t="s">
        <v>1448</v>
      </c>
      <c r="I79" s="392" t="s">
        <v>1449</v>
      </c>
      <c r="J79" s="393" t="s">
        <v>1450</v>
      </c>
      <c r="K79" s="232" t="s">
        <v>775</v>
      </c>
      <c r="L79" s="394" t="s">
        <v>788</v>
      </c>
      <c r="M79" s="232" t="s">
        <v>778</v>
      </c>
      <c r="N79" s="232" t="s">
        <v>873</v>
      </c>
      <c r="O79" s="232" t="s">
        <v>795</v>
      </c>
      <c r="P79" s="232" t="s">
        <v>916</v>
      </c>
      <c r="Q79" s="232" t="s">
        <v>775</v>
      </c>
      <c r="R79" s="232"/>
      <c r="S79" s="232"/>
      <c r="T79" s="232"/>
      <c r="U79" s="232"/>
      <c r="V79" s="232"/>
    </row>
    <row r="80" ht="15.75" customHeight="1">
      <c r="A80" s="232" t="s">
        <v>3382</v>
      </c>
      <c r="B80" s="232" t="s">
        <v>3383</v>
      </c>
      <c r="C80" s="232" t="s">
        <v>767</v>
      </c>
      <c r="D80" s="194" t="s">
        <v>768</v>
      </c>
      <c r="E80" s="389" t="s">
        <v>769</v>
      </c>
      <c r="F80" s="390" t="s">
        <v>770</v>
      </c>
      <c r="G80" s="232" t="s">
        <v>771</v>
      </c>
      <c r="H80" s="391" t="s">
        <v>1448</v>
      </c>
      <c r="I80" s="392" t="s">
        <v>1449</v>
      </c>
      <c r="J80" s="393" t="s">
        <v>1450</v>
      </c>
      <c r="K80" s="232" t="s">
        <v>775</v>
      </c>
      <c r="L80" s="394" t="s">
        <v>788</v>
      </c>
      <c r="M80" s="232" t="s">
        <v>778</v>
      </c>
      <c r="N80" s="232" t="s">
        <v>873</v>
      </c>
      <c r="O80" s="232" t="s">
        <v>795</v>
      </c>
      <c r="P80" s="232" t="s">
        <v>916</v>
      </c>
      <c r="Q80" s="232" t="s">
        <v>775</v>
      </c>
      <c r="R80" s="232"/>
      <c r="S80" s="232"/>
      <c r="T80" s="232"/>
      <c r="U80" s="232"/>
      <c r="V80" s="232"/>
    </row>
    <row r="81" ht="15.75" customHeight="1">
      <c r="A81" s="232" t="s">
        <v>3384</v>
      </c>
      <c r="B81" s="232" t="s">
        <v>3385</v>
      </c>
      <c r="C81" s="232" t="s">
        <v>767</v>
      </c>
      <c r="D81" s="194" t="s">
        <v>768</v>
      </c>
      <c r="E81" s="389" t="s">
        <v>769</v>
      </c>
      <c r="F81" s="390" t="s">
        <v>770</v>
      </c>
      <c r="G81" s="232" t="s">
        <v>771</v>
      </c>
      <c r="H81" s="391" t="s">
        <v>1448</v>
      </c>
      <c r="I81" s="392" t="s">
        <v>1449</v>
      </c>
      <c r="J81" s="393" t="s">
        <v>1450</v>
      </c>
      <c r="K81" s="232" t="s">
        <v>775</v>
      </c>
      <c r="L81" s="394" t="s">
        <v>788</v>
      </c>
      <c r="M81" s="232" t="s">
        <v>778</v>
      </c>
      <c r="N81" s="232" t="s">
        <v>873</v>
      </c>
      <c r="O81" s="232" t="s">
        <v>795</v>
      </c>
      <c r="P81" s="232" t="s">
        <v>916</v>
      </c>
      <c r="Q81" s="232" t="s">
        <v>775</v>
      </c>
      <c r="R81" s="232"/>
      <c r="S81" s="232"/>
      <c r="T81" s="232"/>
      <c r="U81" s="232"/>
      <c r="V81" s="232"/>
    </row>
    <row r="82" ht="15.75" customHeight="1">
      <c r="A82" s="232" t="s">
        <v>3386</v>
      </c>
      <c r="B82" s="232" t="s">
        <v>3387</v>
      </c>
      <c r="C82" s="232" t="s">
        <v>767</v>
      </c>
      <c r="D82" s="194" t="s">
        <v>768</v>
      </c>
      <c r="E82" s="389" t="s">
        <v>769</v>
      </c>
      <c r="F82" s="390" t="s">
        <v>770</v>
      </c>
      <c r="G82" s="232" t="s">
        <v>771</v>
      </c>
      <c r="H82" s="391" t="s">
        <v>1448</v>
      </c>
      <c r="I82" s="392" t="s">
        <v>1449</v>
      </c>
      <c r="J82" s="393" t="s">
        <v>1450</v>
      </c>
      <c r="K82" s="232" t="s">
        <v>775</v>
      </c>
      <c r="L82" s="394" t="s">
        <v>788</v>
      </c>
      <c r="M82" s="232" t="s">
        <v>778</v>
      </c>
      <c r="N82" s="232" t="s">
        <v>873</v>
      </c>
      <c r="O82" s="232" t="s">
        <v>795</v>
      </c>
      <c r="P82" s="232" t="s">
        <v>916</v>
      </c>
      <c r="Q82" s="232" t="s">
        <v>775</v>
      </c>
      <c r="R82" s="232"/>
      <c r="S82" s="232"/>
      <c r="T82" s="232"/>
      <c r="U82" s="232"/>
      <c r="V82" s="232"/>
    </row>
    <row r="83" ht="15.75" customHeight="1">
      <c r="A83" s="232" t="s">
        <v>3388</v>
      </c>
      <c r="B83" s="232" t="s">
        <v>3389</v>
      </c>
      <c r="C83" s="232" t="s">
        <v>767</v>
      </c>
      <c r="D83" s="194" t="s">
        <v>768</v>
      </c>
      <c r="E83" s="389" t="s">
        <v>769</v>
      </c>
      <c r="F83" s="390" t="s">
        <v>770</v>
      </c>
      <c r="G83" s="232" t="s">
        <v>771</v>
      </c>
      <c r="H83" s="391" t="s">
        <v>1448</v>
      </c>
      <c r="I83" s="392" t="s">
        <v>1449</v>
      </c>
      <c r="J83" s="393" t="s">
        <v>1450</v>
      </c>
      <c r="K83" s="232" t="s">
        <v>775</v>
      </c>
      <c r="L83" s="394" t="s">
        <v>788</v>
      </c>
      <c r="M83" s="232" t="s">
        <v>778</v>
      </c>
      <c r="N83" s="232" t="s">
        <v>873</v>
      </c>
      <c r="O83" s="232" t="s">
        <v>795</v>
      </c>
      <c r="P83" s="232" t="s">
        <v>916</v>
      </c>
      <c r="Q83" s="232" t="s">
        <v>775</v>
      </c>
      <c r="R83" s="232"/>
      <c r="S83" s="232"/>
      <c r="T83" s="232"/>
      <c r="U83" s="232"/>
      <c r="V83" s="232"/>
    </row>
    <row r="84" ht="15.75" customHeight="1">
      <c r="A84" s="232" t="s">
        <v>3390</v>
      </c>
      <c r="B84" s="232" t="s">
        <v>3391</v>
      </c>
      <c r="C84" s="232" t="s">
        <v>767</v>
      </c>
      <c r="D84" s="194" t="s">
        <v>768</v>
      </c>
      <c r="E84" s="389" t="s">
        <v>769</v>
      </c>
      <c r="F84" s="390" t="s">
        <v>770</v>
      </c>
      <c r="G84" s="232" t="s">
        <v>771</v>
      </c>
      <c r="H84" s="391" t="s">
        <v>1448</v>
      </c>
      <c r="I84" s="392" t="s">
        <v>1449</v>
      </c>
      <c r="J84" s="393" t="s">
        <v>1450</v>
      </c>
      <c r="K84" s="232" t="s">
        <v>775</v>
      </c>
      <c r="L84" s="394" t="s">
        <v>788</v>
      </c>
      <c r="M84" s="232" t="s">
        <v>778</v>
      </c>
      <c r="N84" s="232" t="s">
        <v>873</v>
      </c>
      <c r="O84" s="232" t="s">
        <v>795</v>
      </c>
      <c r="P84" s="232" t="s">
        <v>916</v>
      </c>
      <c r="Q84" s="232" t="s">
        <v>775</v>
      </c>
      <c r="R84" s="232"/>
      <c r="S84" s="232"/>
      <c r="T84" s="232"/>
      <c r="U84" s="232"/>
      <c r="V84" s="232"/>
    </row>
    <row r="85" ht="15.75" customHeight="1">
      <c r="A85" s="232" t="s">
        <v>3392</v>
      </c>
      <c r="B85" s="232" t="s">
        <v>3393</v>
      </c>
      <c r="C85" s="232" t="s">
        <v>767</v>
      </c>
      <c r="D85" s="232"/>
      <c r="E85" s="397" t="s">
        <v>903</v>
      </c>
      <c r="F85" s="232" t="s">
        <v>961</v>
      </c>
      <c r="G85" s="232" t="s">
        <v>775</v>
      </c>
      <c r="H85" s="232" t="s">
        <v>962</v>
      </c>
      <c r="I85" s="232" t="s">
        <v>963</v>
      </c>
      <c r="J85" s="232" t="s">
        <v>852</v>
      </c>
      <c r="K85" s="232" t="s">
        <v>787</v>
      </c>
      <c r="L85" s="232" t="s">
        <v>775</v>
      </c>
      <c r="M85" s="232" t="s">
        <v>1032</v>
      </c>
      <c r="N85" s="232" t="s">
        <v>1033</v>
      </c>
      <c r="O85" s="232" t="s">
        <v>775</v>
      </c>
      <c r="P85" s="232" t="s">
        <v>775</v>
      </c>
      <c r="Q85" s="232" t="s">
        <v>775</v>
      </c>
      <c r="R85" s="232"/>
      <c r="S85" s="232"/>
      <c r="T85" s="232"/>
      <c r="U85" s="232"/>
      <c r="V85" s="232"/>
    </row>
    <row r="86" ht="15.75" customHeight="1">
      <c r="A86" s="232" t="s">
        <v>3394</v>
      </c>
      <c r="B86" s="232" t="s">
        <v>3393</v>
      </c>
      <c r="C86" s="232" t="s">
        <v>767</v>
      </c>
      <c r="D86" s="232"/>
      <c r="E86" s="397" t="s">
        <v>903</v>
      </c>
      <c r="F86" s="232" t="s">
        <v>961</v>
      </c>
      <c r="G86" s="232" t="s">
        <v>775</v>
      </c>
      <c r="H86" s="232" t="s">
        <v>962</v>
      </c>
      <c r="I86" s="232" t="s">
        <v>963</v>
      </c>
      <c r="J86" s="232" t="s">
        <v>852</v>
      </c>
      <c r="K86" s="232" t="s">
        <v>787</v>
      </c>
      <c r="L86" s="232" t="s">
        <v>775</v>
      </c>
      <c r="M86" s="232" t="s">
        <v>1032</v>
      </c>
      <c r="N86" s="232" t="s">
        <v>1033</v>
      </c>
      <c r="O86" s="232" t="s">
        <v>775</v>
      </c>
      <c r="P86" s="232" t="s">
        <v>775</v>
      </c>
      <c r="Q86" s="232" t="s">
        <v>775</v>
      </c>
      <c r="R86" s="232"/>
      <c r="S86" s="232"/>
      <c r="T86" s="232"/>
      <c r="U86" s="232"/>
      <c r="V86" s="232"/>
    </row>
    <row r="87" ht="15.75" customHeight="1">
      <c r="A87" s="232" t="s">
        <v>3395</v>
      </c>
      <c r="B87" s="232" t="s">
        <v>3396</v>
      </c>
      <c r="C87" s="232" t="s">
        <v>767</v>
      </c>
      <c r="D87" s="232"/>
      <c r="E87" s="397" t="s">
        <v>903</v>
      </c>
      <c r="F87" s="232" t="s">
        <v>961</v>
      </c>
      <c r="G87" s="232" t="s">
        <v>775</v>
      </c>
      <c r="H87" s="232" t="s">
        <v>962</v>
      </c>
      <c r="I87" s="232" t="s">
        <v>963</v>
      </c>
      <c r="J87" s="232" t="s">
        <v>852</v>
      </c>
      <c r="K87" s="232" t="s">
        <v>787</v>
      </c>
      <c r="L87" s="232" t="s">
        <v>775</v>
      </c>
      <c r="M87" s="232" t="s">
        <v>1032</v>
      </c>
      <c r="N87" s="232" t="s">
        <v>1033</v>
      </c>
      <c r="O87" s="232" t="s">
        <v>775</v>
      </c>
      <c r="P87" s="232" t="s">
        <v>775</v>
      </c>
      <c r="Q87" s="232" t="s">
        <v>775</v>
      </c>
      <c r="R87" s="232"/>
      <c r="S87" s="232"/>
      <c r="T87" s="232"/>
      <c r="U87" s="232"/>
      <c r="V87" s="232"/>
    </row>
    <row r="88" ht="15.75" customHeight="1">
      <c r="A88" s="232" t="s">
        <v>3397</v>
      </c>
      <c r="B88" s="232" t="s">
        <v>3398</v>
      </c>
      <c r="C88" s="232" t="s">
        <v>767</v>
      </c>
      <c r="D88" s="232"/>
      <c r="E88" s="397" t="s">
        <v>903</v>
      </c>
      <c r="F88" s="232" t="s">
        <v>961</v>
      </c>
      <c r="G88" s="232" t="s">
        <v>775</v>
      </c>
      <c r="H88" s="232" t="s">
        <v>962</v>
      </c>
      <c r="I88" s="232" t="s">
        <v>963</v>
      </c>
      <c r="J88" s="232" t="s">
        <v>852</v>
      </c>
      <c r="K88" s="232" t="s">
        <v>787</v>
      </c>
      <c r="L88" s="232" t="s">
        <v>775</v>
      </c>
      <c r="M88" s="232" t="s">
        <v>1032</v>
      </c>
      <c r="N88" s="232" t="s">
        <v>1033</v>
      </c>
      <c r="O88" s="232" t="s">
        <v>775</v>
      </c>
      <c r="P88" s="232" t="s">
        <v>775</v>
      </c>
      <c r="Q88" s="232" t="s">
        <v>775</v>
      </c>
      <c r="R88" s="232"/>
      <c r="S88" s="232"/>
      <c r="T88" s="232"/>
      <c r="U88" s="232"/>
      <c r="V88" s="232"/>
    </row>
    <row r="89" ht="15.75" customHeight="1">
      <c r="A89" s="232" t="s">
        <v>3399</v>
      </c>
      <c r="B89" s="232" t="s">
        <v>3398</v>
      </c>
      <c r="C89" s="232" t="s">
        <v>767</v>
      </c>
      <c r="D89" s="232"/>
      <c r="E89" s="397" t="s">
        <v>903</v>
      </c>
      <c r="F89" s="232" t="s">
        <v>961</v>
      </c>
      <c r="G89" s="232" t="s">
        <v>775</v>
      </c>
      <c r="H89" s="232" t="s">
        <v>962</v>
      </c>
      <c r="I89" s="232" t="s">
        <v>963</v>
      </c>
      <c r="J89" s="232" t="s">
        <v>852</v>
      </c>
      <c r="K89" s="232" t="s">
        <v>787</v>
      </c>
      <c r="L89" s="232" t="s">
        <v>775</v>
      </c>
      <c r="M89" s="232" t="s">
        <v>1032</v>
      </c>
      <c r="N89" s="232" t="s">
        <v>1033</v>
      </c>
      <c r="O89" s="232" t="s">
        <v>775</v>
      </c>
      <c r="P89" s="232" t="s">
        <v>775</v>
      </c>
      <c r="Q89" s="232" t="s">
        <v>775</v>
      </c>
      <c r="R89" s="232"/>
      <c r="S89" s="232"/>
      <c r="T89" s="232"/>
      <c r="U89" s="232"/>
      <c r="V89" s="232"/>
    </row>
    <row r="90" ht="15.75" customHeight="1">
      <c r="A90" s="232" t="s">
        <v>3400</v>
      </c>
      <c r="B90" s="232" t="s">
        <v>3396</v>
      </c>
      <c r="C90" s="232" t="s">
        <v>767</v>
      </c>
      <c r="D90" s="232"/>
      <c r="E90" s="397" t="s">
        <v>903</v>
      </c>
      <c r="F90" s="232" t="s">
        <v>961</v>
      </c>
      <c r="G90" s="232" t="s">
        <v>775</v>
      </c>
      <c r="H90" s="232" t="s">
        <v>962</v>
      </c>
      <c r="I90" s="232" t="s">
        <v>963</v>
      </c>
      <c r="J90" s="232" t="s">
        <v>852</v>
      </c>
      <c r="K90" s="232" t="s">
        <v>787</v>
      </c>
      <c r="L90" s="232" t="s">
        <v>775</v>
      </c>
      <c r="M90" s="232" t="s">
        <v>1032</v>
      </c>
      <c r="N90" s="232" t="s">
        <v>1033</v>
      </c>
      <c r="O90" s="232" t="s">
        <v>775</v>
      </c>
      <c r="P90" s="232" t="s">
        <v>775</v>
      </c>
      <c r="Q90" s="232" t="s">
        <v>775</v>
      </c>
      <c r="R90" s="232"/>
      <c r="S90" s="232"/>
      <c r="T90" s="232"/>
      <c r="U90" s="232"/>
      <c r="V90" s="232"/>
    </row>
    <row r="91" ht="15.75" customHeight="1">
      <c r="A91" s="232" t="s">
        <v>3401</v>
      </c>
      <c r="B91" s="232" t="s">
        <v>3402</v>
      </c>
      <c r="C91" s="232" t="s">
        <v>767</v>
      </c>
      <c r="D91" s="194" t="s">
        <v>768</v>
      </c>
      <c r="E91" s="389" t="s">
        <v>769</v>
      </c>
      <c r="F91" s="390" t="s">
        <v>770</v>
      </c>
      <c r="G91" s="232" t="s">
        <v>771</v>
      </c>
      <c r="H91" s="391" t="s">
        <v>1448</v>
      </c>
      <c r="I91" s="392" t="s">
        <v>1449</v>
      </c>
      <c r="J91" s="393" t="s">
        <v>1450</v>
      </c>
      <c r="K91" s="232" t="s">
        <v>775</v>
      </c>
      <c r="L91" s="394" t="s">
        <v>876</v>
      </c>
      <c r="M91" s="232" t="s">
        <v>987</v>
      </c>
      <c r="N91" s="232" t="s">
        <v>1497</v>
      </c>
      <c r="O91" s="232" t="s">
        <v>904</v>
      </c>
      <c r="P91" s="232" t="s">
        <v>994</v>
      </c>
      <c r="Q91" s="232" t="s">
        <v>775</v>
      </c>
      <c r="R91" s="232"/>
      <c r="S91" s="232"/>
      <c r="T91" s="232"/>
      <c r="U91" s="232"/>
      <c r="V91" s="232"/>
    </row>
    <row r="92" ht="15.75" customHeight="1">
      <c r="A92" s="232" t="s">
        <v>3403</v>
      </c>
      <c r="B92" s="232" t="s">
        <v>3404</v>
      </c>
      <c r="C92" s="232" t="s">
        <v>767</v>
      </c>
      <c r="D92" s="194" t="s">
        <v>768</v>
      </c>
      <c r="E92" s="389" t="s">
        <v>769</v>
      </c>
      <c r="F92" s="390" t="s">
        <v>770</v>
      </c>
      <c r="G92" s="232" t="s">
        <v>771</v>
      </c>
      <c r="H92" s="391" t="s">
        <v>1448</v>
      </c>
      <c r="I92" s="392" t="s">
        <v>1449</v>
      </c>
      <c r="J92" s="393" t="s">
        <v>1450</v>
      </c>
      <c r="K92" s="232" t="s">
        <v>775</v>
      </c>
      <c r="L92" s="394" t="s">
        <v>876</v>
      </c>
      <c r="M92" s="232" t="s">
        <v>985</v>
      </c>
      <c r="N92" s="232" t="s">
        <v>881</v>
      </c>
      <c r="O92" s="232" t="s">
        <v>775</v>
      </c>
      <c r="P92" s="232" t="s">
        <v>775</v>
      </c>
      <c r="Q92" s="232" t="s">
        <v>775</v>
      </c>
      <c r="R92" s="232"/>
      <c r="S92" s="232"/>
      <c r="T92" s="232"/>
      <c r="U92" s="232"/>
      <c r="V92" s="232"/>
    </row>
    <row r="93" ht="15.75" customHeight="1">
      <c r="A93" s="232" t="s">
        <v>3405</v>
      </c>
      <c r="B93" s="232" t="s">
        <v>3406</v>
      </c>
      <c r="C93" s="232" t="s">
        <v>767</v>
      </c>
      <c r="D93" s="194" t="s">
        <v>768</v>
      </c>
      <c r="E93" s="389" t="s">
        <v>769</v>
      </c>
      <c r="F93" s="390" t="s">
        <v>770</v>
      </c>
      <c r="G93" s="232" t="s">
        <v>771</v>
      </c>
      <c r="H93" s="391" t="s">
        <v>1448</v>
      </c>
      <c r="I93" s="392" t="s">
        <v>1449</v>
      </c>
      <c r="J93" s="393" t="s">
        <v>1450</v>
      </c>
      <c r="K93" s="232" t="s">
        <v>775</v>
      </c>
      <c r="L93" s="394" t="s">
        <v>876</v>
      </c>
      <c r="M93" s="232" t="s">
        <v>985</v>
      </c>
      <c r="N93" s="232" t="s">
        <v>881</v>
      </c>
      <c r="O93" s="232" t="s">
        <v>775</v>
      </c>
      <c r="P93" s="232" t="s">
        <v>775</v>
      </c>
      <c r="Q93" s="232" t="s">
        <v>775</v>
      </c>
      <c r="R93" s="232"/>
      <c r="S93" s="232"/>
      <c r="T93" s="232"/>
      <c r="U93" s="232"/>
      <c r="V93" s="232"/>
    </row>
    <row r="94" ht="15.75" customHeight="1">
      <c r="A94" s="232" t="s">
        <v>3407</v>
      </c>
      <c r="B94" s="232" t="s">
        <v>3408</v>
      </c>
      <c r="C94" s="232" t="s">
        <v>767</v>
      </c>
      <c r="D94" s="194" t="s">
        <v>768</v>
      </c>
      <c r="E94" s="389" t="s">
        <v>769</v>
      </c>
      <c r="F94" s="390" t="s">
        <v>770</v>
      </c>
      <c r="G94" s="232" t="s">
        <v>771</v>
      </c>
      <c r="H94" s="391" t="s">
        <v>1448</v>
      </c>
      <c r="I94" s="392" t="s">
        <v>1449</v>
      </c>
      <c r="J94" s="393" t="s">
        <v>1450</v>
      </c>
      <c r="K94" s="232" t="s">
        <v>775</v>
      </c>
      <c r="L94" s="394" t="s">
        <v>876</v>
      </c>
      <c r="M94" s="232" t="s">
        <v>985</v>
      </c>
      <c r="N94" s="232" t="s">
        <v>881</v>
      </c>
      <c r="O94" s="232" t="s">
        <v>775</v>
      </c>
      <c r="P94" s="232" t="s">
        <v>775</v>
      </c>
      <c r="Q94" s="232" t="s">
        <v>775</v>
      </c>
      <c r="R94" s="232"/>
      <c r="S94" s="232"/>
      <c r="T94" s="232"/>
      <c r="U94" s="232"/>
      <c r="V94" s="232"/>
    </row>
    <row r="95" ht="15.75" customHeight="1">
      <c r="A95" s="232" t="s">
        <v>3409</v>
      </c>
      <c r="B95" s="232" t="s">
        <v>3410</v>
      </c>
      <c r="C95" s="232" t="s">
        <v>767</v>
      </c>
      <c r="D95" s="194" t="s">
        <v>768</v>
      </c>
      <c r="E95" s="389" t="s">
        <v>769</v>
      </c>
      <c r="F95" s="390" t="s">
        <v>770</v>
      </c>
      <c r="G95" s="232" t="s">
        <v>771</v>
      </c>
      <c r="H95" s="391" t="s">
        <v>1448</v>
      </c>
      <c r="I95" s="392" t="s">
        <v>1449</v>
      </c>
      <c r="J95" s="393" t="s">
        <v>1450</v>
      </c>
      <c r="K95" s="232" t="s">
        <v>775</v>
      </c>
      <c r="L95" s="394" t="s">
        <v>876</v>
      </c>
      <c r="M95" s="232" t="s">
        <v>985</v>
      </c>
      <c r="N95" s="232" t="s">
        <v>881</v>
      </c>
      <c r="O95" s="232" t="s">
        <v>775</v>
      </c>
      <c r="P95" s="232" t="s">
        <v>775</v>
      </c>
      <c r="Q95" s="232" t="s">
        <v>775</v>
      </c>
      <c r="R95" s="232"/>
      <c r="S95" s="232"/>
      <c r="T95" s="232"/>
      <c r="U95" s="232"/>
      <c r="V95" s="232"/>
    </row>
    <row r="96" ht="15.75" customHeight="1">
      <c r="A96" s="232" t="s">
        <v>3411</v>
      </c>
      <c r="B96" s="232" t="s">
        <v>3412</v>
      </c>
      <c r="C96" s="232" t="s">
        <v>767</v>
      </c>
      <c r="D96" s="194" t="s">
        <v>768</v>
      </c>
      <c r="E96" s="389" t="s">
        <v>769</v>
      </c>
      <c r="F96" s="390" t="s">
        <v>770</v>
      </c>
      <c r="G96" s="232" t="s">
        <v>771</v>
      </c>
      <c r="H96" s="391" t="s">
        <v>1448</v>
      </c>
      <c r="I96" s="392" t="s">
        <v>1449</v>
      </c>
      <c r="J96" s="393" t="s">
        <v>1450</v>
      </c>
      <c r="K96" s="232" t="s">
        <v>775</v>
      </c>
      <c r="L96" s="394" t="s">
        <v>876</v>
      </c>
      <c r="M96" s="232" t="s">
        <v>985</v>
      </c>
      <c r="N96" s="232" t="s">
        <v>881</v>
      </c>
      <c r="O96" s="232" t="s">
        <v>775</v>
      </c>
      <c r="P96" s="232" t="s">
        <v>775</v>
      </c>
      <c r="Q96" s="232" t="s">
        <v>775</v>
      </c>
      <c r="R96" s="232"/>
      <c r="S96" s="232"/>
      <c r="T96" s="232"/>
      <c r="U96" s="232"/>
      <c r="V96" s="232"/>
    </row>
    <row r="97" ht="15.75" customHeight="1">
      <c r="A97" s="232" t="s">
        <v>3413</v>
      </c>
      <c r="B97" s="232" t="s">
        <v>3414</v>
      </c>
      <c r="C97" s="232" t="s">
        <v>767</v>
      </c>
      <c r="D97" s="194" t="s">
        <v>768</v>
      </c>
      <c r="E97" s="389" t="s">
        <v>769</v>
      </c>
      <c r="F97" s="390" t="s">
        <v>770</v>
      </c>
      <c r="G97" s="232" t="s">
        <v>771</v>
      </c>
      <c r="H97" s="391" t="s">
        <v>1448</v>
      </c>
      <c r="I97" s="392" t="s">
        <v>1449</v>
      </c>
      <c r="J97" s="393" t="s">
        <v>1450</v>
      </c>
      <c r="K97" s="232" t="s">
        <v>775</v>
      </c>
      <c r="L97" s="394" t="s">
        <v>876</v>
      </c>
      <c r="M97" s="232" t="s">
        <v>985</v>
      </c>
      <c r="N97" s="232" t="s">
        <v>881</v>
      </c>
      <c r="O97" s="232" t="s">
        <v>775</v>
      </c>
      <c r="P97" s="232" t="s">
        <v>775</v>
      </c>
      <c r="Q97" s="232" t="s">
        <v>775</v>
      </c>
      <c r="R97" s="232"/>
      <c r="S97" s="232"/>
      <c r="T97" s="232"/>
      <c r="U97" s="232"/>
      <c r="V97" s="232"/>
    </row>
    <row r="98" ht="15.75" customHeight="1">
      <c r="A98" s="232" t="s">
        <v>3415</v>
      </c>
      <c r="B98" s="232" t="s">
        <v>3416</v>
      </c>
      <c r="C98" s="232" t="s">
        <v>767</v>
      </c>
      <c r="D98" s="194" t="s">
        <v>768</v>
      </c>
      <c r="E98" s="389" t="s">
        <v>769</v>
      </c>
      <c r="F98" s="390" t="s">
        <v>770</v>
      </c>
      <c r="G98" s="232" t="s">
        <v>771</v>
      </c>
      <c r="H98" s="391" t="s">
        <v>1448</v>
      </c>
      <c r="I98" s="392" t="s">
        <v>1449</v>
      </c>
      <c r="J98" s="393" t="s">
        <v>1450</v>
      </c>
      <c r="K98" s="232" t="s">
        <v>775</v>
      </c>
      <c r="L98" s="394" t="s">
        <v>876</v>
      </c>
      <c r="M98" s="232" t="s">
        <v>985</v>
      </c>
      <c r="N98" s="232" t="s">
        <v>881</v>
      </c>
      <c r="O98" s="232" t="s">
        <v>775</v>
      </c>
      <c r="P98" s="232" t="s">
        <v>775</v>
      </c>
      <c r="Q98" s="232" t="s">
        <v>775</v>
      </c>
      <c r="R98" s="232"/>
      <c r="S98" s="232"/>
      <c r="T98" s="232"/>
      <c r="U98" s="232"/>
      <c r="V98" s="232"/>
    </row>
    <row r="99" ht="15.75" customHeight="1">
      <c r="A99" s="232" t="s">
        <v>3417</v>
      </c>
      <c r="B99" s="232" t="s">
        <v>3418</v>
      </c>
      <c r="C99" s="232" t="s">
        <v>767</v>
      </c>
      <c r="D99" s="194" t="s">
        <v>768</v>
      </c>
      <c r="E99" s="389" t="s">
        <v>769</v>
      </c>
      <c r="F99" s="390" t="s">
        <v>770</v>
      </c>
      <c r="G99" s="232" t="s">
        <v>771</v>
      </c>
      <c r="H99" s="391" t="s">
        <v>1448</v>
      </c>
      <c r="I99" s="392" t="s">
        <v>1449</v>
      </c>
      <c r="J99" s="393" t="s">
        <v>1450</v>
      </c>
      <c r="K99" s="232" t="s">
        <v>775</v>
      </c>
      <c r="L99" s="394" t="s">
        <v>876</v>
      </c>
      <c r="M99" s="232" t="s">
        <v>985</v>
      </c>
      <c r="N99" s="232" t="s">
        <v>881</v>
      </c>
      <c r="O99" s="232" t="s">
        <v>775</v>
      </c>
      <c r="P99" s="232" t="s">
        <v>775</v>
      </c>
      <c r="Q99" s="232" t="s">
        <v>775</v>
      </c>
      <c r="R99" s="232"/>
      <c r="S99" s="232"/>
      <c r="T99" s="232"/>
      <c r="U99" s="232"/>
      <c r="V99" s="232"/>
    </row>
    <row r="100" ht="15.75" customHeight="1">
      <c r="A100" s="232" t="s">
        <v>3419</v>
      </c>
      <c r="B100" s="232" t="s">
        <v>3420</v>
      </c>
      <c r="C100" s="232" t="s">
        <v>767</v>
      </c>
      <c r="D100" s="194" t="s">
        <v>768</v>
      </c>
      <c r="E100" s="389" t="s">
        <v>769</v>
      </c>
      <c r="F100" s="390" t="s">
        <v>770</v>
      </c>
      <c r="G100" s="232" t="s">
        <v>771</v>
      </c>
      <c r="H100" s="391" t="s">
        <v>1448</v>
      </c>
      <c r="I100" s="392" t="s">
        <v>1449</v>
      </c>
      <c r="J100" s="393" t="s">
        <v>1450</v>
      </c>
      <c r="K100" s="232" t="s">
        <v>775</v>
      </c>
      <c r="L100" s="394" t="s">
        <v>876</v>
      </c>
      <c r="M100" s="232" t="s">
        <v>985</v>
      </c>
      <c r="N100" s="232" t="s">
        <v>881</v>
      </c>
      <c r="O100" s="232" t="s">
        <v>775</v>
      </c>
      <c r="P100" s="232" t="s">
        <v>775</v>
      </c>
      <c r="Q100" s="232" t="s">
        <v>775</v>
      </c>
      <c r="R100" s="232"/>
      <c r="S100" s="232"/>
      <c r="T100" s="232"/>
      <c r="U100" s="232"/>
      <c r="V100" s="232"/>
    </row>
    <row r="101" ht="15.75" customHeight="1">
      <c r="A101" s="232" t="s">
        <v>3421</v>
      </c>
      <c r="B101" s="232" t="s">
        <v>3422</v>
      </c>
      <c r="C101" s="232" t="s">
        <v>767</v>
      </c>
      <c r="D101" s="194" t="s">
        <v>768</v>
      </c>
      <c r="E101" s="389" t="s">
        <v>769</v>
      </c>
      <c r="F101" s="390" t="s">
        <v>770</v>
      </c>
      <c r="G101" s="232" t="s">
        <v>771</v>
      </c>
      <c r="H101" s="391" t="s">
        <v>1448</v>
      </c>
      <c r="I101" s="392" t="s">
        <v>1449</v>
      </c>
      <c r="J101" s="393" t="s">
        <v>1450</v>
      </c>
      <c r="K101" s="232" t="s">
        <v>775</v>
      </c>
      <c r="L101" s="394" t="s">
        <v>876</v>
      </c>
      <c r="M101" s="232" t="s">
        <v>985</v>
      </c>
      <c r="N101" s="232" t="s">
        <v>881</v>
      </c>
      <c r="O101" s="232" t="s">
        <v>775</v>
      </c>
      <c r="P101" s="232" t="s">
        <v>775</v>
      </c>
      <c r="Q101" s="232" t="s">
        <v>775</v>
      </c>
      <c r="R101" s="232"/>
      <c r="S101" s="232"/>
      <c r="T101" s="232"/>
      <c r="U101" s="232"/>
      <c r="V101" s="232"/>
    </row>
    <row r="102" ht="15.75" customHeight="1">
      <c r="A102" s="232" t="s">
        <v>3423</v>
      </c>
      <c r="B102" s="232" t="s">
        <v>3424</v>
      </c>
      <c r="C102" s="232" t="s">
        <v>767</v>
      </c>
      <c r="D102" s="194" t="s">
        <v>768</v>
      </c>
      <c r="E102" s="389" t="s">
        <v>769</v>
      </c>
      <c r="F102" s="390" t="s">
        <v>770</v>
      </c>
      <c r="G102" s="232" t="s">
        <v>771</v>
      </c>
      <c r="H102" s="391" t="s">
        <v>1448</v>
      </c>
      <c r="I102" s="392" t="s">
        <v>1449</v>
      </c>
      <c r="J102" s="393" t="s">
        <v>1450</v>
      </c>
      <c r="K102" s="232" t="s">
        <v>775</v>
      </c>
      <c r="L102" s="394" t="s">
        <v>876</v>
      </c>
      <c r="M102" s="232" t="s">
        <v>985</v>
      </c>
      <c r="N102" s="232" t="s">
        <v>881</v>
      </c>
      <c r="O102" s="232" t="s">
        <v>775</v>
      </c>
      <c r="P102" s="232" t="s">
        <v>775</v>
      </c>
      <c r="Q102" s="232" t="s">
        <v>775</v>
      </c>
      <c r="R102" s="232"/>
      <c r="S102" s="232"/>
      <c r="T102" s="232"/>
      <c r="U102" s="232"/>
      <c r="V102" s="232"/>
    </row>
    <row r="103" ht="15.75" customHeight="1">
      <c r="A103" s="232" t="s">
        <v>2007</v>
      </c>
      <c r="B103" s="232" t="s">
        <v>3425</v>
      </c>
      <c r="C103" s="232" t="s">
        <v>767</v>
      </c>
      <c r="D103" s="194" t="s">
        <v>768</v>
      </c>
      <c r="E103" s="389" t="s">
        <v>769</v>
      </c>
      <c r="F103" s="390" t="s">
        <v>770</v>
      </c>
      <c r="G103" s="232" t="s">
        <v>771</v>
      </c>
      <c r="H103" s="391" t="s">
        <v>1448</v>
      </c>
      <c r="I103" s="392" t="s">
        <v>1449</v>
      </c>
      <c r="J103" s="393" t="s">
        <v>1450</v>
      </c>
      <c r="K103" s="232" t="s">
        <v>775</v>
      </c>
      <c r="L103" s="394" t="s">
        <v>876</v>
      </c>
      <c r="M103" s="232" t="s">
        <v>985</v>
      </c>
      <c r="N103" s="232" t="s">
        <v>881</v>
      </c>
      <c r="O103" s="232" t="s">
        <v>775</v>
      </c>
      <c r="P103" s="232" t="s">
        <v>775</v>
      </c>
      <c r="Q103" s="232" t="s">
        <v>775</v>
      </c>
      <c r="R103" s="232"/>
      <c r="S103" s="232"/>
      <c r="T103" s="232"/>
      <c r="U103" s="232"/>
      <c r="V103" s="232"/>
    </row>
    <row r="104" ht="15.75" customHeight="1">
      <c r="A104" s="232" t="s">
        <v>3426</v>
      </c>
      <c r="B104" s="232" t="s">
        <v>3427</v>
      </c>
      <c r="C104" s="232" t="s">
        <v>767</v>
      </c>
      <c r="D104" s="232"/>
      <c r="E104" s="389" t="s">
        <v>769</v>
      </c>
      <c r="F104" s="232" t="s">
        <v>860</v>
      </c>
      <c r="G104" s="232" t="s">
        <v>775</v>
      </c>
      <c r="H104" s="232" t="s">
        <v>785</v>
      </c>
      <c r="I104" s="232" t="s">
        <v>786</v>
      </c>
      <c r="J104" s="232" t="s">
        <v>846</v>
      </c>
      <c r="K104" s="232" t="s">
        <v>775</v>
      </c>
      <c r="L104" s="232" t="s">
        <v>775</v>
      </c>
      <c r="M104" s="232" t="s">
        <v>775</v>
      </c>
      <c r="N104" s="232" t="s">
        <v>775</v>
      </c>
      <c r="O104" s="232" t="s">
        <v>775</v>
      </c>
      <c r="P104" s="232" t="s">
        <v>775</v>
      </c>
      <c r="Q104" s="232" t="s">
        <v>775</v>
      </c>
      <c r="R104" s="232"/>
      <c r="S104" s="232"/>
      <c r="T104" s="232"/>
      <c r="U104" s="232"/>
      <c r="V104" s="232"/>
    </row>
    <row r="105" ht="15.75" customHeight="1">
      <c r="A105" s="232" t="s">
        <v>3428</v>
      </c>
      <c r="B105" s="232" t="s">
        <v>3427</v>
      </c>
      <c r="C105" s="232" t="s">
        <v>767</v>
      </c>
      <c r="D105" s="232"/>
      <c r="E105" s="389" t="s">
        <v>769</v>
      </c>
      <c r="F105" s="232" t="s">
        <v>860</v>
      </c>
      <c r="G105" s="232" t="s">
        <v>775</v>
      </c>
      <c r="H105" s="232" t="s">
        <v>785</v>
      </c>
      <c r="I105" s="232" t="s">
        <v>786</v>
      </c>
      <c r="J105" s="232" t="s">
        <v>846</v>
      </c>
      <c r="K105" s="232" t="s">
        <v>775</v>
      </c>
      <c r="L105" s="232" t="s">
        <v>775</v>
      </c>
      <c r="M105" s="232" t="s">
        <v>775</v>
      </c>
      <c r="N105" s="232" t="s">
        <v>775</v>
      </c>
      <c r="O105" s="232" t="s">
        <v>775</v>
      </c>
      <c r="P105" s="232" t="s">
        <v>775</v>
      </c>
      <c r="Q105" s="232" t="s">
        <v>775</v>
      </c>
      <c r="R105" s="232"/>
      <c r="S105" s="232"/>
      <c r="T105" s="232"/>
      <c r="U105" s="232"/>
      <c r="V105" s="232"/>
    </row>
    <row r="106" ht="15.75" customHeight="1">
      <c r="A106" s="232" t="s">
        <v>3429</v>
      </c>
      <c r="B106" s="232" t="s">
        <v>3427</v>
      </c>
      <c r="C106" s="232" t="s">
        <v>767</v>
      </c>
      <c r="D106" s="232"/>
      <c r="E106" s="389" t="s">
        <v>769</v>
      </c>
      <c r="F106" s="232" t="s">
        <v>860</v>
      </c>
      <c r="G106" s="232" t="s">
        <v>775</v>
      </c>
      <c r="H106" s="232" t="s">
        <v>785</v>
      </c>
      <c r="I106" s="232" t="s">
        <v>786</v>
      </c>
      <c r="J106" s="232" t="s">
        <v>846</v>
      </c>
      <c r="K106" s="232" t="s">
        <v>775</v>
      </c>
      <c r="L106" s="232" t="s">
        <v>775</v>
      </c>
      <c r="M106" s="232" t="s">
        <v>775</v>
      </c>
      <c r="N106" s="232" t="s">
        <v>775</v>
      </c>
      <c r="O106" s="232" t="s">
        <v>775</v>
      </c>
      <c r="P106" s="232" t="s">
        <v>775</v>
      </c>
      <c r="Q106" s="232" t="s">
        <v>775</v>
      </c>
      <c r="R106" s="232"/>
      <c r="S106" s="232"/>
      <c r="T106" s="232"/>
      <c r="U106" s="232"/>
      <c r="V106" s="232"/>
    </row>
    <row r="107" ht="15.75" customHeight="1">
      <c r="A107" s="232" t="s">
        <v>3430</v>
      </c>
      <c r="B107" s="232" t="s">
        <v>3427</v>
      </c>
      <c r="C107" s="232" t="s">
        <v>767</v>
      </c>
      <c r="D107" s="232"/>
      <c r="E107" s="389" t="s">
        <v>769</v>
      </c>
      <c r="F107" s="232" t="s">
        <v>860</v>
      </c>
      <c r="G107" s="232" t="s">
        <v>775</v>
      </c>
      <c r="H107" s="232" t="s">
        <v>785</v>
      </c>
      <c r="I107" s="232" t="s">
        <v>786</v>
      </c>
      <c r="J107" s="232" t="s">
        <v>846</v>
      </c>
      <c r="K107" s="232" t="s">
        <v>775</v>
      </c>
      <c r="L107" s="232" t="s">
        <v>775</v>
      </c>
      <c r="M107" s="232" t="s">
        <v>775</v>
      </c>
      <c r="N107" s="232" t="s">
        <v>775</v>
      </c>
      <c r="O107" s="232" t="s">
        <v>775</v>
      </c>
      <c r="P107" s="232" t="s">
        <v>775</v>
      </c>
      <c r="Q107" s="232" t="s">
        <v>775</v>
      </c>
      <c r="R107" s="232"/>
      <c r="S107" s="232"/>
      <c r="T107" s="232"/>
      <c r="U107" s="232"/>
      <c r="V107" s="232"/>
    </row>
    <row r="108" ht="15.75" customHeight="1">
      <c r="A108" s="232" t="s">
        <v>3431</v>
      </c>
      <c r="B108" s="232" t="s">
        <v>3427</v>
      </c>
      <c r="C108" s="232" t="s">
        <v>767</v>
      </c>
      <c r="D108" s="232"/>
      <c r="E108" s="389" t="s">
        <v>769</v>
      </c>
      <c r="F108" s="232" t="s">
        <v>860</v>
      </c>
      <c r="G108" s="232" t="s">
        <v>775</v>
      </c>
      <c r="H108" s="232" t="s">
        <v>785</v>
      </c>
      <c r="I108" s="232" t="s">
        <v>786</v>
      </c>
      <c r="J108" s="232" t="s">
        <v>846</v>
      </c>
      <c r="K108" s="232" t="s">
        <v>775</v>
      </c>
      <c r="L108" s="232" t="s">
        <v>775</v>
      </c>
      <c r="M108" s="232" t="s">
        <v>775</v>
      </c>
      <c r="N108" s="232" t="s">
        <v>775</v>
      </c>
      <c r="O108" s="232" t="s">
        <v>775</v>
      </c>
      <c r="P108" s="232" t="s">
        <v>775</v>
      </c>
      <c r="Q108" s="232" t="s">
        <v>775</v>
      </c>
      <c r="R108" s="232"/>
      <c r="S108" s="232"/>
      <c r="T108" s="232"/>
      <c r="U108" s="232"/>
      <c r="V108" s="232"/>
    </row>
    <row r="109" ht="15.75" customHeight="1">
      <c r="A109" s="232" t="s">
        <v>3432</v>
      </c>
      <c r="B109" s="232" t="s">
        <v>3427</v>
      </c>
      <c r="C109" s="232" t="s">
        <v>767</v>
      </c>
      <c r="D109" s="232"/>
      <c r="E109" s="389" t="s">
        <v>769</v>
      </c>
      <c r="F109" s="232" t="s">
        <v>860</v>
      </c>
      <c r="G109" s="232" t="s">
        <v>775</v>
      </c>
      <c r="H109" s="232" t="s">
        <v>785</v>
      </c>
      <c r="I109" s="232" t="s">
        <v>786</v>
      </c>
      <c r="J109" s="232" t="s">
        <v>846</v>
      </c>
      <c r="K109" s="232" t="s">
        <v>775</v>
      </c>
      <c r="L109" s="232" t="s">
        <v>775</v>
      </c>
      <c r="M109" s="232" t="s">
        <v>775</v>
      </c>
      <c r="N109" s="232" t="s">
        <v>775</v>
      </c>
      <c r="O109" s="232" t="s">
        <v>775</v>
      </c>
      <c r="P109" s="232" t="s">
        <v>775</v>
      </c>
      <c r="Q109" s="232" t="s">
        <v>775</v>
      </c>
      <c r="R109" s="232"/>
      <c r="S109" s="232"/>
      <c r="T109" s="232"/>
      <c r="U109" s="232"/>
      <c r="V109" s="232"/>
    </row>
    <row r="110" ht="15.75" customHeight="1">
      <c r="A110" s="232" t="s">
        <v>3433</v>
      </c>
      <c r="B110" s="232" t="s">
        <v>3427</v>
      </c>
      <c r="C110" s="232" t="s">
        <v>767</v>
      </c>
      <c r="D110" s="232"/>
      <c r="E110" s="389" t="s">
        <v>769</v>
      </c>
      <c r="F110" s="232" t="s">
        <v>860</v>
      </c>
      <c r="G110" s="232" t="s">
        <v>775</v>
      </c>
      <c r="H110" s="232" t="s">
        <v>785</v>
      </c>
      <c r="I110" s="232" t="s">
        <v>786</v>
      </c>
      <c r="J110" s="232" t="s">
        <v>846</v>
      </c>
      <c r="K110" s="232" t="s">
        <v>775</v>
      </c>
      <c r="L110" s="232" t="s">
        <v>775</v>
      </c>
      <c r="M110" s="232" t="s">
        <v>775</v>
      </c>
      <c r="N110" s="232" t="s">
        <v>775</v>
      </c>
      <c r="O110" s="232" t="s">
        <v>775</v>
      </c>
      <c r="P110" s="232" t="s">
        <v>775</v>
      </c>
      <c r="Q110" s="232" t="s">
        <v>775</v>
      </c>
      <c r="R110" s="232"/>
      <c r="S110" s="232"/>
      <c r="T110" s="232"/>
      <c r="U110" s="232"/>
      <c r="V110" s="232"/>
    </row>
    <row r="111" ht="15.75" customHeight="1">
      <c r="A111" s="232" t="s">
        <v>3434</v>
      </c>
      <c r="B111" s="232" t="s">
        <v>3427</v>
      </c>
      <c r="C111" s="232" t="s">
        <v>767</v>
      </c>
      <c r="D111" s="232"/>
      <c r="E111" s="389" t="s">
        <v>769</v>
      </c>
      <c r="F111" s="232" t="s">
        <v>860</v>
      </c>
      <c r="G111" s="232" t="s">
        <v>775</v>
      </c>
      <c r="H111" s="232" t="s">
        <v>785</v>
      </c>
      <c r="I111" s="232" t="s">
        <v>786</v>
      </c>
      <c r="J111" s="232" t="s">
        <v>846</v>
      </c>
      <c r="K111" s="232" t="s">
        <v>775</v>
      </c>
      <c r="L111" s="232" t="s">
        <v>775</v>
      </c>
      <c r="M111" s="232" t="s">
        <v>775</v>
      </c>
      <c r="N111" s="232" t="s">
        <v>775</v>
      </c>
      <c r="O111" s="232" t="s">
        <v>775</v>
      </c>
      <c r="P111" s="232" t="s">
        <v>775</v>
      </c>
      <c r="Q111" s="232" t="s">
        <v>775</v>
      </c>
      <c r="R111" s="232"/>
      <c r="S111" s="232"/>
      <c r="T111" s="232"/>
      <c r="U111" s="232"/>
      <c r="V111" s="232"/>
    </row>
    <row r="112" ht="15.75" customHeight="1">
      <c r="A112" s="232" t="s">
        <v>3435</v>
      </c>
      <c r="B112" s="232" t="s">
        <v>3427</v>
      </c>
      <c r="C112" s="232" t="s">
        <v>767</v>
      </c>
      <c r="D112" s="232"/>
      <c r="E112" s="389" t="s">
        <v>769</v>
      </c>
      <c r="F112" s="232" t="s">
        <v>860</v>
      </c>
      <c r="G112" s="232" t="s">
        <v>775</v>
      </c>
      <c r="H112" s="232" t="s">
        <v>785</v>
      </c>
      <c r="I112" s="232" t="s">
        <v>786</v>
      </c>
      <c r="J112" s="232" t="s">
        <v>846</v>
      </c>
      <c r="K112" s="232" t="s">
        <v>775</v>
      </c>
      <c r="L112" s="232" t="s">
        <v>775</v>
      </c>
      <c r="M112" s="232" t="s">
        <v>775</v>
      </c>
      <c r="N112" s="232" t="s">
        <v>775</v>
      </c>
      <c r="O112" s="232" t="s">
        <v>775</v>
      </c>
      <c r="P112" s="232" t="s">
        <v>775</v>
      </c>
      <c r="Q112" s="232" t="s">
        <v>775</v>
      </c>
      <c r="R112" s="232"/>
      <c r="S112" s="232"/>
      <c r="T112" s="232"/>
      <c r="U112" s="232"/>
      <c r="V112" s="232"/>
    </row>
    <row r="113" ht="15.75" customHeight="1">
      <c r="A113" s="232" t="s">
        <v>3436</v>
      </c>
      <c r="B113" s="232" t="s">
        <v>3427</v>
      </c>
      <c r="C113" s="232" t="s">
        <v>767</v>
      </c>
      <c r="D113" s="232"/>
      <c r="E113" s="389" t="s">
        <v>769</v>
      </c>
      <c r="F113" s="232" t="s">
        <v>860</v>
      </c>
      <c r="G113" s="232" t="s">
        <v>775</v>
      </c>
      <c r="H113" s="232" t="s">
        <v>785</v>
      </c>
      <c r="I113" s="232" t="s">
        <v>786</v>
      </c>
      <c r="J113" s="232" t="s">
        <v>846</v>
      </c>
      <c r="K113" s="232" t="s">
        <v>775</v>
      </c>
      <c r="L113" s="232" t="s">
        <v>775</v>
      </c>
      <c r="M113" s="232" t="s">
        <v>775</v>
      </c>
      <c r="N113" s="232" t="s">
        <v>775</v>
      </c>
      <c r="O113" s="232" t="s">
        <v>775</v>
      </c>
      <c r="P113" s="232" t="s">
        <v>775</v>
      </c>
      <c r="Q113" s="232" t="s">
        <v>775</v>
      </c>
      <c r="R113" s="232"/>
      <c r="S113" s="232"/>
      <c r="T113" s="232"/>
      <c r="U113" s="232"/>
      <c r="V113" s="232"/>
    </row>
    <row r="114" ht="15.75" customHeight="1">
      <c r="A114" s="232" t="s">
        <v>3437</v>
      </c>
      <c r="B114" s="232" t="s">
        <v>3427</v>
      </c>
      <c r="C114" s="232" t="s">
        <v>767</v>
      </c>
      <c r="D114" s="232"/>
      <c r="E114" s="389" t="s">
        <v>769</v>
      </c>
      <c r="F114" s="232" t="s">
        <v>860</v>
      </c>
      <c r="G114" s="232" t="s">
        <v>775</v>
      </c>
      <c r="H114" s="232" t="s">
        <v>785</v>
      </c>
      <c r="I114" s="232" t="s">
        <v>786</v>
      </c>
      <c r="J114" s="232" t="s">
        <v>846</v>
      </c>
      <c r="K114" s="232" t="s">
        <v>775</v>
      </c>
      <c r="L114" s="232" t="s">
        <v>775</v>
      </c>
      <c r="M114" s="232" t="s">
        <v>775</v>
      </c>
      <c r="N114" s="232" t="s">
        <v>775</v>
      </c>
      <c r="O114" s="232" t="s">
        <v>775</v>
      </c>
      <c r="P114" s="232" t="s">
        <v>775</v>
      </c>
      <c r="Q114" s="232" t="s">
        <v>775</v>
      </c>
      <c r="R114" s="232"/>
      <c r="S114" s="232"/>
      <c r="T114" s="232"/>
      <c r="U114" s="232"/>
      <c r="V114" s="232"/>
    </row>
    <row r="115" ht="15.75" customHeight="1">
      <c r="A115" s="232" t="s">
        <v>3438</v>
      </c>
      <c r="B115" s="232" t="s">
        <v>3427</v>
      </c>
      <c r="C115" s="232" t="s">
        <v>767</v>
      </c>
      <c r="D115" s="232"/>
      <c r="E115" s="389" t="s">
        <v>769</v>
      </c>
      <c r="F115" s="232" t="s">
        <v>860</v>
      </c>
      <c r="G115" s="232" t="s">
        <v>775</v>
      </c>
      <c r="H115" s="232" t="s">
        <v>785</v>
      </c>
      <c r="I115" s="232" t="s">
        <v>786</v>
      </c>
      <c r="J115" s="232" t="s">
        <v>846</v>
      </c>
      <c r="K115" s="232" t="s">
        <v>775</v>
      </c>
      <c r="L115" s="232" t="s">
        <v>775</v>
      </c>
      <c r="M115" s="232" t="s">
        <v>775</v>
      </c>
      <c r="N115" s="232" t="s">
        <v>775</v>
      </c>
      <c r="O115" s="232" t="s">
        <v>775</v>
      </c>
      <c r="P115" s="232" t="s">
        <v>775</v>
      </c>
      <c r="Q115" s="232" t="s">
        <v>775</v>
      </c>
      <c r="R115" s="232"/>
      <c r="S115" s="232"/>
      <c r="T115" s="232"/>
      <c r="U115" s="232"/>
      <c r="V115" s="232"/>
    </row>
    <row r="116" ht="15.75" customHeight="1">
      <c r="A116" s="232" t="s">
        <v>3439</v>
      </c>
      <c r="B116" s="232" t="s">
        <v>3427</v>
      </c>
      <c r="C116" s="232" t="s">
        <v>767</v>
      </c>
      <c r="D116" s="232"/>
      <c r="E116" s="389" t="s">
        <v>769</v>
      </c>
      <c r="F116" s="232" t="s">
        <v>860</v>
      </c>
      <c r="G116" s="232" t="s">
        <v>775</v>
      </c>
      <c r="H116" s="232" t="s">
        <v>785</v>
      </c>
      <c r="I116" s="232" t="s">
        <v>786</v>
      </c>
      <c r="J116" s="232" t="s">
        <v>846</v>
      </c>
      <c r="K116" s="232" t="s">
        <v>775</v>
      </c>
      <c r="L116" s="232" t="s">
        <v>775</v>
      </c>
      <c r="M116" s="232" t="s">
        <v>775</v>
      </c>
      <c r="N116" s="232" t="s">
        <v>775</v>
      </c>
      <c r="O116" s="232" t="s">
        <v>775</v>
      </c>
      <c r="P116" s="232" t="s">
        <v>775</v>
      </c>
      <c r="Q116" s="232" t="s">
        <v>775</v>
      </c>
      <c r="R116" s="232"/>
      <c r="S116" s="232"/>
      <c r="T116" s="232"/>
      <c r="U116" s="232"/>
      <c r="V116" s="232"/>
    </row>
    <row r="117" ht="15.75" customHeight="1">
      <c r="A117" s="232" t="s">
        <v>3440</v>
      </c>
      <c r="B117" s="232" t="s">
        <v>3427</v>
      </c>
      <c r="C117" s="232" t="s">
        <v>767</v>
      </c>
      <c r="D117" s="232"/>
      <c r="E117" s="389" t="s">
        <v>769</v>
      </c>
      <c r="F117" s="232" t="s">
        <v>860</v>
      </c>
      <c r="G117" s="232" t="s">
        <v>775</v>
      </c>
      <c r="H117" s="232" t="s">
        <v>785</v>
      </c>
      <c r="I117" s="232" t="s">
        <v>786</v>
      </c>
      <c r="J117" s="232" t="s">
        <v>846</v>
      </c>
      <c r="K117" s="232" t="s">
        <v>775</v>
      </c>
      <c r="L117" s="232" t="s">
        <v>775</v>
      </c>
      <c r="M117" s="232" t="s">
        <v>775</v>
      </c>
      <c r="N117" s="232" t="s">
        <v>775</v>
      </c>
      <c r="O117" s="232" t="s">
        <v>775</v>
      </c>
      <c r="P117" s="232" t="s">
        <v>775</v>
      </c>
      <c r="Q117" s="232" t="s">
        <v>775</v>
      </c>
      <c r="R117" s="232"/>
      <c r="S117" s="232"/>
      <c r="T117" s="232"/>
      <c r="U117" s="232"/>
      <c r="V117" s="232"/>
    </row>
    <row r="118" ht="15.75" customHeight="1">
      <c r="A118" s="232" t="s">
        <v>3441</v>
      </c>
      <c r="B118" s="232" t="s">
        <v>3427</v>
      </c>
      <c r="C118" s="232" t="s">
        <v>767</v>
      </c>
      <c r="D118" s="232"/>
      <c r="E118" s="389" t="s">
        <v>769</v>
      </c>
      <c r="F118" s="232" t="s">
        <v>860</v>
      </c>
      <c r="G118" s="232" t="s">
        <v>775</v>
      </c>
      <c r="H118" s="232" t="s">
        <v>785</v>
      </c>
      <c r="I118" s="232" t="s">
        <v>786</v>
      </c>
      <c r="J118" s="232" t="s">
        <v>846</v>
      </c>
      <c r="K118" s="232" t="s">
        <v>775</v>
      </c>
      <c r="L118" s="232" t="s">
        <v>775</v>
      </c>
      <c r="M118" s="232" t="s">
        <v>775</v>
      </c>
      <c r="N118" s="232" t="s">
        <v>775</v>
      </c>
      <c r="O118" s="232" t="s">
        <v>775</v>
      </c>
      <c r="P118" s="232" t="s">
        <v>775</v>
      </c>
      <c r="Q118" s="232" t="s">
        <v>775</v>
      </c>
      <c r="R118" s="232"/>
      <c r="S118" s="232"/>
      <c r="T118" s="232"/>
      <c r="U118" s="232"/>
      <c r="V118" s="232"/>
    </row>
    <row r="119" ht="15.75" customHeight="1">
      <c r="A119" s="232" t="s">
        <v>3442</v>
      </c>
      <c r="B119" s="380" t="s">
        <v>3443</v>
      </c>
      <c r="C119" s="232" t="s">
        <v>767</v>
      </c>
      <c r="D119" s="194" t="s">
        <v>768</v>
      </c>
      <c r="E119" s="389" t="s">
        <v>769</v>
      </c>
      <c r="F119" s="390" t="s">
        <v>770</v>
      </c>
      <c r="G119" s="232" t="s">
        <v>771</v>
      </c>
      <c r="H119" s="391" t="s">
        <v>1448</v>
      </c>
      <c r="I119" s="392" t="s">
        <v>1449</v>
      </c>
      <c r="J119" s="393" t="s">
        <v>1450</v>
      </c>
      <c r="K119" s="232" t="s">
        <v>775</v>
      </c>
      <c r="L119" s="394" t="s">
        <v>876</v>
      </c>
      <c r="M119" s="232" t="s">
        <v>947</v>
      </c>
      <c r="N119" s="232" t="s">
        <v>825</v>
      </c>
      <c r="O119" s="232" t="s">
        <v>775</v>
      </c>
      <c r="P119" s="232" t="s">
        <v>948</v>
      </c>
      <c r="Q119" s="232" t="s">
        <v>775</v>
      </c>
      <c r="R119" s="232"/>
      <c r="S119" s="232"/>
      <c r="T119" s="232"/>
      <c r="U119" s="232"/>
      <c r="V119" s="232"/>
    </row>
    <row r="120" ht="15.75" customHeight="1">
      <c r="A120" s="232" t="s">
        <v>3444</v>
      </c>
      <c r="B120" s="232" t="s">
        <v>3445</v>
      </c>
      <c r="C120" s="232" t="s">
        <v>767</v>
      </c>
      <c r="D120" s="194" t="s">
        <v>768</v>
      </c>
      <c r="E120" s="389" t="s">
        <v>769</v>
      </c>
      <c r="F120" s="390" t="s">
        <v>770</v>
      </c>
      <c r="G120" s="232" t="s">
        <v>771</v>
      </c>
      <c r="H120" s="391" t="s">
        <v>1448</v>
      </c>
      <c r="I120" s="392" t="s">
        <v>1449</v>
      </c>
      <c r="J120" s="393" t="s">
        <v>1450</v>
      </c>
      <c r="K120" s="232" t="s">
        <v>775</v>
      </c>
      <c r="L120" s="394" t="s">
        <v>876</v>
      </c>
      <c r="M120" s="232" t="s">
        <v>947</v>
      </c>
      <c r="N120" s="232" t="s">
        <v>825</v>
      </c>
      <c r="O120" s="232" t="s">
        <v>775</v>
      </c>
      <c r="P120" s="232" t="s">
        <v>948</v>
      </c>
      <c r="Q120" s="232" t="s">
        <v>775</v>
      </c>
      <c r="R120" s="232"/>
      <c r="S120" s="232"/>
      <c r="T120" s="232"/>
      <c r="U120" s="232"/>
      <c r="V120" s="232"/>
    </row>
    <row r="121" ht="15.75" customHeight="1">
      <c r="A121" s="232" t="s">
        <v>3446</v>
      </c>
      <c r="B121" s="232" t="s">
        <v>3447</v>
      </c>
      <c r="C121" s="232" t="s">
        <v>767</v>
      </c>
      <c r="D121" s="194" t="s">
        <v>768</v>
      </c>
      <c r="E121" s="389" t="s">
        <v>769</v>
      </c>
      <c r="F121" s="390" t="s">
        <v>770</v>
      </c>
      <c r="G121" s="232" t="s">
        <v>771</v>
      </c>
      <c r="H121" s="391" t="s">
        <v>1448</v>
      </c>
      <c r="I121" s="392" t="s">
        <v>1449</v>
      </c>
      <c r="J121" s="393" t="s">
        <v>1450</v>
      </c>
      <c r="K121" s="232" t="s">
        <v>775</v>
      </c>
      <c r="L121" s="394" t="s">
        <v>876</v>
      </c>
      <c r="M121" s="232" t="s">
        <v>947</v>
      </c>
      <c r="N121" s="232" t="s">
        <v>825</v>
      </c>
      <c r="O121" s="232" t="s">
        <v>775</v>
      </c>
      <c r="P121" s="232" t="s">
        <v>948</v>
      </c>
      <c r="Q121" s="232" t="s">
        <v>775</v>
      </c>
      <c r="R121" s="232"/>
      <c r="S121" s="232"/>
      <c r="T121" s="232"/>
      <c r="U121" s="232"/>
      <c r="V121" s="232"/>
    </row>
    <row r="122" ht="15.75" customHeight="1">
      <c r="A122" s="232" t="s">
        <v>3448</v>
      </c>
      <c r="B122" s="232" t="s">
        <v>3449</v>
      </c>
      <c r="C122" s="232" t="s">
        <v>767</v>
      </c>
      <c r="D122" s="194" t="s">
        <v>768</v>
      </c>
      <c r="E122" s="389" t="s">
        <v>769</v>
      </c>
      <c r="F122" s="390" t="s">
        <v>770</v>
      </c>
      <c r="G122" s="232" t="s">
        <v>771</v>
      </c>
      <c r="H122" s="391" t="s">
        <v>1448</v>
      </c>
      <c r="I122" s="392" t="s">
        <v>1449</v>
      </c>
      <c r="J122" s="393" t="s">
        <v>1450</v>
      </c>
      <c r="K122" s="232" t="s">
        <v>775</v>
      </c>
      <c r="L122" s="394" t="s">
        <v>876</v>
      </c>
      <c r="M122" s="232" t="s">
        <v>947</v>
      </c>
      <c r="N122" s="232" t="s">
        <v>825</v>
      </c>
      <c r="O122" s="232" t="s">
        <v>775</v>
      </c>
      <c r="P122" s="232" t="s">
        <v>948</v>
      </c>
      <c r="Q122" s="232" t="s">
        <v>775</v>
      </c>
      <c r="R122" s="232"/>
      <c r="S122" s="232"/>
      <c r="T122" s="232"/>
      <c r="U122" s="232"/>
      <c r="V122" s="232"/>
    </row>
    <row r="123" ht="15.75" customHeight="1">
      <c r="A123" s="232" t="s">
        <v>3450</v>
      </c>
      <c r="B123" s="232" t="s">
        <v>3451</v>
      </c>
      <c r="C123" s="232" t="s">
        <v>767</v>
      </c>
      <c r="D123" s="194" t="s">
        <v>768</v>
      </c>
      <c r="E123" s="389" t="s">
        <v>769</v>
      </c>
      <c r="F123" s="390" t="s">
        <v>770</v>
      </c>
      <c r="G123" s="232" t="s">
        <v>771</v>
      </c>
      <c r="H123" s="391" t="s">
        <v>1448</v>
      </c>
      <c r="I123" s="392" t="s">
        <v>1449</v>
      </c>
      <c r="J123" s="393" t="s">
        <v>1450</v>
      </c>
      <c r="K123" s="232" t="s">
        <v>775</v>
      </c>
      <c r="L123" s="394" t="s">
        <v>876</v>
      </c>
      <c r="M123" s="232" t="s">
        <v>947</v>
      </c>
      <c r="N123" s="232" t="s">
        <v>825</v>
      </c>
      <c r="O123" s="232" t="s">
        <v>775</v>
      </c>
      <c r="P123" s="232" t="s">
        <v>948</v>
      </c>
      <c r="Q123" s="232" t="s">
        <v>775</v>
      </c>
      <c r="R123" s="232"/>
      <c r="S123" s="232"/>
      <c r="T123" s="232"/>
      <c r="U123" s="232"/>
      <c r="V123" s="232"/>
    </row>
    <row r="124" ht="15.75" customHeight="1">
      <c r="A124" s="232" t="s">
        <v>3452</v>
      </c>
      <c r="B124" s="232" t="s">
        <v>3453</v>
      </c>
      <c r="C124" s="232" t="s">
        <v>767</v>
      </c>
      <c r="D124" s="194" t="s">
        <v>768</v>
      </c>
      <c r="E124" s="389" t="s">
        <v>769</v>
      </c>
      <c r="F124" s="390" t="s">
        <v>770</v>
      </c>
      <c r="G124" s="232" t="s">
        <v>771</v>
      </c>
      <c r="H124" s="391" t="s">
        <v>1448</v>
      </c>
      <c r="I124" s="392" t="s">
        <v>1449</v>
      </c>
      <c r="J124" s="393" t="s">
        <v>1450</v>
      </c>
      <c r="K124" s="232" t="s">
        <v>775</v>
      </c>
      <c r="L124" s="394" t="s">
        <v>876</v>
      </c>
      <c r="M124" s="232" t="s">
        <v>947</v>
      </c>
      <c r="N124" s="232" t="s">
        <v>825</v>
      </c>
      <c r="O124" s="232" t="s">
        <v>775</v>
      </c>
      <c r="P124" s="232" t="s">
        <v>948</v>
      </c>
      <c r="Q124" s="232" t="s">
        <v>775</v>
      </c>
      <c r="R124" s="232"/>
      <c r="S124" s="232"/>
      <c r="T124" s="232"/>
      <c r="U124" s="232"/>
      <c r="V124" s="232"/>
    </row>
    <row r="125" ht="15.75" customHeight="1">
      <c r="A125" s="232" t="s">
        <v>3454</v>
      </c>
      <c r="B125" s="232" t="s">
        <v>3455</v>
      </c>
      <c r="C125" s="232" t="s">
        <v>767</v>
      </c>
      <c r="D125" s="194" t="s">
        <v>768</v>
      </c>
      <c r="E125" s="389" t="s">
        <v>769</v>
      </c>
      <c r="F125" s="390" t="s">
        <v>770</v>
      </c>
      <c r="G125" s="232" t="s">
        <v>771</v>
      </c>
      <c r="H125" s="391" t="s">
        <v>1448</v>
      </c>
      <c r="I125" s="392" t="s">
        <v>1449</v>
      </c>
      <c r="J125" s="393" t="s">
        <v>1450</v>
      </c>
      <c r="K125" s="232" t="s">
        <v>775</v>
      </c>
      <c r="L125" s="394" t="s">
        <v>876</v>
      </c>
      <c r="M125" s="232" t="s">
        <v>947</v>
      </c>
      <c r="N125" s="232" t="s">
        <v>825</v>
      </c>
      <c r="O125" s="232" t="s">
        <v>775</v>
      </c>
      <c r="P125" s="232" t="s">
        <v>948</v>
      </c>
      <c r="Q125" s="232" t="s">
        <v>775</v>
      </c>
      <c r="R125" s="232"/>
      <c r="S125" s="232"/>
      <c r="T125" s="232"/>
      <c r="U125" s="232"/>
      <c r="V125" s="232"/>
    </row>
    <row r="126" ht="15.75" customHeight="1">
      <c r="A126" s="232" t="s">
        <v>3456</v>
      </c>
      <c r="B126" s="232" t="s">
        <v>3457</v>
      </c>
      <c r="C126" s="232" t="s">
        <v>767</v>
      </c>
      <c r="D126" s="194" t="s">
        <v>768</v>
      </c>
      <c r="E126" s="389" t="s">
        <v>769</v>
      </c>
      <c r="F126" s="390" t="s">
        <v>770</v>
      </c>
      <c r="G126" s="232" t="s">
        <v>771</v>
      </c>
      <c r="H126" s="391" t="s">
        <v>1448</v>
      </c>
      <c r="I126" s="392" t="s">
        <v>1449</v>
      </c>
      <c r="J126" s="393" t="s">
        <v>1450</v>
      </c>
      <c r="K126" s="232" t="s">
        <v>775</v>
      </c>
      <c r="L126" s="394" t="s">
        <v>876</v>
      </c>
      <c r="M126" s="232" t="s">
        <v>947</v>
      </c>
      <c r="N126" s="232" t="s">
        <v>825</v>
      </c>
      <c r="O126" s="232" t="s">
        <v>775</v>
      </c>
      <c r="P126" s="232" t="s">
        <v>948</v>
      </c>
      <c r="Q126" s="232" t="s">
        <v>775</v>
      </c>
      <c r="R126" s="232"/>
      <c r="S126" s="232"/>
      <c r="T126" s="232"/>
      <c r="U126" s="232"/>
      <c r="V126" s="232"/>
    </row>
    <row r="127" ht="15.75" customHeight="1">
      <c r="A127" s="232" t="s">
        <v>3458</v>
      </c>
      <c r="B127" s="232" t="s">
        <v>3459</v>
      </c>
      <c r="C127" s="232" t="s">
        <v>767</v>
      </c>
      <c r="D127" s="194" t="s">
        <v>768</v>
      </c>
      <c r="E127" s="389" t="s">
        <v>769</v>
      </c>
      <c r="F127" s="390" t="s">
        <v>770</v>
      </c>
      <c r="G127" s="232" t="s">
        <v>771</v>
      </c>
      <c r="H127" s="391" t="s">
        <v>1448</v>
      </c>
      <c r="I127" s="392" t="s">
        <v>1449</v>
      </c>
      <c r="J127" s="393" t="s">
        <v>1450</v>
      </c>
      <c r="K127" s="232" t="s">
        <v>775</v>
      </c>
      <c r="L127" s="394" t="s">
        <v>876</v>
      </c>
      <c r="M127" s="232" t="s">
        <v>947</v>
      </c>
      <c r="N127" s="232" t="s">
        <v>825</v>
      </c>
      <c r="O127" s="232" t="s">
        <v>775</v>
      </c>
      <c r="P127" s="232" t="s">
        <v>948</v>
      </c>
      <c r="Q127" s="232" t="s">
        <v>775</v>
      </c>
      <c r="R127" s="232"/>
      <c r="S127" s="232"/>
      <c r="T127" s="232"/>
      <c r="U127" s="232"/>
      <c r="V127" s="232"/>
    </row>
    <row r="128" ht="15.75" customHeight="1">
      <c r="A128" s="232" t="s">
        <v>3460</v>
      </c>
      <c r="B128" s="232" t="s">
        <v>3461</v>
      </c>
      <c r="C128" s="232" t="s">
        <v>767</v>
      </c>
      <c r="D128" s="194" t="s">
        <v>768</v>
      </c>
      <c r="E128" s="389" t="s">
        <v>769</v>
      </c>
      <c r="F128" s="390" t="s">
        <v>770</v>
      </c>
      <c r="G128" s="232" t="s">
        <v>771</v>
      </c>
      <c r="H128" s="391" t="s">
        <v>1448</v>
      </c>
      <c r="I128" s="392" t="s">
        <v>1449</v>
      </c>
      <c r="J128" s="393" t="s">
        <v>1450</v>
      </c>
      <c r="K128" s="232" t="s">
        <v>775</v>
      </c>
      <c r="L128" s="394" t="s">
        <v>876</v>
      </c>
      <c r="M128" s="232" t="s">
        <v>947</v>
      </c>
      <c r="N128" s="232" t="s">
        <v>825</v>
      </c>
      <c r="O128" s="232" t="s">
        <v>775</v>
      </c>
      <c r="P128" s="232" t="s">
        <v>948</v>
      </c>
      <c r="Q128" s="232" t="s">
        <v>775</v>
      </c>
      <c r="R128" s="232"/>
      <c r="S128" s="232"/>
      <c r="T128" s="232"/>
      <c r="U128" s="232"/>
      <c r="V128" s="232"/>
    </row>
    <row r="129" ht="15.75" customHeight="1">
      <c r="A129" s="232" t="s">
        <v>3462</v>
      </c>
      <c r="B129" s="232" t="s">
        <v>3463</v>
      </c>
      <c r="C129" s="380"/>
      <c r="D129" s="380"/>
      <c r="E129" s="380"/>
      <c r="F129" s="380"/>
      <c r="G129" s="380"/>
      <c r="H129" s="380"/>
      <c r="I129" s="380"/>
      <c r="J129" s="380"/>
      <c r="K129" s="380"/>
      <c r="L129" s="380"/>
      <c r="M129" s="380"/>
      <c r="N129" s="380"/>
      <c r="O129" s="380"/>
      <c r="P129" s="380"/>
      <c r="Q129" s="380"/>
      <c r="R129" s="232"/>
      <c r="S129" s="232"/>
      <c r="T129" s="232"/>
      <c r="U129" s="232"/>
      <c r="V129" s="232"/>
    </row>
    <row r="130" ht="15.75" customHeight="1">
      <c r="A130" s="232" t="s">
        <v>3464</v>
      </c>
      <c r="B130" s="232"/>
      <c r="C130" s="380"/>
      <c r="D130" s="380"/>
      <c r="E130" s="380"/>
      <c r="F130" s="380"/>
      <c r="G130" s="380"/>
      <c r="H130" s="380"/>
      <c r="I130" s="380"/>
      <c r="J130" s="380"/>
      <c r="K130" s="380"/>
      <c r="L130" s="380"/>
      <c r="M130" s="380"/>
      <c r="N130" s="380"/>
      <c r="O130" s="380"/>
      <c r="P130" s="380"/>
      <c r="Q130" s="380"/>
      <c r="R130" s="232"/>
      <c r="S130" s="232"/>
      <c r="T130" s="232"/>
      <c r="U130" s="232"/>
      <c r="V130" s="232"/>
    </row>
    <row r="131" ht="15.75" customHeight="1">
      <c r="A131" s="232" t="s">
        <v>3465</v>
      </c>
      <c r="B131" s="232"/>
      <c r="C131" s="380"/>
      <c r="D131" s="380"/>
      <c r="E131" s="380"/>
      <c r="F131" s="380"/>
      <c r="G131" s="380"/>
      <c r="H131" s="380"/>
      <c r="I131" s="380"/>
      <c r="J131" s="380"/>
      <c r="K131" s="380"/>
      <c r="L131" s="380"/>
      <c r="M131" s="380"/>
      <c r="N131" s="380"/>
      <c r="O131" s="380"/>
      <c r="P131" s="380"/>
      <c r="Q131" s="380"/>
      <c r="R131" s="232"/>
      <c r="S131" s="232"/>
      <c r="T131" s="232"/>
      <c r="U131" s="232"/>
      <c r="V131" s="232"/>
    </row>
    <row r="132" ht="15.75" customHeight="1">
      <c r="A132" s="232" t="s">
        <v>3466</v>
      </c>
      <c r="B132" s="232"/>
      <c r="C132" s="380"/>
      <c r="D132" s="380"/>
      <c r="E132" s="380"/>
      <c r="F132" s="380"/>
      <c r="G132" s="380"/>
      <c r="H132" s="380"/>
      <c r="I132" s="380"/>
      <c r="J132" s="380"/>
      <c r="K132" s="380"/>
      <c r="L132" s="380"/>
      <c r="M132" s="380"/>
      <c r="N132" s="380"/>
      <c r="O132" s="380"/>
      <c r="P132" s="380"/>
      <c r="Q132" s="380"/>
      <c r="R132" s="232"/>
      <c r="S132" s="232"/>
      <c r="T132" s="232"/>
      <c r="U132" s="232"/>
      <c r="V132" s="232"/>
    </row>
    <row r="133" ht="15.75" customHeight="1">
      <c r="A133" s="232" t="s">
        <v>3467</v>
      </c>
      <c r="B133" s="232" t="s">
        <v>3468</v>
      </c>
      <c r="C133" s="380"/>
      <c r="D133" s="380"/>
      <c r="E133" s="380"/>
      <c r="F133" s="380"/>
      <c r="G133" s="380"/>
      <c r="H133" s="380"/>
      <c r="I133" s="380"/>
      <c r="J133" s="380"/>
      <c r="K133" s="380"/>
      <c r="L133" s="380"/>
      <c r="M133" s="380"/>
      <c r="N133" s="380"/>
      <c r="O133" s="380"/>
      <c r="P133" s="380"/>
      <c r="Q133" s="380"/>
      <c r="R133" s="232"/>
      <c r="S133" s="232"/>
      <c r="T133" s="232"/>
      <c r="U133" s="232"/>
      <c r="V133" s="232"/>
    </row>
    <row r="134" ht="15.75" customHeight="1">
      <c r="A134" s="232" t="s">
        <v>3469</v>
      </c>
      <c r="B134" s="232"/>
      <c r="C134" s="380"/>
      <c r="D134" s="380"/>
      <c r="E134" s="380"/>
      <c r="F134" s="380"/>
      <c r="G134" s="380"/>
      <c r="H134" s="380"/>
      <c r="I134" s="380"/>
      <c r="J134" s="380"/>
      <c r="K134" s="380"/>
      <c r="L134" s="380"/>
      <c r="M134" s="380"/>
      <c r="N134" s="380"/>
      <c r="O134" s="380"/>
      <c r="P134" s="380"/>
      <c r="Q134" s="380"/>
      <c r="R134" s="232"/>
      <c r="S134" s="232"/>
      <c r="T134" s="232"/>
      <c r="U134" s="232"/>
      <c r="V134" s="232"/>
    </row>
    <row r="135" ht="15.75" customHeight="1">
      <c r="A135" s="232" t="s">
        <v>3470</v>
      </c>
      <c r="B135" s="232"/>
      <c r="C135" s="380"/>
      <c r="D135" s="380"/>
      <c r="E135" s="380"/>
      <c r="F135" s="380"/>
      <c r="G135" s="380"/>
      <c r="H135" s="380"/>
      <c r="I135" s="380"/>
      <c r="J135" s="380"/>
      <c r="K135" s="380"/>
      <c r="L135" s="380"/>
      <c r="M135" s="380"/>
      <c r="N135" s="380"/>
      <c r="O135" s="380"/>
      <c r="P135" s="380"/>
      <c r="Q135" s="380"/>
      <c r="R135" s="232"/>
      <c r="S135" s="232"/>
      <c r="T135" s="232"/>
      <c r="U135" s="232"/>
      <c r="V135" s="232"/>
    </row>
    <row r="136" ht="15.75" customHeight="1">
      <c r="A136" s="232" t="s">
        <v>3471</v>
      </c>
      <c r="B136" s="232"/>
      <c r="C136" s="380"/>
      <c r="D136" s="380"/>
      <c r="E136" s="380"/>
      <c r="F136" s="380"/>
      <c r="G136" s="380"/>
      <c r="H136" s="380"/>
      <c r="I136" s="380"/>
      <c r="J136" s="380"/>
      <c r="K136" s="380"/>
      <c r="L136" s="380"/>
      <c r="M136" s="380"/>
      <c r="N136" s="380"/>
      <c r="O136" s="380"/>
      <c r="P136" s="380"/>
      <c r="Q136" s="380"/>
      <c r="R136" s="232"/>
      <c r="S136" s="232"/>
      <c r="T136" s="232"/>
      <c r="U136" s="232"/>
      <c r="V136" s="232"/>
    </row>
    <row r="137" ht="15.75" customHeight="1">
      <c r="A137" s="232" t="s">
        <v>3472</v>
      </c>
      <c r="B137" s="232"/>
      <c r="C137" s="380"/>
      <c r="D137" s="380"/>
      <c r="E137" s="380"/>
      <c r="F137" s="380"/>
      <c r="G137" s="380"/>
      <c r="H137" s="380"/>
      <c r="I137" s="380"/>
      <c r="J137" s="380"/>
      <c r="K137" s="380"/>
      <c r="L137" s="380"/>
      <c r="M137" s="380"/>
      <c r="N137" s="380"/>
      <c r="O137" s="380"/>
      <c r="P137" s="380"/>
      <c r="Q137" s="380"/>
      <c r="R137" s="232"/>
      <c r="S137" s="232"/>
      <c r="T137" s="232"/>
      <c r="U137" s="232"/>
      <c r="V137" s="232"/>
    </row>
    <row r="138" ht="15.75" customHeight="1">
      <c r="A138" s="232" t="s">
        <v>3473</v>
      </c>
      <c r="B138" s="232"/>
      <c r="C138" s="380"/>
      <c r="D138" s="380"/>
      <c r="E138" s="380"/>
      <c r="F138" s="380"/>
      <c r="G138" s="380"/>
      <c r="H138" s="380"/>
      <c r="I138" s="380"/>
      <c r="J138" s="380"/>
      <c r="K138" s="380"/>
      <c r="L138" s="380"/>
      <c r="M138" s="380"/>
      <c r="N138" s="380"/>
      <c r="O138" s="380"/>
      <c r="P138" s="380"/>
      <c r="Q138" s="380"/>
      <c r="R138" s="232"/>
      <c r="S138" s="232"/>
      <c r="T138" s="232"/>
      <c r="U138" s="232"/>
      <c r="V138" s="232"/>
    </row>
    <row r="139" ht="15.75" customHeight="1">
      <c r="A139" s="232" t="s">
        <v>3474</v>
      </c>
      <c r="B139" s="232"/>
      <c r="C139" s="380"/>
      <c r="D139" s="380"/>
      <c r="E139" s="380"/>
      <c r="F139" s="380"/>
      <c r="G139" s="380"/>
      <c r="H139" s="380"/>
      <c r="I139" s="380"/>
      <c r="J139" s="380"/>
      <c r="K139" s="380"/>
      <c r="L139" s="380"/>
      <c r="M139" s="380"/>
      <c r="N139" s="380"/>
      <c r="O139" s="380"/>
      <c r="P139" s="380"/>
      <c r="Q139" s="380"/>
      <c r="R139" s="232"/>
      <c r="S139" s="232"/>
      <c r="T139" s="232"/>
      <c r="U139" s="232"/>
      <c r="V139" s="232"/>
    </row>
    <row r="140" ht="15.75" customHeight="1">
      <c r="A140" s="232" t="s">
        <v>3475</v>
      </c>
      <c r="B140" s="232"/>
      <c r="C140" s="380"/>
      <c r="D140" s="380"/>
      <c r="E140" s="380"/>
      <c r="F140" s="380"/>
      <c r="G140" s="380"/>
      <c r="H140" s="380"/>
      <c r="I140" s="380"/>
      <c r="J140" s="380"/>
      <c r="K140" s="380"/>
      <c r="L140" s="380"/>
      <c r="M140" s="380"/>
      <c r="N140" s="380"/>
      <c r="O140" s="380"/>
      <c r="P140" s="380"/>
      <c r="Q140" s="380"/>
      <c r="R140" s="232"/>
      <c r="S140" s="232"/>
      <c r="T140" s="232"/>
      <c r="U140" s="232"/>
      <c r="V140" s="232"/>
    </row>
    <row r="141" ht="15.75" customHeight="1">
      <c r="A141" s="232" t="s">
        <v>3476</v>
      </c>
      <c r="B141" s="232"/>
      <c r="C141" s="380"/>
      <c r="D141" s="380"/>
      <c r="E141" s="380"/>
      <c r="F141" s="380"/>
      <c r="G141" s="380"/>
      <c r="H141" s="380"/>
      <c r="I141" s="380"/>
      <c r="J141" s="380"/>
      <c r="K141" s="380"/>
      <c r="L141" s="380"/>
      <c r="M141" s="380"/>
      <c r="N141" s="380"/>
      <c r="O141" s="380"/>
      <c r="P141" s="380"/>
      <c r="Q141" s="380"/>
      <c r="R141" s="232"/>
      <c r="S141" s="232"/>
      <c r="T141" s="232"/>
      <c r="U141" s="232"/>
      <c r="V141" s="232"/>
    </row>
    <row r="142" ht="15.75" customHeight="1">
      <c r="A142" s="232" t="s">
        <v>3477</v>
      </c>
      <c r="B142" s="232"/>
      <c r="C142" s="380"/>
      <c r="D142" s="380"/>
      <c r="E142" s="380"/>
      <c r="F142" s="380"/>
      <c r="G142" s="380"/>
      <c r="H142" s="380"/>
      <c r="I142" s="380"/>
      <c r="J142" s="380"/>
      <c r="K142" s="380"/>
      <c r="L142" s="380"/>
      <c r="M142" s="380"/>
      <c r="N142" s="380"/>
      <c r="O142" s="380"/>
      <c r="P142" s="380"/>
      <c r="Q142" s="380"/>
      <c r="R142" s="232"/>
      <c r="S142" s="232"/>
      <c r="T142" s="232"/>
      <c r="U142" s="232"/>
      <c r="V142" s="232"/>
    </row>
    <row r="143" ht="15.75" customHeight="1">
      <c r="A143" s="232" t="s">
        <v>3478</v>
      </c>
      <c r="B143" s="232"/>
      <c r="C143" s="380"/>
      <c r="D143" s="380"/>
      <c r="E143" s="380"/>
      <c r="F143" s="380"/>
      <c r="G143" s="380"/>
      <c r="H143" s="380"/>
      <c r="I143" s="380"/>
      <c r="J143" s="380"/>
      <c r="K143" s="380"/>
      <c r="L143" s="380"/>
      <c r="M143" s="380"/>
      <c r="N143" s="380"/>
      <c r="O143" s="380"/>
      <c r="P143" s="380"/>
      <c r="Q143" s="380"/>
      <c r="R143" s="232"/>
      <c r="S143" s="232"/>
      <c r="T143" s="232"/>
      <c r="U143" s="232"/>
      <c r="V143" s="232"/>
    </row>
    <row r="144" ht="15.75" customHeight="1">
      <c r="A144" s="232" t="s">
        <v>3479</v>
      </c>
      <c r="B144" s="232"/>
      <c r="C144" s="380"/>
      <c r="D144" s="380"/>
      <c r="E144" s="380"/>
      <c r="F144" s="380"/>
      <c r="G144" s="380"/>
      <c r="H144" s="380"/>
      <c r="I144" s="380"/>
      <c r="J144" s="380"/>
      <c r="K144" s="380"/>
      <c r="L144" s="380"/>
      <c r="M144" s="380"/>
      <c r="N144" s="380"/>
      <c r="O144" s="380"/>
      <c r="P144" s="380"/>
      <c r="Q144" s="380"/>
      <c r="R144" s="232"/>
      <c r="S144" s="232"/>
      <c r="T144" s="232"/>
      <c r="U144" s="232"/>
      <c r="V144" s="232"/>
    </row>
    <row r="145" ht="15.75" customHeight="1">
      <c r="A145" s="232" t="s">
        <v>3480</v>
      </c>
      <c r="B145" s="232"/>
      <c r="C145" s="380"/>
      <c r="D145" s="380"/>
      <c r="E145" s="380"/>
      <c r="F145" s="380"/>
      <c r="G145" s="380"/>
      <c r="H145" s="380"/>
      <c r="I145" s="380"/>
      <c r="J145" s="380"/>
      <c r="K145" s="380"/>
      <c r="L145" s="380"/>
      <c r="M145" s="380"/>
      <c r="N145" s="380"/>
      <c r="O145" s="380"/>
      <c r="P145" s="380"/>
      <c r="Q145" s="380"/>
      <c r="R145" s="232"/>
      <c r="S145" s="232"/>
      <c r="T145" s="232"/>
      <c r="U145" s="232"/>
      <c r="V145" s="232"/>
    </row>
    <row r="146" ht="15.75" customHeight="1">
      <c r="A146" s="232" t="s">
        <v>3481</v>
      </c>
      <c r="B146" s="232"/>
      <c r="C146" s="380"/>
      <c r="D146" s="380"/>
      <c r="E146" s="380"/>
      <c r="F146" s="380"/>
      <c r="G146" s="380"/>
      <c r="H146" s="380"/>
      <c r="I146" s="380"/>
      <c r="J146" s="380"/>
      <c r="K146" s="380"/>
      <c r="L146" s="380"/>
      <c r="M146" s="380"/>
      <c r="N146" s="380"/>
      <c r="O146" s="380"/>
      <c r="P146" s="380"/>
      <c r="Q146" s="380"/>
      <c r="R146" s="232"/>
      <c r="S146" s="232"/>
      <c r="T146" s="232"/>
      <c r="U146" s="232"/>
      <c r="V146" s="232"/>
    </row>
    <row r="147" ht="15.75" customHeight="1">
      <c r="A147" s="232" t="s">
        <v>3482</v>
      </c>
      <c r="B147" s="380"/>
      <c r="C147" s="380"/>
      <c r="D147" s="380"/>
      <c r="E147" s="380"/>
      <c r="F147" s="380"/>
      <c r="G147" s="380"/>
      <c r="H147" s="380"/>
      <c r="I147" s="380"/>
      <c r="J147" s="380"/>
      <c r="K147" s="380"/>
      <c r="L147" s="380"/>
      <c r="M147" s="380"/>
      <c r="N147" s="380"/>
      <c r="O147" s="380"/>
      <c r="P147" s="380"/>
      <c r="Q147" s="380"/>
      <c r="R147" s="232"/>
      <c r="S147" s="232"/>
      <c r="T147" s="232"/>
      <c r="U147" s="232"/>
      <c r="V147" s="232"/>
    </row>
    <row r="148" ht="15.75" customHeight="1">
      <c r="A148" s="232" t="s">
        <v>3483</v>
      </c>
      <c r="B148" s="380"/>
      <c r="C148" s="380"/>
      <c r="D148" s="380"/>
      <c r="E148" s="380"/>
      <c r="F148" s="380"/>
      <c r="G148" s="380"/>
      <c r="H148" s="380"/>
      <c r="I148" s="380"/>
      <c r="J148" s="380"/>
      <c r="K148" s="380"/>
      <c r="L148" s="380"/>
      <c r="M148" s="380"/>
      <c r="N148" s="380"/>
      <c r="O148" s="380"/>
      <c r="P148" s="380"/>
      <c r="Q148" s="380"/>
      <c r="R148" s="232"/>
      <c r="S148" s="232"/>
      <c r="T148" s="232"/>
      <c r="U148" s="232"/>
      <c r="V148" s="232"/>
    </row>
    <row r="149" ht="15.75" customHeight="1">
      <c r="A149" s="232" t="s">
        <v>3484</v>
      </c>
      <c r="B149" s="380"/>
      <c r="C149" s="380"/>
      <c r="D149" s="380"/>
      <c r="E149" s="380"/>
      <c r="F149" s="380"/>
      <c r="G149" s="380"/>
      <c r="H149" s="380"/>
      <c r="I149" s="380"/>
      <c r="J149" s="380"/>
      <c r="K149" s="380"/>
      <c r="L149" s="380"/>
      <c r="M149" s="380"/>
      <c r="N149" s="380"/>
      <c r="O149" s="380"/>
      <c r="P149" s="380"/>
      <c r="Q149" s="380"/>
      <c r="R149" s="232"/>
      <c r="S149" s="232"/>
      <c r="T149" s="232"/>
      <c r="U149" s="232"/>
      <c r="V149" s="232"/>
    </row>
    <row r="150" ht="15.75" customHeight="1">
      <c r="A150" s="232" t="s">
        <v>3485</v>
      </c>
      <c r="B150" s="380"/>
      <c r="C150" s="380"/>
      <c r="D150" s="380"/>
      <c r="E150" s="380"/>
      <c r="F150" s="380"/>
      <c r="G150" s="380"/>
      <c r="H150" s="380"/>
      <c r="I150" s="380"/>
      <c r="J150" s="380"/>
      <c r="K150" s="380"/>
      <c r="L150" s="380"/>
      <c r="M150" s="380"/>
      <c r="N150" s="380"/>
      <c r="O150" s="380"/>
      <c r="P150" s="380"/>
      <c r="Q150" s="380"/>
      <c r="R150" s="232"/>
      <c r="S150" s="232"/>
      <c r="T150" s="232"/>
      <c r="U150" s="232"/>
      <c r="V150" s="232"/>
    </row>
    <row r="151" ht="15.75" customHeight="1">
      <c r="A151" s="232" t="s">
        <v>3486</v>
      </c>
      <c r="B151" s="380"/>
      <c r="C151" s="380"/>
      <c r="D151" s="380"/>
      <c r="E151" s="380"/>
      <c r="F151" s="380"/>
      <c r="G151" s="380"/>
      <c r="H151" s="380"/>
      <c r="I151" s="380"/>
      <c r="J151" s="380"/>
      <c r="K151" s="380"/>
      <c r="L151" s="380"/>
      <c r="M151" s="380"/>
      <c r="N151" s="380"/>
      <c r="O151" s="380"/>
      <c r="P151" s="380"/>
      <c r="Q151" s="380"/>
      <c r="R151" s="232"/>
      <c r="S151" s="232"/>
      <c r="T151" s="232"/>
      <c r="U151" s="232"/>
      <c r="V151" s="232"/>
    </row>
    <row r="152" ht="15.75" customHeight="1">
      <c r="A152" s="232" t="s">
        <v>3487</v>
      </c>
      <c r="B152" s="380"/>
      <c r="C152" s="380"/>
      <c r="D152" s="380"/>
      <c r="E152" s="380"/>
      <c r="F152" s="380"/>
      <c r="G152" s="380"/>
      <c r="H152" s="380"/>
      <c r="I152" s="380"/>
      <c r="J152" s="380"/>
      <c r="K152" s="380"/>
      <c r="L152" s="380"/>
      <c r="M152" s="380"/>
      <c r="N152" s="380"/>
      <c r="O152" s="380"/>
      <c r="P152" s="380"/>
      <c r="Q152" s="380"/>
      <c r="R152" s="232"/>
      <c r="S152" s="232"/>
      <c r="T152" s="232"/>
      <c r="U152" s="232"/>
      <c r="V152" s="232"/>
    </row>
    <row r="153" ht="15.75" customHeight="1">
      <c r="A153" s="232" t="s">
        <v>3488</v>
      </c>
      <c r="B153" s="380"/>
      <c r="C153" s="380"/>
      <c r="D153" s="380"/>
      <c r="E153" s="380"/>
      <c r="F153" s="380"/>
      <c r="G153" s="380"/>
      <c r="H153" s="380"/>
      <c r="I153" s="380"/>
      <c r="J153" s="380"/>
      <c r="K153" s="380"/>
      <c r="L153" s="380"/>
      <c r="M153" s="380"/>
      <c r="N153" s="380"/>
      <c r="O153" s="380"/>
      <c r="P153" s="380"/>
      <c r="Q153" s="380"/>
      <c r="R153" s="232"/>
      <c r="S153" s="232"/>
      <c r="T153" s="232"/>
      <c r="U153" s="232"/>
      <c r="V153" s="232"/>
    </row>
    <row r="154" ht="15.75" customHeight="1">
      <c r="A154" s="232" t="s">
        <v>3489</v>
      </c>
      <c r="B154" s="380"/>
      <c r="C154" s="380"/>
      <c r="D154" s="380"/>
      <c r="E154" s="380"/>
      <c r="F154" s="380"/>
      <c r="G154" s="380"/>
      <c r="H154" s="380"/>
      <c r="I154" s="380"/>
      <c r="J154" s="380"/>
      <c r="K154" s="380"/>
      <c r="L154" s="380"/>
      <c r="M154" s="380"/>
      <c r="N154" s="380"/>
      <c r="O154" s="380"/>
      <c r="P154" s="380"/>
      <c r="Q154" s="380"/>
      <c r="R154" s="232"/>
      <c r="S154" s="232"/>
      <c r="T154" s="232"/>
      <c r="U154" s="232"/>
      <c r="V154" s="232"/>
    </row>
    <row r="155" ht="15.75" customHeight="1">
      <c r="A155" s="232" t="s">
        <v>3490</v>
      </c>
      <c r="B155" s="380"/>
      <c r="C155" s="380"/>
      <c r="D155" s="380"/>
      <c r="E155" s="380"/>
      <c r="F155" s="380"/>
      <c r="G155" s="380"/>
      <c r="H155" s="380"/>
      <c r="I155" s="380"/>
      <c r="J155" s="380"/>
      <c r="K155" s="380"/>
      <c r="L155" s="380"/>
      <c r="M155" s="380"/>
      <c r="N155" s="380"/>
      <c r="O155" s="380"/>
      <c r="P155" s="380"/>
      <c r="Q155" s="380"/>
      <c r="R155" s="232"/>
      <c r="S155" s="232"/>
      <c r="T155" s="232"/>
      <c r="U155" s="232"/>
      <c r="V155" s="232"/>
    </row>
    <row r="156" ht="15.75" customHeight="1">
      <c r="A156" s="232" t="s">
        <v>183</v>
      </c>
      <c r="B156" s="232"/>
      <c r="C156" s="380"/>
      <c r="D156" s="380"/>
      <c r="E156" s="380"/>
      <c r="F156" s="380"/>
      <c r="G156" s="380"/>
      <c r="H156" s="380"/>
      <c r="I156" s="380"/>
      <c r="J156" s="380"/>
      <c r="K156" s="380"/>
      <c r="L156" s="380"/>
      <c r="M156" s="380"/>
      <c r="N156" s="380"/>
      <c r="O156" s="380"/>
      <c r="P156" s="380"/>
      <c r="Q156" s="380"/>
      <c r="R156" s="232"/>
      <c r="S156" s="232"/>
      <c r="T156" s="232"/>
      <c r="U156" s="232"/>
      <c r="V156" s="232"/>
    </row>
    <row r="157" ht="15.75" customHeight="1">
      <c r="A157" s="232" t="s">
        <v>3491</v>
      </c>
      <c r="B157" s="232"/>
      <c r="C157" s="380"/>
      <c r="D157" s="380"/>
      <c r="E157" s="380"/>
      <c r="F157" s="380"/>
      <c r="G157" s="380"/>
      <c r="H157" s="380"/>
      <c r="I157" s="380"/>
      <c r="J157" s="380"/>
      <c r="K157" s="380"/>
      <c r="L157" s="380"/>
      <c r="M157" s="380"/>
      <c r="N157" s="380"/>
      <c r="O157" s="380"/>
      <c r="P157" s="380"/>
      <c r="Q157" s="380"/>
      <c r="R157" s="232"/>
      <c r="S157" s="232"/>
      <c r="T157" s="232"/>
      <c r="U157" s="232"/>
      <c r="V157" s="232"/>
    </row>
    <row r="158" ht="15.75" customHeight="1">
      <c r="A158" s="232" t="s">
        <v>3492</v>
      </c>
      <c r="B158" s="232"/>
      <c r="C158" s="380"/>
      <c r="D158" s="380"/>
      <c r="E158" s="380"/>
      <c r="F158" s="380"/>
      <c r="G158" s="380"/>
      <c r="H158" s="380"/>
      <c r="I158" s="380"/>
      <c r="J158" s="380"/>
      <c r="K158" s="380"/>
      <c r="L158" s="380"/>
      <c r="M158" s="380"/>
      <c r="N158" s="380"/>
      <c r="O158" s="380"/>
      <c r="P158" s="380"/>
      <c r="Q158" s="380"/>
      <c r="R158" s="232"/>
      <c r="S158" s="232"/>
      <c r="T158" s="232"/>
      <c r="U158" s="232"/>
      <c r="V158" s="232"/>
    </row>
    <row r="159" ht="15.75" customHeight="1">
      <c r="A159" s="232" t="s">
        <v>3493</v>
      </c>
      <c r="B159" s="232"/>
      <c r="C159" s="380"/>
      <c r="D159" s="380"/>
      <c r="E159" s="380"/>
      <c r="F159" s="380"/>
      <c r="G159" s="380"/>
      <c r="H159" s="380"/>
      <c r="I159" s="380"/>
      <c r="J159" s="380"/>
      <c r="K159" s="380"/>
      <c r="L159" s="380"/>
      <c r="M159" s="380"/>
      <c r="N159" s="380"/>
      <c r="O159" s="380"/>
      <c r="P159" s="380"/>
      <c r="Q159" s="380"/>
      <c r="R159" s="232"/>
      <c r="S159" s="232"/>
      <c r="T159" s="232"/>
      <c r="U159" s="232"/>
      <c r="V159" s="232"/>
    </row>
    <row r="160" ht="15.75" customHeight="1">
      <c r="A160" s="232" t="s">
        <v>3494</v>
      </c>
      <c r="B160" s="232"/>
      <c r="C160" s="380"/>
      <c r="D160" s="380"/>
      <c r="E160" s="380"/>
      <c r="F160" s="380"/>
      <c r="G160" s="380"/>
      <c r="H160" s="380"/>
      <c r="I160" s="380"/>
      <c r="J160" s="380"/>
      <c r="K160" s="380"/>
      <c r="L160" s="380"/>
      <c r="M160" s="380"/>
      <c r="N160" s="380"/>
      <c r="O160" s="380"/>
      <c r="P160" s="380"/>
      <c r="Q160" s="380"/>
      <c r="R160" s="232"/>
      <c r="S160" s="232"/>
      <c r="T160" s="232"/>
      <c r="U160" s="232"/>
      <c r="V160" s="232"/>
    </row>
    <row r="161" ht="15.75" customHeight="1">
      <c r="A161" s="232" t="s">
        <v>3495</v>
      </c>
      <c r="B161" s="232"/>
      <c r="C161" s="380"/>
      <c r="D161" s="380"/>
      <c r="E161" s="380"/>
      <c r="F161" s="380"/>
      <c r="G161" s="380"/>
      <c r="H161" s="380"/>
      <c r="I161" s="380"/>
      <c r="J161" s="380"/>
      <c r="K161" s="380"/>
      <c r="L161" s="380"/>
      <c r="M161" s="380"/>
      <c r="N161" s="380"/>
      <c r="O161" s="380"/>
      <c r="P161" s="380"/>
      <c r="Q161" s="380"/>
      <c r="R161" s="232"/>
      <c r="S161" s="232"/>
      <c r="T161" s="232"/>
      <c r="U161" s="232"/>
      <c r="V161" s="232"/>
    </row>
    <row r="162" ht="15.75" customHeight="1">
      <c r="A162" s="232" t="s">
        <v>3496</v>
      </c>
      <c r="B162" s="232"/>
      <c r="C162" s="380"/>
      <c r="D162" s="380"/>
      <c r="E162" s="380"/>
      <c r="F162" s="380"/>
      <c r="G162" s="380"/>
      <c r="H162" s="380"/>
      <c r="I162" s="380"/>
      <c r="J162" s="380"/>
      <c r="K162" s="380"/>
      <c r="L162" s="380"/>
      <c r="M162" s="380"/>
      <c r="N162" s="380"/>
      <c r="O162" s="380"/>
      <c r="P162" s="380"/>
      <c r="Q162" s="380"/>
      <c r="R162" s="232"/>
      <c r="S162" s="232"/>
      <c r="T162" s="232"/>
      <c r="U162" s="232"/>
      <c r="V162" s="232"/>
    </row>
    <row r="163" ht="15.75" customHeight="1">
      <c r="A163" s="232" t="s">
        <v>3497</v>
      </c>
      <c r="B163" s="232"/>
      <c r="C163" s="380"/>
      <c r="D163" s="380"/>
      <c r="E163" s="380"/>
      <c r="F163" s="380"/>
      <c r="G163" s="380"/>
      <c r="H163" s="380"/>
      <c r="I163" s="380"/>
      <c r="J163" s="380"/>
      <c r="K163" s="380"/>
      <c r="L163" s="380"/>
      <c r="M163" s="380"/>
      <c r="N163" s="380"/>
      <c r="O163" s="380"/>
      <c r="P163" s="380"/>
      <c r="Q163" s="380"/>
      <c r="R163" s="232"/>
      <c r="S163" s="232"/>
      <c r="T163" s="232"/>
      <c r="U163" s="232"/>
      <c r="V163" s="232"/>
    </row>
    <row r="164" ht="15.75" customHeight="1">
      <c r="A164" s="232" t="s">
        <v>3498</v>
      </c>
      <c r="B164" s="232"/>
      <c r="C164" s="380"/>
      <c r="D164" s="380"/>
      <c r="E164" s="380"/>
      <c r="F164" s="380"/>
      <c r="G164" s="380"/>
      <c r="H164" s="380"/>
      <c r="I164" s="380"/>
      <c r="J164" s="380"/>
      <c r="K164" s="380"/>
      <c r="L164" s="380"/>
      <c r="M164" s="380"/>
      <c r="N164" s="380"/>
      <c r="O164" s="380"/>
      <c r="P164" s="380"/>
      <c r="Q164" s="380"/>
      <c r="R164" s="232"/>
      <c r="S164" s="232"/>
      <c r="T164" s="232"/>
      <c r="U164" s="232"/>
      <c r="V164" s="232"/>
    </row>
    <row r="165" ht="15.75" customHeight="1">
      <c r="A165" s="232" t="s">
        <v>3499</v>
      </c>
      <c r="B165" s="232"/>
      <c r="C165" s="380"/>
      <c r="D165" s="380"/>
      <c r="E165" s="380"/>
      <c r="F165" s="380"/>
      <c r="G165" s="380"/>
      <c r="H165" s="380"/>
      <c r="I165" s="380"/>
      <c r="J165" s="380"/>
      <c r="K165" s="380"/>
      <c r="L165" s="380"/>
      <c r="M165" s="380"/>
      <c r="N165" s="380"/>
      <c r="O165" s="380"/>
      <c r="P165" s="380"/>
      <c r="Q165" s="380"/>
      <c r="R165" s="232"/>
      <c r="S165" s="232"/>
      <c r="T165" s="232"/>
      <c r="U165" s="232"/>
      <c r="V165" s="232"/>
    </row>
    <row r="166" ht="15.75" customHeight="1">
      <c r="A166" s="232" t="s">
        <v>3500</v>
      </c>
      <c r="B166" s="232"/>
      <c r="C166" s="380"/>
      <c r="D166" s="380"/>
      <c r="E166" s="380"/>
      <c r="F166" s="380"/>
      <c r="G166" s="380"/>
      <c r="H166" s="380"/>
      <c r="I166" s="380"/>
      <c r="J166" s="380"/>
      <c r="K166" s="380"/>
      <c r="L166" s="380"/>
      <c r="M166" s="380"/>
      <c r="N166" s="380"/>
      <c r="O166" s="380"/>
      <c r="P166" s="380"/>
      <c r="Q166" s="380"/>
      <c r="R166" s="232"/>
      <c r="S166" s="232"/>
      <c r="T166" s="232"/>
      <c r="U166" s="232"/>
      <c r="V166" s="232"/>
    </row>
    <row r="167" ht="15.75" customHeight="1">
      <c r="A167" s="232" t="s">
        <v>3501</v>
      </c>
      <c r="B167" s="232"/>
      <c r="C167" s="380"/>
      <c r="D167" s="380"/>
      <c r="E167" s="380"/>
      <c r="F167" s="380"/>
      <c r="G167" s="380"/>
      <c r="H167" s="380"/>
      <c r="I167" s="380"/>
      <c r="J167" s="380"/>
      <c r="K167" s="380"/>
      <c r="L167" s="380"/>
      <c r="M167" s="380"/>
      <c r="N167" s="380"/>
      <c r="O167" s="380"/>
      <c r="P167" s="380"/>
      <c r="Q167" s="380"/>
      <c r="R167" s="232"/>
      <c r="S167" s="232"/>
      <c r="T167" s="232"/>
      <c r="U167" s="232"/>
      <c r="V167" s="232"/>
    </row>
    <row r="168" ht="15.75" customHeight="1">
      <c r="A168" s="232" t="s">
        <v>3502</v>
      </c>
      <c r="B168" s="232"/>
      <c r="C168" s="380"/>
      <c r="D168" s="380"/>
      <c r="E168" s="380"/>
      <c r="F168" s="380"/>
      <c r="G168" s="380"/>
      <c r="H168" s="380"/>
      <c r="I168" s="380"/>
      <c r="J168" s="380"/>
      <c r="K168" s="380"/>
      <c r="L168" s="380"/>
      <c r="M168" s="380"/>
      <c r="N168" s="380"/>
      <c r="O168" s="380"/>
      <c r="P168" s="380"/>
      <c r="Q168" s="380"/>
      <c r="R168" s="232"/>
      <c r="S168" s="232"/>
      <c r="T168" s="232"/>
      <c r="U168" s="232"/>
      <c r="V168" s="232"/>
    </row>
    <row r="169" ht="15.75" customHeight="1">
      <c r="A169" s="232" t="s">
        <v>3503</v>
      </c>
      <c r="B169" s="232"/>
      <c r="C169" s="380"/>
      <c r="D169" s="380"/>
      <c r="E169" s="380"/>
      <c r="F169" s="380"/>
      <c r="G169" s="380"/>
      <c r="H169" s="380"/>
      <c r="I169" s="380"/>
      <c r="J169" s="380"/>
      <c r="K169" s="380"/>
      <c r="L169" s="380"/>
      <c r="M169" s="380"/>
      <c r="N169" s="380"/>
      <c r="O169" s="380"/>
      <c r="P169" s="380"/>
      <c r="Q169" s="380"/>
      <c r="R169" s="232"/>
      <c r="S169" s="232"/>
      <c r="T169" s="232"/>
      <c r="U169" s="232"/>
      <c r="V169" s="232"/>
    </row>
    <row r="170" ht="15.75" customHeight="1">
      <c r="A170" s="232" t="s">
        <v>3504</v>
      </c>
      <c r="B170" s="232"/>
      <c r="C170" s="380"/>
      <c r="D170" s="380"/>
      <c r="E170" s="380"/>
      <c r="F170" s="380"/>
      <c r="G170" s="380"/>
      <c r="H170" s="380"/>
      <c r="I170" s="380"/>
      <c r="J170" s="380"/>
      <c r="K170" s="380"/>
      <c r="L170" s="380"/>
      <c r="M170" s="380"/>
      <c r="N170" s="380"/>
      <c r="O170" s="380"/>
      <c r="P170" s="380"/>
      <c r="Q170" s="380"/>
      <c r="R170" s="232"/>
      <c r="S170" s="232"/>
      <c r="T170" s="232"/>
      <c r="U170" s="232"/>
      <c r="V170" s="232"/>
    </row>
    <row r="171" ht="15.75" customHeight="1">
      <c r="A171" s="232" t="s">
        <v>3505</v>
      </c>
      <c r="B171" s="232"/>
      <c r="C171" s="380"/>
      <c r="D171" s="380"/>
      <c r="E171" s="380"/>
      <c r="F171" s="380"/>
      <c r="G171" s="380"/>
      <c r="H171" s="380"/>
      <c r="I171" s="380"/>
      <c r="J171" s="380"/>
      <c r="K171" s="380"/>
      <c r="L171" s="380"/>
      <c r="M171" s="380"/>
      <c r="N171" s="380"/>
      <c r="O171" s="380"/>
      <c r="P171" s="380"/>
      <c r="Q171" s="380"/>
      <c r="R171" s="232"/>
      <c r="S171" s="232"/>
      <c r="T171" s="232"/>
      <c r="U171" s="232"/>
      <c r="V171" s="232"/>
    </row>
    <row r="172" ht="15.75" customHeight="1">
      <c r="A172" s="232" t="s">
        <v>3506</v>
      </c>
      <c r="B172" s="232"/>
      <c r="C172" s="380"/>
      <c r="D172" s="380"/>
      <c r="E172" s="380"/>
      <c r="F172" s="380"/>
      <c r="G172" s="380"/>
      <c r="H172" s="380"/>
      <c r="I172" s="380"/>
      <c r="J172" s="380"/>
      <c r="K172" s="380"/>
      <c r="L172" s="380"/>
      <c r="M172" s="380"/>
      <c r="N172" s="380"/>
      <c r="O172" s="380"/>
      <c r="P172" s="380"/>
      <c r="Q172" s="380"/>
      <c r="R172" s="232"/>
      <c r="S172" s="232"/>
      <c r="T172" s="232"/>
      <c r="U172" s="232"/>
      <c r="V172" s="232"/>
    </row>
    <row r="173" ht="15.75" customHeight="1">
      <c r="A173" s="232" t="s">
        <v>3507</v>
      </c>
      <c r="B173" s="232"/>
      <c r="C173" s="380"/>
      <c r="D173" s="380"/>
      <c r="E173" s="380"/>
      <c r="F173" s="380"/>
      <c r="G173" s="380"/>
      <c r="H173" s="380"/>
      <c r="I173" s="380"/>
      <c r="J173" s="380"/>
      <c r="K173" s="380"/>
      <c r="L173" s="380"/>
      <c r="M173" s="380"/>
      <c r="N173" s="380"/>
      <c r="O173" s="380"/>
      <c r="P173" s="380"/>
      <c r="Q173" s="380"/>
      <c r="R173" s="232"/>
      <c r="S173" s="232"/>
      <c r="T173" s="232"/>
      <c r="U173" s="232"/>
      <c r="V173" s="232"/>
    </row>
    <row r="174" ht="15.75" customHeight="1">
      <c r="A174" s="232" t="s">
        <v>3508</v>
      </c>
      <c r="B174" s="232"/>
      <c r="C174" s="380"/>
      <c r="D174" s="380"/>
      <c r="E174" s="380"/>
      <c r="F174" s="380"/>
      <c r="G174" s="380"/>
      <c r="H174" s="380"/>
      <c r="I174" s="380"/>
      <c r="J174" s="380"/>
      <c r="K174" s="380"/>
      <c r="L174" s="380"/>
      <c r="M174" s="380"/>
      <c r="N174" s="380"/>
      <c r="O174" s="380"/>
      <c r="P174" s="380"/>
      <c r="Q174" s="380"/>
      <c r="R174" s="232"/>
      <c r="S174" s="232"/>
      <c r="T174" s="232"/>
      <c r="U174" s="232"/>
      <c r="V174" s="232"/>
    </row>
    <row r="175" ht="15.75" customHeight="1">
      <c r="A175" s="232" t="s">
        <v>3509</v>
      </c>
      <c r="B175" s="232"/>
      <c r="C175" s="380"/>
      <c r="D175" s="380"/>
      <c r="E175" s="380"/>
      <c r="F175" s="380"/>
      <c r="G175" s="380"/>
      <c r="H175" s="380"/>
      <c r="I175" s="380"/>
      <c r="J175" s="380"/>
      <c r="K175" s="380"/>
      <c r="L175" s="380"/>
      <c r="M175" s="380"/>
      <c r="N175" s="380"/>
      <c r="O175" s="380"/>
      <c r="P175" s="380"/>
      <c r="Q175" s="380"/>
      <c r="R175" s="232"/>
      <c r="S175" s="232"/>
      <c r="T175" s="232"/>
      <c r="U175" s="232"/>
      <c r="V175" s="232"/>
    </row>
    <row r="176" ht="15.75" customHeight="1">
      <c r="A176" s="232" t="s">
        <v>3510</v>
      </c>
      <c r="B176" s="232"/>
      <c r="C176" s="380"/>
      <c r="D176" s="380"/>
      <c r="E176" s="380"/>
      <c r="F176" s="380"/>
      <c r="G176" s="380"/>
      <c r="H176" s="380"/>
      <c r="I176" s="380"/>
      <c r="J176" s="380"/>
      <c r="K176" s="380"/>
      <c r="L176" s="380"/>
      <c r="M176" s="380"/>
      <c r="N176" s="380"/>
      <c r="O176" s="380"/>
      <c r="P176" s="380"/>
      <c r="Q176" s="380"/>
      <c r="R176" s="232"/>
      <c r="S176" s="232"/>
      <c r="T176" s="232"/>
      <c r="U176" s="232"/>
      <c r="V176" s="232"/>
    </row>
    <row r="177" ht="15.75" customHeight="1">
      <c r="A177" s="232" t="s">
        <v>3511</v>
      </c>
      <c r="B177" s="232"/>
      <c r="C177" s="380"/>
      <c r="D177" s="380"/>
      <c r="E177" s="380"/>
      <c r="F177" s="380"/>
      <c r="G177" s="380"/>
      <c r="H177" s="380"/>
      <c r="I177" s="380"/>
      <c r="J177" s="380"/>
      <c r="K177" s="380"/>
      <c r="L177" s="380"/>
      <c r="M177" s="380"/>
      <c r="N177" s="380"/>
      <c r="O177" s="380"/>
      <c r="P177" s="380"/>
      <c r="Q177" s="380"/>
      <c r="R177" s="232"/>
      <c r="S177" s="232"/>
      <c r="T177" s="232"/>
      <c r="U177" s="232"/>
      <c r="V177" s="232"/>
    </row>
    <row r="178" ht="15.75" customHeight="1">
      <c r="A178" s="232" t="s">
        <v>3512</v>
      </c>
      <c r="B178" s="232"/>
      <c r="C178" s="380"/>
      <c r="D178" s="380"/>
      <c r="E178" s="380"/>
      <c r="F178" s="380"/>
      <c r="G178" s="380"/>
      <c r="H178" s="380"/>
      <c r="I178" s="380"/>
      <c r="J178" s="380"/>
      <c r="K178" s="380"/>
      <c r="L178" s="380"/>
      <c r="M178" s="380"/>
      <c r="N178" s="380"/>
      <c r="O178" s="380"/>
      <c r="P178" s="380"/>
      <c r="Q178" s="380"/>
      <c r="R178" s="232"/>
      <c r="S178" s="232"/>
      <c r="T178" s="232"/>
      <c r="U178" s="232"/>
      <c r="V178" s="232"/>
    </row>
    <row r="179" ht="15.75" customHeight="1">
      <c r="A179" s="232" t="s">
        <v>3513</v>
      </c>
      <c r="B179" s="232"/>
      <c r="C179" s="380"/>
      <c r="D179" s="380"/>
      <c r="E179" s="380"/>
      <c r="F179" s="380"/>
      <c r="G179" s="380"/>
      <c r="H179" s="380"/>
      <c r="I179" s="380"/>
      <c r="J179" s="380"/>
      <c r="K179" s="380"/>
      <c r="L179" s="380"/>
      <c r="M179" s="380"/>
      <c r="N179" s="380"/>
      <c r="O179" s="380"/>
      <c r="P179" s="380"/>
      <c r="Q179" s="380"/>
      <c r="R179" s="232"/>
      <c r="S179" s="232"/>
      <c r="T179" s="232"/>
      <c r="U179" s="232"/>
      <c r="V179" s="232"/>
    </row>
    <row r="180" ht="15.75" customHeight="1">
      <c r="A180" s="232" t="s">
        <v>3514</v>
      </c>
      <c r="B180" s="232"/>
      <c r="C180" s="380"/>
      <c r="D180" s="380"/>
      <c r="E180" s="380"/>
      <c r="F180" s="380"/>
      <c r="G180" s="380"/>
      <c r="H180" s="380"/>
      <c r="I180" s="380"/>
      <c r="J180" s="380"/>
      <c r="K180" s="380"/>
      <c r="L180" s="380"/>
      <c r="M180" s="380"/>
      <c r="N180" s="380"/>
      <c r="O180" s="380"/>
      <c r="P180" s="380"/>
      <c r="Q180" s="380"/>
      <c r="R180" s="232"/>
      <c r="S180" s="232"/>
      <c r="T180" s="232"/>
      <c r="U180" s="232"/>
      <c r="V180" s="232"/>
    </row>
    <row r="181" ht="15.75" customHeight="1">
      <c r="A181" s="232" t="s">
        <v>3515</v>
      </c>
      <c r="B181" s="232"/>
      <c r="C181" s="380"/>
      <c r="D181" s="380"/>
      <c r="E181" s="380"/>
      <c r="F181" s="380"/>
      <c r="G181" s="380"/>
      <c r="H181" s="380"/>
      <c r="I181" s="380"/>
      <c r="J181" s="380"/>
      <c r="K181" s="380"/>
      <c r="L181" s="380"/>
      <c r="M181" s="380"/>
      <c r="N181" s="380"/>
      <c r="O181" s="380"/>
      <c r="P181" s="380"/>
      <c r="Q181" s="380"/>
      <c r="R181" s="232"/>
      <c r="S181" s="232"/>
      <c r="T181" s="232"/>
      <c r="U181" s="232"/>
      <c r="V181" s="232"/>
    </row>
    <row r="182" ht="15.75" customHeight="1">
      <c r="A182" s="232" t="s">
        <v>3516</v>
      </c>
      <c r="B182" s="232"/>
      <c r="C182" s="380"/>
      <c r="D182" s="380"/>
      <c r="E182" s="380"/>
      <c r="F182" s="380"/>
      <c r="G182" s="380"/>
      <c r="H182" s="380"/>
      <c r="I182" s="380"/>
      <c r="J182" s="380"/>
      <c r="K182" s="380"/>
      <c r="L182" s="380"/>
      <c r="M182" s="380"/>
      <c r="N182" s="380"/>
      <c r="O182" s="380"/>
      <c r="P182" s="380"/>
      <c r="Q182" s="380"/>
      <c r="R182" s="232"/>
      <c r="S182" s="232"/>
      <c r="T182" s="232"/>
      <c r="U182" s="232"/>
      <c r="V182" s="232"/>
    </row>
    <row r="183" ht="15.75" customHeight="1">
      <c r="A183" s="232" t="s">
        <v>3517</v>
      </c>
      <c r="B183" s="232"/>
      <c r="C183" s="380"/>
      <c r="D183" s="380"/>
      <c r="E183" s="380"/>
      <c r="F183" s="380"/>
      <c r="G183" s="380"/>
      <c r="H183" s="380"/>
      <c r="I183" s="380"/>
      <c r="J183" s="380"/>
      <c r="K183" s="380"/>
      <c r="L183" s="380"/>
      <c r="M183" s="380"/>
      <c r="N183" s="380"/>
      <c r="O183" s="380"/>
      <c r="P183" s="380"/>
      <c r="Q183" s="380"/>
      <c r="R183" s="232"/>
      <c r="S183" s="232"/>
      <c r="T183" s="232"/>
      <c r="U183" s="232"/>
      <c r="V183" s="232"/>
    </row>
    <row r="184" ht="15.75" customHeight="1">
      <c r="A184" s="232" t="s">
        <v>3518</v>
      </c>
      <c r="B184" s="232"/>
      <c r="C184" s="380"/>
      <c r="D184" s="380"/>
      <c r="E184" s="380"/>
      <c r="F184" s="380"/>
      <c r="G184" s="380"/>
      <c r="H184" s="380"/>
      <c r="I184" s="380"/>
      <c r="J184" s="380"/>
      <c r="K184" s="380"/>
      <c r="L184" s="380"/>
      <c r="M184" s="380"/>
      <c r="N184" s="380"/>
      <c r="O184" s="380"/>
      <c r="P184" s="380"/>
      <c r="Q184" s="380"/>
      <c r="R184" s="232"/>
      <c r="S184" s="232"/>
      <c r="T184" s="232"/>
      <c r="U184" s="232"/>
      <c r="V184" s="232"/>
    </row>
    <row r="185" ht="15.75" customHeight="1">
      <c r="A185" s="232" t="s">
        <v>3519</v>
      </c>
      <c r="B185" s="232"/>
      <c r="C185" s="380"/>
      <c r="D185" s="380"/>
      <c r="E185" s="380"/>
      <c r="F185" s="380"/>
      <c r="G185" s="380"/>
      <c r="H185" s="380"/>
      <c r="I185" s="380"/>
      <c r="J185" s="380"/>
      <c r="K185" s="380"/>
      <c r="L185" s="380"/>
      <c r="M185" s="380"/>
      <c r="N185" s="380"/>
      <c r="O185" s="380"/>
      <c r="P185" s="380"/>
      <c r="Q185" s="380"/>
      <c r="R185" s="232"/>
      <c r="S185" s="232"/>
      <c r="T185" s="232"/>
      <c r="U185" s="232"/>
      <c r="V185" s="232"/>
    </row>
    <row r="186" ht="15.75" customHeight="1">
      <c r="A186" s="232" t="s">
        <v>3520</v>
      </c>
      <c r="B186" s="232"/>
      <c r="C186" s="380"/>
      <c r="D186" s="380"/>
      <c r="E186" s="380"/>
      <c r="F186" s="380"/>
      <c r="G186" s="380"/>
      <c r="H186" s="380"/>
      <c r="I186" s="380"/>
      <c r="J186" s="380"/>
      <c r="K186" s="380"/>
      <c r="L186" s="380"/>
      <c r="M186" s="380"/>
      <c r="N186" s="380"/>
      <c r="O186" s="380"/>
      <c r="P186" s="380"/>
      <c r="Q186" s="380"/>
      <c r="R186" s="232"/>
      <c r="S186" s="232"/>
      <c r="T186" s="232"/>
      <c r="U186" s="232"/>
      <c r="V186" s="232"/>
    </row>
    <row r="187" ht="15.75" customHeight="1">
      <c r="A187" s="232" t="s">
        <v>3521</v>
      </c>
      <c r="B187" s="232"/>
      <c r="C187" s="380"/>
      <c r="D187" s="380"/>
      <c r="E187" s="380"/>
      <c r="F187" s="380"/>
      <c r="G187" s="380"/>
      <c r="H187" s="380"/>
      <c r="I187" s="380"/>
      <c r="J187" s="380"/>
      <c r="K187" s="380"/>
      <c r="L187" s="380"/>
      <c r="M187" s="380"/>
      <c r="N187" s="380"/>
      <c r="O187" s="380"/>
      <c r="P187" s="380"/>
      <c r="Q187" s="380"/>
      <c r="R187" s="232"/>
      <c r="S187" s="232"/>
      <c r="T187" s="232"/>
      <c r="U187" s="232"/>
      <c r="V187" s="232"/>
    </row>
    <row r="188" ht="15.75" customHeight="1">
      <c r="A188" s="232" t="s">
        <v>3522</v>
      </c>
      <c r="B188" s="232"/>
      <c r="C188" s="380"/>
      <c r="D188" s="380"/>
      <c r="E188" s="380"/>
      <c r="F188" s="380"/>
      <c r="G188" s="380"/>
      <c r="H188" s="380"/>
      <c r="I188" s="380"/>
      <c r="J188" s="380"/>
      <c r="K188" s="380"/>
      <c r="L188" s="380"/>
      <c r="M188" s="380"/>
      <c r="N188" s="380"/>
      <c r="O188" s="380"/>
      <c r="P188" s="380"/>
      <c r="Q188" s="380"/>
      <c r="R188" s="232"/>
      <c r="S188" s="232"/>
      <c r="T188" s="232"/>
      <c r="U188" s="232"/>
      <c r="V188" s="232"/>
    </row>
    <row r="189" ht="15.75" customHeight="1">
      <c r="A189" s="232" t="s">
        <v>3523</v>
      </c>
      <c r="B189" s="232"/>
      <c r="C189" s="380"/>
      <c r="D189" s="380"/>
      <c r="E189" s="380"/>
      <c r="F189" s="380"/>
      <c r="G189" s="380"/>
      <c r="H189" s="380"/>
      <c r="I189" s="380"/>
      <c r="J189" s="380"/>
      <c r="K189" s="380"/>
      <c r="L189" s="380"/>
      <c r="M189" s="380"/>
      <c r="N189" s="380"/>
      <c r="O189" s="380"/>
      <c r="P189" s="380"/>
      <c r="Q189" s="380"/>
      <c r="R189" s="232"/>
      <c r="S189" s="232"/>
      <c r="T189" s="232"/>
      <c r="U189" s="232"/>
      <c r="V189" s="232"/>
    </row>
    <row r="190" ht="15.75" customHeight="1">
      <c r="A190" s="232" t="s">
        <v>3524</v>
      </c>
      <c r="B190" s="232" t="s">
        <v>3525</v>
      </c>
      <c r="C190" s="380"/>
      <c r="D190" s="380"/>
      <c r="E190" s="380"/>
      <c r="F190" s="380"/>
      <c r="G190" s="380"/>
      <c r="H190" s="380"/>
      <c r="I190" s="380"/>
      <c r="J190" s="380"/>
      <c r="K190" s="380"/>
      <c r="L190" s="380"/>
      <c r="M190" s="380"/>
      <c r="N190" s="380"/>
      <c r="O190" s="380"/>
      <c r="P190" s="380"/>
      <c r="Q190" s="380"/>
      <c r="R190" s="232"/>
      <c r="S190" s="232"/>
      <c r="T190" s="232"/>
      <c r="U190" s="232"/>
      <c r="V190" s="232"/>
    </row>
    <row r="191" ht="15.75" customHeight="1">
      <c r="A191" s="232" t="s">
        <v>3526</v>
      </c>
      <c r="B191" s="232" t="s">
        <v>3527</v>
      </c>
      <c r="C191" s="380"/>
      <c r="D191" s="380"/>
      <c r="E191" s="380"/>
      <c r="F191" s="380"/>
      <c r="G191" s="380"/>
      <c r="H191" s="380"/>
      <c r="I191" s="380"/>
      <c r="J191" s="380"/>
      <c r="K191" s="380"/>
      <c r="L191" s="380"/>
      <c r="M191" s="380"/>
      <c r="N191" s="380"/>
      <c r="O191" s="380"/>
      <c r="P191" s="380"/>
      <c r="Q191" s="380"/>
      <c r="R191" s="232"/>
      <c r="S191" s="232"/>
      <c r="T191" s="232"/>
      <c r="U191" s="232"/>
      <c r="V191" s="232"/>
    </row>
    <row r="192" ht="15.75" customHeight="1">
      <c r="A192" s="232" t="s">
        <v>3528</v>
      </c>
      <c r="B192" s="232" t="s">
        <v>3525</v>
      </c>
      <c r="C192" s="380"/>
      <c r="D192" s="380"/>
      <c r="E192" s="380"/>
      <c r="F192" s="380"/>
      <c r="G192" s="380"/>
      <c r="H192" s="380"/>
      <c r="I192" s="380"/>
      <c r="J192" s="380"/>
      <c r="K192" s="380"/>
      <c r="L192" s="380"/>
      <c r="M192" s="380"/>
      <c r="N192" s="380"/>
      <c r="O192" s="380"/>
      <c r="P192" s="380"/>
      <c r="Q192" s="380"/>
      <c r="R192" s="232"/>
      <c r="S192" s="232"/>
      <c r="T192" s="232"/>
      <c r="U192" s="232"/>
      <c r="V192" s="232"/>
    </row>
    <row r="193" ht="15.75" customHeight="1">
      <c r="A193" s="232" t="s">
        <v>3529</v>
      </c>
      <c r="B193" s="232" t="s">
        <v>3525</v>
      </c>
      <c r="C193" s="380"/>
      <c r="D193" s="380"/>
      <c r="E193" s="380"/>
      <c r="F193" s="380"/>
      <c r="G193" s="380"/>
      <c r="H193" s="380"/>
      <c r="I193" s="380"/>
      <c r="J193" s="380"/>
      <c r="K193" s="380"/>
      <c r="L193" s="380"/>
      <c r="M193" s="380"/>
      <c r="N193" s="380"/>
      <c r="O193" s="380"/>
      <c r="P193" s="380"/>
      <c r="Q193" s="380"/>
      <c r="R193" s="232"/>
      <c r="S193" s="232"/>
      <c r="T193" s="232"/>
      <c r="U193" s="232"/>
      <c r="V193" s="232"/>
    </row>
    <row r="194" ht="15.75" customHeight="1">
      <c r="A194" s="232" t="s">
        <v>3530</v>
      </c>
      <c r="B194" s="232" t="s">
        <v>3525</v>
      </c>
      <c r="C194" s="380"/>
      <c r="D194" s="380"/>
      <c r="E194" s="380"/>
      <c r="F194" s="380"/>
      <c r="G194" s="380"/>
      <c r="H194" s="380"/>
      <c r="I194" s="380"/>
      <c r="J194" s="380"/>
      <c r="K194" s="380"/>
      <c r="L194" s="380"/>
      <c r="M194" s="380"/>
      <c r="N194" s="380"/>
      <c r="O194" s="380"/>
      <c r="P194" s="380"/>
      <c r="Q194" s="380"/>
      <c r="R194" s="232"/>
      <c r="S194" s="232"/>
      <c r="T194" s="232"/>
      <c r="U194" s="232"/>
      <c r="V194" s="232"/>
    </row>
    <row r="195" ht="15.75" customHeight="1">
      <c r="A195" s="232" t="s">
        <v>3531</v>
      </c>
      <c r="B195" s="232" t="s">
        <v>3525</v>
      </c>
      <c r="C195" s="380"/>
      <c r="D195" s="380"/>
      <c r="E195" s="380"/>
      <c r="F195" s="380"/>
      <c r="G195" s="380"/>
      <c r="H195" s="380"/>
      <c r="I195" s="380"/>
      <c r="J195" s="380"/>
      <c r="K195" s="380"/>
      <c r="L195" s="380"/>
      <c r="M195" s="380"/>
      <c r="N195" s="380"/>
      <c r="O195" s="380"/>
      <c r="P195" s="380"/>
      <c r="Q195" s="380"/>
      <c r="R195" s="232"/>
      <c r="S195" s="232"/>
      <c r="T195" s="232"/>
      <c r="U195" s="232"/>
      <c r="V195" s="232"/>
    </row>
    <row r="196" ht="15.75" customHeight="1">
      <c r="A196" s="232" t="s">
        <v>3532</v>
      </c>
      <c r="B196" s="232" t="s">
        <v>3533</v>
      </c>
      <c r="C196" s="380"/>
      <c r="D196" s="380"/>
      <c r="E196" s="380"/>
      <c r="F196" s="380"/>
      <c r="G196" s="380"/>
      <c r="H196" s="380"/>
      <c r="I196" s="380"/>
      <c r="J196" s="380"/>
      <c r="K196" s="380"/>
      <c r="L196" s="380"/>
      <c r="M196" s="380"/>
      <c r="N196" s="380"/>
      <c r="O196" s="380"/>
      <c r="P196" s="380"/>
      <c r="Q196" s="380"/>
      <c r="R196" s="232"/>
      <c r="S196" s="232"/>
      <c r="T196" s="232"/>
      <c r="U196" s="232"/>
      <c r="V196" s="232"/>
    </row>
    <row r="197" ht="15.75" customHeight="1">
      <c r="A197" s="232" t="s">
        <v>3534</v>
      </c>
      <c r="B197" s="232" t="s">
        <v>3535</v>
      </c>
      <c r="C197" s="380"/>
      <c r="D197" s="380"/>
      <c r="E197" s="380"/>
      <c r="F197" s="380"/>
      <c r="G197" s="380"/>
      <c r="H197" s="380"/>
      <c r="I197" s="380"/>
      <c r="J197" s="380"/>
      <c r="K197" s="380"/>
      <c r="L197" s="380"/>
      <c r="M197" s="380"/>
      <c r="N197" s="380"/>
      <c r="O197" s="380"/>
      <c r="P197" s="380"/>
      <c r="Q197" s="380"/>
      <c r="R197" s="232"/>
      <c r="S197" s="232"/>
      <c r="T197" s="232"/>
      <c r="U197" s="232"/>
      <c r="V197" s="232"/>
    </row>
    <row r="198" ht="15.75" customHeight="1">
      <c r="A198" s="232" t="s">
        <v>3536</v>
      </c>
      <c r="B198" s="232" t="s">
        <v>3525</v>
      </c>
      <c r="C198" s="380"/>
      <c r="D198" s="380"/>
      <c r="E198" s="380"/>
      <c r="F198" s="380"/>
      <c r="G198" s="380"/>
      <c r="H198" s="380"/>
      <c r="I198" s="380"/>
      <c r="J198" s="380"/>
      <c r="K198" s="380"/>
      <c r="L198" s="380"/>
      <c r="M198" s="380"/>
      <c r="N198" s="380"/>
      <c r="O198" s="380"/>
      <c r="P198" s="380"/>
      <c r="Q198" s="380"/>
      <c r="R198" s="232"/>
      <c r="S198" s="232"/>
      <c r="T198" s="232"/>
      <c r="U198" s="232"/>
      <c r="V198" s="232"/>
    </row>
    <row r="199" ht="15.75" customHeight="1">
      <c r="A199" s="232" t="s">
        <v>3537</v>
      </c>
      <c r="B199" s="232" t="s">
        <v>3538</v>
      </c>
      <c r="C199" s="380"/>
      <c r="D199" s="380"/>
      <c r="E199" s="380"/>
      <c r="F199" s="380"/>
      <c r="G199" s="380"/>
      <c r="H199" s="380"/>
      <c r="I199" s="380"/>
      <c r="J199" s="380"/>
      <c r="K199" s="380"/>
      <c r="L199" s="380"/>
      <c r="M199" s="380"/>
      <c r="N199" s="380"/>
      <c r="O199" s="380"/>
      <c r="P199" s="380"/>
      <c r="Q199" s="380"/>
      <c r="R199" s="232"/>
      <c r="S199" s="232"/>
      <c r="T199" s="232"/>
      <c r="U199" s="232"/>
      <c r="V199" s="232"/>
    </row>
    <row r="200" ht="15.75" customHeight="1">
      <c r="A200" s="232" t="s">
        <v>3539</v>
      </c>
      <c r="B200" s="232" t="s">
        <v>3540</v>
      </c>
      <c r="C200" s="380"/>
      <c r="D200" s="380"/>
      <c r="E200" s="380"/>
      <c r="F200" s="380"/>
      <c r="G200" s="380"/>
      <c r="H200" s="380"/>
      <c r="I200" s="380"/>
      <c r="J200" s="380"/>
      <c r="K200" s="380"/>
      <c r="L200" s="380"/>
      <c r="M200" s="380"/>
      <c r="N200" s="380"/>
      <c r="O200" s="380"/>
      <c r="P200" s="380"/>
      <c r="Q200" s="380"/>
      <c r="R200" s="232"/>
      <c r="S200" s="232"/>
      <c r="T200" s="232"/>
      <c r="U200" s="232"/>
      <c r="V200" s="232"/>
    </row>
    <row r="201" ht="15.75" customHeight="1">
      <c r="A201" s="232" t="s">
        <v>3541</v>
      </c>
      <c r="B201" s="232" t="s">
        <v>3525</v>
      </c>
      <c r="C201" s="380"/>
      <c r="D201" s="380"/>
      <c r="E201" s="380"/>
      <c r="F201" s="380"/>
      <c r="G201" s="380"/>
      <c r="H201" s="380"/>
      <c r="I201" s="380"/>
      <c r="J201" s="380"/>
      <c r="K201" s="380"/>
      <c r="L201" s="380"/>
      <c r="M201" s="380"/>
      <c r="N201" s="380"/>
      <c r="O201" s="380"/>
      <c r="P201" s="380"/>
      <c r="Q201" s="380"/>
      <c r="R201" s="232"/>
      <c r="S201" s="232"/>
      <c r="T201" s="232"/>
      <c r="U201" s="232"/>
      <c r="V201" s="232"/>
    </row>
    <row r="202" ht="15.75" customHeight="1">
      <c r="A202" s="232" t="s">
        <v>3542</v>
      </c>
      <c r="B202" s="232" t="s">
        <v>3525</v>
      </c>
      <c r="C202" s="380"/>
      <c r="D202" s="380"/>
      <c r="E202" s="380"/>
      <c r="F202" s="380"/>
      <c r="G202" s="380"/>
      <c r="H202" s="380"/>
      <c r="I202" s="380"/>
      <c r="J202" s="380"/>
      <c r="K202" s="380"/>
      <c r="L202" s="380"/>
      <c r="M202" s="380"/>
      <c r="N202" s="380"/>
      <c r="O202" s="380"/>
      <c r="P202" s="380"/>
      <c r="Q202" s="380"/>
      <c r="R202" s="232"/>
      <c r="S202" s="232"/>
      <c r="T202" s="232"/>
      <c r="U202" s="232"/>
      <c r="V202" s="232"/>
    </row>
    <row r="203" ht="15.75" customHeight="1">
      <c r="A203" s="232" t="s">
        <v>3543</v>
      </c>
      <c r="B203" s="232" t="s">
        <v>3544</v>
      </c>
      <c r="C203" s="380"/>
      <c r="D203" s="380"/>
      <c r="E203" s="380"/>
      <c r="F203" s="380"/>
      <c r="G203" s="380"/>
      <c r="H203" s="380"/>
      <c r="I203" s="380"/>
      <c r="J203" s="380"/>
      <c r="K203" s="380"/>
      <c r="L203" s="380"/>
      <c r="M203" s="380"/>
      <c r="N203" s="380"/>
      <c r="O203" s="380"/>
      <c r="P203" s="380"/>
      <c r="Q203" s="380"/>
      <c r="R203" s="232"/>
      <c r="S203" s="232"/>
      <c r="T203" s="232"/>
      <c r="U203" s="232"/>
      <c r="V203" s="232"/>
    </row>
    <row r="204" ht="15.75" customHeight="1">
      <c r="A204" s="232" t="s">
        <v>3545</v>
      </c>
      <c r="B204" s="232" t="s">
        <v>3525</v>
      </c>
      <c r="C204" s="380"/>
      <c r="D204" s="380"/>
      <c r="E204" s="380"/>
      <c r="F204" s="380"/>
      <c r="G204" s="380"/>
      <c r="H204" s="380"/>
      <c r="I204" s="380"/>
      <c r="J204" s="380"/>
      <c r="K204" s="380"/>
      <c r="L204" s="380"/>
      <c r="M204" s="380"/>
      <c r="N204" s="380"/>
      <c r="O204" s="380"/>
      <c r="P204" s="380"/>
      <c r="Q204" s="380"/>
      <c r="R204" s="232"/>
      <c r="S204" s="232"/>
      <c r="T204" s="232"/>
      <c r="U204" s="232"/>
      <c r="V204" s="232"/>
    </row>
    <row r="205" ht="15.75" customHeight="1">
      <c r="A205" s="232" t="s">
        <v>3546</v>
      </c>
      <c r="B205" s="232" t="s">
        <v>3525</v>
      </c>
      <c r="C205" s="380"/>
      <c r="D205" s="380"/>
      <c r="E205" s="380"/>
      <c r="F205" s="380"/>
      <c r="G205" s="380"/>
      <c r="H205" s="380"/>
      <c r="I205" s="380"/>
      <c r="J205" s="380"/>
      <c r="K205" s="380"/>
      <c r="L205" s="380"/>
      <c r="M205" s="380"/>
      <c r="N205" s="380"/>
      <c r="O205" s="380"/>
      <c r="P205" s="380"/>
      <c r="Q205" s="380"/>
      <c r="R205" s="232"/>
      <c r="S205" s="232"/>
      <c r="T205" s="232"/>
      <c r="U205" s="232"/>
      <c r="V205" s="232"/>
    </row>
    <row r="206" ht="15.75" customHeight="1">
      <c r="A206" s="232" t="s">
        <v>3547</v>
      </c>
      <c r="B206" s="232" t="s">
        <v>3525</v>
      </c>
      <c r="C206" s="380"/>
      <c r="D206" s="380"/>
      <c r="E206" s="380"/>
      <c r="F206" s="380"/>
      <c r="G206" s="380"/>
      <c r="H206" s="380"/>
      <c r="I206" s="380"/>
      <c r="J206" s="380"/>
      <c r="K206" s="380"/>
      <c r="L206" s="380"/>
      <c r="M206" s="380"/>
      <c r="N206" s="380"/>
      <c r="O206" s="380"/>
      <c r="P206" s="380"/>
      <c r="Q206" s="380"/>
      <c r="R206" s="232"/>
      <c r="S206" s="232"/>
      <c r="T206" s="232"/>
      <c r="U206" s="232"/>
      <c r="V206" s="232"/>
    </row>
    <row r="207" ht="15.75" customHeight="1">
      <c r="A207" s="232" t="s">
        <v>3548</v>
      </c>
      <c r="B207" s="232" t="s">
        <v>3525</v>
      </c>
      <c r="C207" s="380"/>
      <c r="D207" s="380"/>
      <c r="E207" s="380"/>
      <c r="F207" s="380"/>
      <c r="G207" s="380"/>
      <c r="H207" s="380"/>
      <c r="I207" s="380"/>
      <c r="J207" s="380"/>
      <c r="K207" s="380"/>
      <c r="L207" s="380"/>
      <c r="M207" s="380"/>
      <c r="N207" s="380"/>
      <c r="O207" s="380"/>
      <c r="P207" s="380"/>
      <c r="Q207" s="380"/>
      <c r="R207" s="232"/>
      <c r="S207" s="232"/>
      <c r="T207" s="232"/>
      <c r="U207" s="232"/>
      <c r="V207" s="232"/>
    </row>
    <row r="208" ht="15.75" customHeight="1">
      <c r="A208" s="232" t="s">
        <v>3549</v>
      </c>
      <c r="B208" s="232" t="s">
        <v>3525</v>
      </c>
      <c r="C208" s="380"/>
      <c r="D208" s="380"/>
      <c r="E208" s="380"/>
      <c r="F208" s="380"/>
      <c r="G208" s="380"/>
      <c r="H208" s="380"/>
      <c r="I208" s="380"/>
      <c r="J208" s="380"/>
      <c r="K208" s="380"/>
      <c r="L208" s="380"/>
      <c r="M208" s="380"/>
      <c r="N208" s="380"/>
      <c r="O208" s="380"/>
      <c r="P208" s="380"/>
      <c r="Q208" s="380"/>
      <c r="R208" s="232"/>
      <c r="S208" s="232"/>
      <c r="T208" s="232"/>
      <c r="U208" s="232"/>
      <c r="V208" s="232"/>
    </row>
    <row r="209" ht="15.75" customHeight="1">
      <c r="A209" s="232" t="s">
        <v>3550</v>
      </c>
      <c r="B209" s="232" t="s">
        <v>3551</v>
      </c>
      <c r="C209" s="380"/>
      <c r="D209" s="380"/>
      <c r="E209" s="380"/>
      <c r="F209" s="380"/>
      <c r="G209" s="380"/>
      <c r="H209" s="380"/>
      <c r="I209" s="380"/>
      <c r="J209" s="380"/>
      <c r="K209" s="380"/>
      <c r="L209" s="380"/>
      <c r="M209" s="380"/>
      <c r="N209" s="380"/>
      <c r="O209" s="380"/>
      <c r="P209" s="380"/>
      <c r="Q209" s="380"/>
      <c r="R209" s="232"/>
      <c r="S209" s="232"/>
      <c r="T209" s="232"/>
      <c r="U209" s="232"/>
      <c r="V209" s="232"/>
    </row>
    <row r="210" ht="15.75" customHeight="1">
      <c r="A210" s="232" t="s">
        <v>3552</v>
      </c>
      <c r="B210" s="232"/>
      <c r="C210" s="380"/>
      <c r="D210" s="380"/>
      <c r="E210" s="380"/>
      <c r="F210" s="380"/>
      <c r="G210" s="380"/>
      <c r="H210" s="380"/>
      <c r="I210" s="380"/>
      <c r="J210" s="380"/>
      <c r="K210" s="380"/>
      <c r="L210" s="380"/>
      <c r="M210" s="380"/>
      <c r="N210" s="380"/>
      <c r="O210" s="380"/>
      <c r="P210" s="380"/>
      <c r="Q210" s="380"/>
      <c r="R210" s="232"/>
      <c r="S210" s="232"/>
      <c r="T210" s="232"/>
      <c r="U210" s="232"/>
      <c r="V210" s="232"/>
    </row>
    <row r="211" ht="15.75" customHeight="1">
      <c r="A211" s="232" t="s">
        <v>3553</v>
      </c>
      <c r="B211" s="232"/>
      <c r="C211" s="380"/>
      <c r="D211" s="380"/>
      <c r="E211" s="380"/>
      <c r="F211" s="380"/>
      <c r="G211" s="380"/>
      <c r="H211" s="380"/>
      <c r="I211" s="380"/>
      <c r="J211" s="380"/>
      <c r="K211" s="380"/>
      <c r="L211" s="380"/>
      <c r="M211" s="380"/>
      <c r="N211" s="380"/>
      <c r="O211" s="380"/>
      <c r="P211" s="380"/>
      <c r="Q211" s="380"/>
      <c r="R211" s="232"/>
      <c r="S211" s="232"/>
      <c r="T211" s="232"/>
      <c r="U211" s="232"/>
      <c r="V211" s="232"/>
    </row>
    <row r="212" ht="15.75" customHeight="1">
      <c r="A212" s="232" t="s">
        <v>3554</v>
      </c>
      <c r="B212" s="232"/>
      <c r="C212" s="380"/>
      <c r="D212" s="380"/>
      <c r="E212" s="380"/>
      <c r="F212" s="380"/>
      <c r="G212" s="380"/>
      <c r="H212" s="380"/>
      <c r="I212" s="380"/>
      <c r="J212" s="380"/>
      <c r="K212" s="380"/>
      <c r="L212" s="380"/>
      <c r="M212" s="380"/>
      <c r="N212" s="380"/>
      <c r="O212" s="380"/>
      <c r="P212" s="380"/>
      <c r="Q212" s="380"/>
      <c r="R212" s="232"/>
      <c r="S212" s="232"/>
      <c r="T212" s="232"/>
      <c r="U212" s="232"/>
      <c r="V212" s="232"/>
    </row>
    <row r="213" ht="15.75" customHeight="1">
      <c r="A213" s="232" t="s">
        <v>3555</v>
      </c>
      <c r="B213" s="232"/>
      <c r="C213" s="380"/>
      <c r="D213" s="380"/>
      <c r="E213" s="380"/>
      <c r="F213" s="380"/>
      <c r="G213" s="380"/>
      <c r="H213" s="380"/>
      <c r="I213" s="380"/>
      <c r="J213" s="380"/>
      <c r="K213" s="380"/>
      <c r="L213" s="380"/>
      <c r="M213" s="380"/>
      <c r="N213" s="380"/>
      <c r="O213" s="380"/>
      <c r="P213" s="380"/>
      <c r="Q213" s="380"/>
      <c r="R213" s="232"/>
      <c r="S213" s="232"/>
      <c r="T213" s="232"/>
      <c r="U213" s="232"/>
      <c r="V213" s="232"/>
    </row>
    <row r="214" ht="15.75" customHeight="1">
      <c r="A214" s="232" t="s">
        <v>3556</v>
      </c>
      <c r="B214" s="232"/>
      <c r="C214" s="380"/>
      <c r="D214" s="380"/>
      <c r="E214" s="380"/>
      <c r="F214" s="380"/>
      <c r="G214" s="380"/>
      <c r="H214" s="380"/>
      <c r="I214" s="380"/>
      <c r="J214" s="380"/>
      <c r="K214" s="380"/>
      <c r="L214" s="380"/>
      <c r="M214" s="380"/>
      <c r="N214" s="380"/>
      <c r="O214" s="380"/>
      <c r="P214" s="380"/>
      <c r="Q214" s="380"/>
      <c r="R214" s="232"/>
      <c r="S214" s="232"/>
      <c r="T214" s="232"/>
      <c r="U214" s="232"/>
      <c r="V214" s="232"/>
    </row>
    <row r="215" ht="15.75" customHeight="1">
      <c r="A215" s="232" t="s">
        <v>3557</v>
      </c>
      <c r="B215" s="380"/>
      <c r="C215" s="380"/>
      <c r="D215" s="380"/>
      <c r="E215" s="380"/>
      <c r="F215" s="380"/>
      <c r="G215" s="380"/>
      <c r="H215" s="380"/>
      <c r="I215" s="380"/>
      <c r="J215" s="380"/>
      <c r="K215" s="380"/>
      <c r="L215" s="380"/>
      <c r="M215" s="380"/>
      <c r="N215" s="380"/>
      <c r="O215" s="380"/>
      <c r="P215" s="380"/>
      <c r="Q215" s="380"/>
      <c r="R215" s="232"/>
      <c r="S215" s="232"/>
      <c r="T215" s="232"/>
      <c r="U215" s="232"/>
      <c r="V215" s="232"/>
    </row>
    <row r="216" ht="15.75" customHeight="1">
      <c r="A216" s="232" t="s">
        <v>3558</v>
      </c>
      <c r="B216" s="380"/>
      <c r="C216" s="380"/>
      <c r="D216" s="380"/>
      <c r="E216" s="380"/>
      <c r="F216" s="380"/>
      <c r="G216" s="380"/>
      <c r="H216" s="380"/>
      <c r="I216" s="380"/>
      <c r="J216" s="380"/>
      <c r="K216" s="380"/>
      <c r="L216" s="380"/>
      <c r="M216" s="380"/>
      <c r="N216" s="380"/>
      <c r="O216" s="380"/>
      <c r="P216" s="380"/>
      <c r="Q216" s="380"/>
      <c r="R216" s="232"/>
      <c r="S216" s="232"/>
      <c r="T216" s="232"/>
      <c r="U216" s="232"/>
      <c r="V216" s="232"/>
    </row>
    <row r="217" ht="15.75" customHeight="1">
      <c r="A217" s="232" t="s">
        <v>3559</v>
      </c>
      <c r="B217" s="380"/>
      <c r="C217" s="380"/>
      <c r="D217" s="380"/>
      <c r="E217" s="380"/>
      <c r="F217" s="380"/>
      <c r="G217" s="380"/>
      <c r="H217" s="380"/>
      <c r="I217" s="380"/>
      <c r="J217" s="380"/>
      <c r="K217" s="380"/>
      <c r="L217" s="380"/>
      <c r="M217" s="380"/>
      <c r="N217" s="380"/>
      <c r="O217" s="380"/>
      <c r="P217" s="380"/>
      <c r="Q217" s="380"/>
      <c r="R217" s="232"/>
      <c r="S217" s="232"/>
      <c r="T217" s="232"/>
      <c r="U217" s="232"/>
      <c r="V217" s="232"/>
    </row>
    <row r="218" ht="15.75" customHeight="1">
      <c r="A218" s="232" t="s">
        <v>3560</v>
      </c>
      <c r="B218" s="380"/>
      <c r="C218" s="380"/>
      <c r="D218" s="380"/>
      <c r="E218" s="380"/>
      <c r="F218" s="380"/>
      <c r="G218" s="380"/>
      <c r="H218" s="380"/>
      <c r="I218" s="380"/>
      <c r="J218" s="380"/>
      <c r="K218" s="380"/>
      <c r="L218" s="380"/>
      <c r="M218" s="380"/>
      <c r="N218" s="380"/>
      <c r="O218" s="380"/>
      <c r="P218" s="380"/>
      <c r="Q218" s="380"/>
      <c r="R218" s="232"/>
      <c r="S218" s="232"/>
      <c r="T218" s="232"/>
      <c r="U218" s="232"/>
      <c r="V218" s="232"/>
    </row>
    <row r="219" ht="15.75" customHeight="1">
      <c r="A219" s="232" t="s">
        <v>3561</v>
      </c>
      <c r="B219" s="380"/>
      <c r="C219" s="380"/>
      <c r="D219" s="380"/>
      <c r="E219" s="380"/>
      <c r="F219" s="380"/>
      <c r="G219" s="380"/>
      <c r="H219" s="380"/>
      <c r="I219" s="380"/>
      <c r="J219" s="380"/>
      <c r="K219" s="380"/>
      <c r="L219" s="380"/>
      <c r="M219" s="380"/>
      <c r="N219" s="380"/>
      <c r="O219" s="380"/>
      <c r="P219" s="380"/>
      <c r="Q219" s="380"/>
      <c r="R219" s="232"/>
      <c r="S219" s="232"/>
      <c r="T219" s="232"/>
      <c r="U219" s="232"/>
      <c r="V219" s="232"/>
    </row>
    <row r="220" ht="15.75" customHeight="1">
      <c r="A220" s="232" t="s">
        <v>3562</v>
      </c>
      <c r="B220" s="380"/>
      <c r="C220" s="380"/>
      <c r="D220" s="380"/>
      <c r="E220" s="380"/>
      <c r="F220" s="380"/>
      <c r="G220" s="380"/>
      <c r="H220" s="380"/>
      <c r="I220" s="380"/>
      <c r="J220" s="380"/>
      <c r="K220" s="380"/>
      <c r="L220" s="380"/>
      <c r="M220" s="380"/>
      <c r="N220" s="380"/>
      <c r="O220" s="380"/>
      <c r="P220" s="380"/>
      <c r="Q220" s="380"/>
      <c r="R220" s="232"/>
      <c r="S220" s="232"/>
      <c r="T220" s="232"/>
      <c r="U220" s="232"/>
      <c r="V220" s="232"/>
    </row>
    <row r="221" ht="15.75" customHeight="1">
      <c r="A221" s="232" t="s">
        <v>3563</v>
      </c>
      <c r="B221" s="380"/>
      <c r="C221" s="380"/>
      <c r="D221" s="380"/>
      <c r="E221" s="380"/>
      <c r="F221" s="380"/>
      <c r="G221" s="380"/>
      <c r="H221" s="380"/>
      <c r="I221" s="380"/>
      <c r="J221" s="380"/>
      <c r="K221" s="380"/>
      <c r="L221" s="380"/>
      <c r="M221" s="380"/>
      <c r="N221" s="380"/>
      <c r="O221" s="380"/>
      <c r="P221" s="380"/>
      <c r="Q221" s="380"/>
      <c r="R221" s="232"/>
      <c r="S221" s="232"/>
      <c r="T221" s="232"/>
      <c r="U221" s="232"/>
      <c r="V221" s="232"/>
    </row>
    <row r="222" ht="15.75" customHeight="1">
      <c r="A222" s="232" t="s">
        <v>3564</v>
      </c>
      <c r="B222" s="380"/>
      <c r="C222" s="380"/>
      <c r="D222" s="380"/>
      <c r="E222" s="380"/>
      <c r="F222" s="380"/>
      <c r="G222" s="380"/>
      <c r="H222" s="380"/>
      <c r="I222" s="380"/>
      <c r="J222" s="380"/>
      <c r="K222" s="380"/>
      <c r="L222" s="380"/>
      <c r="M222" s="380"/>
      <c r="N222" s="380"/>
      <c r="O222" s="380"/>
      <c r="P222" s="380"/>
      <c r="Q222" s="380"/>
      <c r="R222" s="232"/>
      <c r="S222" s="232"/>
      <c r="T222" s="232"/>
      <c r="U222" s="232"/>
      <c r="V222" s="232"/>
    </row>
    <row r="223" ht="15.75" customHeight="1">
      <c r="A223" s="232" t="s">
        <v>3565</v>
      </c>
      <c r="B223" s="380"/>
      <c r="C223" s="380"/>
      <c r="D223" s="380"/>
      <c r="E223" s="380"/>
      <c r="F223" s="380"/>
      <c r="G223" s="380"/>
      <c r="H223" s="380"/>
      <c r="I223" s="380"/>
      <c r="J223" s="380"/>
      <c r="K223" s="380"/>
      <c r="L223" s="380"/>
      <c r="M223" s="380"/>
      <c r="N223" s="380"/>
      <c r="O223" s="380"/>
      <c r="P223" s="380"/>
      <c r="Q223" s="380"/>
      <c r="R223" s="232"/>
      <c r="S223" s="232"/>
      <c r="T223" s="232"/>
      <c r="U223" s="232"/>
      <c r="V223" s="232"/>
    </row>
    <row r="224" ht="15.75" customHeight="1">
      <c r="A224" s="232" t="s">
        <v>3566</v>
      </c>
      <c r="B224" s="380"/>
      <c r="C224" s="380"/>
      <c r="D224" s="380"/>
      <c r="E224" s="380"/>
      <c r="F224" s="380"/>
      <c r="G224" s="380"/>
      <c r="H224" s="380"/>
      <c r="I224" s="380"/>
      <c r="J224" s="380"/>
      <c r="K224" s="380"/>
      <c r="L224" s="380"/>
      <c r="M224" s="380"/>
      <c r="N224" s="380"/>
      <c r="O224" s="380"/>
      <c r="P224" s="380"/>
      <c r="Q224" s="380"/>
      <c r="R224" s="232"/>
      <c r="S224" s="232"/>
      <c r="T224" s="232"/>
      <c r="U224" s="232"/>
      <c r="V224" s="232"/>
    </row>
    <row r="225" ht="15.75" customHeight="1">
      <c r="A225" s="232" t="s">
        <v>3567</v>
      </c>
      <c r="B225" s="380"/>
      <c r="C225" s="380"/>
      <c r="D225" s="380"/>
      <c r="E225" s="380"/>
      <c r="F225" s="380"/>
      <c r="G225" s="380"/>
      <c r="H225" s="380"/>
      <c r="I225" s="380"/>
      <c r="J225" s="380"/>
      <c r="K225" s="380"/>
      <c r="L225" s="380"/>
      <c r="M225" s="380"/>
      <c r="N225" s="380"/>
      <c r="O225" s="380"/>
      <c r="P225" s="380"/>
      <c r="Q225" s="380"/>
      <c r="R225" s="232"/>
      <c r="S225" s="232"/>
      <c r="T225" s="232"/>
      <c r="U225" s="232"/>
      <c r="V225" s="232"/>
    </row>
    <row r="226" ht="15.75" customHeight="1">
      <c r="A226" s="232" t="s">
        <v>3568</v>
      </c>
      <c r="B226" s="380"/>
      <c r="C226" s="380"/>
      <c r="D226" s="380"/>
      <c r="E226" s="380"/>
      <c r="F226" s="380"/>
      <c r="G226" s="380"/>
      <c r="H226" s="380"/>
      <c r="I226" s="380"/>
      <c r="J226" s="380"/>
      <c r="K226" s="380"/>
      <c r="L226" s="380"/>
      <c r="M226" s="380"/>
      <c r="N226" s="380"/>
      <c r="O226" s="380"/>
      <c r="P226" s="380"/>
      <c r="Q226" s="380"/>
      <c r="R226" s="232"/>
      <c r="S226" s="232"/>
      <c r="T226" s="232"/>
      <c r="U226" s="232"/>
      <c r="V226" s="232"/>
    </row>
    <row r="227" ht="15.75" customHeight="1">
      <c r="A227" s="380"/>
      <c r="B227" s="380"/>
      <c r="C227" s="380"/>
      <c r="D227" s="380"/>
      <c r="E227" s="380"/>
      <c r="F227" s="380"/>
      <c r="G227" s="380"/>
      <c r="H227" s="380"/>
      <c r="I227" s="380"/>
      <c r="J227" s="380"/>
      <c r="K227" s="380"/>
      <c r="L227" s="380"/>
      <c r="M227" s="380"/>
      <c r="N227" s="380"/>
      <c r="O227" s="380"/>
      <c r="P227" s="380"/>
      <c r="Q227" s="380"/>
      <c r="R227" s="232"/>
      <c r="S227" s="232"/>
      <c r="T227" s="232"/>
      <c r="U227" s="232"/>
      <c r="V227" s="232"/>
    </row>
    <row r="228" ht="15.75" customHeight="1">
      <c r="A228" s="380"/>
      <c r="B228" s="380"/>
      <c r="C228" s="380"/>
      <c r="D228" s="380"/>
      <c r="E228" s="380"/>
      <c r="F228" s="380"/>
      <c r="G228" s="380"/>
      <c r="H228" s="380"/>
      <c r="I228" s="380"/>
      <c r="J228" s="380"/>
      <c r="K228" s="380"/>
      <c r="L228" s="380"/>
      <c r="M228" s="380"/>
      <c r="N228" s="380"/>
      <c r="O228" s="380"/>
      <c r="P228" s="380"/>
      <c r="Q228" s="380"/>
      <c r="R228" s="232"/>
      <c r="S228" s="232"/>
      <c r="T228" s="232"/>
      <c r="U228" s="232"/>
      <c r="V228" s="232"/>
    </row>
    <row r="229" ht="15.75" customHeight="1">
      <c r="A229" s="380"/>
      <c r="B229" s="380"/>
      <c r="C229" s="380"/>
      <c r="D229" s="380"/>
      <c r="E229" s="380"/>
      <c r="F229" s="380"/>
      <c r="G229" s="380"/>
      <c r="H229" s="380"/>
      <c r="I229" s="380"/>
      <c r="J229" s="380"/>
      <c r="K229" s="380"/>
      <c r="L229" s="380"/>
      <c r="M229" s="380"/>
      <c r="N229" s="380"/>
      <c r="O229" s="380"/>
      <c r="P229" s="380"/>
      <c r="Q229" s="380"/>
      <c r="R229" s="232"/>
      <c r="S229" s="232"/>
      <c r="T229" s="232"/>
      <c r="U229" s="232"/>
      <c r="V229" s="232"/>
    </row>
    <row r="230" ht="15.75" customHeight="1">
      <c r="A230" s="380"/>
      <c r="B230" s="380"/>
      <c r="C230" s="380"/>
      <c r="D230" s="380"/>
      <c r="E230" s="380"/>
      <c r="F230" s="380"/>
      <c r="G230" s="380"/>
      <c r="H230" s="380"/>
      <c r="I230" s="380"/>
      <c r="J230" s="380"/>
      <c r="K230" s="380"/>
      <c r="L230" s="380"/>
      <c r="M230" s="380"/>
      <c r="N230" s="380"/>
      <c r="O230" s="380"/>
      <c r="P230" s="380"/>
      <c r="Q230" s="380"/>
      <c r="R230" s="232"/>
      <c r="S230" s="232"/>
      <c r="T230" s="232"/>
      <c r="U230" s="232"/>
      <c r="V230" s="232"/>
    </row>
    <row r="231" ht="15.75" customHeight="1">
      <c r="A231" s="380"/>
      <c r="B231" s="380"/>
      <c r="C231" s="380"/>
      <c r="D231" s="380"/>
      <c r="E231" s="380"/>
      <c r="F231" s="380"/>
      <c r="G231" s="380"/>
      <c r="H231" s="380"/>
      <c r="I231" s="380"/>
      <c r="J231" s="380"/>
      <c r="K231" s="380"/>
      <c r="L231" s="380"/>
      <c r="M231" s="380"/>
      <c r="N231" s="380"/>
      <c r="O231" s="380"/>
      <c r="P231" s="380"/>
      <c r="Q231" s="380"/>
      <c r="R231" s="232"/>
      <c r="S231" s="232"/>
      <c r="T231" s="232"/>
      <c r="U231" s="232"/>
      <c r="V231" s="232"/>
    </row>
    <row r="232" ht="15.75" customHeight="1">
      <c r="A232" s="380"/>
      <c r="B232" s="380"/>
      <c r="C232" s="380"/>
      <c r="D232" s="380"/>
      <c r="E232" s="380"/>
      <c r="F232" s="380"/>
      <c r="G232" s="380"/>
      <c r="H232" s="380"/>
      <c r="I232" s="380"/>
      <c r="J232" s="380"/>
      <c r="K232" s="380"/>
      <c r="L232" s="380"/>
      <c r="M232" s="380"/>
      <c r="N232" s="380"/>
      <c r="O232" s="380"/>
      <c r="P232" s="380"/>
      <c r="Q232" s="380"/>
      <c r="R232" s="232"/>
      <c r="S232" s="232"/>
      <c r="T232" s="232"/>
      <c r="U232" s="232"/>
      <c r="V232" s="232"/>
    </row>
    <row r="233" ht="15.75" customHeight="1">
      <c r="A233" s="380"/>
      <c r="B233" s="380"/>
      <c r="C233" s="380"/>
      <c r="D233" s="380"/>
      <c r="E233" s="380"/>
      <c r="F233" s="380"/>
      <c r="G233" s="380"/>
      <c r="H233" s="380"/>
      <c r="I233" s="380"/>
      <c r="J233" s="380"/>
      <c r="K233" s="380"/>
      <c r="L233" s="380"/>
      <c r="M233" s="380"/>
      <c r="N233" s="380"/>
      <c r="O233" s="380"/>
      <c r="P233" s="380"/>
      <c r="Q233" s="380"/>
      <c r="R233" s="232"/>
      <c r="S233" s="232"/>
      <c r="T233" s="232"/>
      <c r="U233" s="232"/>
      <c r="V233" s="232"/>
    </row>
    <row r="234" ht="15.75" customHeight="1">
      <c r="A234" s="380"/>
      <c r="B234" s="380"/>
      <c r="C234" s="380"/>
      <c r="D234" s="380"/>
      <c r="E234" s="380"/>
      <c r="F234" s="380"/>
      <c r="G234" s="380"/>
      <c r="H234" s="380"/>
      <c r="I234" s="380"/>
      <c r="J234" s="380"/>
      <c r="K234" s="380"/>
      <c r="L234" s="380"/>
      <c r="M234" s="380"/>
      <c r="N234" s="380"/>
      <c r="O234" s="380"/>
      <c r="P234" s="380"/>
      <c r="Q234" s="380"/>
      <c r="R234" s="232"/>
      <c r="S234" s="232"/>
      <c r="T234" s="232"/>
      <c r="U234" s="232"/>
      <c r="V234" s="232"/>
    </row>
    <row r="235" ht="15.75" customHeight="1">
      <c r="A235" s="380"/>
      <c r="B235" s="380"/>
      <c r="C235" s="380"/>
      <c r="D235" s="380"/>
      <c r="E235" s="380"/>
      <c r="F235" s="380"/>
      <c r="G235" s="380"/>
      <c r="H235" s="380"/>
      <c r="I235" s="380"/>
      <c r="J235" s="380"/>
      <c r="K235" s="380"/>
      <c r="L235" s="380"/>
      <c r="M235" s="380"/>
      <c r="N235" s="380"/>
      <c r="O235" s="380"/>
      <c r="P235" s="380"/>
      <c r="Q235" s="380"/>
      <c r="R235" s="232"/>
      <c r="S235" s="232"/>
      <c r="T235" s="232"/>
      <c r="U235" s="232"/>
      <c r="V235" s="232"/>
    </row>
    <row r="236" ht="15.75" customHeight="1">
      <c r="A236" s="380"/>
      <c r="B236" s="380"/>
      <c r="C236" s="380"/>
      <c r="D236" s="380"/>
      <c r="E236" s="380"/>
      <c r="F236" s="380"/>
      <c r="G236" s="380"/>
      <c r="H236" s="380"/>
      <c r="I236" s="380"/>
      <c r="J236" s="380"/>
      <c r="K236" s="380"/>
      <c r="L236" s="380"/>
      <c r="M236" s="380"/>
      <c r="N236" s="380"/>
      <c r="O236" s="380"/>
      <c r="P236" s="380"/>
      <c r="Q236" s="380"/>
      <c r="R236" s="232"/>
      <c r="S236" s="232"/>
      <c r="T236" s="232"/>
      <c r="U236" s="232"/>
      <c r="V236" s="232"/>
    </row>
    <row r="237" ht="15.75" customHeight="1">
      <c r="A237" s="380"/>
      <c r="B237" s="380"/>
      <c r="C237" s="380"/>
      <c r="D237" s="380"/>
      <c r="E237" s="380"/>
      <c r="F237" s="380"/>
      <c r="G237" s="380"/>
      <c r="H237" s="380"/>
      <c r="I237" s="380"/>
      <c r="J237" s="380"/>
      <c r="K237" s="380"/>
      <c r="L237" s="380"/>
      <c r="M237" s="380"/>
      <c r="N237" s="380"/>
      <c r="O237" s="380"/>
      <c r="P237" s="380"/>
      <c r="Q237" s="380"/>
      <c r="R237" s="232"/>
      <c r="S237" s="232"/>
      <c r="T237" s="232"/>
      <c r="U237" s="232"/>
      <c r="V237" s="232"/>
    </row>
    <row r="238" ht="15.75" customHeight="1">
      <c r="A238" s="380"/>
      <c r="B238" s="380"/>
      <c r="C238" s="380"/>
      <c r="D238" s="380"/>
      <c r="E238" s="380"/>
      <c r="F238" s="380"/>
      <c r="G238" s="380"/>
      <c r="H238" s="380"/>
      <c r="I238" s="380"/>
      <c r="J238" s="380"/>
      <c r="K238" s="380"/>
      <c r="L238" s="380"/>
      <c r="M238" s="380"/>
      <c r="N238" s="380"/>
      <c r="O238" s="380"/>
      <c r="P238" s="380"/>
      <c r="Q238" s="380"/>
      <c r="R238" s="232"/>
      <c r="S238" s="232"/>
      <c r="T238" s="232"/>
      <c r="U238" s="232"/>
      <c r="V238" s="232"/>
    </row>
    <row r="239" ht="15.75" customHeight="1">
      <c r="A239" s="380"/>
      <c r="B239" s="380"/>
      <c r="C239" s="380"/>
      <c r="D239" s="380"/>
      <c r="E239" s="380"/>
      <c r="F239" s="380"/>
      <c r="G239" s="380"/>
      <c r="H239" s="380"/>
      <c r="I239" s="380"/>
      <c r="J239" s="380"/>
      <c r="K239" s="380"/>
      <c r="L239" s="380"/>
      <c r="M239" s="380"/>
      <c r="N239" s="380"/>
      <c r="O239" s="380"/>
      <c r="P239" s="380"/>
      <c r="Q239" s="380"/>
      <c r="R239" s="232"/>
      <c r="S239" s="232"/>
      <c r="T239" s="232"/>
      <c r="U239" s="232"/>
      <c r="V239" s="232"/>
    </row>
    <row r="240" ht="15.75" customHeight="1">
      <c r="A240" s="380"/>
      <c r="B240" s="380"/>
      <c r="C240" s="380"/>
      <c r="D240" s="380"/>
      <c r="E240" s="380"/>
      <c r="F240" s="380"/>
      <c r="G240" s="380"/>
      <c r="H240" s="380"/>
      <c r="I240" s="380"/>
      <c r="J240" s="380"/>
      <c r="K240" s="380"/>
      <c r="L240" s="380"/>
      <c r="M240" s="380"/>
      <c r="N240" s="380"/>
      <c r="O240" s="380"/>
      <c r="P240" s="380"/>
      <c r="Q240" s="380"/>
      <c r="R240" s="232"/>
      <c r="S240" s="232"/>
      <c r="T240" s="232"/>
      <c r="U240" s="232"/>
      <c r="V240" s="232"/>
    </row>
    <row r="241" ht="15.75" customHeight="1">
      <c r="A241" s="380"/>
      <c r="B241" s="380"/>
      <c r="C241" s="380"/>
      <c r="D241" s="380"/>
      <c r="E241" s="380"/>
      <c r="F241" s="380"/>
      <c r="G241" s="380"/>
      <c r="H241" s="380"/>
      <c r="I241" s="380"/>
      <c r="J241" s="380"/>
      <c r="K241" s="380"/>
      <c r="L241" s="380"/>
      <c r="M241" s="380"/>
      <c r="N241" s="380"/>
      <c r="O241" s="380"/>
      <c r="P241" s="380"/>
      <c r="Q241" s="380"/>
      <c r="R241" s="232"/>
      <c r="S241" s="232"/>
      <c r="T241" s="232"/>
      <c r="U241" s="232"/>
      <c r="V241" s="232"/>
    </row>
    <row r="242" ht="15.75" customHeight="1">
      <c r="A242" s="380"/>
      <c r="B242" s="380"/>
      <c r="C242" s="380"/>
      <c r="D242" s="380"/>
      <c r="E242" s="380"/>
      <c r="F242" s="380"/>
      <c r="G242" s="380"/>
      <c r="H242" s="380"/>
      <c r="I242" s="380"/>
      <c r="J242" s="380"/>
      <c r="K242" s="380"/>
      <c r="L242" s="380"/>
      <c r="M242" s="380"/>
      <c r="N242" s="380"/>
      <c r="O242" s="380"/>
      <c r="P242" s="380"/>
      <c r="Q242" s="380"/>
      <c r="R242" s="232"/>
      <c r="S242" s="232"/>
      <c r="T242" s="232"/>
      <c r="U242" s="232"/>
      <c r="V242" s="232"/>
    </row>
    <row r="243" ht="15.75" customHeight="1">
      <c r="A243" s="380"/>
      <c r="B243" s="380"/>
      <c r="C243" s="380"/>
      <c r="D243" s="380"/>
      <c r="E243" s="380"/>
      <c r="F243" s="380"/>
      <c r="G243" s="380"/>
      <c r="H243" s="380"/>
      <c r="I243" s="380"/>
      <c r="J243" s="380"/>
      <c r="K243" s="380"/>
      <c r="L243" s="380"/>
      <c r="M243" s="380"/>
      <c r="N243" s="380"/>
      <c r="O243" s="380"/>
      <c r="P243" s="380"/>
      <c r="Q243" s="380"/>
      <c r="R243" s="232"/>
      <c r="S243" s="232"/>
      <c r="T243" s="232"/>
      <c r="U243" s="232"/>
      <c r="V243" s="232"/>
    </row>
    <row r="244" ht="15.75" customHeight="1">
      <c r="A244" s="380"/>
      <c r="B244" s="380"/>
      <c r="C244" s="380"/>
      <c r="D244" s="380"/>
      <c r="E244" s="380"/>
      <c r="F244" s="380"/>
      <c r="G244" s="380"/>
      <c r="H244" s="380"/>
      <c r="I244" s="380"/>
      <c r="J244" s="380"/>
      <c r="K244" s="380"/>
      <c r="L244" s="380"/>
      <c r="M244" s="380"/>
      <c r="N244" s="380"/>
      <c r="O244" s="380"/>
      <c r="P244" s="380"/>
      <c r="Q244" s="380"/>
      <c r="R244" s="232"/>
      <c r="S244" s="232"/>
      <c r="T244" s="232"/>
      <c r="U244" s="232"/>
      <c r="V244" s="232"/>
    </row>
    <row r="245" ht="15.75" customHeight="1">
      <c r="A245" s="380"/>
      <c r="B245" s="380"/>
      <c r="C245" s="380"/>
      <c r="D245" s="380"/>
      <c r="E245" s="380"/>
      <c r="F245" s="380"/>
      <c r="G245" s="380"/>
      <c r="H245" s="380"/>
      <c r="I245" s="380"/>
      <c r="J245" s="380"/>
      <c r="K245" s="380"/>
      <c r="L245" s="380"/>
      <c r="M245" s="380"/>
      <c r="N245" s="380"/>
      <c r="O245" s="380"/>
      <c r="P245" s="380"/>
      <c r="Q245" s="380"/>
      <c r="R245" s="232"/>
      <c r="S245" s="232"/>
      <c r="T245" s="232"/>
      <c r="U245" s="232"/>
      <c r="V245" s="232"/>
    </row>
    <row r="246" ht="15.75" customHeight="1">
      <c r="A246" s="380"/>
      <c r="B246" s="380"/>
      <c r="C246" s="380"/>
      <c r="D246" s="380"/>
      <c r="E246" s="380"/>
      <c r="F246" s="380"/>
      <c r="G246" s="380"/>
      <c r="H246" s="380"/>
      <c r="I246" s="380"/>
      <c r="J246" s="380"/>
      <c r="K246" s="380"/>
      <c r="L246" s="380"/>
      <c r="M246" s="380"/>
      <c r="N246" s="380"/>
      <c r="O246" s="380"/>
      <c r="P246" s="380"/>
      <c r="Q246" s="380"/>
      <c r="R246" s="232"/>
      <c r="S246" s="232"/>
      <c r="T246" s="232"/>
      <c r="U246" s="232"/>
      <c r="V246" s="232"/>
    </row>
    <row r="247" ht="15.75" customHeight="1">
      <c r="A247" s="380"/>
      <c r="B247" s="380"/>
      <c r="C247" s="380"/>
      <c r="D247" s="380"/>
      <c r="E247" s="380"/>
      <c r="F247" s="380"/>
      <c r="G247" s="380"/>
      <c r="H247" s="380"/>
      <c r="I247" s="380"/>
      <c r="J247" s="380"/>
      <c r="K247" s="380"/>
      <c r="L247" s="380"/>
      <c r="M247" s="380"/>
      <c r="N247" s="380"/>
      <c r="O247" s="380"/>
      <c r="P247" s="380"/>
      <c r="Q247" s="380"/>
      <c r="R247" s="232"/>
      <c r="S247" s="232"/>
      <c r="T247" s="232"/>
      <c r="U247" s="232"/>
      <c r="V247" s="232"/>
    </row>
    <row r="248" ht="15.75" customHeight="1">
      <c r="A248" s="380"/>
      <c r="B248" s="380"/>
      <c r="C248" s="380"/>
      <c r="D248" s="380"/>
      <c r="E248" s="380"/>
      <c r="F248" s="380"/>
      <c r="G248" s="380"/>
      <c r="H248" s="380"/>
      <c r="I248" s="380"/>
      <c r="J248" s="380"/>
      <c r="K248" s="380"/>
      <c r="L248" s="380"/>
      <c r="M248" s="380"/>
      <c r="N248" s="380"/>
      <c r="O248" s="380"/>
      <c r="P248" s="380"/>
      <c r="Q248" s="380"/>
      <c r="R248" s="232"/>
      <c r="S248" s="232"/>
      <c r="T248" s="232"/>
      <c r="U248" s="232"/>
      <c r="V248" s="232"/>
    </row>
    <row r="249" ht="15.75" customHeight="1">
      <c r="A249" s="380"/>
      <c r="B249" s="380"/>
      <c r="C249" s="380"/>
      <c r="D249" s="380"/>
      <c r="E249" s="380"/>
      <c r="F249" s="380"/>
      <c r="G249" s="380"/>
      <c r="H249" s="380"/>
      <c r="I249" s="380"/>
      <c r="J249" s="380"/>
      <c r="K249" s="380"/>
      <c r="L249" s="380"/>
      <c r="M249" s="380"/>
      <c r="N249" s="380"/>
      <c r="O249" s="380"/>
      <c r="P249" s="380"/>
      <c r="Q249" s="380"/>
      <c r="R249" s="232"/>
      <c r="S249" s="232"/>
      <c r="T249" s="232"/>
      <c r="U249" s="232"/>
      <c r="V249" s="232"/>
    </row>
    <row r="250" ht="15.75" customHeight="1">
      <c r="A250" s="380"/>
      <c r="B250" s="380"/>
      <c r="C250" s="380"/>
      <c r="D250" s="380"/>
      <c r="E250" s="380"/>
      <c r="F250" s="380"/>
      <c r="G250" s="380"/>
      <c r="H250" s="380"/>
      <c r="I250" s="380"/>
      <c r="J250" s="380"/>
      <c r="K250" s="380"/>
      <c r="L250" s="380"/>
      <c r="M250" s="380"/>
      <c r="N250" s="380"/>
      <c r="O250" s="380"/>
      <c r="P250" s="380"/>
      <c r="Q250" s="380"/>
      <c r="R250" s="232"/>
      <c r="S250" s="232"/>
      <c r="T250" s="232"/>
      <c r="U250" s="232"/>
      <c r="V250" s="232"/>
    </row>
    <row r="251" ht="15.75" customHeight="1">
      <c r="A251" s="380"/>
      <c r="B251" s="380"/>
      <c r="C251" s="380"/>
      <c r="D251" s="380"/>
      <c r="E251" s="380"/>
      <c r="F251" s="380"/>
      <c r="G251" s="380"/>
      <c r="H251" s="380"/>
      <c r="I251" s="380"/>
      <c r="J251" s="380"/>
      <c r="K251" s="380"/>
      <c r="L251" s="380"/>
      <c r="M251" s="380"/>
      <c r="N251" s="380"/>
      <c r="O251" s="380"/>
      <c r="P251" s="380"/>
      <c r="Q251" s="380"/>
      <c r="R251" s="232"/>
      <c r="S251" s="232"/>
      <c r="T251" s="232"/>
      <c r="U251" s="232"/>
      <c r="V251" s="232"/>
    </row>
    <row r="252" ht="15.75" customHeight="1">
      <c r="A252" s="380"/>
      <c r="B252" s="380"/>
      <c r="C252" s="380"/>
      <c r="D252" s="380"/>
      <c r="E252" s="380"/>
      <c r="F252" s="380"/>
      <c r="G252" s="380"/>
      <c r="H252" s="380"/>
      <c r="I252" s="380"/>
      <c r="J252" s="380"/>
      <c r="K252" s="380"/>
      <c r="L252" s="380"/>
      <c r="M252" s="380"/>
      <c r="N252" s="380"/>
      <c r="O252" s="380"/>
      <c r="P252" s="380"/>
      <c r="Q252" s="380"/>
      <c r="R252" s="232"/>
      <c r="S252" s="232"/>
      <c r="T252" s="232"/>
      <c r="U252" s="232"/>
      <c r="V252" s="232"/>
    </row>
    <row r="253" ht="15.75" customHeight="1">
      <c r="A253" s="380"/>
      <c r="B253" s="380"/>
      <c r="C253" s="380"/>
      <c r="D253" s="380"/>
      <c r="E253" s="380"/>
      <c r="F253" s="380"/>
      <c r="G253" s="380"/>
      <c r="H253" s="380"/>
      <c r="I253" s="380"/>
      <c r="J253" s="380"/>
      <c r="K253" s="380"/>
      <c r="L253" s="380"/>
      <c r="M253" s="380"/>
      <c r="N253" s="380"/>
      <c r="O253" s="380"/>
      <c r="P253" s="380"/>
      <c r="Q253" s="380"/>
      <c r="R253" s="232"/>
      <c r="S253" s="232"/>
      <c r="T253" s="232"/>
      <c r="U253" s="232"/>
      <c r="V253" s="232"/>
    </row>
    <row r="254" ht="15.75" customHeight="1">
      <c r="A254" s="380"/>
      <c r="B254" s="380"/>
      <c r="C254" s="380"/>
      <c r="D254" s="380"/>
      <c r="E254" s="380"/>
      <c r="F254" s="380"/>
      <c r="G254" s="380"/>
      <c r="H254" s="380"/>
      <c r="I254" s="380"/>
      <c r="J254" s="380"/>
      <c r="K254" s="380"/>
      <c r="L254" s="380"/>
      <c r="M254" s="380"/>
      <c r="N254" s="380"/>
      <c r="O254" s="380"/>
      <c r="P254" s="380"/>
      <c r="Q254" s="380"/>
      <c r="R254" s="232"/>
      <c r="S254" s="232"/>
      <c r="T254" s="232"/>
      <c r="U254" s="232"/>
      <c r="V254" s="232"/>
    </row>
    <row r="255" ht="15.75" customHeight="1">
      <c r="A255" s="380"/>
      <c r="B255" s="380"/>
      <c r="C255" s="380"/>
      <c r="D255" s="380"/>
      <c r="E255" s="380"/>
      <c r="F255" s="380"/>
      <c r="G255" s="380"/>
      <c r="H255" s="380"/>
      <c r="I255" s="380"/>
      <c r="J255" s="380"/>
      <c r="K255" s="380"/>
      <c r="L255" s="380"/>
      <c r="M255" s="380"/>
      <c r="N255" s="380"/>
      <c r="O255" s="380"/>
      <c r="P255" s="380"/>
      <c r="Q255" s="380"/>
      <c r="R255" s="232"/>
      <c r="S255" s="232"/>
      <c r="T255" s="232"/>
      <c r="U255" s="232"/>
      <c r="V255" s="232"/>
    </row>
    <row r="256" ht="15.75" customHeight="1">
      <c r="A256" s="380"/>
      <c r="B256" s="380"/>
      <c r="C256" s="380"/>
      <c r="D256" s="380"/>
      <c r="E256" s="380"/>
      <c r="F256" s="380"/>
      <c r="G256" s="380"/>
      <c r="H256" s="380"/>
      <c r="I256" s="380"/>
      <c r="J256" s="380"/>
      <c r="K256" s="380"/>
      <c r="L256" s="380"/>
      <c r="M256" s="380"/>
      <c r="N256" s="380"/>
      <c r="O256" s="380"/>
      <c r="P256" s="380"/>
      <c r="Q256" s="380"/>
      <c r="R256" s="232"/>
      <c r="S256" s="232"/>
      <c r="T256" s="232"/>
      <c r="U256" s="232"/>
      <c r="V256" s="232"/>
    </row>
    <row r="257" ht="15.75" customHeight="1">
      <c r="A257" s="380"/>
      <c r="B257" s="380"/>
      <c r="C257" s="380"/>
      <c r="D257" s="380"/>
      <c r="E257" s="380"/>
      <c r="F257" s="380"/>
      <c r="G257" s="380"/>
      <c r="H257" s="380"/>
      <c r="I257" s="380"/>
      <c r="J257" s="380"/>
      <c r="K257" s="380"/>
      <c r="L257" s="380"/>
      <c r="M257" s="380"/>
      <c r="N257" s="380"/>
      <c r="O257" s="380"/>
      <c r="P257" s="380"/>
      <c r="Q257" s="380"/>
      <c r="R257" s="232"/>
      <c r="S257" s="232"/>
      <c r="T257" s="232"/>
      <c r="U257" s="232"/>
      <c r="V257" s="232"/>
    </row>
    <row r="258" ht="15.75" customHeight="1">
      <c r="A258" s="380"/>
      <c r="B258" s="380"/>
      <c r="C258" s="380"/>
      <c r="D258" s="380"/>
      <c r="E258" s="380"/>
      <c r="F258" s="380"/>
      <c r="G258" s="380"/>
      <c r="H258" s="380"/>
      <c r="I258" s="380"/>
      <c r="J258" s="380"/>
      <c r="K258" s="380"/>
      <c r="L258" s="380"/>
      <c r="M258" s="380"/>
      <c r="N258" s="380"/>
      <c r="O258" s="380"/>
      <c r="P258" s="380"/>
      <c r="Q258" s="380"/>
      <c r="R258" s="232"/>
      <c r="S258" s="232"/>
      <c r="T258" s="232"/>
      <c r="U258" s="232"/>
      <c r="V258" s="232"/>
    </row>
    <row r="259" ht="15.75" customHeight="1">
      <c r="A259" s="380"/>
      <c r="B259" s="380"/>
      <c r="C259" s="380"/>
      <c r="D259" s="380"/>
      <c r="E259" s="380"/>
      <c r="F259" s="380"/>
      <c r="G259" s="380"/>
      <c r="H259" s="380"/>
      <c r="I259" s="380"/>
      <c r="J259" s="380"/>
      <c r="K259" s="380"/>
      <c r="L259" s="380"/>
      <c r="M259" s="380"/>
      <c r="N259" s="380"/>
      <c r="O259" s="380"/>
      <c r="P259" s="380"/>
      <c r="Q259" s="380"/>
      <c r="R259" s="232"/>
      <c r="S259" s="232"/>
      <c r="T259" s="232"/>
      <c r="U259" s="232"/>
      <c r="V259" s="232"/>
    </row>
    <row r="260" ht="15.75" customHeight="1">
      <c r="A260" s="380"/>
      <c r="B260" s="380"/>
      <c r="C260" s="380"/>
      <c r="D260" s="380"/>
      <c r="E260" s="380"/>
      <c r="F260" s="380"/>
      <c r="G260" s="380"/>
      <c r="H260" s="380"/>
      <c r="I260" s="380"/>
      <c r="J260" s="380"/>
      <c r="K260" s="380"/>
      <c r="L260" s="380"/>
      <c r="M260" s="380"/>
      <c r="N260" s="380"/>
      <c r="O260" s="380"/>
      <c r="P260" s="380"/>
      <c r="Q260" s="380"/>
      <c r="R260" s="232"/>
      <c r="S260" s="232"/>
      <c r="T260" s="232"/>
      <c r="U260" s="232"/>
      <c r="V260" s="232"/>
    </row>
    <row r="261" ht="15.75" customHeight="1">
      <c r="A261" s="380"/>
      <c r="B261" s="380"/>
      <c r="C261" s="380"/>
      <c r="D261" s="380"/>
      <c r="E261" s="380"/>
      <c r="F261" s="380"/>
      <c r="G261" s="380"/>
      <c r="H261" s="380"/>
      <c r="I261" s="380"/>
      <c r="J261" s="380"/>
      <c r="K261" s="380"/>
      <c r="L261" s="380"/>
      <c r="M261" s="380"/>
      <c r="N261" s="380"/>
      <c r="O261" s="380"/>
      <c r="P261" s="380"/>
      <c r="Q261" s="380"/>
      <c r="R261" s="232"/>
      <c r="S261" s="232"/>
      <c r="T261" s="232"/>
      <c r="U261" s="232"/>
      <c r="V261" s="232"/>
    </row>
    <row r="262" ht="15.75" customHeight="1">
      <c r="A262" s="380"/>
      <c r="B262" s="380"/>
      <c r="C262" s="380"/>
      <c r="D262" s="380"/>
      <c r="E262" s="380"/>
      <c r="F262" s="380"/>
      <c r="G262" s="380"/>
      <c r="H262" s="380"/>
      <c r="I262" s="380"/>
      <c r="J262" s="380"/>
      <c r="K262" s="380"/>
      <c r="L262" s="380"/>
      <c r="M262" s="380"/>
      <c r="N262" s="380"/>
      <c r="O262" s="380"/>
      <c r="P262" s="380"/>
      <c r="Q262" s="380"/>
      <c r="R262" s="232"/>
      <c r="S262" s="232"/>
      <c r="T262" s="232"/>
      <c r="U262" s="232"/>
      <c r="V262" s="232"/>
    </row>
    <row r="263" ht="15.75" customHeight="1">
      <c r="A263" s="380"/>
      <c r="B263" s="380"/>
      <c r="C263" s="380"/>
      <c r="D263" s="380"/>
      <c r="E263" s="380"/>
      <c r="F263" s="380"/>
      <c r="G263" s="380"/>
      <c r="H263" s="380"/>
      <c r="I263" s="380"/>
      <c r="J263" s="380"/>
      <c r="K263" s="380"/>
      <c r="L263" s="380"/>
      <c r="M263" s="380"/>
      <c r="N263" s="380"/>
      <c r="O263" s="380"/>
      <c r="P263" s="380"/>
      <c r="Q263" s="380"/>
      <c r="R263" s="232"/>
      <c r="S263" s="232"/>
      <c r="T263" s="232"/>
      <c r="U263" s="232"/>
      <c r="V263" s="232"/>
    </row>
    <row r="264" ht="15.75" customHeight="1">
      <c r="A264" s="380"/>
      <c r="B264" s="380"/>
      <c r="C264" s="380"/>
      <c r="D264" s="380"/>
      <c r="E264" s="380"/>
      <c r="F264" s="380"/>
      <c r="G264" s="380"/>
      <c r="H264" s="380"/>
      <c r="I264" s="380"/>
      <c r="J264" s="380"/>
      <c r="K264" s="380"/>
      <c r="L264" s="380"/>
      <c r="M264" s="380"/>
      <c r="N264" s="380"/>
      <c r="O264" s="380"/>
      <c r="P264" s="380"/>
      <c r="Q264" s="380"/>
      <c r="R264" s="232"/>
      <c r="S264" s="232"/>
      <c r="T264" s="232"/>
      <c r="U264" s="232"/>
      <c r="V264" s="232"/>
    </row>
    <row r="265" ht="15.75" customHeight="1">
      <c r="A265" s="380"/>
      <c r="B265" s="380"/>
      <c r="C265" s="380"/>
      <c r="D265" s="380"/>
      <c r="E265" s="380"/>
      <c r="F265" s="380"/>
      <c r="G265" s="380"/>
      <c r="H265" s="380"/>
      <c r="I265" s="380"/>
      <c r="J265" s="380"/>
      <c r="K265" s="380"/>
      <c r="L265" s="380"/>
      <c r="M265" s="380"/>
      <c r="N265" s="380"/>
      <c r="O265" s="380"/>
      <c r="P265" s="380"/>
      <c r="Q265" s="380"/>
      <c r="R265" s="232"/>
      <c r="S265" s="232"/>
      <c r="T265" s="232"/>
      <c r="U265" s="232"/>
      <c r="V265" s="232"/>
    </row>
    <row r="266" ht="15.75" customHeight="1">
      <c r="A266" s="380"/>
      <c r="B266" s="380"/>
      <c r="C266" s="380"/>
      <c r="D266" s="380"/>
      <c r="E266" s="380"/>
      <c r="F266" s="380"/>
      <c r="G266" s="380"/>
      <c r="H266" s="380"/>
      <c r="I266" s="380"/>
      <c r="J266" s="380"/>
      <c r="K266" s="380"/>
      <c r="L266" s="380"/>
      <c r="M266" s="380"/>
      <c r="N266" s="380"/>
      <c r="O266" s="380"/>
      <c r="P266" s="380"/>
      <c r="Q266" s="380"/>
      <c r="R266" s="232"/>
      <c r="S266" s="232"/>
      <c r="T266" s="232"/>
      <c r="U266" s="232"/>
      <c r="V266" s="232"/>
    </row>
    <row r="267" ht="15.75" customHeight="1">
      <c r="A267" s="380"/>
      <c r="B267" s="380"/>
      <c r="C267" s="380"/>
      <c r="D267" s="380"/>
      <c r="E267" s="380"/>
      <c r="F267" s="380"/>
      <c r="G267" s="380"/>
      <c r="H267" s="380"/>
      <c r="I267" s="380"/>
      <c r="J267" s="380"/>
      <c r="K267" s="380"/>
      <c r="L267" s="380"/>
      <c r="M267" s="380"/>
      <c r="N267" s="380"/>
      <c r="O267" s="380"/>
      <c r="P267" s="380"/>
      <c r="Q267" s="380"/>
      <c r="R267" s="232"/>
      <c r="S267" s="232"/>
      <c r="T267" s="232"/>
      <c r="U267" s="232"/>
      <c r="V267" s="232"/>
    </row>
    <row r="268" ht="15.75" customHeight="1">
      <c r="A268" s="380"/>
      <c r="B268" s="380"/>
      <c r="C268" s="380"/>
      <c r="D268" s="380"/>
      <c r="E268" s="380"/>
      <c r="F268" s="380"/>
      <c r="G268" s="380"/>
      <c r="H268" s="380"/>
      <c r="I268" s="380"/>
      <c r="J268" s="380"/>
      <c r="K268" s="380"/>
      <c r="L268" s="380"/>
      <c r="M268" s="380"/>
      <c r="N268" s="380"/>
      <c r="O268" s="380"/>
      <c r="P268" s="380"/>
      <c r="Q268" s="380"/>
      <c r="R268" s="232"/>
      <c r="S268" s="232"/>
      <c r="T268" s="232"/>
      <c r="U268" s="232"/>
      <c r="V268" s="232"/>
    </row>
    <row r="269" ht="15.75" customHeight="1">
      <c r="A269" s="380"/>
      <c r="B269" s="380"/>
      <c r="C269" s="380"/>
      <c r="D269" s="380"/>
      <c r="E269" s="380"/>
      <c r="F269" s="380"/>
      <c r="G269" s="380"/>
      <c r="H269" s="380"/>
      <c r="I269" s="380"/>
      <c r="J269" s="380"/>
      <c r="K269" s="380"/>
      <c r="L269" s="380"/>
      <c r="M269" s="380"/>
      <c r="N269" s="380"/>
      <c r="O269" s="380"/>
      <c r="P269" s="380"/>
      <c r="Q269" s="380"/>
      <c r="R269" s="232"/>
      <c r="S269" s="232"/>
      <c r="T269" s="232"/>
      <c r="U269" s="232"/>
      <c r="V269" s="232"/>
    </row>
    <row r="270" ht="15.75" customHeight="1">
      <c r="A270" s="380"/>
      <c r="B270" s="380"/>
      <c r="C270" s="380"/>
      <c r="D270" s="380"/>
      <c r="E270" s="380"/>
      <c r="F270" s="380"/>
      <c r="G270" s="380"/>
      <c r="H270" s="380"/>
      <c r="I270" s="380"/>
      <c r="J270" s="380"/>
      <c r="K270" s="380"/>
      <c r="L270" s="380"/>
      <c r="M270" s="380"/>
      <c r="N270" s="380"/>
      <c r="O270" s="380"/>
      <c r="P270" s="380"/>
      <c r="Q270" s="380"/>
      <c r="R270" s="232"/>
      <c r="S270" s="232"/>
      <c r="T270" s="232"/>
      <c r="U270" s="232"/>
      <c r="V270" s="232"/>
    </row>
    <row r="271" ht="15.75" customHeight="1">
      <c r="A271" s="380"/>
      <c r="B271" s="380"/>
      <c r="C271" s="380"/>
      <c r="D271" s="380"/>
      <c r="E271" s="380"/>
      <c r="F271" s="380"/>
      <c r="G271" s="380"/>
      <c r="H271" s="380"/>
      <c r="I271" s="380"/>
      <c r="J271" s="380"/>
      <c r="K271" s="380"/>
      <c r="L271" s="380"/>
      <c r="M271" s="380"/>
      <c r="N271" s="380"/>
      <c r="O271" s="380"/>
      <c r="P271" s="380"/>
      <c r="Q271" s="380"/>
      <c r="R271" s="232"/>
      <c r="S271" s="232"/>
      <c r="T271" s="232"/>
      <c r="U271" s="232"/>
      <c r="V271" s="232"/>
    </row>
    <row r="272" ht="15.75" customHeight="1">
      <c r="A272" s="380"/>
      <c r="B272" s="380"/>
      <c r="C272" s="380"/>
      <c r="D272" s="380"/>
      <c r="E272" s="380"/>
      <c r="F272" s="380"/>
      <c r="G272" s="380"/>
      <c r="H272" s="380"/>
      <c r="I272" s="380"/>
      <c r="J272" s="380"/>
      <c r="K272" s="380"/>
      <c r="L272" s="380"/>
      <c r="M272" s="380"/>
      <c r="N272" s="380"/>
      <c r="O272" s="380"/>
      <c r="P272" s="380"/>
      <c r="Q272" s="380"/>
      <c r="R272" s="232"/>
      <c r="S272" s="232"/>
      <c r="T272" s="232"/>
      <c r="U272" s="232"/>
      <c r="V272" s="232"/>
    </row>
    <row r="273" ht="15.75" customHeight="1">
      <c r="A273" s="380"/>
      <c r="B273" s="380"/>
      <c r="C273" s="380"/>
      <c r="D273" s="380"/>
      <c r="E273" s="380"/>
      <c r="F273" s="380"/>
      <c r="G273" s="380"/>
      <c r="H273" s="380"/>
      <c r="I273" s="380"/>
      <c r="J273" s="380"/>
      <c r="K273" s="380"/>
      <c r="L273" s="380"/>
      <c r="M273" s="380"/>
      <c r="N273" s="380"/>
      <c r="O273" s="380"/>
      <c r="P273" s="380"/>
      <c r="Q273" s="380"/>
      <c r="R273" s="232"/>
      <c r="S273" s="232"/>
      <c r="T273" s="232"/>
      <c r="U273" s="232"/>
      <c r="V273" s="232"/>
    </row>
    <row r="274" ht="15.75" customHeight="1">
      <c r="A274" s="380"/>
      <c r="B274" s="380"/>
      <c r="C274" s="380"/>
      <c r="D274" s="380"/>
      <c r="E274" s="380"/>
      <c r="F274" s="380"/>
      <c r="G274" s="380"/>
      <c r="H274" s="380"/>
      <c r="I274" s="380"/>
      <c r="J274" s="380"/>
      <c r="K274" s="380"/>
      <c r="L274" s="380"/>
      <c r="M274" s="380"/>
      <c r="N274" s="380"/>
      <c r="O274" s="380"/>
      <c r="P274" s="380"/>
      <c r="Q274" s="380"/>
      <c r="R274" s="232"/>
      <c r="S274" s="232"/>
      <c r="T274" s="232"/>
      <c r="U274" s="232"/>
      <c r="V274" s="232"/>
    </row>
    <row r="275" ht="15.75" customHeight="1">
      <c r="A275" s="380"/>
      <c r="B275" s="380"/>
      <c r="C275" s="380"/>
      <c r="D275" s="380"/>
      <c r="E275" s="380"/>
      <c r="F275" s="380"/>
      <c r="G275" s="380"/>
      <c r="H275" s="380"/>
      <c r="I275" s="380"/>
      <c r="J275" s="380"/>
      <c r="K275" s="380"/>
      <c r="L275" s="380"/>
      <c r="M275" s="380"/>
      <c r="N275" s="380"/>
      <c r="O275" s="380"/>
      <c r="P275" s="380"/>
      <c r="Q275" s="380"/>
      <c r="R275" s="232"/>
      <c r="S275" s="232"/>
      <c r="T275" s="232"/>
      <c r="U275" s="232"/>
      <c r="V275" s="232"/>
    </row>
    <row r="276" ht="15.75" customHeight="1">
      <c r="A276" s="380"/>
      <c r="B276" s="380"/>
      <c r="C276" s="380"/>
      <c r="D276" s="380"/>
      <c r="E276" s="380"/>
      <c r="F276" s="380"/>
      <c r="G276" s="380"/>
      <c r="H276" s="380"/>
      <c r="I276" s="380"/>
      <c r="J276" s="380"/>
      <c r="K276" s="380"/>
      <c r="L276" s="380"/>
      <c r="M276" s="380"/>
      <c r="N276" s="380"/>
      <c r="O276" s="380"/>
      <c r="P276" s="380"/>
      <c r="Q276" s="380"/>
      <c r="R276" s="232"/>
      <c r="S276" s="232"/>
      <c r="T276" s="232"/>
      <c r="U276" s="232"/>
      <c r="V276" s="232"/>
    </row>
    <row r="277" ht="15.75" customHeight="1">
      <c r="A277" s="380"/>
      <c r="B277" s="380"/>
      <c r="C277" s="380"/>
      <c r="D277" s="380"/>
      <c r="E277" s="380"/>
      <c r="F277" s="380"/>
      <c r="G277" s="380"/>
      <c r="H277" s="380"/>
      <c r="I277" s="380"/>
      <c r="J277" s="380"/>
      <c r="K277" s="380"/>
      <c r="L277" s="380"/>
      <c r="M277" s="380"/>
      <c r="N277" s="380"/>
      <c r="O277" s="380"/>
      <c r="P277" s="380"/>
      <c r="Q277" s="380"/>
      <c r="R277" s="232"/>
      <c r="S277" s="232"/>
      <c r="T277" s="232"/>
      <c r="U277" s="232"/>
      <c r="V277" s="232"/>
    </row>
    <row r="278" ht="15.75" customHeight="1">
      <c r="A278" s="380"/>
      <c r="B278" s="380"/>
      <c r="C278" s="380"/>
      <c r="D278" s="380"/>
      <c r="E278" s="380"/>
      <c r="F278" s="380"/>
      <c r="G278" s="380"/>
      <c r="H278" s="380"/>
      <c r="I278" s="380"/>
      <c r="J278" s="380"/>
      <c r="K278" s="380"/>
      <c r="L278" s="380"/>
      <c r="M278" s="380"/>
      <c r="N278" s="380"/>
      <c r="O278" s="380"/>
      <c r="P278" s="380"/>
      <c r="Q278" s="380"/>
      <c r="R278" s="232"/>
      <c r="S278" s="232"/>
      <c r="T278" s="232"/>
      <c r="U278" s="232"/>
      <c r="V278" s="232"/>
    </row>
    <row r="279" ht="15.75" customHeight="1">
      <c r="A279" s="380"/>
      <c r="B279" s="380"/>
      <c r="C279" s="380"/>
      <c r="D279" s="380"/>
      <c r="E279" s="380"/>
      <c r="F279" s="380"/>
      <c r="G279" s="380"/>
      <c r="H279" s="380"/>
      <c r="I279" s="380"/>
      <c r="J279" s="380"/>
      <c r="K279" s="380"/>
      <c r="L279" s="380"/>
      <c r="M279" s="380"/>
      <c r="N279" s="380"/>
      <c r="O279" s="380"/>
      <c r="P279" s="380"/>
      <c r="Q279" s="380"/>
      <c r="R279" s="232"/>
      <c r="S279" s="232"/>
      <c r="T279" s="232"/>
      <c r="U279" s="232"/>
      <c r="V279" s="232"/>
    </row>
    <row r="280" ht="15.75" customHeight="1">
      <c r="A280" s="380"/>
      <c r="B280" s="380"/>
      <c r="C280" s="380"/>
      <c r="D280" s="380"/>
      <c r="E280" s="380"/>
      <c r="F280" s="380"/>
      <c r="G280" s="380"/>
      <c r="H280" s="380"/>
      <c r="I280" s="380"/>
      <c r="J280" s="380"/>
      <c r="K280" s="380"/>
      <c r="L280" s="380"/>
      <c r="M280" s="380"/>
      <c r="N280" s="380"/>
      <c r="O280" s="380"/>
      <c r="P280" s="380"/>
      <c r="Q280" s="380"/>
      <c r="R280" s="232"/>
      <c r="S280" s="232"/>
      <c r="T280" s="232"/>
      <c r="U280" s="232"/>
      <c r="V280" s="232"/>
    </row>
    <row r="281" ht="15.75" customHeight="1">
      <c r="A281" s="380"/>
      <c r="B281" s="380"/>
      <c r="C281" s="380"/>
      <c r="D281" s="380"/>
      <c r="E281" s="380"/>
      <c r="F281" s="380"/>
      <c r="G281" s="380"/>
      <c r="H281" s="380"/>
      <c r="I281" s="380"/>
      <c r="J281" s="380"/>
      <c r="K281" s="380"/>
      <c r="L281" s="380"/>
      <c r="M281" s="380"/>
      <c r="N281" s="380"/>
      <c r="O281" s="380"/>
      <c r="P281" s="380"/>
      <c r="Q281" s="380"/>
      <c r="R281" s="232"/>
      <c r="S281" s="232"/>
      <c r="T281" s="232"/>
      <c r="U281" s="232"/>
      <c r="V281" s="232"/>
    </row>
    <row r="282" ht="15.75" customHeight="1">
      <c r="A282" s="380"/>
      <c r="B282" s="380"/>
      <c r="C282" s="380"/>
      <c r="D282" s="380"/>
      <c r="E282" s="380"/>
      <c r="F282" s="380"/>
      <c r="G282" s="380"/>
      <c r="H282" s="380"/>
      <c r="I282" s="380"/>
      <c r="J282" s="380"/>
      <c r="K282" s="380"/>
      <c r="L282" s="380"/>
      <c r="M282" s="380"/>
      <c r="N282" s="380"/>
      <c r="O282" s="380"/>
      <c r="P282" s="380"/>
      <c r="Q282" s="380"/>
      <c r="R282" s="232"/>
      <c r="S282" s="232"/>
      <c r="T282" s="232"/>
      <c r="U282" s="232"/>
      <c r="V282" s="232"/>
    </row>
    <row r="283" ht="15.75" customHeight="1">
      <c r="A283" s="380"/>
      <c r="B283" s="380"/>
      <c r="C283" s="380"/>
      <c r="D283" s="380"/>
      <c r="E283" s="380"/>
      <c r="F283" s="380"/>
      <c r="G283" s="380"/>
      <c r="H283" s="380"/>
      <c r="I283" s="380"/>
      <c r="J283" s="380"/>
      <c r="K283" s="380"/>
      <c r="L283" s="380"/>
      <c r="M283" s="380"/>
      <c r="N283" s="380"/>
      <c r="O283" s="380"/>
      <c r="P283" s="380"/>
      <c r="Q283" s="380"/>
      <c r="R283" s="232"/>
      <c r="S283" s="232"/>
      <c r="T283" s="232"/>
      <c r="U283" s="232"/>
      <c r="V283" s="232"/>
    </row>
    <row r="284" ht="15.75" customHeight="1">
      <c r="A284" s="380"/>
      <c r="B284" s="380"/>
      <c r="C284" s="380"/>
      <c r="D284" s="380"/>
      <c r="E284" s="380"/>
      <c r="F284" s="380"/>
      <c r="G284" s="380"/>
      <c r="H284" s="380"/>
      <c r="I284" s="380"/>
      <c r="J284" s="380"/>
      <c r="K284" s="380"/>
      <c r="L284" s="380"/>
      <c r="M284" s="380"/>
      <c r="N284" s="380"/>
      <c r="O284" s="380"/>
      <c r="P284" s="380"/>
      <c r="Q284" s="380"/>
      <c r="R284" s="232"/>
      <c r="S284" s="232"/>
      <c r="T284" s="232"/>
      <c r="U284" s="232"/>
      <c r="V284" s="232"/>
    </row>
    <row r="285" ht="15.75" customHeight="1">
      <c r="A285" s="380"/>
      <c r="B285" s="380"/>
      <c r="C285" s="380"/>
      <c r="D285" s="380"/>
      <c r="E285" s="380"/>
      <c r="F285" s="380"/>
      <c r="G285" s="380"/>
      <c r="H285" s="380"/>
      <c r="I285" s="380"/>
      <c r="J285" s="380"/>
      <c r="K285" s="380"/>
      <c r="L285" s="380"/>
      <c r="M285" s="380"/>
      <c r="N285" s="380"/>
      <c r="O285" s="380"/>
      <c r="P285" s="380"/>
      <c r="Q285" s="380"/>
      <c r="R285" s="232"/>
      <c r="S285" s="232"/>
      <c r="T285" s="232"/>
      <c r="U285" s="232"/>
      <c r="V285" s="232"/>
    </row>
    <row r="286" ht="15.75" customHeight="1">
      <c r="A286" s="380"/>
      <c r="B286" s="380"/>
      <c r="C286" s="380"/>
      <c r="D286" s="380"/>
      <c r="E286" s="380"/>
      <c r="F286" s="380"/>
      <c r="G286" s="380"/>
      <c r="H286" s="380"/>
      <c r="I286" s="380"/>
      <c r="J286" s="380"/>
      <c r="K286" s="380"/>
      <c r="L286" s="380"/>
      <c r="M286" s="380"/>
      <c r="N286" s="380"/>
      <c r="O286" s="380"/>
      <c r="P286" s="380"/>
      <c r="Q286" s="380"/>
      <c r="R286" s="232"/>
      <c r="S286" s="232"/>
      <c r="T286" s="232"/>
      <c r="U286" s="232"/>
      <c r="V286" s="232"/>
    </row>
    <row r="287" ht="15.75" customHeight="1">
      <c r="A287" s="380"/>
      <c r="B287" s="380"/>
      <c r="C287" s="380"/>
      <c r="D287" s="380"/>
      <c r="E287" s="380"/>
      <c r="F287" s="380"/>
      <c r="G287" s="380"/>
      <c r="H287" s="380"/>
      <c r="I287" s="380"/>
      <c r="J287" s="380"/>
      <c r="K287" s="380"/>
      <c r="L287" s="380"/>
      <c r="M287" s="380"/>
      <c r="N287" s="380"/>
      <c r="O287" s="380"/>
      <c r="P287" s="380"/>
      <c r="Q287" s="380"/>
      <c r="R287" s="232"/>
      <c r="S287" s="232"/>
      <c r="T287" s="232"/>
      <c r="U287" s="232"/>
      <c r="V287" s="232"/>
    </row>
    <row r="288" ht="15.75" customHeight="1">
      <c r="A288" s="380"/>
      <c r="B288" s="380"/>
      <c r="C288" s="380"/>
      <c r="D288" s="380"/>
      <c r="E288" s="380"/>
      <c r="F288" s="380"/>
      <c r="G288" s="380"/>
      <c r="H288" s="380"/>
      <c r="I288" s="380"/>
      <c r="J288" s="380"/>
      <c r="K288" s="380"/>
      <c r="L288" s="380"/>
      <c r="M288" s="380"/>
      <c r="N288" s="380"/>
      <c r="O288" s="380"/>
      <c r="P288" s="380"/>
      <c r="Q288" s="380"/>
      <c r="R288" s="232"/>
      <c r="S288" s="232"/>
      <c r="T288" s="232"/>
      <c r="U288" s="232"/>
      <c r="V288" s="232"/>
    </row>
    <row r="289" ht="15.75" customHeight="1">
      <c r="A289" s="380"/>
      <c r="B289" s="380"/>
      <c r="C289" s="380"/>
      <c r="D289" s="380"/>
      <c r="E289" s="380"/>
      <c r="F289" s="380"/>
      <c r="G289" s="380"/>
      <c r="H289" s="380"/>
      <c r="I289" s="380"/>
      <c r="J289" s="380"/>
      <c r="K289" s="380"/>
      <c r="L289" s="380"/>
      <c r="M289" s="380"/>
      <c r="N289" s="380"/>
      <c r="O289" s="380"/>
      <c r="P289" s="380"/>
      <c r="Q289" s="380"/>
      <c r="R289" s="232"/>
      <c r="S289" s="232"/>
      <c r="T289" s="232"/>
      <c r="U289" s="232"/>
      <c r="V289" s="232"/>
    </row>
    <row r="290" ht="15.75" customHeight="1">
      <c r="A290" s="380"/>
      <c r="B290" s="380"/>
      <c r="C290" s="380"/>
      <c r="D290" s="380"/>
      <c r="E290" s="380"/>
      <c r="F290" s="380"/>
      <c r="G290" s="380"/>
      <c r="H290" s="380"/>
      <c r="I290" s="380"/>
      <c r="J290" s="380"/>
      <c r="K290" s="380"/>
      <c r="L290" s="380"/>
      <c r="M290" s="380"/>
      <c r="N290" s="380"/>
      <c r="O290" s="380"/>
      <c r="P290" s="380"/>
      <c r="Q290" s="380"/>
      <c r="R290" s="232"/>
      <c r="S290" s="232"/>
      <c r="T290" s="232"/>
      <c r="U290" s="232"/>
      <c r="V290" s="232"/>
    </row>
    <row r="291" ht="15.75" customHeight="1">
      <c r="A291" s="380"/>
      <c r="B291" s="380"/>
      <c r="C291" s="380"/>
      <c r="D291" s="380"/>
      <c r="E291" s="380"/>
      <c r="F291" s="380"/>
      <c r="G291" s="380"/>
      <c r="H291" s="380"/>
      <c r="I291" s="380"/>
      <c r="J291" s="380"/>
      <c r="K291" s="380"/>
      <c r="L291" s="380"/>
      <c r="M291" s="380"/>
      <c r="N291" s="380"/>
      <c r="O291" s="380"/>
      <c r="P291" s="380"/>
      <c r="Q291" s="380"/>
      <c r="R291" s="232"/>
      <c r="S291" s="232"/>
      <c r="T291" s="232"/>
      <c r="U291" s="232"/>
      <c r="V291" s="232"/>
    </row>
    <row r="292" ht="15.75" customHeight="1">
      <c r="A292" s="380"/>
      <c r="B292" s="380"/>
      <c r="C292" s="380"/>
      <c r="D292" s="380"/>
      <c r="E292" s="380"/>
      <c r="F292" s="380"/>
      <c r="G292" s="380"/>
      <c r="H292" s="380"/>
      <c r="I292" s="380"/>
      <c r="J292" s="380"/>
      <c r="K292" s="380"/>
      <c r="L292" s="380"/>
      <c r="M292" s="380"/>
      <c r="N292" s="380"/>
      <c r="O292" s="380"/>
      <c r="P292" s="380"/>
      <c r="Q292" s="380"/>
      <c r="R292" s="232"/>
      <c r="S292" s="232"/>
      <c r="T292" s="232"/>
      <c r="U292" s="232"/>
      <c r="V292" s="232"/>
    </row>
    <row r="293" ht="15.75" customHeight="1">
      <c r="A293" s="380"/>
      <c r="B293" s="380"/>
      <c r="C293" s="380"/>
      <c r="D293" s="380"/>
      <c r="E293" s="380"/>
      <c r="F293" s="380"/>
      <c r="G293" s="380"/>
      <c r="H293" s="380"/>
      <c r="I293" s="380"/>
      <c r="J293" s="380"/>
      <c r="K293" s="380"/>
      <c r="L293" s="380"/>
      <c r="M293" s="380"/>
      <c r="N293" s="380"/>
      <c r="O293" s="380"/>
      <c r="P293" s="380"/>
      <c r="Q293" s="380"/>
      <c r="R293" s="232"/>
      <c r="S293" s="232"/>
      <c r="T293" s="232"/>
      <c r="U293" s="232"/>
      <c r="V293" s="232"/>
    </row>
    <row r="294" ht="15.75" customHeight="1">
      <c r="A294" s="380"/>
      <c r="B294" s="380"/>
      <c r="C294" s="380"/>
      <c r="D294" s="380"/>
      <c r="E294" s="380"/>
      <c r="F294" s="380"/>
      <c r="G294" s="380"/>
      <c r="H294" s="380"/>
      <c r="I294" s="380"/>
      <c r="J294" s="380"/>
      <c r="K294" s="380"/>
      <c r="L294" s="380"/>
      <c r="M294" s="380"/>
      <c r="N294" s="380"/>
      <c r="O294" s="380"/>
      <c r="P294" s="380"/>
      <c r="Q294" s="380"/>
      <c r="R294" s="232"/>
      <c r="S294" s="232"/>
      <c r="T294" s="232"/>
      <c r="U294" s="232"/>
      <c r="V294" s="232"/>
    </row>
    <row r="295" ht="15.75" customHeight="1">
      <c r="A295" s="380"/>
      <c r="B295" s="380"/>
      <c r="C295" s="380"/>
      <c r="D295" s="380"/>
      <c r="E295" s="380"/>
      <c r="F295" s="380"/>
      <c r="G295" s="380"/>
      <c r="H295" s="380"/>
      <c r="I295" s="380"/>
      <c r="J295" s="380"/>
      <c r="K295" s="380"/>
      <c r="L295" s="380"/>
      <c r="M295" s="380"/>
      <c r="N295" s="380"/>
      <c r="O295" s="380"/>
      <c r="P295" s="380"/>
      <c r="Q295" s="380"/>
      <c r="R295" s="232"/>
      <c r="S295" s="232"/>
      <c r="T295" s="232"/>
      <c r="U295" s="232"/>
      <c r="V295" s="232"/>
    </row>
    <row r="296" ht="15.75" customHeight="1">
      <c r="A296" s="380"/>
      <c r="B296" s="380"/>
      <c r="C296" s="380"/>
      <c r="D296" s="380"/>
      <c r="E296" s="380"/>
      <c r="F296" s="380"/>
      <c r="G296" s="380"/>
      <c r="H296" s="380"/>
      <c r="I296" s="380"/>
      <c r="J296" s="380"/>
      <c r="K296" s="380"/>
      <c r="L296" s="380"/>
      <c r="M296" s="380"/>
      <c r="N296" s="380"/>
      <c r="O296" s="380"/>
      <c r="P296" s="380"/>
      <c r="Q296" s="380"/>
      <c r="R296" s="232"/>
      <c r="S296" s="232"/>
      <c r="T296" s="232"/>
      <c r="U296" s="232"/>
      <c r="V296" s="232"/>
    </row>
    <row r="297" ht="15.75" customHeight="1">
      <c r="A297" s="380"/>
      <c r="B297" s="380"/>
      <c r="C297" s="380"/>
      <c r="D297" s="380"/>
      <c r="E297" s="380"/>
      <c r="F297" s="380"/>
      <c r="G297" s="380"/>
      <c r="H297" s="380"/>
      <c r="I297" s="380"/>
      <c r="J297" s="380"/>
      <c r="K297" s="380"/>
      <c r="L297" s="380"/>
      <c r="M297" s="380"/>
      <c r="N297" s="380"/>
      <c r="O297" s="380"/>
      <c r="P297" s="380"/>
      <c r="Q297" s="380"/>
      <c r="R297" s="232"/>
      <c r="S297" s="232"/>
      <c r="T297" s="232"/>
      <c r="U297" s="232"/>
      <c r="V297" s="232"/>
    </row>
    <row r="298" ht="15.75" customHeight="1">
      <c r="A298" s="380"/>
      <c r="B298" s="380"/>
      <c r="C298" s="380"/>
      <c r="D298" s="380"/>
      <c r="E298" s="380"/>
      <c r="F298" s="380"/>
      <c r="G298" s="380"/>
      <c r="H298" s="380"/>
      <c r="I298" s="380"/>
      <c r="J298" s="380"/>
      <c r="K298" s="380"/>
      <c r="L298" s="380"/>
      <c r="M298" s="380"/>
      <c r="N298" s="380"/>
      <c r="O298" s="380"/>
      <c r="P298" s="380"/>
      <c r="Q298" s="380"/>
      <c r="R298" s="232"/>
      <c r="S298" s="232"/>
      <c r="T298" s="232"/>
      <c r="U298" s="232"/>
      <c r="V298" s="232"/>
    </row>
    <row r="299" ht="15.75" customHeight="1">
      <c r="A299" s="380"/>
      <c r="B299" s="380"/>
      <c r="C299" s="380"/>
      <c r="D299" s="380"/>
      <c r="E299" s="380"/>
      <c r="F299" s="380"/>
      <c r="G299" s="380"/>
      <c r="H299" s="380"/>
      <c r="I299" s="380"/>
      <c r="J299" s="380"/>
      <c r="K299" s="380"/>
      <c r="L299" s="380"/>
      <c r="M299" s="380"/>
      <c r="N299" s="380"/>
      <c r="O299" s="380"/>
      <c r="P299" s="380"/>
      <c r="Q299" s="380"/>
      <c r="R299" s="232"/>
      <c r="S299" s="232"/>
      <c r="T299" s="232"/>
      <c r="U299" s="232"/>
      <c r="V299" s="232"/>
    </row>
    <row r="300" ht="15.75" customHeight="1">
      <c r="A300" s="380"/>
      <c r="B300" s="380"/>
      <c r="C300" s="380"/>
      <c r="D300" s="380"/>
      <c r="E300" s="380"/>
      <c r="F300" s="380"/>
      <c r="G300" s="380"/>
      <c r="H300" s="380"/>
      <c r="I300" s="380"/>
      <c r="J300" s="380"/>
      <c r="K300" s="380"/>
      <c r="L300" s="380"/>
      <c r="M300" s="380"/>
      <c r="N300" s="380"/>
      <c r="O300" s="380"/>
      <c r="P300" s="380"/>
      <c r="Q300" s="380"/>
      <c r="R300" s="232"/>
      <c r="S300" s="232"/>
      <c r="T300" s="232"/>
      <c r="U300" s="232"/>
      <c r="V300" s="232"/>
    </row>
    <row r="301" ht="15.75" customHeight="1">
      <c r="A301" s="380"/>
      <c r="B301" s="380"/>
      <c r="C301" s="380"/>
      <c r="D301" s="380"/>
      <c r="E301" s="380"/>
      <c r="F301" s="380"/>
      <c r="G301" s="380"/>
      <c r="H301" s="380"/>
      <c r="I301" s="380"/>
      <c r="J301" s="380"/>
      <c r="K301" s="380"/>
      <c r="L301" s="380"/>
      <c r="M301" s="380"/>
      <c r="N301" s="380"/>
      <c r="O301" s="380"/>
      <c r="P301" s="380"/>
      <c r="Q301" s="380"/>
      <c r="R301" s="232"/>
      <c r="S301" s="232"/>
      <c r="T301" s="232"/>
      <c r="U301" s="232"/>
      <c r="V301" s="232"/>
    </row>
    <row r="302" ht="15.75" customHeight="1">
      <c r="A302" s="380"/>
      <c r="B302" s="380"/>
      <c r="C302" s="380"/>
      <c r="D302" s="380"/>
      <c r="E302" s="380"/>
      <c r="F302" s="380"/>
      <c r="G302" s="380"/>
      <c r="H302" s="380"/>
      <c r="I302" s="380"/>
      <c r="J302" s="380"/>
      <c r="K302" s="380"/>
      <c r="L302" s="380"/>
      <c r="M302" s="380"/>
      <c r="N302" s="380"/>
      <c r="O302" s="380"/>
      <c r="P302" s="380"/>
      <c r="Q302" s="380"/>
      <c r="R302" s="232"/>
      <c r="S302" s="232"/>
      <c r="T302" s="232"/>
      <c r="U302" s="232"/>
      <c r="V302" s="232"/>
    </row>
    <row r="303" ht="15.75" customHeight="1">
      <c r="A303" s="380"/>
      <c r="B303" s="380"/>
      <c r="C303" s="380"/>
      <c r="D303" s="380"/>
      <c r="E303" s="380"/>
      <c r="F303" s="380"/>
      <c r="G303" s="380"/>
      <c r="H303" s="380"/>
      <c r="I303" s="380"/>
      <c r="J303" s="380"/>
      <c r="K303" s="380"/>
      <c r="L303" s="380"/>
      <c r="M303" s="380"/>
      <c r="N303" s="380"/>
      <c r="O303" s="380"/>
      <c r="P303" s="380"/>
      <c r="Q303" s="380"/>
      <c r="R303" s="232"/>
      <c r="S303" s="232"/>
      <c r="T303" s="232"/>
      <c r="U303" s="232"/>
      <c r="V303" s="232"/>
    </row>
    <row r="304" ht="15.75" customHeight="1">
      <c r="A304" s="380"/>
      <c r="B304" s="380"/>
      <c r="C304" s="380"/>
      <c r="D304" s="380"/>
      <c r="E304" s="380"/>
      <c r="F304" s="380"/>
      <c r="G304" s="380"/>
      <c r="H304" s="380"/>
      <c r="I304" s="380"/>
      <c r="J304" s="380"/>
      <c r="K304" s="380"/>
      <c r="L304" s="380"/>
      <c r="M304" s="380"/>
      <c r="N304" s="380"/>
      <c r="O304" s="380"/>
      <c r="P304" s="380"/>
      <c r="Q304" s="380"/>
      <c r="R304" s="232"/>
      <c r="S304" s="232"/>
      <c r="T304" s="232"/>
      <c r="U304" s="232"/>
      <c r="V304" s="232"/>
    </row>
    <row r="305" ht="15.75" customHeight="1">
      <c r="A305" s="380"/>
      <c r="B305" s="380"/>
      <c r="C305" s="380"/>
      <c r="D305" s="380"/>
      <c r="E305" s="380"/>
      <c r="F305" s="380"/>
      <c r="G305" s="380"/>
      <c r="H305" s="380"/>
      <c r="I305" s="380"/>
      <c r="J305" s="380"/>
      <c r="K305" s="380"/>
      <c r="L305" s="380"/>
      <c r="M305" s="380"/>
      <c r="N305" s="380"/>
      <c r="O305" s="380"/>
      <c r="P305" s="380"/>
      <c r="Q305" s="380"/>
      <c r="R305" s="232"/>
      <c r="S305" s="232"/>
      <c r="T305" s="232"/>
      <c r="U305" s="232"/>
      <c r="V305" s="232"/>
    </row>
    <row r="306" ht="15.75" customHeight="1">
      <c r="A306" s="380"/>
      <c r="B306" s="380"/>
      <c r="C306" s="380"/>
      <c r="D306" s="380"/>
      <c r="E306" s="380"/>
      <c r="F306" s="380"/>
      <c r="G306" s="380"/>
      <c r="H306" s="380"/>
      <c r="I306" s="380"/>
      <c r="J306" s="380"/>
      <c r="K306" s="380"/>
      <c r="L306" s="380"/>
      <c r="M306" s="380"/>
      <c r="N306" s="380"/>
      <c r="O306" s="380"/>
      <c r="P306" s="380"/>
      <c r="Q306" s="380"/>
      <c r="R306" s="232"/>
      <c r="S306" s="232"/>
      <c r="T306" s="232"/>
      <c r="U306" s="232"/>
      <c r="V306" s="232"/>
    </row>
    <row r="307" ht="15.75" customHeight="1">
      <c r="A307" s="380"/>
      <c r="B307" s="380"/>
      <c r="C307" s="380"/>
      <c r="D307" s="380"/>
      <c r="E307" s="380"/>
      <c r="F307" s="380"/>
      <c r="G307" s="380"/>
      <c r="H307" s="380"/>
      <c r="I307" s="380"/>
      <c r="J307" s="380"/>
      <c r="K307" s="380"/>
      <c r="L307" s="380"/>
      <c r="M307" s="380"/>
      <c r="N307" s="380"/>
      <c r="O307" s="380"/>
      <c r="P307" s="380"/>
      <c r="Q307" s="380"/>
      <c r="R307" s="232"/>
      <c r="S307" s="232"/>
      <c r="T307" s="232"/>
      <c r="U307" s="232"/>
      <c r="V307" s="232"/>
    </row>
    <row r="308" ht="15.75" customHeight="1">
      <c r="A308" s="380"/>
      <c r="B308" s="380"/>
      <c r="C308" s="380"/>
      <c r="D308" s="380"/>
      <c r="E308" s="380"/>
      <c r="F308" s="380"/>
      <c r="G308" s="380"/>
      <c r="H308" s="380"/>
      <c r="I308" s="380"/>
      <c r="J308" s="380"/>
      <c r="K308" s="380"/>
      <c r="L308" s="380"/>
      <c r="M308" s="380"/>
      <c r="N308" s="380"/>
      <c r="O308" s="380"/>
      <c r="P308" s="380"/>
      <c r="Q308" s="380"/>
      <c r="R308" s="232"/>
      <c r="S308" s="232"/>
      <c r="T308" s="232"/>
      <c r="U308" s="232"/>
      <c r="V308" s="232"/>
    </row>
    <row r="309" ht="15.75" customHeight="1">
      <c r="A309" s="380"/>
      <c r="B309" s="380"/>
      <c r="C309" s="380"/>
      <c r="D309" s="380"/>
      <c r="E309" s="380"/>
      <c r="F309" s="380"/>
      <c r="G309" s="380"/>
      <c r="H309" s="380"/>
      <c r="I309" s="380"/>
      <c r="J309" s="380"/>
      <c r="K309" s="380"/>
      <c r="L309" s="380"/>
      <c r="M309" s="380"/>
      <c r="N309" s="380"/>
      <c r="O309" s="380"/>
      <c r="P309" s="380"/>
      <c r="Q309" s="380"/>
      <c r="R309" s="232"/>
      <c r="S309" s="232"/>
      <c r="T309" s="232"/>
      <c r="U309" s="232"/>
      <c r="V309" s="232"/>
    </row>
    <row r="310" ht="15.75" customHeight="1">
      <c r="A310" s="380"/>
      <c r="B310" s="380"/>
      <c r="C310" s="380"/>
      <c r="D310" s="380"/>
      <c r="E310" s="380"/>
      <c r="F310" s="380"/>
      <c r="G310" s="380"/>
      <c r="H310" s="380"/>
      <c r="I310" s="380"/>
      <c r="J310" s="380"/>
      <c r="K310" s="380"/>
      <c r="L310" s="380"/>
      <c r="M310" s="380"/>
      <c r="N310" s="380"/>
      <c r="O310" s="380"/>
      <c r="P310" s="380"/>
      <c r="Q310" s="380"/>
      <c r="R310" s="232"/>
      <c r="S310" s="232"/>
      <c r="T310" s="232"/>
      <c r="U310" s="232"/>
      <c r="V310" s="232"/>
    </row>
    <row r="311" ht="15.75" customHeight="1">
      <c r="A311" s="380"/>
      <c r="B311" s="380"/>
      <c r="C311" s="380"/>
      <c r="D311" s="380"/>
      <c r="E311" s="380"/>
      <c r="F311" s="380"/>
      <c r="G311" s="380"/>
      <c r="H311" s="380"/>
      <c r="I311" s="380"/>
      <c r="J311" s="380"/>
      <c r="K311" s="380"/>
      <c r="L311" s="380"/>
      <c r="M311" s="380"/>
      <c r="N311" s="380"/>
      <c r="O311" s="380"/>
      <c r="P311" s="380"/>
      <c r="Q311" s="380"/>
      <c r="R311" s="232"/>
      <c r="S311" s="232"/>
      <c r="T311" s="232"/>
      <c r="U311" s="232"/>
      <c r="V311" s="232"/>
    </row>
    <row r="312" ht="15.75" customHeight="1">
      <c r="A312" s="380"/>
      <c r="B312" s="380"/>
      <c r="C312" s="380"/>
      <c r="D312" s="380"/>
      <c r="E312" s="380"/>
      <c r="F312" s="380"/>
      <c r="G312" s="380"/>
      <c r="H312" s="380"/>
      <c r="I312" s="380"/>
      <c r="J312" s="380"/>
      <c r="K312" s="380"/>
      <c r="L312" s="380"/>
      <c r="M312" s="380"/>
      <c r="N312" s="380"/>
      <c r="O312" s="380"/>
      <c r="P312" s="380"/>
      <c r="Q312" s="380"/>
      <c r="R312" s="232"/>
      <c r="S312" s="232"/>
      <c r="T312" s="232"/>
      <c r="U312" s="232"/>
      <c r="V312" s="232"/>
    </row>
    <row r="313" ht="15.75" customHeight="1">
      <c r="A313" s="380"/>
      <c r="B313" s="380"/>
      <c r="C313" s="380"/>
      <c r="D313" s="380"/>
      <c r="E313" s="380"/>
      <c r="F313" s="380"/>
      <c r="G313" s="380"/>
      <c r="H313" s="380"/>
      <c r="I313" s="380"/>
      <c r="J313" s="380"/>
      <c r="K313" s="380"/>
      <c r="L313" s="380"/>
      <c r="M313" s="380"/>
      <c r="N313" s="380"/>
      <c r="O313" s="380"/>
      <c r="P313" s="380"/>
      <c r="Q313" s="380"/>
      <c r="R313" s="232"/>
      <c r="S313" s="232"/>
      <c r="T313" s="232"/>
      <c r="U313" s="232"/>
      <c r="V313" s="232"/>
    </row>
    <row r="314" ht="15.75" customHeight="1">
      <c r="A314" s="380"/>
      <c r="B314" s="380"/>
      <c r="C314" s="380"/>
      <c r="D314" s="380"/>
      <c r="E314" s="380"/>
      <c r="F314" s="380"/>
      <c r="G314" s="380"/>
      <c r="H314" s="380"/>
      <c r="I314" s="380"/>
      <c r="J314" s="380"/>
      <c r="K314" s="380"/>
      <c r="L314" s="380"/>
      <c r="M314" s="380"/>
      <c r="N314" s="380"/>
      <c r="O314" s="380"/>
      <c r="P314" s="380"/>
      <c r="Q314" s="380"/>
      <c r="R314" s="232"/>
      <c r="S314" s="232"/>
      <c r="T314" s="232"/>
      <c r="U314" s="232"/>
      <c r="V314" s="232"/>
    </row>
    <row r="315" ht="15.75" customHeight="1">
      <c r="A315" s="380"/>
      <c r="B315" s="380"/>
      <c r="C315" s="380"/>
      <c r="D315" s="380"/>
      <c r="E315" s="380"/>
      <c r="F315" s="380"/>
      <c r="G315" s="380"/>
      <c r="H315" s="380"/>
      <c r="I315" s="380"/>
      <c r="J315" s="380"/>
      <c r="K315" s="380"/>
      <c r="L315" s="380"/>
      <c r="M315" s="380"/>
      <c r="N315" s="380"/>
      <c r="O315" s="380"/>
      <c r="P315" s="380"/>
      <c r="Q315" s="380"/>
      <c r="R315" s="232"/>
      <c r="S315" s="232"/>
      <c r="T315" s="232"/>
      <c r="U315" s="232"/>
      <c r="V315" s="232"/>
    </row>
    <row r="316" ht="15.75" customHeight="1">
      <c r="A316" s="380"/>
      <c r="B316" s="380"/>
      <c r="C316" s="380"/>
      <c r="D316" s="380"/>
      <c r="E316" s="380"/>
      <c r="F316" s="380"/>
      <c r="G316" s="380"/>
      <c r="H316" s="380"/>
      <c r="I316" s="380"/>
      <c r="J316" s="380"/>
      <c r="K316" s="380"/>
      <c r="L316" s="380"/>
      <c r="M316" s="380"/>
      <c r="N316" s="380"/>
      <c r="O316" s="380"/>
      <c r="P316" s="380"/>
      <c r="Q316" s="380"/>
      <c r="R316" s="232"/>
      <c r="S316" s="232"/>
      <c r="T316" s="232"/>
      <c r="U316" s="232"/>
      <c r="V316" s="232"/>
    </row>
    <row r="317" ht="15.75" customHeight="1">
      <c r="A317" s="380"/>
      <c r="B317" s="380"/>
      <c r="C317" s="380"/>
      <c r="D317" s="380"/>
      <c r="E317" s="380"/>
      <c r="F317" s="380"/>
      <c r="G317" s="380"/>
      <c r="H317" s="380"/>
      <c r="I317" s="380"/>
      <c r="J317" s="380"/>
      <c r="K317" s="380"/>
      <c r="L317" s="380"/>
      <c r="M317" s="380"/>
      <c r="N317" s="380"/>
      <c r="O317" s="380"/>
      <c r="P317" s="380"/>
      <c r="Q317" s="380"/>
      <c r="R317" s="232"/>
      <c r="S317" s="232"/>
      <c r="T317" s="232"/>
      <c r="U317" s="232"/>
      <c r="V317" s="232"/>
    </row>
    <row r="318" ht="15.75" customHeight="1">
      <c r="A318" s="380"/>
      <c r="B318" s="380"/>
      <c r="C318" s="380"/>
      <c r="D318" s="380"/>
      <c r="E318" s="380"/>
      <c r="F318" s="380"/>
      <c r="G318" s="380"/>
      <c r="H318" s="380"/>
      <c r="I318" s="380"/>
      <c r="J318" s="380"/>
      <c r="K318" s="380"/>
      <c r="L318" s="380"/>
      <c r="M318" s="380"/>
      <c r="N318" s="380"/>
      <c r="O318" s="380"/>
      <c r="P318" s="380"/>
      <c r="Q318" s="380"/>
      <c r="R318" s="232"/>
      <c r="S318" s="232"/>
      <c r="T318" s="232"/>
      <c r="U318" s="232"/>
      <c r="V318" s="232"/>
    </row>
    <row r="319" ht="15.75" customHeight="1">
      <c r="A319" s="380"/>
      <c r="B319" s="380"/>
      <c r="C319" s="380"/>
      <c r="D319" s="380"/>
      <c r="E319" s="380"/>
      <c r="F319" s="380"/>
      <c r="G319" s="380"/>
      <c r="H319" s="380"/>
      <c r="I319" s="380"/>
      <c r="J319" s="380"/>
      <c r="K319" s="380"/>
      <c r="L319" s="380"/>
      <c r="M319" s="380"/>
      <c r="N319" s="380"/>
      <c r="O319" s="380"/>
      <c r="P319" s="380"/>
      <c r="Q319" s="380"/>
      <c r="R319" s="232"/>
      <c r="S319" s="232"/>
      <c r="T319" s="232"/>
      <c r="U319" s="232"/>
      <c r="V319" s="232"/>
    </row>
    <row r="320" ht="15.75" customHeight="1">
      <c r="A320" s="380"/>
      <c r="B320" s="380"/>
      <c r="C320" s="380"/>
      <c r="D320" s="380"/>
      <c r="E320" s="380"/>
      <c r="F320" s="380"/>
      <c r="G320" s="380"/>
      <c r="H320" s="380"/>
      <c r="I320" s="380"/>
      <c r="J320" s="380"/>
      <c r="K320" s="380"/>
      <c r="L320" s="380"/>
      <c r="M320" s="380"/>
      <c r="N320" s="380"/>
      <c r="O320" s="380"/>
      <c r="P320" s="380"/>
      <c r="Q320" s="380"/>
      <c r="R320" s="232"/>
      <c r="S320" s="232"/>
      <c r="T320" s="232"/>
      <c r="U320" s="232"/>
      <c r="V320" s="232"/>
    </row>
    <row r="321" ht="15.75" customHeight="1">
      <c r="A321" s="380"/>
      <c r="B321" s="380"/>
      <c r="C321" s="380"/>
      <c r="D321" s="380"/>
      <c r="E321" s="380"/>
      <c r="F321" s="380"/>
      <c r="G321" s="380"/>
      <c r="H321" s="380"/>
      <c r="I321" s="380"/>
      <c r="J321" s="380"/>
      <c r="K321" s="380"/>
      <c r="L321" s="380"/>
      <c r="M321" s="380"/>
      <c r="N321" s="380"/>
      <c r="O321" s="380"/>
      <c r="P321" s="380"/>
      <c r="Q321" s="380"/>
      <c r="R321" s="232"/>
      <c r="S321" s="232"/>
      <c r="T321" s="232"/>
      <c r="U321" s="232"/>
      <c r="V321" s="232"/>
    </row>
    <row r="322" ht="15.75" customHeight="1">
      <c r="A322" s="380"/>
      <c r="B322" s="380"/>
      <c r="C322" s="380"/>
      <c r="D322" s="380"/>
      <c r="E322" s="380"/>
      <c r="F322" s="380"/>
      <c r="G322" s="380"/>
      <c r="H322" s="380"/>
      <c r="I322" s="380"/>
      <c r="J322" s="380"/>
      <c r="K322" s="380"/>
      <c r="L322" s="380"/>
      <c r="M322" s="380"/>
      <c r="N322" s="380"/>
      <c r="O322" s="380"/>
      <c r="P322" s="380"/>
      <c r="Q322" s="380"/>
      <c r="R322" s="232"/>
      <c r="S322" s="232"/>
      <c r="T322" s="232"/>
      <c r="U322" s="232"/>
      <c r="V322" s="232"/>
    </row>
    <row r="323" ht="15.75" customHeight="1">
      <c r="A323" s="380"/>
      <c r="B323" s="380"/>
      <c r="C323" s="380"/>
      <c r="D323" s="380"/>
      <c r="E323" s="380"/>
      <c r="F323" s="380"/>
      <c r="G323" s="380"/>
      <c r="H323" s="380"/>
      <c r="I323" s="380"/>
      <c r="J323" s="380"/>
      <c r="K323" s="380"/>
      <c r="L323" s="380"/>
      <c r="M323" s="380"/>
      <c r="N323" s="380"/>
      <c r="O323" s="380"/>
      <c r="P323" s="380"/>
      <c r="Q323" s="380"/>
      <c r="R323" s="232"/>
      <c r="S323" s="232"/>
      <c r="T323" s="232"/>
      <c r="U323" s="232"/>
      <c r="V323" s="232"/>
    </row>
    <row r="324" ht="15.75" customHeight="1">
      <c r="A324" s="380"/>
      <c r="B324" s="380"/>
      <c r="C324" s="380"/>
      <c r="D324" s="380"/>
      <c r="E324" s="380"/>
      <c r="F324" s="380"/>
      <c r="G324" s="380"/>
      <c r="H324" s="380"/>
      <c r="I324" s="380"/>
      <c r="J324" s="380"/>
      <c r="K324" s="380"/>
      <c r="L324" s="380"/>
      <c r="M324" s="380"/>
      <c r="N324" s="380"/>
      <c r="O324" s="380"/>
      <c r="P324" s="380"/>
      <c r="Q324" s="380"/>
      <c r="R324" s="232"/>
      <c r="S324" s="232"/>
      <c r="T324" s="232"/>
      <c r="U324" s="232"/>
      <c r="V324" s="232"/>
    </row>
    <row r="325" ht="15.75" customHeight="1">
      <c r="A325" s="380"/>
      <c r="B325" s="380"/>
      <c r="C325" s="380"/>
      <c r="D325" s="380"/>
      <c r="E325" s="380"/>
      <c r="F325" s="380"/>
      <c r="G325" s="380"/>
      <c r="H325" s="380"/>
      <c r="I325" s="380"/>
      <c r="J325" s="380"/>
      <c r="K325" s="380"/>
      <c r="L325" s="380"/>
      <c r="M325" s="380"/>
      <c r="N325" s="380"/>
      <c r="O325" s="380"/>
      <c r="P325" s="380"/>
      <c r="Q325" s="380"/>
      <c r="R325" s="232"/>
      <c r="S325" s="232"/>
      <c r="T325" s="232"/>
      <c r="U325" s="232"/>
      <c r="V325" s="232"/>
    </row>
    <row r="326" ht="15.75" customHeight="1">
      <c r="A326" s="380"/>
      <c r="B326" s="380"/>
      <c r="C326" s="380"/>
      <c r="D326" s="380"/>
      <c r="E326" s="380"/>
      <c r="F326" s="380"/>
      <c r="G326" s="380"/>
      <c r="H326" s="380"/>
      <c r="I326" s="380"/>
      <c r="J326" s="380"/>
      <c r="K326" s="380"/>
      <c r="L326" s="380"/>
      <c r="M326" s="380"/>
      <c r="N326" s="380"/>
      <c r="O326" s="380"/>
      <c r="P326" s="380"/>
      <c r="Q326" s="380"/>
      <c r="R326" s="232"/>
      <c r="S326" s="232"/>
      <c r="T326" s="232"/>
      <c r="U326" s="232"/>
      <c r="V326" s="232"/>
    </row>
    <row r="327" ht="15.75" customHeight="1">
      <c r="A327" s="380"/>
      <c r="B327" s="380"/>
      <c r="C327" s="380"/>
      <c r="D327" s="380"/>
      <c r="E327" s="380"/>
      <c r="F327" s="380"/>
      <c r="G327" s="380"/>
      <c r="H327" s="380"/>
      <c r="I327" s="380"/>
      <c r="J327" s="380"/>
      <c r="K327" s="380"/>
      <c r="L327" s="380"/>
      <c r="M327" s="380"/>
      <c r="N327" s="380"/>
      <c r="O327" s="380"/>
      <c r="P327" s="380"/>
      <c r="Q327" s="380"/>
      <c r="R327" s="232"/>
      <c r="S327" s="232"/>
      <c r="T327" s="232"/>
      <c r="U327" s="232"/>
      <c r="V327" s="232"/>
    </row>
    <row r="328" ht="15.75" customHeight="1">
      <c r="A328" s="380"/>
      <c r="B328" s="380"/>
      <c r="C328" s="380"/>
      <c r="D328" s="380"/>
      <c r="E328" s="380"/>
      <c r="F328" s="380"/>
      <c r="G328" s="380"/>
      <c r="H328" s="380"/>
      <c r="I328" s="380"/>
      <c r="J328" s="380"/>
      <c r="K328" s="380"/>
      <c r="L328" s="380"/>
      <c r="M328" s="380"/>
      <c r="N328" s="380"/>
      <c r="O328" s="380"/>
      <c r="P328" s="380"/>
      <c r="Q328" s="380"/>
      <c r="R328" s="232"/>
      <c r="S328" s="232"/>
      <c r="T328" s="232"/>
      <c r="U328" s="232"/>
      <c r="V328" s="232"/>
    </row>
    <row r="329" ht="15.75" customHeight="1">
      <c r="A329" s="380"/>
      <c r="B329" s="380"/>
      <c r="C329" s="380"/>
      <c r="D329" s="380"/>
      <c r="E329" s="380"/>
      <c r="F329" s="380"/>
      <c r="G329" s="380"/>
      <c r="H329" s="380"/>
      <c r="I329" s="380"/>
      <c r="J329" s="380"/>
      <c r="K329" s="380"/>
      <c r="L329" s="380"/>
      <c r="M329" s="380"/>
      <c r="N329" s="380"/>
      <c r="O329" s="380"/>
      <c r="P329" s="380"/>
      <c r="Q329" s="380"/>
      <c r="R329" s="232"/>
      <c r="S329" s="232"/>
      <c r="T329" s="232"/>
      <c r="U329" s="232"/>
      <c r="V329" s="232"/>
    </row>
    <row r="330" ht="15.75" customHeight="1">
      <c r="A330" s="380"/>
      <c r="B330" s="380"/>
      <c r="C330" s="380"/>
      <c r="D330" s="380"/>
      <c r="E330" s="380"/>
      <c r="F330" s="380"/>
      <c r="G330" s="380"/>
      <c r="H330" s="380"/>
      <c r="I330" s="380"/>
      <c r="J330" s="380"/>
      <c r="K330" s="380"/>
      <c r="L330" s="380"/>
      <c r="M330" s="380"/>
      <c r="N330" s="380"/>
      <c r="O330" s="380"/>
      <c r="P330" s="380"/>
      <c r="Q330" s="380"/>
      <c r="R330" s="232"/>
      <c r="S330" s="232"/>
      <c r="T330" s="232"/>
      <c r="U330" s="232"/>
      <c r="V330" s="232"/>
    </row>
    <row r="331" ht="15.75" customHeight="1">
      <c r="A331" s="380"/>
      <c r="B331" s="380"/>
      <c r="C331" s="380"/>
      <c r="D331" s="380"/>
      <c r="E331" s="380"/>
      <c r="F331" s="380"/>
      <c r="G331" s="380"/>
      <c r="H331" s="380"/>
      <c r="I331" s="380"/>
      <c r="J331" s="380"/>
      <c r="K331" s="380"/>
      <c r="L331" s="380"/>
      <c r="M331" s="380"/>
      <c r="N331" s="380"/>
      <c r="O331" s="380"/>
      <c r="P331" s="380"/>
      <c r="Q331" s="380"/>
      <c r="R331" s="232"/>
      <c r="S331" s="232"/>
      <c r="T331" s="232"/>
      <c r="U331" s="232"/>
      <c r="V331" s="232"/>
    </row>
    <row r="332" ht="15.75" customHeight="1">
      <c r="A332" s="380"/>
      <c r="B332" s="380"/>
      <c r="C332" s="380"/>
      <c r="D332" s="380"/>
      <c r="E332" s="380"/>
      <c r="F332" s="380"/>
      <c r="G332" s="380"/>
      <c r="H332" s="380"/>
      <c r="I332" s="380"/>
      <c r="J332" s="380"/>
      <c r="K332" s="380"/>
      <c r="L332" s="380"/>
      <c r="M332" s="380"/>
      <c r="N332" s="380"/>
      <c r="O332" s="380"/>
      <c r="P332" s="380"/>
      <c r="Q332" s="380"/>
      <c r="R332" s="232"/>
      <c r="S332" s="232"/>
      <c r="T332" s="232"/>
      <c r="U332" s="232"/>
      <c r="V332" s="232"/>
    </row>
    <row r="333" ht="15.75" customHeight="1">
      <c r="A333" s="380"/>
      <c r="B333" s="380"/>
      <c r="C333" s="380"/>
      <c r="D333" s="380"/>
      <c r="E333" s="380"/>
      <c r="F333" s="380"/>
      <c r="G333" s="380"/>
      <c r="H333" s="380"/>
      <c r="I333" s="380"/>
      <c r="J333" s="380"/>
      <c r="K333" s="380"/>
      <c r="L333" s="380"/>
      <c r="M333" s="380"/>
      <c r="N333" s="380"/>
      <c r="O333" s="380"/>
      <c r="P333" s="380"/>
      <c r="Q333" s="380"/>
      <c r="R333" s="232"/>
      <c r="S333" s="232"/>
      <c r="T333" s="232"/>
      <c r="U333" s="232"/>
      <c r="V333" s="232"/>
    </row>
    <row r="334" ht="15.75" customHeight="1">
      <c r="A334" s="380"/>
      <c r="B334" s="380"/>
      <c r="C334" s="380"/>
      <c r="D334" s="380"/>
      <c r="E334" s="380"/>
      <c r="F334" s="380"/>
      <c r="G334" s="380"/>
      <c r="H334" s="380"/>
      <c r="I334" s="380"/>
      <c r="J334" s="380"/>
      <c r="K334" s="380"/>
      <c r="L334" s="380"/>
      <c r="M334" s="380"/>
      <c r="N334" s="380"/>
      <c r="O334" s="380"/>
      <c r="P334" s="380"/>
      <c r="Q334" s="380"/>
      <c r="R334" s="232"/>
      <c r="S334" s="232"/>
      <c r="T334" s="232"/>
      <c r="U334" s="232"/>
      <c r="V334" s="232"/>
    </row>
    <row r="335" ht="15.75" customHeight="1">
      <c r="A335" s="380"/>
      <c r="B335" s="380"/>
      <c r="C335" s="380"/>
      <c r="D335" s="380"/>
      <c r="E335" s="380"/>
      <c r="F335" s="380"/>
      <c r="G335" s="380"/>
      <c r="H335" s="380"/>
      <c r="I335" s="380"/>
      <c r="J335" s="380"/>
      <c r="K335" s="380"/>
      <c r="L335" s="380"/>
      <c r="M335" s="380"/>
      <c r="N335" s="380"/>
      <c r="O335" s="380"/>
      <c r="P335" s="380"/>
      <c r="Q335" s="380"/>
      <c r="R335" s="232"/>
      <c r="S335" s="232"/>
      <c r="T335" s="232"/>
      <c r="U335" s="232"/>
      <c r="V335" s="232"/>
    </row>
    <row r="336" ht="15.75" customHeight="1">
      <c r="A336" s="380"/>
      <c r="B336" s="380"/>
      <c r="C336" s="380"/>
      <c r="D336" s="380"/>
      <c r="E336" s="380"/>
      <c r="F336" s="380"/>
      <c r="G336" s="380"/>
      <c r="H336" s="380"/>
      <c r="I336" s="380"/>
      <c r="J336" s="380"/>
      <c r="K336" s="380"/>
      <c r="L336" s="380"/>
      <c r="M336" s="380"/>
      <c r="N336" s="380"/>
      <c r="O336" s="380"/>
      <c r="P336" s="380"/>
      <c r="Q336" s="380"/>
      <c r="R336" s="232"/>
      <c r="S336" s="232"/>
      <c r="T336" s="232"/>
      <c r="U336" s="232"/>
      <c r="V336" s="232"/>
    </row>
    <row r="337" ht="15.75" customHeight="1">
      <c r="A337" s="380"/>
      <c r="B337" s="380"/>
      <c r="C337" s="380"/>
      <c r="D337" s="380"/>
      <c r="E337" s="380"/>
      <c r="F337" s="380"/>
      <c r="G337" s="380"/>
      <c r="H337" s="380"/>
      <c r="I337" s="380"/>
      <c r="J337" s="380"/>
      <c r="K337" s="380"/>
      <c r="L337" s="380"/>
      <c r="M337" s="380"/>
      <c r="N337" s="380"/>
      <c r="O337" s="380"/>
      <c r="P337" s="380"/>
      <c r="Q337" s="380"/>
      <c r="R337" s="232"/>
      <c r="S337" s="232"/>
      <c r="T337" s="232"/>
      <c r="U337" s="232"/>
      <c r="V337" s="232"/>
    </row>
    <row r="338" ht="15.75" customHeight="1">
      <c r="A338" s="380"/>
      <c r="B338" s="380"/>
      <c r="C338" s="380"/>
      <c r="D338" s="380"/>
      <c r="E338" s="380"/>
      <c r="F338" s="380"/>
      <c r="G338" s="380"/>
      <c r="H338" s="380"/>
      <c r="I338" s="380"/>
      <c r="J338" s="380"/>
      <c r="K338" s="380"/>
      <c r="L338" s="380"/>
      <c r="M338" s="380"/>
      <c r="N338" s="380"/>
      <c r="O338" s="380"/>
      <c r="P338" s="380"/>
      <c r="Q338" s="380"/>
      <c r="R338" s="232"/>
      <c r="S338" s="232"/>
      <c r="T338" s="232"/>
      <c r="U338" s="232"/>
      <c r="V338" s="232"/>
    </row>
    <row r="339" ht="15.75" customHeight="1">
      <c r="A339" s="380"/>
      <c r="B339" s="380"/>
      <c r="C339" s="380"/>
      <c r="D339" s="380"/>
      <c r="E339" s="380"/>
      <c r="F339" s="380"/>
      <c r="G339" s="380"/>
      <c r="H339" s="380"/>
      <c r="I339" s="380"/>
      <c r="J339" s="380"/>
      <c r="K339" s="380"/>
      <c r="L339" s="380"/>
      <c r="M339" s="380"/>
      <c r="N339" s="380"/>
      <c r="O339" s="380"/>
      <c r="P339" s="380"/>
      <c r="Q339" s="380"/>
      <c r="R339" s="232"/>
      <c r="S339" s="232"/>
      <c r="T339" s="232"/>
      <c r="U339" s="232"/>
      <c r="V339" s="232"/>
    </row>
    <row r="340" ht="15.75" customHeight="1">
      <c r="A340" s="380"/>
      <c r="B340" s="380"/>
      <c r="C340" s="380"/>
      <c r="D340" s="380"/>
      <c r="E340" s="380"/>
      <c r="F340" s="380"/>
      <c r="G340" s="380"/>
      <c r="H340" s="380"/>
      <c r="I340" s="380"/>
      <c r="J340" s="380"/>
      <c r="K340" s="380"/>
      <c r="L340" s="380"/>
      <c r="M340" s="380"/>
      <c r="N340" s="380"/>
      <c r="O340" s="380"/>
      <c r="P340" s="380"/>
      <c r="Q340" s="380"/>
      <c r="R340" s="232"/>
      <c r="S340" s="232"/>
      <c r="T340" s="232"/>
      <c r="U340" s="232"/>
      <c r="V340" s="232"/>
    </row>
    <row r="341" ht="15.75" customHeight="1">
      <c r="A341" s="380"/>
      <c r="B341" s="380"/>
      <c r="C341" s="380"/>
      <c r="D341" s="380"/>
      <c r="E341" s="380"/>
      <c r="F341" s="380"/>
      <c r="G341" s="380"/>
      <c r="H341" s="380"/>
      <c r="I341" s="380"/>
      <c r="J341" s="380"/>
      <c r="K341" s="380"/>
      <c r="L341" s="380"/>
      <c r="M341" s="380"/>
      <c r="N341" s="380"/>
      <c r="O341" s="380"/>
      <c r="P341" s="380"/>
      <c r="Q341" s="380"/>
      <c r="R341" s="232"/>
      <c r="S341" s="232"/>
      <c r="T341" s="232"/>
      <c r="U341" s="232"/>
      <c r="V341" s="232"/>
    </row>
    <row r="342" ht="15.75" customHeight="1">
      <c r="A342" s="380"/>
      <c r="B342" s="380"/>
      <c r="C342" s="380"/>
      <c r="D342" s="380"/>
      <c r="E342" s="380"/>
      <c r="F342" s="380"/>
      <c r="G342" s="380"/>
      <c r="H342" s="380"/>
      <c r="I342" s="380"/>
      <c r="J342" s="380"/>
      <c r="K342" s="380"/>
      <c r="L342" s="380"/>
      <c r="M342" s="380"/>
      <c r="N342" s="380"/>
      <c r="O342" s="380"/>
      <c r="P342" s="380"/>
      <c r="Q342" s="380"/>
      <c r="R342" s="232"/>
      <c r="S342" s="232"/>
      <c r="T342" s="232"/>
      <c r="U342" s="232"/>
      <c r="V342" s="232"/>
    </row>
    <row r="343" ht="15.75" customHeight="1">
      <c r="A343" s="380"/>
      <c r="B343" s="380"/>
      <c r="C343" s="380"/>
      <c r="D343" s="380"/>
      <c r="E343" s="380"/>
      <c r="F343" s="380"/>
      <c r="G343" s="380"/>
      <c r="H343" s="380"/>
      <c r="I343" s="380"/>
      <c r="J343" s="380"/>
      <c r="K343" s="380"/>
      <c r="L343" s="380"/>
      <c r="M343" s="380"/>
      <c r="N343" s="380"/>
      <c r="O343" s="380"/>
      <c r="P343" s="380"/>
      <c r="Q343" s="380"/>
      <c r="R343" s="232"/>
      <c r="S343" s="232"/>
      <c r="T343" s="232"/>
      <c r="U343" s="232"/>
      <c r="V343" s="232"/>
    </row>
    <row r="344" ht="15.75" customHeight="1">
      <c r="A344" s="380"/>
      <c r="B344" s="380"/>
      <c r="C344" s="380"/>
      <c r="D344" s="380"/>
      <c r="E344" s="380"/>
      <c r="F344" s="380"/>
      <c r="G344" s="380"/>
      <c r="H344" s="380"/>
      <c r="I344" s="380"/>
      <c r="J344" s="380"/>
      <c r="K344" s="380"/>
      <c r="L344" s="380"/>
      <c r="M344" s="380"/>
      <c r="N344" s="380"/>
      <c r="O344" s="380"/>
      <c r="P344" s="380"/>
      <c r="Q344" s="380"/>
      <c r="R344" s="232"/>
      <c r="S344" s="232"/>
      <c r="T344" s="232"/>
      <c r="U344" s="232"/>
      <c r="V344" s="232"/>
    </row>
    <row r="345" ht="15.75" customHeight="1">
      <c r="A345" s="380"/>
      <c r="B345" s="380"/>
      <c r="C345" s="380"/>
      <c r="D345" s="380"/>
      <c r="E345" s="380"/>
      <c r="F345" s="380"/>
      <c r="G345" s="380"/>
      <c r="H345" s="380"/>
      <c r="I345" s="380"/>
      <c r="J345" s="380"/>
      <c r="K345" s="380"/>
      <c r="L345" s="380"/>
      <c r="M345" s="380"/>
      <c r="N345" s="380"/>
      <c r="O345" s="380"/>
      <c r="P345" s="380"/>
      <c r="Q345" s="380"/>
      <c r="R345" s="232"/>
      <c r="S345" s="232"/>
      <c r="T345" s="232"/>
      <c r="U345" s="232"/>
      <c r="V345" s="232"/>
    </row>
    <row r="346" ht="15.75" customHeight="1">
      <c r="A346" s="380"/>
      <c r="B346" s="380"/>
      <c r="C346" s="380"/>
      <c r="D346" s="380"/>
      <c r="E346" s="380"/>
      <c r="F346" s="380"/>
      <c r="G346" s="380"/>
      <c r="H346" s="380"/>
      <c r="I346" s="380"/>
      <c r="J346" s="380"/>
      <c r="K346" s="380"/>
      <c r="L346" s="380"/>
      <c r="M346" s="380"/>
      <c r="N346" s="380"/>
      <c r="O346" s="380"/>
      <c r="P346" s="380"/>
      <c r="Q346" s="380"/>
      <c r="R346" s="232"/>
      <c r="S346" s="232"/>
      <c r="T346" s="232"/>
      <c r="U346" s="232"/>
      <c r="V346" s="232"/>
    </row>
    <row r="347" ht="15.75" customHeight="1">
      <c r="A347" s="380"/>
      <c r="B347" s="380"/>
      <c r="C347" s="380"/>
      <c r="D347" s="380"/>
      <c r="E347" s="380"/>
      <c r="F347" s="380"/>
      <c r="G347" s="380"/>
      <c r="H347" s="380"/>
      <c r="I347" s="380"/>
      <c r="J347" s="380"/>
      <c r="K347" s="380"/>
      <c r="L347" s="380"/>
      <c r="M347" s="380"/>
      <c r="N347" s="380"/>
      <c r="O347" s="380"/>
      <c r="P347" s="380"/>
      <c r="Q347" s="380"/>
      <c r="R347" s="232"/>
      <c r="S347" s="232"/>
      <c r="T347" s="232"/>
      <c r="U347" s="232"/>
      <c r="V347" s="232"/>
    </row>
    <row r="348" ht="15.75" customHeight="1">
      <c r="A348" s="380"/>
      <c r="B348" s="380"/>
      <c r="C348" s="380"/>
      <c r="D348" s="380"/>
      <c r="E348" s="380"/>
      <c r="F348" s="380"/>
      <c r="G348" s="380"/>
      <c r="H348" s="380"/>
      <c r="I348" s="380"/>
      <c r="J348" s="380"/>
      <c r="K348" s="380"/>
      <c r="L348" s="380"/>
      <c r="M348" s="380"/>
      <c r="N348" s="380"/>
      <c r="O348" s="380"/>
      <c r="P348" s="380"/>
      <c r="Q348" s="380"/>
      <c r="R348" s="232"/>
      <c r="S348" s="232"/>
      <c r="T348" s="232"/>
      <c r="U348" s="232"/>
      <c r="V348" s="232"/>
    </row>
    <row r="349" ht="15.75" customHeight="1">
      <c r="A349" s="380"/>
      <c r="B349" s="380"/>
      <c r="C349" s="380"/>
      <c r="D349" s="380"/>
      <c r="E349" s="380"/>
      <c r="F349" s="380"/>
      <c r="G349" s="380"/>
      <c r="H349" s="380"/>
      <c r="I349" s="380"/>
      <c r="J349" s="380"/>
      <c r="K349" s="380"/>
      <c r="L349" s="380"/>
      <c r="M349" s="380"/>
      <c r="N349" s="380"/>
      <c r="O349" s="380"/>
      <c r="P349" s="380"/>
      <c r="Q349" s="380"/>
      <c r="R349" s="232"/>
      <c r="S349" s="232"/>
      <c r="T349" s="232"/>
      <c r="U349" s="232"/>
      <c r="V349" s="232"/>
    </row>
    <row r="350" ht="15.75" customHeight="1">
      <c r="A350" s="380"/>
      <c r="B350" s="380"/>
      <c r="C350" s="380"/>
      <c r="D350" s="380"/>
      <c r="E350" s="380"/>
      <c r="F350" s="380"/>
      <c r="G350" s="380"/>
      <c r="H350" s="380"/>
      <c r="I350" s="380"/>
      <c r="J350" s="380"/>
      <c r="K350" s="380"/>
      <c r="L350" s="380"/>
      <c r="M350" s="380"/>
      <c r="N350" s="380"/>
      <c r="O350" s="380"/>
      <c r="P350" s="380"/>
      <c r="Q350" s="380"/>
      <c r="R350" s="232"/>
      <c r="S350" s="232"/>
      <c r="T350" s="232"/>
      <c r="U350" s="232"/>
      <c r="V350" s="232"/>
    </row>
    <row r="351" ht="15.75" customHeight="1">
      <c r="A351" s="380"/>
      <c r="B351" s="380"/>
      <c r="C351" s="380"/>
      <c r="D351" s="380"/>
      <c r="E351" s="380"/>
      <c r="F351" s="380"/>
      <c r="G351" s="380"/>
      <c r="H351" s="380"/>
      <c r="I351" s="380"/>
      <c r="J351" s="380"/>
      <c r="K351" s="380"/>
      <c r="L351" s="380"/>
      <c r="M351" s="380"/>
      <c r="N351" s="380"/>
      <c r="O351" s="380"/>
      <c r="P351" s="380"/>
      <c r="Q351" s="380"/>
      <c r="R351" s="232"/>
      <c r="S351" s="232"/>
      <c r="T351" s="232"/>
      <c r="U351" s="232"/>
      <c r="V351" s="232"/>
    </row>
    <row r="352" ht="15.75" customHeight="1">
      <c r="A352" s="380"/>
      <c r="B352" s="380"/>
      <c r="C352" s="380"/>
      <c r="D352" s="380"/>
      <c r="E352" s="380"/>
      <c r="F352" s="380"/>
      <c r="G352" s="380"/>
      <c r="H352" s="380"/>
      <c r="I352" s="380"/>
      <c r="J352" s="380"/>
      <c r="K352" s="380"/>
      <c r="L352" s="380"/>
      <c r="M352" s="380"/>
      <c r="N352" s="380"/>
      <c r="O352" s="380"/>
      <c r="P352" s="380"/>
      <c r="Q352" s="380"/>
      <c r="R352" s="232"/>
      <c r="S352" s="232"/>
      <c r="T352" s="232"/>
      <c r="U352" s="232"/>
      <c r="V352" s="232"/>
    </row>
    <row r="353" ht="15.75" customHeight="1">
      <c r="A353" s="380"/>
      <c r="B353" s="380"/>
      <c r="C353" s="380"/>
      <c r="D353" s="380"/>
      <c r="E353" s="380"/>
      <c r="F353" s="380"/>
      <c r="G353" s="380"/>
      <c r="H353" s="380"/>
      <c r="I353" s="380"/>
      <c r="J353" s="380"/>
      <c r="K353" s="380"/>
      <c r="L353" s="380"/>
      <c r="M353" s="380"/>
      <c r="N353" s="380"/>
      <c r="O353" s="380"/>
      <c r="P353" s="380"/>
      <c r="Q353" s="380"/>
      <c r="R353" s="232"/>
      <c r="S353" s="232"/>
      <c r="T353" s="232"/>
      <c r="U353" s="232"/>
      <c r="V353" s="232"/>
    </row>
    <row r="354" ht="15.75" customHeight="1">
      <c r="A354" s="380"/>
      <c r="B354" s="380"/>
      <c r="C354" s="380"/>
      <c r="D354" s="380"/>
      <c r="E354" s="380"/>
      <c r="F354" s="380"/>
      <c r="G354" s="380"/>
      <c r="H354" s="380"/>
      <c r="I354" s="380"/>
      <c r="J354" s="380"/>
      <c r="K354" s="380"/>
      <c r="L354" s="380"/>
      <c r="M354" s="380"/>
      <c r="N354" s="380"/>
      <c r="O354" s="380"/>
      <c r="P354" s="380"/>
      <c r="Q354" s="380"/>
      <c r="R354" s="232"/>
      <c r="S354" s="232"/>
      <c r="T354" s="232"/>
      <c r="U354" s="232"/>
      <c r="V354" s="232"/>
    </row>
    <row r="355" ht="15.75" customHeight="1">
      <c r="A355" s="380"/>
      <c r="B355" s="380"/>
      <c r="C355" s="380"/>
      <c r="D355" s="380"/>
      <c r="E355" s="380"/>
      <c r="F355" s="380"/>
      <c r="G355" s="380"/>
      <c r="H355" s="380"/>
      <c r="I355" s="380"/>
      <c r="J355" s="380"/>
      <c r="K355" s="380"/>
      <c r="L355" s="380"/>
      <c r="M355" s="380"/>
      <c r="N355" s="380"/>
      <c r="O355" s="380"/>
      <c r="P355" s="380"/>
      <c r="Q355" s="380"/>
      <c r="R355" s="232"/>
      <c r="S355" s="232"/>
      <c r="T355" s="232"/>
      <c r="U355" s="232"/>
      <c r="V355" s="232"/>
    </row>
    <row r="356" ht="15.75" customHeight="1">
      <c r="A356" s="380"/>
      <c r="B356" s="380"/>
      <c r="C356" s="380"/>
      <c r="D356" s="380"/>
      <c r="E356" s="380"/>
      <c r="F356" s="380"/>
      <c r="G356" s="380"/>
      <c r="H356" s="380"/>
      <c r="I356" s="380"/>
      <c r="J356" s="380"/>
      <c r="K356" s="380"/>
      <c r="L356" s="380"/>
      <c r="M356" s="380"/>
      <c r="N356" s="380"/>
      <c r="O356" s="380"/>
      <c r="P356" s="380"/>
      <c r="Q356" s="380"/>
      <c r="R356" s="232"/>
      <c r="S356" s="232"/>
      <c r="T356" s="232"/>
      <c r="U356" s="232"/>
      <c r="V356" s="232"/>
    </row>
    <row r="357" ht="15.75" customHeight="1">
      <c r="A357" s="380"/>
      <c r="B357" s="380"/>
      <c r="C357" s="380"/>
      <c r="D357" s="380"/>
      <c r="E357" s="380"/>
      <c r="F357" s="380"/>
      <c r="G357" s="380"/>
      <c r="H357" s="380"/>
      <c r="I357" s="380"/>
      <c r="J357" s="380"/>
      <c r="K357" s="380"/>
      <c r="L357" s="380"/>
      <c r="M357" s="380"/>
      <c r="N357" s="380"/>
      <c r="O357" s="380"/>
      <c r="P357" s="380"/>
      <c r="Q357" s="380"/>
      <c r="R357" s="232"/>
      <c r="S357" s="232"/>
      <c r="T357" s="232"/>
      <c r="U357" s="232"/>
      <c r="V357" s="232"/>
    </row>
    <row r="358" ht="15.75" customHeight="1">
      <c r="A358" s="380"/>
      <c r="B358" s="380"/>
      <c r="C358" s="380"/>
      <c r="D358" s="380"/>
      <c r="E358" s="380"/>
      <c r="F358" s="380"/>
      <c r="G358" s="380"/>
      <c r="H358" s="380"/>
      <c r="I358" s="380"/>
      <c r="J358" s="380"/>
      <c r="K358" s="380"/>
      <c r="L358" s="380"/>
      <c r="M358" s="380"/>
      <c r="N358" s="380"/>
      <c r="O358" s="380"/>
      <c r="P358" s="380"/>
      <c r="Q358" s="380"/>
      <c r="R358" s="232"/>
      <c r="S358" s="232"/>
      <c r="T358" s="232"/>
      <c r="U358" s="232"/>
      <c r="V358" s="232"/>
    </row>
    <row r="359" ht="15.75" customHeight="1">
      <c r="A359" s="380"/>
      <c r="B359" s="380"/>
      <c r="C359" s="380"/>
      <c r="D359" s="380"/>
      <c r="E359" s="380"/>
      <c r="F359" s="380"/>
      <c r="G359" s="380"/>
      <c r="H359" s="380"/>
      <c r="I359" s="380"/>
      <c r="J359" s="380"/>
      <c r="K359" s="380"/>
      <c r="L359" s="380"/>
      <c r="M359" s="380"/>
      <c r="N359" s="380"/>
      <c r="O359" s="380"/>
      <c r="P359" s="380"/>
      <c r="Q359" s="380"/>
      <c r="R359" s="232"/>
      <c r="S359" s="232"/>
      <c r="T359" s="232"/>
      <c r="U359" s="232"/>
      <c r="V359" s="232"/>
    </row>
    <row r="360" ht="15.75" customHeight="1">
      <c r="A360" s="380"/>
      <c r="B360" s="380"/>
      <c r="C360" s="380"/>
      <c r="D360" s="380"/>
      <c r="E360" s="380"/>
      <c r="F360" s="380"/>
      <c r="G360" s="380"/>
      <c r="H360" s="380"/>
      <c r="I360" s="380"/>
      <c r="J360" s="380"/>
      <c r="K360" s="380"/>
      <c r="L360" s="380"/>
      <c r="M360" s="380"/>
      <c r="N360" s="380"/>
      <c r="O360" s="380"/>
      <c r="P360" s="380"/>
      <c r="Q360" s="380"/>
      <c r="R360" s="232"/>
      <c r="S360" s="232"/>
      <c r="T360" s="232"/>
      <c r="U360" s="232"/>
      <c r="V360" s="232"/>
    </row>
    <row r="361" ht="15.75" customHeight="1">
      <c r="A361" s="380"/>
      <c r="B361" s="380"/>
      <c r="C361" s="380"/>
      <c r="D361" s="380"/>
      <c r="E361" s="380"/>
      <c r="F361" s="380"/>
      <c r="G361" s="380"/>
      <c r="H361" s="380"/>
      <c r="I361" s="380"/>
      <c r="J361" s="380"/>
      <c r="K361" s="380"/>
      <c r="L361" s="380"/>
      <c r="M361" s="380"/>
      <c r="N361" s="380"/>
      <c r="O361" s="380"/>
      <c r="P361" s="380"/>
      <c r="Q361" s="380"/>
      <c r="R361" s="232"/>
      <c r="S361" s="232"/>
      <c r="T361" s="232"/>
      <c r="U361" s="232"/>
      <c r="V361" s="232"/>
    </row>
    <row r="362" ht="15.75" customHeight="1">
      <c r="A362" s="380"/>
      <c r="B362" s="380"/>
      <c r="C362" s="380"/>
      <c r="D362" s="380"/>
      <c r="E362" s="380"/>
      <c r="F362" s="380"/>
      <c r="G362" s="380"/>
      <c r="H362" s="380"/>
      <c r="I362" s="380"/>
      <c r="J362" s="380"/>
      <c r="K362" s="380"/>
      <c r="L362" s="380"/>
      <c r="M362" s="380"/>
      <c r="N362" s="380"/>
      <c r="O362" s="380"/>
      <c r="P362" s="380"/>
      <c r="Q362" s="380"/>
      <c r="R362" s="232"/>
      <c r="S362" s="232"/>
      <c r="T362" s="232"/>
      <c r="U362" s="232"/>
      <c r="V362" s="232"/>
    </row>
    <row r="363" ht="15.75" customHeight="1">
      <c r="A363" s="380"/>
      <c r="B363" s="380"/>
      <c r="C363" s="380"/>
      <c r="D363" s="380"/>
      <c r="E363" s="380"/>
      <c r="F363" s="380"/>
      <c r="G363" s="380"/>
      <c r="H363" s="380"/>
      <c r="I363" s="380"/>
      <c r="J363" s="380"/>
      <c r="K363" s="380"/>
      <c r="L363" s="380"/>
      <c r="M363" s="380"/>
      <c r="N363" s="380"/>
      <c r="O363" s="380"/>
      <c r="P363" s="380"/>
      <c r="Q363" s="380"/>
      <c r="R363" s="232"/>
      <c r="S363" s="232"/>
      <c r="T363" s="232"/>
      <c r="U363" s="232"/>
      <c r="V363" s="232"/>
    </row>
    <row r="364" ht="15.75" customHeight="1">
      <c r="A364" s="380"/>
      <c r="B364" s="380"/>
      <c r="C364" s="380"/>
      <c r="D364" s="380"/>
      <c r="E364" s="380"/>
      <c r="F364" s="380"/>
      <c r="G364" s="380"/>
      <c r="H364" s="380"/>
      <c r="I364" s="380"/>
      <c r="J364" s="380"/>
      <c r="K364" s="380"/>
      <c r="L364" s="380"/>
      <c r="M364" s="380"/>
      <c r="N364" s="380"/>
      <c r="O364" s="380"/>
      <c r="P364" s="380"/>
      <c r="Q364" s="380"/>
      <c r="R364" s="232"/>
      <c r="S364" s="232"/>
      <c r="T364" s="232"/>
      <c r="U364" s="232"/>
      <c r="V364" s="232"/>
    </row>
    <row r="365" ht="15.75" customHeight="1">
      <c r="A365" s="380"/>
      <c r="B365" s="380"/>
      <c r="C365" s="380"/>
      <c r="D365" s="380"/>
      <c r="E365" s="380"/>
      <c r="F365" s="380"/>
      <c r="G365" s="380"/>
      <c r="H365" s="380"/>
      <c r="I365" s="380"/>
      <c r="J365" s="380"/>
      <c r="K365" s="380"/>
      <c r="L365" s="380"/>
      <c r="M365" s="380"/>
      <c r="N365" s="380"/>
      <c r="O365" s="380"/>
      <c r="P365" s="380"/>
      <c r="Q365" s="380"/>
      <c r="R365" s="232"/>
      <c r="S365" s="232"/>
      <c r="T365" s="232"/>
      <c r="U365" s="232"/>
      <c r="V365" s="232"/>
    </row>
    <row r="366" ht="15.75" customHeight="1">
      <c r="A366" s="380"/>
      <c r="B366" s="380"/>
      <c r="C366" s="380"/>
      <c r="D366" s="380"/>
      <c r="E366" s="380"/>
      <c r="F366" s="380"/>
      <c r="G366" s="380"/>
      <c r="H366" s="380"/>
      <c r="I366" s="380"/>
      <c r="J366" s="380"/>
      <c r="K366" s="380"/>
      <c r="L366" s="380"/>
      <c r="M366" s="380"/>
      <c r="N366" s="380"/>
      <c r="O366" s="380"/>
      <c r="P366" s="380"/>
      <c r="Q366" s="380"/>
      <c r="R366" s="232"/>
      <c r="S366" s="232"/>
      <c r="T366" s="232"/>
      <c r="U366" s="232"/>
      <c r="V366" s="232"/>
    </row>
    <row r="367" ht="15.75" customHeight="1">
      <c r="A367" s="380"/>
      <c r="B367" s="380"/>
      <c r="C367" s="380"/>
      <c r="D367" s="380"/>
      <c r="E367" s="380"/>
      <c r="F367" s="380"/>
      <c r="G367" s="380"/>
      <c r="H367" s="380"/>
      <c r="I367" s="380"/>
      <c r="J367" s="380"/>
      <c r="K367" s="380"/>
      <c r="L367" s="380"/>
      <c r="M367" s="380"/>
      <c r="N367" s="380"/>
      <c r="O367" s="380"/>
      <c r="P367" s="380"/>
      <c r="Q367" s="380"/>
      <c r="R367" s="232"/>
      <c r="S367" s="232"/>
      <c r="T367" s="232"/>
      <c r="U367" s="232"/>
      <c r="V367" s="232"/>
    </row>
    <row r="368" ht="15.75" customHeight="1">
      <c r="A368" s="380"/>
      <c r="B368" s="380"/>
      <c r="C368" s="380"/>
      <c r="D368" s="380"/>
      <c r="E368" s="380"/>
      <c r="F368" s="380"/>
      <c r="G368" s="380"/>
      <c r="H368" s="380"/>
      <c r="I368" s="380"/>
      <c r="J368" s="380"/>
      <c r="K368" s="380"/>
      <c r="L368" s="380"/>
      <c r="M368" s="380"/>
      <c r="N368" s="380"/>
      <c r="O368" s="380"/>
      <c r="P368" s="380"/>
      <c r="Q368" s="380"/>
      <c r="R368" s="232"/>
      <c r="S368" s="232"/>
      <c r="T368" s="232"/>
      <c r="U368" s="232"/>
      <c r="V368" s="232"/>
    </row>
    <row r="369" ht="15.75" customHeight="1">
      <c r="A369" s="380"/>
      <c r="B369" s="380"/>
      <c r="C369" s="380"/>
      <c r="D369" s="380"/>
      <c r="E369" s="380"/>
      <c r="F369" s="380"/>
      <c r="G369" s="380"/>
      <c r="H369" s="380"/>
      <c r="I369" s="380"/>
      <c r="J369" s="380"/>
      <c r="K369" s="380"/>
      <c r="L369" s="380"/>
      <c r="M369" s="380"/>
      <c r="N369" s="380"/>
      <c r="O369" s="380"/>
      <c r="P369" s="380"/>
      <c r="Q369" s="380"/>
      <c r="R369" s="232"/>
      <c r="S369" s="232"/>
      <c r="T369" s="232"/>
      <c r="U369" s="232"/>
      <c r="V369" s="232"/>
    </row>
    <row r="370" ht="15.75" customHeight="1">
      <c r="A370" s="380"/>
      <c r="B370" s="380"/>
      <c r="C370" s="380"/>
      <c r="D370" s="380"/>
      <c r="E370" s="380"/>
      <c r="F370" s="380"/>
      <c r="G370" s="380"/>
      <c r="H370" s="380"/>
      <c r="I370" s="380"/>
      <c r="J370" s="380"/>
      <c r="K370" s="380"/>
      <c r="L370" s="380"/>
      <c r="M370" s="380"/>
      <c r="N370" s="380"/>
      <c r="O370" s="380"/>
      <c r="P370" s="380"/>
      <c r="Q370" s="380"/>
      <c r="R370" s="232"/>
      <c r="S370" s="232"/>
      <c r="T370" s="232"/>
      <c r="U370" s="232"/>
      <c r="V370" s="232"/>
    </row>
    <row r="371" ht="15.75" customHeight="1">
      <c r="A371" s="380"/>
      <c r="B371" s="380"/>
      <c r="C371" s="380"/>
      <c r="D371" s="380"/>
      <c r="E371" s="380"/>
      <c r="F371" s="380"/>
      <c r="G371" s="380"/>
      <c r="H371" s="380"/>
      <c r="I371" s="380"/>
      <c r="J371" s="380"/>
      <c r="K371" s="380"/>
      <c r="L371" s="380"/>
      <c r="M371" s="380"/>
      <c r="N371" s="380"/>
      <c r="O371" s="380"/>
      <c r="P371" s="380"/>
      <c r="Q371" s="380"/>
      <c r="R371" s="232"/>
      <c r="S371" s="232"/>
      <c r="T371" s="232"/>
      <c r="U371" s="232"/>
      <c r="V371" s="232"/>
    </row>
    <row r="372" ht="15.75" customHeight="1">
      <c r="A372" s="380"/>
      <c r="B372" s="380"/>
      <c r="C372" s="380"/>
      <c r="D372" s="380"/>
      <c r="E372" s="380"/>
      <c r="F372" s="380"/>
      <c r="G372" s="380"/>
      <c r="H372" s="380"/>
      <c r="I372" s="380"/>
      <c r="J372" s="380"/>
      <c r="K372" s="380"/>
      <c r="L372" s="380"/>
      <c r="M372" s="380"/>
      <c r="N372" s="380"/>
      <c r="O372" s="380"/>
      <c r="P372" s="380"/>
      <c r="Q372" s="380"/>
      <c r="R372" s="232"/>
      <c r="S372" s="232"/>
      <c r="T372" s="232"/>
      <c r="U372" s="232"/>
      <c r="V372" s="232"/>
    </row>
    <row r="373" ht="15.75" customHeight="1">
      <c r="A373" s="380"/>
      <c r="B373" s="380"/>
      <c r="C373" s="380"/>
      <c r="D373" s="380"/>
      <c r="E373" s="380"/>
      <c r="F373" s="380"/>
      <c r="G373" s="380"/>
      <c r="H373" s="380"/>
      <c r="I373" s="380"/>
      <c r="J373" s="380"/>
      <c r="K373" s="380"/>
      <c r="L373" s="380"/>
      <c r="M373" s="380"/>
      <c r="N373" s="380"/>
      <c r="O373" s="380"/>
      <c r="P373" s="380"/>
      <c r="Q373" s="380"/>
      <c r="R373" s="232"/>
      <c r="S373" s="232"/>
      <c r="T373" s="232"/>
      <c r="U373" s="232"/>
      <c r="V373" s="232"/>
    </row>
    <row r="374" ht="15.75" customHeight="1">
      <c r="A374" s="380"/>
      <c r="B374" s="380"/>
      <c r="C374" s="380"/>
      <c r="D374" s="380"/>
      <c r="E374" s="380"/>
      <c r="F374" s="380"/>
      <c r="G374" s="380"/>
      <c r="H374" s="380"/>
      <c r="I374" s="380"/>
      <c r="J374" s="380"/>
      <c r="K374" s="380"/>
      <c r="L374" s="380"/>
      <c r="M374" s="380"/>
      <c r="N374" s="380"/>
      <c r="O374" s="380"/>
      <c r="P374" s="380"/>
      <c r="Q374" s="380"/>
      <c r="R374" s="232"/>
      <c r="S374" s="232"/>
      <c r="T374" s="232"/>
      <c r="U374" s="232"/>
      <c r="V374" s="232"/>
    </row>
    <row r="375" ht="15.75" customHeight="1">
      <c r="A375" s="380"/>
      <c r="B375" s="380"/>
      <c r="C375" s="380"/>
      <c r="D375" s="380"/>
      <c r="E375" s="380"/>
      <c r="F375" s="380"/>
      <c r="G375" s="380"/>
      <c r="H375" s="380"/>
      <c r="I375" s="380"/>
      <c r="J375" s="380"/>
      <c r="K375" s="380"/>
      <c r="L375" s="380"/>
      <c r="M375" s="380"/>
      <c r="N375" s="380"/>
      <c r="O375" s="380"/>
      <c r="P375" s="380"/>
      <c r="Q375" s="380"/>
      <c r="R375" s="232"/>
      <c r="S375" s="232"/>
      <c r="T375" s="232"/>
      <c r="U375" s="232"/>
      <c r="V375" s="232"/>
    </row>
    <row r="376" ht="15.75" customHeight="1">
      <c r="A376" s="380"/>
      <c r="B376" s="380"/>
      <c r="C376" s="380"/>
      <c r="D376" s="380"/>
      <c r="E376" s="380"/>
      <c r="F376" s="380"/>
      <c r="G376" s="380"/>
      <c r="H376" s="380"/>
      <c r="I376" s="380"/>
      <c r="J376" s="380"/>
      <c r="K376" s="380"/>
      <c r="L376" s="380"/>
      <c r="M376" s="380"/>
      <c r="N376" s="380"/>
      <c r="O376" s="380"/>
      <c r="P376" s="380"/>
      <c r="Q376" s="380"/>
      <c r="R376" s="232"/>
      <c r="S376" s="232"/>
      <c r="T376" s="232"/>
      <c r="U376" s="232"/>
      <c r="V376" s="232"/>
    </row>
    <row r="377" ht="15.75" customHeight="1">
      <c r="A377" s="380"/>
      <c r="B377" s="380"/>
      <c r="C377" s="380"/>
      <c r="D377" s="380"/>
      <c r="E377" s="380"/>
      <c r="F377" s="380"/>
      <c r="G377" s="380"/>
      <c r="H377" s="380"/>
      <c r="I377" s="380"/>
      <c r="J377" s="380"/>
      <c r="K377" s="380"/>
      <c r="L377" s="380"/>
      <c r="M377" s="380"/>
      <c r="N377" s="380"/>
      <c r="O377" s="380"/>
      <c r="P377" s="380"/>
      <c r="Q377" s="380"/>
      <c r="R377" s="232"/>
      <c r="S377" s="232"/>
      <c r="T377" s="232"/>
      <c r="U377" s="232"/>
      <c r="V377" s="232"/>
    </row>
    <row r="378" ht="15.75" customHeight="1">
      <c r="A378" s="380"/>
      <c r="B378" s="380"/>
      <c r="C378" s="380"/>
      <c r="D378" s="380"/>
      <c r="E378" s="380"/>
      <c r="F378" s="380"/>
      <c r="G378" s="380"/>
      <c r="H378" s="380"/>
      <c r="I378" s="380"/>
      <c r="J378" s="380"/>
      <c r="K378" s="380"/>
      <c r="L378" s="380"/>
      <c r="M378" s="380"/>
      <c r="N378" s="380"/>
      <c r="O378" s="380"/>
      <c r="P378" s="380"/>
      <c r="Q378" s="380"/>
      <c r="R378" s="232"/>
      <c r="S378" s="232"/>
      <c r="T378" s="232"/>
      <c r="U378" s="232"/>
      <c r="V378" s="232"/>
    </row>
    <row r="379" ht="15.75" customHeight="1">
      <c r="A379" s="380"/>
      <c r="B379" s="380"/>
      <c r="C379" s="380"/>
      <c r="D379" s="380"/>
      <c r="E379" s="380"/>
      <c r="F379" s="380"/>
      <c r="G379" s="380"/>
      <c r="H379" s="380"/>
      <c r="I379" s="380"/>
      <c r="J379" s="380"/>
      <c r="K379" s="380"/>
      <c r="L379" s="380"/>
      <c r="M379" s="380"/>
      <c r="N379" s="380"/>
      <c r="O379" s="380"/>
      <c r="P379" s="380"/>
      <c r="Q379" s="380"/>
      <c r="R379" s="232"/>
      <c r="S379" s="232"/>
      <c r="T379" s="232"/>
      <c r="U379" s="232"/>
      <c r="V379" s="232"/>
    </row>
    <row r="380" ht="15.75" customHeight="1">
      <c r="A380" s="380"/>
      <c r="B380" s="380"/>
      <c r="C380" s="380"/>
      <c r="D380" s="380"/>
      <c r="E380" s="380"/>
      <c r="F380" s="380"/>
      <c r="G380" s="380"/>
      <c r="H380" s="380"/>
      <c r="I380" s="380"/>
      <c r="J380" s="380"/>
      <c r="K380" s="380"/>
      <c r="L380" s="380"/>
      <c r="M380" s="380"/>
      <c r="N380" s="380"/>
      <c r="O380" s="380"/>
      <c r="P380" s="380"/>
      <c r="Q380" s="380"/>
      <c r="R380" s="232"/>
      <c r="S380" s="232"/>
      <c r="T380" s="232"/>
      <c r="U380" s="232"/>
      <c r="V380" s="232"/>
    </row>
    <row r="381" ht="15.75" customHeight="1">
      <c r="A381" s="380"/>
      <c r="B381" s="380"/>
      <c r="C381" s="380"/>
      <c r="D381" s="380"/>
      <c r="E381" s="380"/>
      <c r="F381" s="380"/>
      <c r="G381" s="380"/>
      <c r="H381" s="380"/>
      <c r="I381" s="380"/>
      <c r="J381" s="380"/>
      <c r="K381" s="380"/>
      <c r="L381" s="380"/>
      <c r="M381" s="380"/>
      <c r="N381" s="380"/>
      <c r="O381" s="380"/>
      <c r="P381" s="380"/>
      <c r="Q381" s="380"/>
      <c r="R381" s="232"/>
      <c r="S381" s="232"/>
      <c r="T381" s="232"/>
      <c r="U381" s="232"/>
      <c r="V381" s="232"/>
    </row>
    <row r="382" ht="15.75" customHeight="1">
      <c r="A382" s="380"/>
      <c r="B382" s="380"/>
      <c r="C382" s="380"/>
      <c r="D382" s="380"/>
      <c r="E382" s="380"/>
      <c r="F382" s="380"/>
      <c r="G382" s="380"/>
      <c r="H382" s="380"/>
      <c r="I382" s="380"/>
      <c r="J382" s="380"/>
      <c r="K382" s="380"/>
      <c r="L382" s="380"/>
      <c r="M382" s="380"/>
      <c r="N382" s="380"/>
      <c r="O382" s="380"/>
      <c r="P382" s="380"/>
      <c r="Q382" s="380"/>
      <c r="R382" s="232"/>
      <c r="S382" s="232"/>
      <c r="T382" s="232"/>
      <c r="U382" s="232"/>
      <c r="V382" s="232"/>
    </row>
    <row r="383" ht="15.75" customHeight="1">
      <c r="A383" s="380"/>
      <c r="B383" s="380"/>
      <c r="C383" s="380"/>
      <c r="D383" s="380"/>
      <c r="E383" s="380"/>
      <c r="F383" s="380"/>
      <c r="G383" s="380"/>
      <c r="H383" s="380"/>
      <c r="I383" s="380"/>
      <c r="J383" s="380"/>
      <c r="K383" s="380"/>
      <c r="L383" s="380"/>
      <c r="M383" s="380"/>
      <c r="N383" s="380"/>
      <c r="O383" s="380"/>
      <c r="P383" s="380"/>
      <c r="Q383" s="380"/>
      <c r="R383" s="232"/>
      <c r="S383" s="232"/>
      <c r="T383" s="232"/>
      <c r="U383" s="232"/>
      <c r="V383" s="232"/>
    </row>
    <row r="384" ht="15.75" customHeight="1">
      <c r="A384" s="380"/>
      <c r="B384" s="380"/>
      <c r="C384" s="380"/>
      <c r="D384" s="380"/>
      <c r="E384" s="380"/>
      <c r="F384" s="380"/>
      <c r="G384" s="380"/>
      <c r="H384" s="380"/>
      <c r="I384" s="380"/>
      <c r="J384" s="380"/>
      <c r="K384" s="380"/>
      <c r="L384" s="380"/>
      <c r="M384" s="380"/>
      <c r="N384" s="380"/>
      <c r="O384" s="380"/>
      <c r="P384" s="380"/>
      <c r="Q384" s="380"/>
      <c r="R384" s="232"/>
      <c r="S384" s="232"/>
      <c r="T384" s="232"/>
      <c r="U384" s="232"/>
      <c r="V384" s="232"/>
    </row>
    <row r="385" ht="15.75" customHeight="1">
      <c r="A385" s="380"/>
      <c r="B385" s="380"/>
      <c r="C385" s="380"/>
      <c r="D385" s="380"/>
      <c r="E385" s="380"/>
      <c r="F385" s="380"/>
      <c r="G385" s="380"/>
      <c r="H385" s="380"/>
      <c r="I385" s="380"/>
      <c r="J385" s="380"/>
      <c r="K385" s="380"/>
      <c r="L385" s="380"/>
      <c r="M385" s="380"/>
      <c r="N385" s="380"/>
      <c r="O385" s="380"/>
      <c r="P385" s="380"/>
      <c r="Q385" s="380"/>
      <c r="R385" s="232"/>
      <c r="S385" s="232"/>
      <c r="T385" s="232"/>
      <c r="U385" s="232"/>
      <c r="V385" s="232"/>
    </row>
    <row r="386" ht="15.75" customHeight="1">
      <c r="A386" s="380"/>
      <c r="B386" s="380"/>
      <c r="C386" s="380"/>
      <c r="D386" s="380"/>
      <c r="E386" s="380"/>
      <c r="F386" s="380"/>
      <c r="G386" s="380"/>
      <c r="H386" s="380"/>
      <c r="I386" s="380"/>
      <c r="J386" s="380"/>
      <c r="K386" s="380"/>
      <c r="L386" s="380"/>
      <c r="M386" s="380"/>
      <c r="N386" s="380"/>
      <c r="O386" s="380"/>
      <c r="P386" s="380"/>
      <c r="Q386" s="380"/>
      <c r="R386" s="232"/>
      <c r="S386" s="232"/>
      <c r="T386" s="232"/>
      <c r="U386" s="232"/>
      <c r="V386" s="232"/>
    </row>
    <row r="387" ht="15.75" customHeight="1">
      <c r="A387" s="380"/>
      <c r="B387" s="380"/>
      <c r="C387" s="380"/>
      <c r="D387" s="380"/>
      <c r="E387" s="380"/>
      <c r="F387" s="380"/>
      <c r="G387" s="380"/>
      <c r="H387" s="380"/>
      <c r="I387" s="380"/>
      <c r="J387" s="380"/>
      <c r="K387" s="380"/>
      <c r="L387" s="380"/>
      <c r="M387" s="380"/>
      <c r="N387" s="380"/>
      <c r="O387" s="380"/>
      <c r="P387" s="380"/>
      <c r="Q387" s="380"/>
      <c r="R387" s="232"/>
      <c r="S387" s="232"/>
      <c r="T387" s="232"/>
      <c r="U387" s="232"/>
      <c r="V387" s="232"/>
    </row>
    <row r="388" ht="15.75" customHeight="1">
      <c r="A388" s="380"/>
      <c r="B388" s="380"/>
      <c r="C388" s="380"/>
      <c r="D388" s="380"/>
      <c r="E388" s="380"/>
      <c r="F388" s="380"/>
      <c r="G388" s="380"/>
      <c r="H388" s="380"/>
      <c r="I388" s="380"/>
      <c r="J388" s="380"/>
      <c r="K388" s="380"/>
      <c r="L388" s="380"/>
      <c r="M388" s="380"/>
      <c r="N388" s="380"/>
      <c r="O388" s="380"/>
      <c r="P388" s="380"/>
      <c r="Q388" s="380"/>
      <c r="R388" s="232"/>
      <c r="S388" s="232"/>
      <c r="T388" s="232"/>
      <c r="U388" s="232"/>
      <c r="V388" s="232"/>
    </row>
    <row r="389" ht="15.75" customHeight="1">
      <c r="A389" s="380"/>
      <c r="B389" s="380"/>
      <c r="C389" s="380"/>
      <c r="D389" s="380"/>
      <c r="E389" s="380"/>
      <c r="F389" s="380"/>
      <c r="G389" s="380"/>
      <c r="H389" s="380"/>
      <c r="I389" s="380"/>
      <c r="J389" s="380"/>
      <c r="K389" s="380"/>
      <c r="L389" s="380"/>
      <c r="M389" s="380"/>
      <c r="N389" s="380"/>
      <c r="O389" s="380"/>
      <c r="P389" s="380"/>
      <c r="Q389" s="380"/>
      <c r="R389" s="232"/>
      <c r="S389" s="232"/>
      <c r="T389" s="232"/>
      <c r="U389" s="232"/>
      <c r="V389" s="232"/>
    </row>
    <row r="390" ht="15.75" customHeight="1">
      <c r="A390" s="380"/>
      <c r="B390" s="380"/>
      <c r="C390" s="380"/>
      <c r="D390" s="380"/>
      <c r="E390" s="380"/>
      <c r="F390" s="380"/>
      <c r="G390" s="380"/>
      <c r="H390" s="380"/>
      <c r="I390" s="380"/>
      <c r="J390" s="380"/>
      <c r="K390" s="380"/>
      <c r="L390" s="380"/>
      <c r="M390" s="380"/>
      <c r="N390" s="380"/>
      <c r="O390" s="380"/>
      <c r="P390" s="380"/>
      <c r="Q390" s="380"/>
      <c r="R390" s="232"/>
      <c r="S390" s="232"/>
      <c r="T390" s="232"/>
      <c r="U390" s="232"/>
      <c r="V390" s="232"/>
    </row>
    <row r="391" ht="15.75" customHeight="1">
      <c r="A391" s="380"/>
      <c r="B391" s="380"/>
      <c r="C391" s="380"/>
      <c r="D391" s="380"/>
      <c r="E391" s="380"/>
      <c r="F391" s="380"/>
      <c r="G391" s="380"/>
      <c r="H391" s="380"/>
      <c r="I391" s="380"/>
      <c r="J391" s="380"/>
      <c r="K391" s="380"/>
      <c r="L391" s="380"/>
      <c r="M391" s="380"/>
      <c r="N391" s="380"/>
      <c r="O391" s="380"/>
      <c r="P391" s="380"/>
      <c r="Q391" s="380"/>
      <c r="R391" s="232"/>
      <c r="S391" s="232"/>
      <c r="T391" s="232"/>
      <c r="U391" s="232"/>
      <c r="V391" s="232"/>
    </row>
    <row r="392" ht="15.75" customHeight="1">
      <c r="A392" s="380"/>
      <c r="B392" s="380"/>
      <c r="C392" s="380"/>
      <c r="D392" s="380"/>
      <c r="E392" s="380"/>
      <c r="F392" s="380"/>
      <c r="G392" s="380"/>
      <c r="H392" s="380"/>
      <c r="I392" s="380"/>
      <c r="J392" s="380"/>
      <c r="K392" s="380"/>
      <c r="L392" s="380"/>
      <c r="M392" s="380"/>
      <c r="N392" s="380"/>
      <c r="O392" s="380"/>
      <c r="P392" s="380"/>
      <c r="Q392" s="380"/>
      <c r="R392" s="232"/>
      <c r="S392" s="232"/>
      <c r="T392" s="232"/>
      <c r="U392" s="232"/>
      <c r="V392" s="232"/>
    </row>
    <row r="393" ht="15.75" customHeight="1">
      <c r="A393" s="380"/>
      <c r="B393" s="380"/>
      <c r="C393" s="380"/>
      <c r="D393" s="380"/>
      <c r="E393" s="380"/>
      <c r="F393" s="380"/>
      <c r="G393" s="380"/>
      <c r="H393" s="380"/>
      <c r="I393" s="380"/>
      <c r="J393" s="380"/>
      <c r="K393" s="380"/>
      <c r="L393" s="380"/>
      <c r="M393" s="380"/>
      <c r="N393" s="380"/>
      <c r="O393" s="380"/>
      <c r="P393" s="380"/>
      <c r="Q393" s="380"/>
      <c r="R393" s="232"/>
      <c r="S393" s="232"/>
      <c r="T393" s="232"/>
      <c r="U393" s="232"/>
      <c r="V393" s="232"/>
    </row>
    <row r="394" ht="15.75" customHeight="1">
      <c r="A394" s="380"/>
      <c r="B394" s="380"/>
      <c r="C394" s="380"/>
      <c r="D394" s="380"/>
      <c r="E394" s="380"/>
      <c r="F394" s="380"/>
      <c r="G394" s="380"/>
      <c r="H394" s="380"/>
      <c r="I394" s="380"/>
      <c r="J394" s="380"/>
      <c r="K394" s="380"/>
      <c r="L394" s="380"/>
      <c r="M394" s="380"/>
      <c r="N394" s="380"/>
      <c r="O394" s="380"/>
      <c r="P394" s="380"/>
      <c r="Q394" s="380"/>
      <c r="R394" s="232"/>
      <c r="S394" s="232"/>
      <c r="T394" s="232"/>
      <c r="U394" s="232"/>
      <c r="V394" s="232"/>
    </row>
    <row r="395" ht="15.75" customHeight="1">
      <c r="A395" s="380"/>
      <c r="B395" s="380"/>
      <c r="C395" s="380"/>
      <c r="D395" s="380"/>
      <c r="E395" s="380"/>
      <c r="F395" s="380"/>
      <c r="G395" s="380"/>
      <c r="H395" s="380"/>
      <c r="I395" s="380"/>
      <c r="J395" s="380"/>
      <c r="K395" s="380"/>
      <c r="L395" s="380"/>
      <c r="M395" s="380"/>
      <c r="N395" s="380"/>
      <c r="O395" s="380"/>
      <c r="P395" s="380"/>
      <c r="Q395" s="380"/>
      <c r="R395" s="232"/>
      <c r="S395" s="232"/>
      <c r="T395" s="232"/>
      <c r="U395" s="232"/>
      <c r="V395" s="232"/>
    </row>
    <row r="396" ht="15.75" customHeight="1">
      <c r="A396" s="380"/>
      <c r="B396" s="380"/>
      <c r="C396" s="380"/>
      <c r="D396" s="380"/>
      <c r="E396" s="380"/>
      <c r="F396" s="380"/>
      <c r="G396" s="380"/>
      <c r="H396" s="380"/>
      <c r="I396" s="380"/>
      <c r="J396" s="380"/>
      <c r="K396" s="380"/>
      <c r="L396" s="380"/>
      <c r="M396" s="380"/>
      <c r="N396" s="380"/>
      <c r="O396" s="380"/>
      <c r="P396" s="380"/>
      <c r="Q396" s="380"/>
      <c r="R396" s="232"/>
      <c r="S396" s="232"/>
      <c r="T396" s="232"/>
      <c r="U396" s="232"/>
      <c r="V396" s="232"/>
    </row>
    <row r="397" ht="15.75" customHeight="1">
      <c r="A397" s="380"/>
      <c r="B397" s="380"/>
      <c r="C397" s="380"/>
      <c r="D397" s="380"/>
      <c r="E397" s="380"/>
      <c r="F397" s="380"/>
      <c r="G397" s="380"/>
      <c r="H397" s="380"/>
      <c r="I397" s="380"/>
      <c r="J397" s="380"/>
      <c r="K397" s="380"/>
      <c r="L397" s="380"/>
      <c r="M397" s="380"/>
      <c r="N397" s="380"/>
      <c r="O397" s="380"/>
      <c r="P397" s="380"/>
      <c r="Q397" s="380"/>
      <c r="R397" s="232"/>
      <c r="S397" s="232"/>
      <c r="T397" s="232"/>
      <c r="U397" s="232"/>
      <c r="V397" s="232"/>
    </row>
    <row r="398" ht="15.75" customHeight="1">
      <c r="A398" s="380"/>
      <c r="B398" s="380"/>
      <c r="C398" s="380"/>
      <c r="D398" s="380"/>
      <c r="E398" s="380"/>
      <c r="F398" s="380"/>
      <c r="G398" s="380"/>
      <c r="H398" s="380"/>
      <c r="I398" s="380"/>
      <c r="J398" s="380"/>
      <c r="K398" s="380"/>
      <c r="L398" s="380"/>
      <c r="M398" s="380"/>
      <c r="N398" s="380"/>
      <c r="O398" s="380"/>
      <c r="P398" s="380"/>
      <c r="Q398" s="380"/>
      <c r="R398" s="232"/>
      <c r="S398" s="232"/>
      <c r="T398" s="232"/>
      <c r="U398" s="232"/>
      <c r="V398" s="232"/>
    </row>
    <row r="399" ht="15.75" customHeight="1">
      <c r="A399" s="380"/>
      <c r="B399" s="380"/>
      <c r="C399" s="380"/>
      <c r="D399" s="380"/>
      <c r="E399" s="380"/>
      <c r="F399" s="380"/>
      <c r="G399" s="380"/>
      <c r="H399" s="380"/>
      <c r="I399" s="380"/>
      <c r="J399" s="380"/>
      <c r="K399" s="380"/>
      <c r="L399" s="380"/>
      <c r="M399" s="380"/>
      <c r="N399" s="380"/>
      <c r="O399" s="380"/>
      <c r="P399" s="380"/>
      <c r="Q399" s="380"/>
      <c r="R399" s="232"/>
      <c r="S399" s="232"/>
      <c r="T399" s="232"/>
      <c r="U399" s="232"/>
      <c r="V399" s="232"/>
    </row>
    <row r="400" ht="15.75" customHeight="1">
      <c r="A400" s="380"/>
      <c r="B400" s="380"/>
      <c r="C400" s="380"/>
      <c r="D400" s="380"/>
      <c r="E400" s="380"/>
      <c r="F400" s="380"/>
      <c r="G400" s="380"/>
      <c r="H400" s="380"/>
      <c r="I400" s="380"/>
      <c r="J400" s="380"/>
      <c r="K400" s="380"/>
      <c r="L400" s="380"/>
      <c r="M400" s="380"/>
      <c r="N400" s="380"/>
      <c r="O400" s="380"/>
      <c r="P400" s="380"/>
      <c r="Q400" s="380"/>
      <c r="R400" s="232"/>
      <c r="S400" s="232"/>
      <c r="T400" s="232"/>
      <c r="U400" s="232"/>
      <c r="V400" s="232"/>
    </row>
    <row r="401" ht="15.75" customHeight="1">
      <c r="A401" s="380"/>
      <c r="B401" s="380"/>
      <c r="C401" s="380"/>
      <c r="D401" s="380"/>
      <c r="E401" s="380"/>
      <c r="F401" s="380"/>
      <c r="G401" s="380"/>
      <c r="H401" s="380"/>
      <c r="I401" s="380"/>
      <c r="J401" s="380"/>
      <c r="K401" s="380"/>
      <c r="L401" s="380"/>
      <c r="M401" s="380"/>
      <c r="N401" s="380"/>
      <c r="O401" s="380"/>
      <c r="P401" s="380"/>
      <c r="Q401" s="380"/>
      <c r="R401" s="232"/>
      <c r="S401" s="232"/>
      <c r="T401" s="232"/>
      <c r="U401" s="232"/>
      <c r="V401" s="232"/>
    </row>
    <row r="402" ht="15.75" customHeight="1">
      <c r="A402" s="380"/>
      <c r="B402" s="380"/>
      <c r="C402" s="380"/>
      <c r="D402" s="380"/>
      <c r="E402" s="380"/>
      <c r="F402" s="380"/>
      <c r="G402" s="380"/>
      <c r="H402" s="380"/>
      <c r="I402" s="380"/>
      <c r="J402" s="380"/>
      <c r="K402" s="380"/>
      <c r="L402" s="380"/>
      <c r="M402" s="380"/>
      <c r="N402" s="380"/>
      <c r="O402" s="380"/>
      <c r="P402" s="380"/>
      <c r="Q402" s="380"/>
      <c r="R402" s="232"/>
      <c r="S402" s="232"/>
      <c r="T402" s="232"/>
      <c r="U402" s="232"/>
      <c r="V402" s="232"/>
    </row>
    <row r="403" ht="15.75" customHeight="1">
      <c r="A403" s="380"/>
      <c r="B403" s="380"/>
      <c r="C403" s="380"/>
      <c r="D403" s="380"/>
      <c r="E403" s="380"/>
      <c r="F403" s="380"/>
      <c r="G403" s="380"/>
      <c r="H403" s="380"/>
      <c r="I403" s="380"/>
      <c r="J403" s="380"/>
      <c r="K403" s="380"/>
      <c r="L403" s="380"/>
      <c r="M403" s="380"/>
      <c r="N403" s="380"/>
      <c r="O403" s="380"/>
      <c r="P403" s="380"/>
      <c r="Q403" s="380"/>
      <c r="R403" s="232"/>
      <c r="S403" s="232"/>
      <c r="T403" s="232"/>
      <c r="U403" s="232"/>
      <c r="V403" s="232"/>
    </row>
    <row r="404" ht="15.75" customHeight="1">
      <c r="A404" s="380"/>
      <c r="B404" s="380"/>
      <c r="C404" s="380"/>
      <c r="D404" s="380"/>
      <c r="E404" s="380"/>
      <c r="F404" s="380"/>
      <c r="G404" s="380"/>
      <c r="H404" s="380"/>
      <c r="I404" s="380"/>
      <c r="J404" s="380"/>
      <c r="K404" s="380"/>
      <c r="L404" s="380"/>
      <c r="M404" s="380"/>
      <c r="N404" s="380"/>
      <c r="O404" s="380"/>
      <c r="P404" s="380"/>
      <c r="Q404" s="380"/>
      <c r="R404" s="232"/>
      <c r="S404" s="232"/>
      <c r="T404" s="232"/>
      <c r="U404" s="232"/>
      <c r="V404" s="232"/>
    </row>
    <row r="405" ht="15.75" customHeight="1">
      <c r="A405" s="380"/>
      <c r="B405" s="380"/>
      <c r="C405" s="380"/>
      <c r="D405" s="380"/>
      <c r="E405" s="380"/>
      <c r="F405" s="380"/>
      <c r="G405" s="380"/>
      <c r="H405" s="380"/>
      <c r="I405" s="380"/>
      <c r="J405" s="380"/>
      <c r="K405" s="380"/>
      <c r="L405" s="380"/>
      <c r="M405" s="380"/>
      <c r="N405" s="380"/>
      <c r="O405" s="380"/>
      <c r="P405" s="380"/>
      <c r="Q405" s="380"/>
      <c r="R405" s="232"/>
      <c r="S405" s="232"/>
      <c r="T405" s="232"/>
      <c r="U405" s="232"/>
      <c r="V405" s="232"/>
    </row>
    <row r="406" ht="15.75" customHeight="1">
      <c r="A406" s="380"/>
      <c r="B406" s="380"/>
      <c r="C406" s="380"/>
      <c r="D406" s="380"/>
      <c r="E406" s="380"/>
      <c r="F406" s="380"/>
      <c r="G406" s="380"/>
      <c r="H406" s="380"/>
      <c r="I406" s="380"/>
      <c r="J406" s="380"/>
      <c r="K406" s="380"/>
      <c r="L406" s="380"/>
      <c r="M406" s="380"/>
      <c r="N406" s="380"/>
      <c r="O406" s="380"/>
      <c r="P406" s="380"/>
      <c r="Q406" s="380"/>
      <c r="R406" s="232"/>
      <c r="S406" s="232"/>
      <c r="T406" s="232"/>
      <c r="U406" s="232"/>
      <c r="V406" s="232"/>
    </row>
    <row r="407" ht="15.75" customHeight="1">
      <c r="A407" s="380"/>
      <c r="B407" s="380"/>
      <c r="C407" s="380"/>
      <c r="D407" s="380"/>
      <c r="E407" s="380"/>
      <c r="F407" s="380"/>
      <c r="G407" s="380"/>
      <c r="H407" s="380"/>
      <c r="I407" s="380"/>
      <c r="J407" s="380"/>
      <c r="K407" s="380"/>
      <c r="L407" s="380"/>
      <c r="M407" s="380"/>
      <c r="N407" s="380"/>
      <c r="O407" s="380"/>
      <c r="P407" s="380"/>
      <c r="Q407" s="380"/>
      <c r="R407" s="232"/>
      <c r="S407" s="232"/>
      <c r="T407" s="232"/>
      <c r="U407" s="232"/>
      <c r="V407" s="232"/>
    </row>
    <row r="408" ht="15.75" customHeight="1">
      <c r="A408" s="380"/>
      <c r="B408" s="380"/>
      <c r="C408" s="380"/>
      <c r="D408" s="380"/>
      <c r="E408" s="380"/>
      <c r="F408" s="380"/>
      <c r="G408" s="380"/>
      <c r="H408" s="380"/>
      <c r="I408" s="380"/>
      <c r="J408" s="380"/>
      <c r="K408" s="380"/>
      <c r="L408" s="380"/>
      <c r="M408" s="380"/>
      <c r="N408" s="380"/>
      <c r="O408" s="380"/>
      <c r="P408" s="380"/>
      <c r="Q408" s="380"/>
      <c r="R408" s="232"/>
      <c r="S408" s="232"/>
      <c r="T408" s="232"/>
      <c r="U408" s="232"/>
      <c r="V408" s="232"/>
    </row>
    <row r="409" ht="15.75" customHeight="1">
      <c r="A409" s="380"/>
      <c r="B409" s="380"/>
      <c r="C409" s="380"/>
      <c r="D409" s="380"/>
      <c r="E409" s="380"/>
      <c r="F409" s="380"/>
      <c r="G409" s="380"/>
      <c r="H409" s="380"/>
      <c r="I409" s="380"/>
      <c r="J409" s="380"/>
      <c r="K409" s="380"/>
      <c r="L409" s="380"/>
      <c r="M409" s="380"/>
      <c r="N409" s="380"/>
      <c r="O409" s="380"/>
      <c r="P409" s="380"/>
      <c r="Q409" s="380"/>
      <c r="R409" s="232"/>
      <c r="S409" s="232"/>
      <c r="T409" s="232"/>
      <c r="U409" s="232"/>
      <c r="V409" s="232"/>
    </row>
    <row r="410" ht="15.75" customHeight="1">
      <c r="A410" s="380"/>
      <c r="B410" s="380"/>
      <c r="C410" s="380"/>
      <c r="D410" s="380"/>
      <c r="E410" s="380"/>
      <c r="F410" s="380"/>
      <c r="G410" s="380"/>
      <c r="H410" s="380"/>
      <c r="I410" s="380"/>
      <c r="J410" s="380"/>
      <c r="K410" s="380"/>
      <c r="L410" s="380"/>
      <c r="M410" s="380"/>
      <c r="N410" s="380"/>
      <c r="O410" s="380"/>
      <c r="P410" s="380"/>
      <c r="Q410" s="380"/>
      <c r="R410" s="232"/>
      <c r="S410" s="232"/>
      <c r="T410" s="232"/>
      <c r="U410" s="232"/>
      <c r="V410" s="232"/>
    </row>
    <row r="411" ht="15.75" customHeight="1">
      <c r="A411" s="380"/>
      <c r="B411" s="380"/>
      <c r="C411" s="380"/>
      <c r="D411" s="380"/>
      <c r="E411" s="380"/>
      <c r="F411" s="380"/>
      <c r="G411" s="380"/>
      <c r="H411" s="380"/>
      <c r="I411" s="380"/>
      <c r="J411" s="380"/>
      <c r="K411" s="380"/>
      <c r="L411" s="380"/>
      <c r="M411" s="380"/>
      <c r="N411" s="380"/>
      <c r="O411" s="380"/>
      <c r="P411" s="380"/>
      <c r="Q411" s="380"/>
      <c r="R411" s="232"/>
      <c r="S411" s="232"/>
      <c r="T411" s="232"/>
      <c r="U411" s="232"/>
      <c r="V411" s="232"/>
    </row>
    <row r="412" ht="15.75" customHeight="1">
      <c r="A412" s="380"/>
      <c r="B412" s="380"/>
      <c r="C412" s="380"/>
      <c r="D412" s="380"/>
      <c r="E412" s="380"/>
      <c r="F412" s="380"/>
      <c r="G412" s="380"/>
      <c r="H412" s="380"/>
      <c r="I412" s="380"/>
      <c r="J412" s="380"/>
      <c r="K412" s="380"/>
      <c r="L412" s="380"/>
      <c r="M412" s="380"/>
      <c r="N412" s="380"/>
      <c r="O412" s="380"/>
      <c r="P412" s="380"/>
      <c r="Q412" s="380"/>
      <c r="R412" s="232"/>
      <c r="S412" s="232"/>
      <c r="T412" s="232"/>
      <c r="U412" s="232"/>
      <c r="V412" s="232"/>
    </row>
    <row r="413" ht="15.75" customHeight="1">
      <c r="A413" s="380"/>
      <c r="B413" s="380"/>
      <c r="C413" s="380"/>
      <c r="D413" s="380"/>
      <c r="E413" s="380"/>
      <c r="F413" s="380"/>
      <c r="G413" s="380"/>
      <c r="H413" s="380"/>
      <c r="I413" s="380"/>
      <c r="J413" s="380"/>
      <c r="K413" s="380"/>
      <c r="L413" s="380"/>
      <c r="M413" s="380"/>
      <c r="N413" s="380"/>
      <c r="O413" s="380"/>
      <c r="P413" s="380"/>
      <c r="Q413" s="380"/>
      <c r="R413" s="232"/>
      <c r="S413" s="232"/>
      <c r="T413" s="232"/>
      <c r="U413" s="232"/>
      <c r="V413" s="232"/>
    </row>
    <row r="414" ht="15.75" customHeight="1">
      <c r="A414" s="380"/>
      <c r="B414" s="380"/>
      <c r="C414" s="380"/>
      <c r="D414" s="380"/>
      <c r="E414" s="380"/>
      <c r="F414" s="380"/>
      <c r="G414" s="380"/>
      <c r="H414" s="380"/>
      <c r="I414" s="380"/>
      <c r="J414" s="380"/>
      <c r="K414" s="380"/>
      <c r="L414" s="380"/>
      <c r="M414" s="380"/>
      <c r="N414" s="380"/>
      <c r="O414" s="380"/>
      <c r="P414" s="380"/>
      <c r="Q414" s="380"/>
      <c r="R414" s="232"/>
      <c r="S414" s="232"/>
      <c r="T414" s="232"/>
      <c r="U414" s="232"/>
      <c r="V414" s="232"/>
    </row>
    <row r="415" ht="15.75" customHeight="1">
      <c r="A415" s="380"/>
      <c r="B415" s="380"/>
      <c r="C415" s="380"/>
      <c r="D415" s="380"/>
      <c r="E415" s="380"/>
      <c r="F415" s="380"/>
      <c r="G415" s="380"/>
      <c r="H415" s="380"/>
      <c r="I415" s="380"/>
      <c r="J415" s="380"/>
      <c r="K415" s="380"/>
      <c r="L415" s="380"/>
      <c r="M415" s="380"/>
      <c r="N415" s="380"/>
      <c r="O415" s="380"/>
      <c r="P415" s="380"/>
      <c r="Q415" s="380"/>
      <c r="R415" s="232"/>
      <c r="S415" s="232"/>
      <c r="T415" s="232"/>
      <c r="U415" s="232"/>
      <c r="V415" s="232"/>
    </row>
    <row r="416" ht="15.75" customHeight="1">
      <c r="A416" s="380"/>
      <c r="B416" s="380"/>
      <c r="C416" s="380"/>
      <c r="D416" s="380"/>
      <c r="E416" s="380"/>
      <c r="F416" s="380"/>
      <c r="G416" s="380"/>
      <c r="H416" s="380"/>
      <c r="I416" s="380"/>
      <c r="J416" s="380"/>
      <c r="K416" s="380"/>
      <c r="L416" s="380"/>
      <c r="M416" s="380"/>
      <c r="N416" s="380"/>
      <c r="O416" s="380"/>
      <c r="P416" s="380"/>
      <c r="Q416" s="380"/>
      <c r="R416" s="232"/>
      <c r="S416" s="232"/>
      <c r="T416" s="232"/>
      <c r="U416" s="232"/>
      <c r="V416" s="232"/>
    </row>
    <row r="417" ht="15.75" customHeight="1">
      <c r="A417" s="380"/>
      <c r="B417" s="380"/>
      <c r="C417" s="380"/>
      <c r="D417" s="380"/>
      <c r="E417" s="380"/>
      <c r="F417" s="380"/>
      <c r="G417" s="380"/>
      <c r="H417" s="380"/>
      <c r="I417" s="380"/>
      <c r="J417" s="380"/>
      <c r="K417" s="380"/>
      <c r="L417" s="380"/>
      <c r="M417" s="380"/>
      <c r="N417" s="380"/>
      <c r="O417" s="380"/>
      <c r="P417" s="380"/>
      <c r="Q417" s="380"/>
      <c r="R417" s="232"/>
      <c r="S417" s="232"/>
      <c r="T417" s="232"/>
      <c r="U417" s="232"/>
      <c r="V417" s="232"/>
    </row>
    <row r="418" ht="15.75" customHeight="1">
      <c r="A418" s="380"/>
      <c r="B418" s="380"/>
      <c r="C418" s="380"/>
      <c r="D418" s="380"/>
      <c r="E418" s="380"/>
      <c r="F418" s="380"/>
      <c r="G418" s="380"/>
      <c r="H418" s="380"/>
      <c r="I418" s="380"/>
      <c r="J418" s="380"/>
      <c r="K418" s="380"/>
      <c r="L418" s="380"/>
      <c r="M418" s="380"/>
      <c r="N418" s="380"/>
      <c r="O418" s="380"/>
      <c r="P418" s="380"/>
      <c r="Q418" s="380"/>
      <c r="R418" s="232"/>
      <c r="S418" s="232"/>
      <c r="T418" s="232"/>
      <c r="U418" s="232"/>
      <c r="V418" s="232"/>
    </row>
    <row r="419" ht="15.75" customHeight="1">
      <c r="A419" s="380"/>
      <c r="B419" s="380"/>
      <c r="C419" s="380"/>
      <c r="D419" s="380"/>
      <c r="E419" s="380"/>
      <c r="F419" s="380"/>
      <c r="G419" s="380"/>
      <c r="H419" s="380"/>
      <c r="I419" s="380"/>
      <c r="J419" s="380"/>
      <c r="K419" s="380"/>
      <c r="L419" s="380"/>
      <c r="M419" s="380"/>
      <c r="N419" s="380"/>
      <c r="O419" s="380"/>
      <c r="P419" s="380"/>
      <c r="Q419" s="380"/>
      <c r="R419" s="232"/>
      <c r="S419" s="232"/>
      <c r="T419" s="232"/>
      <c r="U419" s="232"/>
      <c r="V419" s="232"/>
    </row>
    <row r="420" ht="15.75" customHeight="1">
      <c r="A420" s="380"/>
      <c r="B420" s="380"/>
      <c r="C420" s="380"/>
      <c r="D420" s="380"/>
      <c r="E420" s="380"/>
      <c r="F420" s="380"/>
      <c r="G420" s="380"/>
      <c r="H420" s="380"/>
      <c r="I420" s="380"/>
      <c r="J420" s="380"/>
      <c r="K420" s="380"/>
      <c r="L420" s="380"/>
      <c r="M420" s="380"/>
      <c r="N420" s="380"/>
      <c r="O420" s="380"/>
      <c r="P420" s="380"/>
      <c r="Q420" s="380"/>
      <c r="R420" s="232"/>
      <c r="S420" s="232"/>
      <c r="T420" s="232"/>
      <c r="U420" s="232"/>
      <c r="V420" s="232"/>
    </row>
    <row r="421" ht="15.75" customHeight="1">
      <c r="A421" s="380"/>
      <c r="B421" s="380"/>
      <c r="C421" s="380"/>
      <c r="D421" s="380"/>
      <c r="E421" s="380"/>
      <c r="F421" s="380"/>
      <c r="G421" s="380"/>
      <c r="H421" s="380"/>
      <c r="I421" s="380"/>
      <c r="J421" s="380"/>
      <c r="K421" s="380"/>
      <c r="L421" s="380"/>
      <c r="M421" s="380"/>
      <c r="N421" s="380"/>
      <c r="O421" s="380"/>
      <c r="P421" s="380"/>
      <c r="Q421" s="380"/>
      <c r="R421" s="232"/>
      <c r="S421" s="232"/>
      <c r="T421" s="232"/>
      <c r="U421" s="232"/>
      <c r="V421" s="232"/>
    </row>
    <row r="422" ht="15.75" customHeight="1">
      <c r="A422" s="380"/>
      <c r="B422" s="380"/>
      <c r="C422" s="380"/>
      <c r="D422" s="380"/>
      <c r="E422" s="380"/>
      <c r="F422" s="380"/>
      <c r="G422" s="380"/>
      <c r="H422" s="380"/>
      <c r="I422" s="380"/>
      <c r="J422" s="380"/>
      <c r="K422" s="380"/>
      <c r="L422" s="380"/>
      <c r="M422" s="380"/>
      <c r="N422" s="380"/>
      <c r="O422" s="380"/>
      <c r="P422" s="380"/>
      <c r="Q422" s="380"/>
      <c r="R422" s="232"/>
      <c r="S422" s="232"/>
      <c r="T422" s="232"/>
      <c r="U422" s="232"/>
      <c r="V422" s="232"/>
    </row>
    <row r="423" ht="15.75" customHeight="1">
      <c r="A423" s="380"/>
      <c r="B423" s="380"/>
      <c r="C423" s="380"/>
      <c r="D423" s="380"/>
      <c r="E423" s="380"/>
      <c r="F423" s="380"/>
      <c r="G423" s="380"/>
      <c r="H423" s="380"/>
      <c r="I423" s="380"/>
      <c r="J423" s="380"/>
      <c r="K423" s="380"/>
      <c r="L423" s="380"/>
      <c r="M423" s="380"/>
      <c r="N423" s="380"/>
      <c r="O423" s="380"/>
      <c r="P423" s="380"/>
      <c r="Q423" s="380"/>
      <c r="R423" s="232"/>
      <c r="S423" s="232"/>
      <c r="T423" s="232"/>
      <c r="U423" s="232"/>
      <c r="V423" s="232"/>
    </row>
    <row r="424" ht="15.75" customHeight="1">
      <c r="A424" s="380"/>
      <c r="B424" s="380"/>
      <c r="C424" s="380"/>
      <c r="D424" s="380"/>
      <c r="E424" s="380"/>
      <c r="F424" s="380"/>
      <c r="G424" s="380"/>
      <c r="H424" s="380"/>
      <c r="I424" s="380"/>
      <c r="J424" s="380"/>
      <c r="K424" s="380"/>
      <c r="L424" s="380"/>
      <c r="M424" s="380"/>
      <c r="N424" s="380"/>
      <c r="O424" s="380"/>
      <c r="P424" s="380"/>
      <c r="Q424" s="380"/>
      <c r="R424" s="232"/>
      <c r="S424" s="232"/>
      <c r="T424" s="232"/>
      <c r="U424" s="232"/>
      <c r="V424" s="232"/>
    </row>
    <row r="425" ht="15.75" customHeight="1">
      <c r="A425" s="380"/>
      <c r="B425" s="380"/>
      <c r="C425" s="380"/>
      <c r="D425" s="380"/>
      <c r="E425" s="380"/>
      <c r="F425" s="380"/>
      <c r="G425" s="380"/>
      <c r="H425" s="380"/>
      <c r="I425" s="380"/>
      <c r="J425" s="380"/>
      <c r="K425" s="380"/>
      <c r="L425" s="380"/>
      <c r="M425" s="380"/>
      <c r="N425" s="380"/>
      <c r="O425" s="380"/>
      <c r="P425" s="380"/>
      <c r="Q425" s="380"/>
      <c r="R425" s="232"/>
      <c r="S425" s="232"/>
      <c r="T425" s="232"/>
      <c r="U425" s="232"/>
      <c r="V425" s="232"/>
    </row>
    <row r="426" ht="15.75" customHeight="1">
      <c r="A426" s="380"/>
      <c r="B426" s="380"/>
      <c r="C426" s="380"/>
      <c r="D426" s="380"/>
      <c r="E426" s="380"/>
      <c r="F426" s="380"/>
      <c r="G426" s="380"/>
      <c r="H426" s="380"/>
      <c r="I426" s="380"/>
      <c r="J426" s="380"/>
      <c r="K426" s="380"/>
      <c r="L426" s="380"/>
      <c r="M426" s="380"/>
      <c r="N426" s="380"/>
      <c r="O426" s="380"/>
      <c r="P426" s="380"/>
      <c r="Q426" s="380"/>
      <c r="R426" s="232"/>
      <c r="S426" s="232"/>
      <c r="T426" s="232"/>
      <c r="U426" s="232"/>
      <c r="V426" s="232"/>
    </row>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J$1:$J$426"/>
  <conditionalFormatting sqref="F1:F5 F23:F27">
    <cfRule type="containsText" dxfId="15" priority="1" operator="containsText" text="Streptophyta">
      <formula>NOT(ISERROR(SEARCH(("Streptophyta"),(F1))))</formula>
    </cfRule>
  </conditionalFormatting>
  <conditionalFormatting sqref="H1:H5 H23:H27">
    <cfRule type="containsText" dxfId="16" priority="2" operator="containsText" text="Tracheophyta">
      <formula>NOT(ISERROR(SEARCH(("Tracheophyta"),(H1))))</formula>
    </cfRule>
  </conditionalFormatting>
  <conditionalFormatting sqref="I1:I5 I23:I27">
    <cfRule type="containsText" dxfId="17" priority="3" operator="containsText" text="Spermophytina">
      <formula>NOT(ISERROR(SEARCH(("Spermophytina"),(I1))))</formula>
    </cfRule>
  </conditionalFormatting>
  <conditionalFormatting sqref="J1:J5 J23:J27">
    <cfRule type="containsText" dxfId="18" priority="4" operator="containsText" text="Magnoliopsida">
      <formula>NOT(ISERROR(SEARCH(("Magnoliopsida"),(J1))))</formula>
    </cfRule>
  </conditionalFormatting>
  <conditionalFormatting sqref="E1:Q5 E23:Q27">
    <cfRule type="containsBlanks" dxfId="19" priority="5">
      <formula>LEN(TRIM(E1))=0</formula>
    </cfRule>
  </conditionalFormatting>
  <conditionalFormatting sqref="D1:E5 D23:E27">
    <cfRule type="containsText" dxfId="20" priority="6" operator="containsText" text="Viridiplantae">
      <formula>NOT(ISERROR(SEARCH(("Viridiplantae"),(D1))))</formula>
    </cfRule>
  </conditionalFormatting>
  <conditionalFormatting sqref="D1:E5 D23:E27">
    <cfRule type="containsText" dxfId="21" priority="7" operator="containsText" text="Biliphyta">
      <formula>NOT(ISERROR(SEARCH(("Biliphyta"),(D1))))</formula>
    </cfRule>
  </conditionalFormatting>
  <conditionalFormatting sqref="I1:I5 I23:I27">
    <cfRule type="containsText" dxfId="22" priority="8" operator="containsText" text="--">
      <formula>NOT(ISERROR(SEARCH(("--"),(I1))))</formula>
    </cfRule>
  </conditionalFormatting>
  <conditionalFormatting sqref="L1:L5 L23:L27">
    <cfRule type="containsText" dxfId="23" priority="9" operator="containsText" text="Amborellanae  ">
      <formula>NOT(ISERROR(SEARCH(("Amborellanae  "),(L1))))</formula>
    </cfRule>
  </conditionalFormatting>
  <conditionalFormatting sqref="L1:L5 L23:L27">
    <cfRule type="containsText" dxfId="23" priority="10" operator="containsText" text="Asteranae">
      <formula>NOT(ISERROR(SEARCH(("Asteranae"),(L1))))</formula>
    </cfRule>
  </conditionalFormatting>
  <conditionalFormatting sqref="L1:L5 L23:L27">
    <cfRule type="containsText" dxfId="23" priority="11" operator="containsText" text="Austrobaileyanae">
      <formula>NOT(ISERROR(SEARCH(("Austrobaileyanae"),(L1))))</formula>
    </cfRule>
  </conditionalFormatting>
  <conditionalFormatting sqref="L1:L5 L23:L27">
    <cfRule type="containsText" dxfId="23" priority="12" operator="containsText" text="Berberidopsidanae">
      <formula>NOT(ISERROR(SEARCH(("Berberidopsidanae"),(L1))))</formula>
    </cfRule>
  </conditionalFormatting>
  <conditionalFormatting sqref="L1:L5 L23:L27">
    <cfRule type="containsText" dxfId="23" priority="13" operator="containsText" text="Buxanae">
      <formula>NOT(ISERROR(SEARCH(("Buxanae"),(L1))))</formula>
    </cfRule>
  </conditionalFormatting>
  <conditionalFormatting sqref="L1:L5 L23:L27">
    <cfRule type="containsText" dxfId="23" priority="14" operator="containsText" text="Caryophyllanae">
      <formula>NOT(ISERROR(SEARCH(("Caryophyllanae"),(L1))))</formula>
    </cfRule>
  </conditionalFormatting>
  <conditionalFormatting sqref="L1:L5 L23:L27">
    <cfRule type="containsText" dxfId="23" priority="15" operator="containsText" text="Ceratophyllanae">
      <formula>NOT(ISERROR(SEARCH(("Ceratophyllanae"),(L1))))</formula>
    </cfRule>
  </conditionalFormatting>
  <conditionalFormatting sqref="L1:L5 L23:L27">
    <cfRule type="containsText" dxfId="23" priority="16" operator="containsText" text="Dillenianae">
      <formula>NOT(ISERROR(SEARCH(("Dillenianae"),(L1))))</formula>
    </cfRule>
  </conditionalFormatting>
  <conditionalFormatting sqref="L1:L5 L23:L27">
    <cfRule type="containsText" dxfId="23" priority="17" operator="containsText" text="Lilianae">
      <formula>NOT(ISERROR(SEARCH(("Lilianae"),(L1))))</formula>
    </cfRule>
  </conditionalFormatting>
  <conditionalFormatting sqref="L1:L5 L23:L27">
    <cfRule type="containsText" dxfId="23" priority="18" operator="containsText" text="Magnolianae">
      <formula>NOT(ISERROR(SEARCH(("Magnolianae"),(L1))))</formula>
    </cfRule>
  </conditionalFormatting>
  <conditionalFormatting sqref="L1:L5 L23:L27">
    <cfRule type="containsText" dxfId="23" priority="19" operator="containsText" text="Myrothamnanae">
      <formula>NOT(ISERROR(SEARCH(("Myrothamnanae"),(L1))))</formula>
    </cfRule>
  </conditionalFormatting>
  <conditionalFormatting sqref="L1:L5 L23:L27">
    <cfRule type="containsText" dxfId="23" priority="20" operator="containsText" text="Nymphaeanae">
      <formula>NOT(ISERROR(SEARCH(("Nymphaeanae"),(L1))))</formula>
    </cfRule>
  </conditionalFormatting>
  <conditionalFormatting sqref="L1:L5 L23:L27">
    <cfRule type="containsText" dxfId="23" priority="21" operator="containsText" text="Proteanae">
      <formula>NOT(ISERROR(SEARCH(("Proteanae"),(L1))))</formula>
    </cfRule>
  </conditionalFormatting>
  <conditionalFormatting sqref="L1:L5 L23:L27">
    <cfRule type="containsText" dxfId="23" priority="22" operator="containsText" text="Ranunculanae">
      <formula>NOT(ISERROR(SEARCH(("Ranunculanae"),(L1))))</formula>
    </cfRule>
  </conditionalFormatting>
  <conditionalFormatting sqref="L1:L5 L23:L27">
    <cfRule type="containsText" dxfId="23" priority="23" operator="containsText" text="Rosanae">
      <formula>NOT(ISERROR(SEARCH(("Rosanae"),(L1))))</formula>
    </cfRule>
  </conditionalFormatting>
  <conditionalFormatting sqref="L1:L5 L23:L27">
    <cfRule type="containsText" dxfId="23" priority="24" operator="containsText" text="Santalanae">
      <formula>NOT(ISERROR(SEARCH(("Santalanae"),(L1))))</formula>
    </cfRule>
  </conditionalFormatting>
  <conditionalFormatting sqref="L1:L5 L23:L27">
    <cfRule type="containsText" dxfId="23" priority="25" operator="containsText" text="Saxifraganae">
      <formula>NOT(ISERROR(SEARCH(("Saxifraganae"),(L1))))</formula>
    </cfRule>
  </conditionalFormatting>
  <conditionalFormatting sqref="L1:L5 L23:L27">
    <cfRule type="containsText" dxfId="23" priority="26" operator="containsText" text="Trochodendranae">
      <formula>NOT(ISERROR(SEARCH(("Trochodendranae"),(L1))))</formula>
    </cfRule>
  </conditionalFormatting>
  <conditionalFormatting sqref="N1:N5 N23:N27">
    <cfRule type="containsText" dxfId="23" priority="27" operator="containsText" text="Icacinaceae">
      <formula>NOT(ISERROR(SEARCH(("Icacinaceae"),(N1))))</formula>
    </cfRule>
  </conditionalFormatting>
  <conditionalFormatting sqref="N1:N5 N23:N27">
    <cfRule type="containsText" dxfId="23" priority="28" operator="containsText" text="Metteniusaceae">
      <formula>NOT(ISERROR(SEARCH(("Metteniusaceae"),(N1))))</formula>
    </cfRule>
  </conditionalFormatting>
  <conditionalFormatting sqref="N1:N5 N23:N27">
    <cfRule type="containsText" dxfId="23" priority="29" operator="containsText" text="Oncothecaceae">
      <formula>NOT(ISERROR(SEARCH(("Oncothecaceae"),(N1))))</formula>
    </cfRule>
  </conditionalFormatting>
  <conditionalFormatting sqref="N1:N5 N23:N27">
    <cfRule type="containsText" dxfId="23" priority="30" operator="containsText" text="Vahliaceae">
      <formula>NOT(ISERROR(SEARCH(("Vahliaceae"),(N1))))</formula>
    </cfRule>
  </conditionalFormatting>
  <conditionalFormatting sqref="J1:J5 J23:J27">
    <cfRule type="containsText" dxfId="18" priority="31" operator="containsText" text="Polypodiopsida">
      <formula>NOT(ISERROR(SEARCH(("Polypodiopsida"),(J1))))</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8.0"/>
    <col customWidth="1" min="2" max="2" width="11.0"/>
    <col customWidth="1" hidden="1" min="3" max="21" width="9.0"/>
    <col customWidth="1" min="22" max="26" width="9.0"/>
  </cols>
  <sheetData>
    <row r="1" ht="27.0" customHeight="1">
      <c r="A1" s="398" t="s">
        <v>3569</v>
      </c>
      <c r="B1" s="399" t="str">
        <f t="shared" ref="B1:B107" si="1">CONCATENATE(C1,D1,E1,F1,G1,H1,I1,J1,K1,L1,M1,N1,O1,P1,Q1,R1,S1,T1,U1)</f>
        <v>#REF!</v>
      </c>
      <c r="C1" s="400" t="str">
        <f>'Kegg Taxon'!A1</f>
        <v>KEGG code</v>
      </c>
      <c r="D1" s="400" t="str">
        <f>'Kegg Taxon'!B1</f>
        <v>Common name</v>
      </c>
      <c r="E1" s="400" t="str">
        <f>'Kegg Taxon'!C1</f>
        <v>Scientific name</v>
      </c>
      <c r="F1" s="400" t="str">
        <f>'Kegg Taxon'!D1</f>
        <v>Kingdom</v>
      </c>
      <c r="G1" s="400" t="str">
        <f>'Kegg Taxon'!F1</f>
        <v>Subkingdom</v>
      </c>
      <c r="H1" s="400" t="str">
        <f>'Kegg Taxon'!H1</f>
        <v>Superdivision</v>
      </c>
      <c r="I1" s="400" t="str">
        <f>'Kegg Taxon'!I1</f>
        <v>Division</v>
      </c>
      <c r="J1" s="400" t="str">
        <f>'Kegg Taxon'!J1</f>
        <v>Subdivision</v>
      </c>
      <c r="K1" s="400" t="str">
        <f>'Kegg Taxon'!K1</f>
        <v>Class</v>
      </c>
      <c r="L1" s="400" t="str">
        <f>'Kegg Taxon'!L1</f>
        <v>Subclass</v>
      </c>
      <c r="M1" s="400" t="str">
        <f>'Kegg Taxon'!O1</f>
        <v>Order</v>
      </c>
      <c r="N1" s="400" t="str">
        <f>'Kegg Taxon'!P1</f>
        <v>Family</v>
      </c>
      <c r="O1" s="400" t="str">
        <f>'Kegg Taxon'!Q1</f>
        <v>Subfamily</v>
      </c>
      <c r="P1" s="400" t="str">
        <f>'Kegg Taxon'!R1</f>
        <v>Tribe</v>
      </c>
      <c r="Q1" s="400" t="str">
        <f>'Kegg Taxon'!S1</f>
        <v>Subtribe</v>
      </c>
      <c r="R1" s="400" t="str">
        <f>'Kegg Taxon'!T1</f>
        <v>Genus</v>
      </c>
      <c r="S1" s="400" t="str">
        <f>#REF!</f>
        <v>#REF!</v>
      </c>
      <c r="T1" s="400" t="str">
        <f>'Kegg Taxon'!U1</f>
        <v>Species</v>
      </c>
      <c r="U1" s="400" t="str">
        <f>'Kegg Taxon'!V1</f>
        <v>Variety or subspecies</v>
      </c>
      <c r="V1" s="400"/>
      <c r="W1" s="400"/>
      <c r="X1" s="400"/>
      <c r="Y1" s="400"/>
      <c r="Z1" s="400"/>
    </row>
    <row r="2" ht="14.25" customHeight="1">
      <c r="A2" s="401" t="s">
        <v>3570</v>
      </c>
      <c r="B2" s="399" t="str">
        <f t="shared" si="1"/>
        <v>#REF!</v>
      </c>
      <c r="C2" s="400" t="str">
        <f>IF(ISBLANK('Kegg Taxon'!A2), "", (CONCAT("Kegg code: ", 'Kegg Taxon'!A2)))</f>
        <v>Kegg code: bvg</v>
      </c>
      <c r="D2" s="400" t="str">
        <f>IF(ISBLANK('Kegg Taxon'!B2), "", (CONCAT(" || Common name: ", 'Kegg Taxon'!B2)))</f>
        <v> || Common name: Sugar Beet</v>
      </c>
      <c r="E2" s="400" t="str">
        <f>IF(ISBLANK('Kegg Taxon'!C2), "", (CONCAT(" || Scientific name: ", 'Kegg Taxon'!C2)))</f>
        <v> || Scientific name: Beta vulgaris</v>
      </c>
      <c r="F2" s="400" t="str">
        <f>IF(ISBLANK('Kegg Taxon'!D2), "", (CONCAT(" || Kingdom: ", 'Kegg Taxon'!D2)))</f>
        <v> || Kingdom: Plantae</v>
      </c>
      <c r="G2" s="400" t="str">
        <f>IF(ISBLANK('Kegg Taxon'!F2), "", (CONCAT(" || Subkingdom: ", 'Kegg Taxon'!F2)))</f>
        <v> || Subkingdom: Viridiplantae</v>
      </c>
      <c r="H2" s="400" t="str">
        <f>IF(ISBLANK('Kegg Taxon'!H2), "", (CONCAT(" || Superdivision: ", 'Kegg Taxon'!H2)))</f>
        <v> || Superdivision: Embryophyta</v>
      </c>
      <c r="I2" s="400" t="str">
        <f>IF(ISBLANK('Kegg Taxon'!I2), "", (CONCAT(" || Phylum: ", 'Kegg Taxon'!I2)))</f>
        <v> || Phylum: Tracheophyta</v>
      </c>
      <c r="J2" s="400" t="str">
        <f>IF(ISBLANK('Kegg Taxon'!J2), "", (CONCAT(" || Subphylum: ", 'Kegg Taxon'!J2)))</f>
        <v> || Subphylum: Spermophytina</v>
      </c>
      <c r="K2" s="400" t="str">
        <f>IF(ISBLANK('Kegg Taxon'!K2), "", (CONCAT(" || Class: ", 'Kegg Taxon'!K2)))</f>
        <v> || Class: Magnoliopsida</v>
      </c>
      <c r="L2" s="400" t="str">
        <f>IF(ISBLANK('Kegg Taxon'!L2), "", (CONCAT(" || Subclass: ", 'Kegg Taxon'!L2)))</f>
        <v> || Subclass: --</v>
      </c>
      <c r="M2" s="400" t="str">
        <f>IF(ISBLANK('Kegg Taxon'!O2), "", (CONCAT(" || Order: ", 'Kegg Taxon'!O2)))</f>
        <v> || Order: Caryophyllales</v>
      </c>
      <c r="N2" s="400" t="str">
        <f>IF(ISBLANK('Kegg Taxon'!P2), "", (CONCAT(" || Family: ", 'Kegg Taxon'!P2)))</f>
        <v> || Family: Amaranthaceae</v>
      </c>
      <c r="O2" s="400" t="str">
        <f>IF(ISBLANK('Kegg Taxon'!Q2), "", (CONCAT(" || Subfamily: ", 'Kegg Taxon'!Q2)))</f>
        <v> || Subfamily: --</v>
      </c>
      <c r="P2" s="400" t="str">
        <f>IF(ISBLANK('Kegg Taxon'!R2), "", (CONCAT(" || Tribe: ", 'Kegg Taxon'!R2)))</f>
        <v> || Tribe: --</v>
      </c>
      <c r="Q2" s="400" t="str">
        <f>IF(ISBLANK('Kegg Taxon'!S2), "", (CONCAT(" || Subtribe: ", 'Kegg Taxon'!S2)))</f>
        <v> || Subtribe: --</v>
      </c>
      <c r="R2" s="400" t="str">
        <f>IF(ISBLANK('Kegg Taxon'!T2), "", (CONCAT(" || Genus: ", 'Kegg Taxon'!T2)))</f>
        <v> || Genus: Beta</v>
      </c>
      <c r="S2" s="400" t="str">
        <f t="shared" ref="S2:S107" si="2">IF(ISBLANK(#REF!), "", (CONCAT(" || Subgenus: ", #REF!)))</f>
        <v>#REF!</v>
      </c>
      <c r="T2" s="400" t="str">
        <f>IF(ISBLANK('Kegg Taxon'!U2), "", (CONCAT(" || Species: ", 'Kegg Taxon'!U2)))</f>
        <v> || Species: vulgaris</v>
      </c>
      <c r="U2" s="400" t="str">
        <f>IF(ISBLANK('Kegg Taxon'!V2), "", (CONCAT(" || Var/Subsp: ", 'Kegg Taxon'!V2)))</f>
        <v/>
      </c>
      <c r="V2" s="400"/>
      <c r="W2" s="400"/>
      <c r="X2" s="400"/>
      <c r="Y2" s="400"/>
      <c r="Z2" s="400"/>
    </row>
    <row r="3" ht="14.25" customHeight="1">
      <c r="A3" s="401" t="s">
        <v>3571</v>
      </c>
      <c r="B3" s="399" t="str">
        <f t="shared" si="1"/>
        <v>#REF!</v>
      </c>
      <c r="C3" s="400" t="str">
        <f>IF(ISBLANK('Kegg Taxon'!A3), "", (CONCAT("Kegg code: ", 'Kegg Taxon'!A3)))</f>
        <v>Kegg code: soe</v>
      </c>
      <c r="D3" s="400" t="str">
        <f>IF(ISBLANK('Kegg Taxon'!B3), "", (CONCAT(" || Common name: ", 'Kegg Taxon'!B3)))</f>
        <v> || Common name: Spinach</v>
      </c>
      <c r="E3" s="400" t="str">
        <f>IF(ISBLANK('Kegg Taxon'!C3), "", (CONCAT(" || Scientific name: ", 'Kegg Taxon'!C3)))</f>
        <v> || Scientific name: Spinacia oleracea</v>
      </c>
      <c r="F3" s="400" t="str">
        <f>IF(ISBLANK('Kegg Taxon'!D3), "", (CONCAT(" || Kingdom: ", 'Kegg Taxon'!D3)))</f>
        <v> || Kingdom: Plantae</v>
      </c>
      <c r="G3" s="400" t="str">
        <f>IF(ISBLANK('Kegg Taxon'!F3), "", (CONCAT(" || Subkingdom: ", 'Kegg Taxon'!F3)))</f>
        <v> || Subkingdom: Viridiplantae</v>
      </c>
      <c r="H3" s="400" t="str">
        <f>IF(ISBLANK('Kegg Taxon'!H3), "", (CONCAT(" || Superdivision: ", 'Kegg Taxon'!H3)))</f>
        <v> || Superdivision: Embryophyta</v>
      </c>
      <c r="I3" s="400" t="str">
        <f>IF(ISBLANK('Kegg Taxon'!I3), "", (CONCAT(" || Phylum: ", 'Kegg Taxon'!I3)))</f>
        <v> || Phylum: Tracheophyta</v>
      </c>
      <c r="J3" s="400" t="str">
        <f>IF(ISBLANK('Kegg Taxon'!J3), "", (CONCAT(" || Subphylum: ", 'Kegg Taxon'!J3)))</f>
        <v> || Subphylum: Spermophytina</v>
      </c>
      <c r="K3" s="400" t="str">
        <f>IF(ISBLANK('Kegg Taxon'!K3), "", (CONCAT(" || Class: ", 'Kegg Taxon'!K3)))</f>
        <v> || Class: Magnoliopsida</v>
      </c>
      <c r="L3" s="400" t="str">
        <f>IF(ISBLANK('Kegg Taxon'!L3), "", (CONCAT(" || Subclass: ", 'Kegg Taxon'!L3)))</f>
        <v> || Subclass: --</v>
      </c>
      <c r="M3" s="400" t="str">
        <f>IF(ISBLANK('Kegg Taxon'!O3), "", (CONCAT(" || Order: ", 'Kegg Taxon'!O3)))</f>
        <v> || Order: Caryophyllales</v>
      </c>
      <c r="N3" s="400" t="str">
        <f>IF(ISBLANK('Kegg Taxon'!P3), "", (CONCAT(" || Family: ", 'Kegg Taxon'!P3)))</f>
        <v> || Family: Amaranthaceae</v>
      </c>
      <c r="O3" s="400" t="str">
        <f>IF(ISBLANK('Kegg Taxon'!Q3), "", (CONCAT(" || Subfamily: ", 'Kegg Taxon'!Q3)))</f>
        <v> || Subfamily: Chenopodioideae</v>
      </c>
      <c r="P3" s="400" t="str">
        <f>IF(ISBLANK('Kegg Taxon'!R3), "", (CONCAT(" || Tribe: ", 'Kegg Taxon'!R3)))</f>
        <v> || Tribe: Anserineae</v>
      </c>
      <c r="Q3" s="400" t="str">
        <f>IF(ISBLANK('Kegg Taxon'!S3), "", (CONCAT(" || Subtribe: ", 'Kegg Taxon'!S3)))</f>
        <v> || Subtribe: --</v>
      </c>
      <c r="R3" s="400" t="str">
        <f>IF(ISBLANK('Kegg Taxon'!T3), "", (CONCAT(" || Genus: ", 'Kegg Taxon'!T3)))</f>
        <v> || Genus: Spinica</v>
      </c>
      <c r="S3" s="400" t="str">
        <f t="shared" si="2"/>
        <v>#REF!</v>
      </c>
      <c r="T3" s="400" t="str">
        <f>IF(ISBLANK('Kegg Taxon'!U3), "", (CONCAT(" || Species: ", 'Kegg Taxon'!U3)))</f>
        <v> || Species: oleracea</v>
      </c>
      <c r="U3" s="400" t="str">
        <f>IF(ISBLANK('Kegg Taxon'!V3), "", (CONCAT(" || Var/Subsp: ", 'Kegg Taxon'!V3)))</f>
        <v/>
      </c>
      <c r="V3" s="400"/>
      <c r="W3" s="400"/>
      <c r="X3" s="400"/>
      <c r="Y3" s="400"/>
      <c r="Z3" s="400"/>
    </row>
    <row r="4" ht="14.25" customHeight="1">
      <c r="A4" s="401" t="s">
        <v>3572</v>
      </c>
      <c r="B4" s="399" t="str">
        <f t="shared" si="1"/>
        <v>#REF!</v>
      </c>
      <c r="C4" s="400" t="str">
        <f>IF(ISBLANK('Kegg Taxon'!A4), "", (CONCAT("Kegg code: ", 'Kegg Taxon'!A4)))</f>
        <v>Kegg code: atr</v>
      </c>
      <c r="D4" s="400" t="str">
        <f>IF(ISBLANK('Kegg Taxon'!B4), "", (CONCAT(" || Common name: ", 'Kegg Taxon'!B4)))</f>
        <v> || Common name: Basal Magnoliophyta</v>
      </c>
      <c r="E4" s="400" t="str">
        <f>IF(ISBLANK('Kegg Taxon'!C4), "", (CONCAT(" || Scientific name: ", 'Kegg Taxon'!C4)))</f>
        <v> || Scientific name: Amborella trichopoda</v>
      </c>
      <c r="F4" s="400" t="str">
        <f>IF(ISBLANK('Kegg Taxon'!D4), "", (CONCAT(" || Kingdom: ", 'Kegg Taxon'!D4)))</f>
        <v> || Kingdom: Plantae</v>
      </c>
      <c r="G4" s="400" t="str">
        <f>IF(ISBLANK('Kegg Taxon'!F4), "", (CONCAT(" || Subkingdom: ", 'Kegg Taxon'!F4)))</f>
        <v> || Subkingdom: Viridiplantae</v>
      </c>
      <c r="H4" s="400" t="str">
        <f>IF(ISBLANK('Kegg Taxon'!H4), "", (CONCAT(" || Superdivision: ", 'Kegg Taxon'!H4)))</f>
        <v> || Superdivision: Embryophyta</v>
      </c>
      <c r="I4" s="400" t="str">
        <f>IF(ISBLANK('Kegg Taxon'!I4), "", (CONCAT(" || Phylum: ", 'Kegg Taxon'!I4)))</f>
        <v> || Phylum: Tracheophyta</v>
      </c>
      <c r="J4" s="400" t="str">
        <f>IF(ISBLANK('Kegg Taxon'!J4), "", (CONCAT(" || Subphylum: ", 'Kegg Taxon'!J4)))</f>
        <v> || Subphylum: Spermophytina</v>
      </c>
      <c r="K4" s="400" t="str">
        <f>IF(ISBLANK('Kegg Taxon'!K4), "", (CONCAT(" || Class: ", 'Kegg Taxon'!K4)))</f>
        <v> || Class: Magnoliopsida</v>
      </c>
      <c r="L4" s="400" t="str">
        <f>IF(ISBLANK('Kegg Taxon'!L4), "", (CONCAT(" || Subclass: ", 'Kegg Taxon'!L4)))</f>
        <v> || Subclass: --</v>
      </c>
      <c r="M4" s="400" t="str">
        <f>IF(ISBLANK('Kegg Taxon'!O4), "", (CONCAT(" || Order: ", 'Kegg Taxon'!O4)))</f>
        <v> || Order: Amborellales</v>
      </c>
      <c r="N4" s="400" t="str">
        <f>IF(ISBLANK('Kegg Taxon'!P4), "", (CONCAT(" || Family: ", 'Kegg Taxon'!P4)))</f>
        <v> || Family: Amborellaceae</v>
      </c>
      <c r="O4" s="400" t="str">
        <f>IF(ISBLANK('Kegg Taxon'!Q4), "", (CONCAT(" || Subfamily: ", 'Kegg Taxon'!Q4)))</f>
        <v> || Subfamily: --</v>
      </c>
      <c r="P4" s="400" t="str">
        <f>IF(ISBLANK('Kegg Taxon'!R4), "", (CONCAT(" || Tribe: ", 'Kegg Taxon'!R4)))</f>
        <v> || Tribe: --</v>
      </c>
      <c r="Q4" s="400" t="str">
        <f>IF(ISBLANK('Kegg Taxon'!S4), "", (CONCAT(" || Subtribe: ", 'Kegg Taxon'!S4)))</f>
        <v> || Subtribe: --</v>
      </c>
      <c r="R4" s="400" t="str">
        <f>IF(ISBLANK('Kegg Taxon'!T4), "", (CONCAT(" || Genus: ", 'Kegg Taxon'!T4)))</f>
        <v> || Genus: Amborella</v>
      </c>
      <c r="S4" s="400" t="str">
        <f t="shared" si="2"/>
        <v>#REF!</v>
      </c>
      <c r="T4" s="400" t="str">
        <f>IF(ISBLANK('Kegg Taxon'!U4), "", (CONCAT(" || Species: ", 'Kegg Taxon'!U4)))</f>
        <v> || Species: trichopoda</v>
      </c>
      <c r="U4" s="400" t="str">
        <f>IF(ISBLANK('Kegg Taxon'!V4), "", (CONCAT(" || Var/Subsp: ", 'Kegg Taxon'!V4)))</f>
        <v/>
      </c>
      <c r="V4" s="400"/>
      <c r="W4" s="400"/>
      <c r="X4" s="400"/>
      <c r="Y4" s="400"/>
      <c r="Z4" s="400"/>
    </row>
    <row r="5" ht="14.25" customHeight="1">
      <c r="A5" s="401" t="s">
        <v>3573</v>
      </c>
      <c r="B5" s="399" t="str">
        <f t="shared" si="1"/>
        <v>#REF!</v>
      </c>
      <c r="C5" s="400" t="str">
        <f>IF(ISBLANK('Kegg Taxon'!A5), "", (CONCAT("Kegg code: ", 'Kegg Taxon'!A5)))</f>
        <v>Kegg code: dcr</v>
      </c>
      <c r="D5" s="400" t="str">
        <f>IF(ISBLANK('Kegg Taxon'!B5), "", (CONCAT(" || Common name: ", 'Kegg Taxon'!B5)))</f>
        <v> || Common name: Carrot</v>
      </c>
      <c r="E5" s="400" t="str">
        <f>IF(ISBLANK('Kegg Taxon'!C5), "", (CONCAT(" || Scientific name: ", 'Kegg Taxon'!C5)))</f>
        <v> || Scientific name: Daucus carota</v>
      </c>
      <c r="F5" s="400" t="str">
        <f>IF(ISBLANK('Kegg Taxon'!D5), "", (CONCAT(" || Kingdom: ", 'Kegg Taxon'!D5)))</f>
        <v> || Kingdom: Plantae</v>
      </c>
      <c r="G5" s="400" t="str">
        <f>IF(ISBLANK('Kegg Taxon'!F5), "", (CONCAT(" || Subkingdom: ", 'Kegg Taxon'!F5)))</f>
        <v> || Subkingdom: Viridiplantae</v>
      </c>
      <c r="H5" s="400" t="str">
        <f>IF(ISBLANK('Kegg Taxon'!H5), "", (CONCAT(" || Superdivision: ", 'Kegg Taxon'!H5)))</f>
        <v> || Superdivision: Embryophyta</v>
      </c>
      <c r="I5" s="400" t="str">
        <f>IF(ISBLANK('Kegg Taxon'!I5), "", (CONCAT(" || Phylum: ", 'Kegg Taxon'!I5)))</f>
        <v> || Phylum: Tracheophyta</v>
      </c>
      <c r="J5" s="400" t="str">
        <f>IF(ISBLANK('Kegg Taxon'!J5), "", (CONCAT(" || Subphylum: ", 'Kegg Taxon'!J5)))</f>
        <v> || Subphylum: Spermophytina</v>
      </c>
      <c r="K5" s="400" t="str">
        <f>IF(ISBLANK('Kegg Taxon'!K5), "", (CONCAT(" || Class: ", 'Kegg Taxon'!K5)))</f>
        <v> || Class: Magnoliopsida</v>
      </c>
      <c r="L5" s="400" t="str">
        <f>IF(ISBLANK('Kegg Taxon'!L5), "", (CONCAT(" || Subclass: ", 'Kegg Taxon'!L5)))</f>
        <v> || Subclass: --</v>
      </c>
      <c r="M5" s="400" t="str">
        <f>IF(ISBLANK('Kegg Taxon'!O5), "", (CONCAT(" || Order: ", 'Kegg Taxon'!O5)))</f>
        <v> || Order: Apiales</v>
      </c>
      <c r="N5" s="400" t="str">
        <f>IF(ISBLANK('Kegg Taxon'!P5), "", (CONCAT(" || Family: ", 'Kegg Taxon'!P5)))</f>
        <v> || Family: Apiaceae</v>
      </c>
      <c r="O5" s="400" t="str">
        <f>IF(ISBLANK('Kegg Taxon'!Q5), "", (CONCAT(" || Subfamily: ", 'Kegg Taxon'!Q5)))</f>
        <v> || Subfamily: Apioideae</v>
      </c>
      <c r="P5" s="400" t="str">
        <f>IF(ISBLANK('Kegg Taxon'!R5), "", (CONCAT(" || Tribe: ", 'Kegg Taxon'!R5)))</f>
        <v> || Tribe: Scandiceae</v>
      </c>
      <c r="Q5" s="400" t="str">
        <f>IF(ISBLANK('Kegg Taxon'!S5), "", (CONCAT(" || Subtribe: ", 'Kegg Taxon'!S5)))</f>
        <v> || Subtribe: Daucinae</v>
      </c>
      <c r="R5" s="400" t="str">
        <f>IF(ISBLANK('Kegg Taxon'!T5), "", (CONCAT(" || Genus: ", 'Kegg Taxon'!T5)))</f>
        <v> || Genus: Daucus</v>
      </c>
      <c r="S5" s="400" t="str">
        <f t="shared" si="2"/>
        <v>#REF!</v>
      </c>
      <c r="T5" s="400" t="str">
        <f>IF(ISBLANK('Kegg Taxon'!U5), "", (CONCAT(" || Species: ", 'Kegg Taxon'!U5)))</f>
        <v> || Species: carota</v>
      </c>
      <c r="U5" s="400" t="str">
        <f>IF(ISBLANK('Kegg Taxon'!V5), "", (CONCAT(" || Var/Subsp: ", 'Kegg Taxon'!V5)))</f>
        <v/>
      </c>
      <c r="V5" s="400"/>
      <c r="W5" s="400"/>
      <c r="X5" s="400"/>
      <c r="Y5" s="400"/>
      <c r="Z5" s="400"/>
    </row>
    <row r="6" ht="14.25" customHeight="1">
      <c r="A6" s="401" t="s">
        <v>3574</v>
      </c>
      <c r="B6" s="399" t="str">
        <f t="shared" si="1"/>
        <v>#REF!</v>
      </c>
      <c r="C6" s="400" t="str">
        <f>IF(ISBLANK('Kegg Taxon'!A6), "", (CONCAT("Kegg code: ", 'Kegg Taxon'!A6)))</f>
        <v>Kegg code: egu</v>
      </c>
      <c r="D6" s="400" t="str">
        <f>IF(ISBLANK('Kegg Taxon'!B6), "", (CONCAT(" || Common name: ", 'Kegg Taxon'!B6)))</f>
        <v> || Common name: African Oil Palm</v>
      </c>
      <c r="E6" s="400" t="str">
        <f>IF(ISBLANK('Kegg Taxon'!C6), "", (CONCAT(" || Scientific name: ", 'Kegg Taxon'!C6)))</f>
        <v> || Scientific name: Elaeis guineensis</v>
      </c>
      <c r="F6" s="400" t="str">
        <f>IF(ISBLANK('Kegg Taxon'!D6), "", (CONCAT(" || Kingdom: ", 'Kegg Taxon'!D6)))</f>
        <v> || Kingdom: Plantae</v>
      </c>
      <c r="G6" s="400" t="str">
        <f>IF(ISBLANK('Kegg Taxon'!F6), "", (CONCAT(" || Subkingdom: ", 'Kegg Taxon'!F6)))</f>
        <v> || Subkingdom: Viridiplantae</v>
      </c>
      <c r="H6" s="400" t="str">
        <f>IF(ISBLANK('Kegg Taxon'!H6), "", (CONCAT(" || Superdivision: ", 'Kegg Taxon'!H6)))</f>
        <v> || Superdivision: Embryophyta</v>
      </c>
      <c r="I6" s="400" t="str">
        <f>IF(ISBLANK('Kegg Taxon'!I6), "", (CONCAT(" || Phylum: ", 'Kegg Taxon'!I6)))</f>
        <v> || Phylum: Tracheophyta</v>
      </c>
      <c r="J6" s="400" t="str">
        <f>IF(ISBLANK('Kegg Taxon'!J6), "", (CONCAT(" || Subphylum: ", 'Kegg Taxon'!J6)))</f>
        <v> || Subphylum: Spermophytina</v>
      </c>
      <c r="K6" s="400" t="str">
        <f>IF(ISBLANK('Kegg Taxon'!K6), "", (CONCAT(" || Class: ", 'Kegg Taxon'!K6)))</f>
        <v> || Class: Magnoliopsida</v>
      </c>
      <c r="L6" s="400" t="str">
        <f>IF(ISBLANK('Kegg Taxon'!L6), "", (CONCAT(" || Subclass: ", 'Kegg Taxon'!L6)))</f>
        <v> || Subclass: --</v>
      </c>
      <c r="M6" s="400" t="str">
        <f>IF(ISBLANK('Kegg Taxon'!O6), "", (CONCAT(" || Order: ", 'Kegg Taxon'!O6)))</f>
        <v> || Order: Arecales</v>
      </c>
      <c r="N6" s="400" t="str">
        <f>IF(ISBLANK('Kegg Taxon'!P6), "", (CONCAT(" || Family: ", 'Kegg Taxon'!P6)))</f>
        <v> || Family: Arecaceae</v>
      </c>
      <c r="O6" s="400" t="str">
        <f>IF(ISBLANK('Kegg Taxon'!Q6), "", (CONCAT(" || Subfamily: ", 'Kegg Taxon'!Q6)))</f>
        <v> || Subfamily: Arecoideae</v>
      </c>
      <c r="P6" s="400" t="str">
        <f>IF(ISBLANK('Kegg Taxon'!R6), "", (CONCAT(" || Tribe: ", 'Kegg Taxon'!R6)))</f>
        <v> || Tribe: Cocoseae</v>
      </c>
      <c r="Q6" s="400" t="str">
        <f>IF(ISBLANK('Kegg Taxon'!S6), "", (CONCAT(" || Subtribe: ", 'Kegg Taxon'!S6)))</f>
        <v> || Subtribe: Elaeidinae</v>
      </c>
      <c r="R6" s="400" t="str">
        <f>IF(ISBLANK('Kegg Taxon'!T6), "", (CONCAT(" || Genus: ", 'Kegg Taxon'!T6)))</f>
        <v> || Genus: Elaeis</v>
      </c>
      <c r="S6" s="400" t="str">
        <f t="shared" si="2"/>
        <v>#REF!</v>
      </c>
      <c r="T6" s="400" t="str">
        <f>IF(ISBLANK('Kegg Taxon'!U6), "", (CONCAT(" || Species: ", 'Kegg Taxon'!U6)))</f>
        <v> || Species: guineensis</v>
      </c>
      <c r="U6" s="400" t="str">
        <f>IF(ISBLANK('Kegg Taxon'!V6), "", (CONCAT(" || Var/Subsp: ", 'Kegg Taxon'!V6)))</f>
        <v/>
      </c>
      <c r="V6" s="400"/>
      <c r="W6" s="400"/>
      <c r="X6" s="400"/>
      <c r="Y6" s="400"/>
      <c r="Z6" s="400"/>
    </row>
    <row r="7" ht="14.25" customHeight="1">
      <c r="A7" s="401" t="s">
        <v>3575</v>
      </c>
      <c r="B7" s="399" t="str">
        <f t="shared" si="1"/>
        <v>#REF!</v>
      </c>
      <c r="C7" s="400" t="str">
        <f>IF(ISBLANK('Kegg Taxon'!A7), "", (CONCAT("Kegg code: ", 'Kegg Taxon'!A7)))</f>
        <v>Kegg code: pda</v>
      </c>
      <c r="D7" s="400" t="str">
        <f>IF(ISBLANK('Kegg Taxon'!B7), "", (CONCAT(" || Common name: ", 'Kegg Taxon'!B7)))</f>
        <v> || Common name: Date Palm</v>
      </c>
      <c r="E7" s="400" t="str">
        <f>IF(ISBLANK('Kegg Taxon'!C7), "", (CONCAT(" || Scientific name: ", 'Kegg Taxon'!C7)))</f>
        <v> || Scientific name: Phoenix dactylifera</v>
      </c>
      <c r="F7" s="400" t="str">
        <f>IF(ISBLANK('Kegg Taxon'!D7), "", (CONCAT(" || Kingdom: ", 'Kegg Taxon'!D7)))</f>
        <v> || Kingdom: Plantae</v>
      </c>
      <c r="G7" s="400" t="str">
        <f>IF(ISBLANK('Kegg Taxon'!F7), "", (CONCAT(" || Subkingdom: ", 'Kegg Taxon'!F7)))</f>
        <v> || Subkingdom: Viridiplantae</v>
      </c>
      <c r="H7" s="400" t="str">
        <f>IF(ISBLANK('Kegg Taxon'!H7), "", (CONCAT(" || Superdivision: ", 'Kegg Taxon'!H7)))</f>
        <v> || Superdivision: Embryophyta</v>
      </c>
      <c r="I7" s="400" t="str">
        <f>IF(ISBLANK('Kegg Taxon'!I7), "", (CONCAT(" || Phylum: ", 'Kegg Taxon'!I7)))</f>
        <v> || Phylum: Tracheophyta</v>
      </c>
      <c r="J7" s="400" t="str">
        <f>IF(ISBLANK('Kegg Taxon'!J7), "", (CONCAT(" || Subphylum: ", 'Kegg Taxon'!J7)))</f>
        <v> || Subphylum: Spermophytina</v>
      </c>
      <c r="K7" s="400" t="str">
        <f>IF(ISBLANK('Kegg Taxon'!K7), "", (CONCAT(" || Class: ", 'Kegg Taxon'!K7)))</f>
        <v> || Class: Magnoliopsida</v>
      </c>
      <c r="L7" s="400" t="str">
        <f>IF(ISBLANK('Kegg Taxon'!L7), "", (CONCAT(" || Subclass: ", 'Kegg Taxon'!L7)))</f>
        <v> || Subclass: Petrosaviidae</v>
      </c>
      <c r="M7" s="400" t="str">
        <f>IF(ISBLANK('Kegg Taxon'!O7), "", (CONCAT(" || Order: ", 'Kegg Taxon'!O7)))</f>
        <v> || Order: Arecales</v>
      </c>
      <c r="N7" s="400" t="str">
        <f>IF(ISBLANK('Kegg Taxon'!P7), "", (CONCAT(" || Family: ", 'Kegg Taxon'!P7)))</f>
        <v> || Family: Arecaceae</v>
      </c>
      <c r="O7" s="400" t="str">
        <f>IF(ISBLANK('Kegg Taxon'!Q7), "", (CONCAT(" || Subfamily: ", 'Kegg Taxon'!Q7)))</f>
        <v> || Subfamily: Coryphoideae</v>
      </c>
      <c r="P7" s="400" t="str">
        <f>IF(ISBLANK('Kegg Taxon'!R7), "", (CONCAT(" || Tribe: ", 'Kegg Taxon'!R7)))</f>
        <v> || Tribe: Phoeniceae</v>
      </c>
      <c r="Q7" s="400" t="str">
        <f>IF(ISBLANK('Kegg Taxon'!S7), "", (CONCAT(" || Subtribe: ", 'Kegg Taxon'!S7)))</f>
        <v> || Subtribe: --</v>
      </c>
      <c r="R7" s="400" t="str">
        <f>IF(ISBLANK('Kegg Taxon'!T7), "", (CONCAT(" || Genus: ", 'Kegg Taxon'!T7)))</f>
        <v> || Genus: Phoenix</v>
      </c>
      <c r="S7" s="400" t="str">
        <f t="shared" si="2"/>
        <v>#REF!</v>
      </c>
      <c r="T7" s="400" t="str">
        <f>IF(ISBLANK('Kegg Taxon'!U7), "", (CONCAT(" || Species: ", 'Kegg Taxon'!U7)))</f>
        <v> || Species: dactylifera</v>
      </c>
      <c r="U7" s="400" t="str">
        <f>IF(ISBLANK('Kegg Taxon'!V7), "", (CONCAT(" || Var/Subsp: ", 'Kegg Taxon'!V7)))</f>
        <v/>
      </c>
      <c r="V7" s="400"/>
      <c r="W7" s="400"/>
      <c r="X7" s="400"/>
      <c r="Y7" s="400"/>
      <c r="Z7" s="400"/>
    </row>
    <row r="8" ht="14.25" customHeight="1">
      <c r="A8" s="401" t="s">
        <v>3576</v>
      </c>
      <c r="B8" s="399" t="str">
        <f t="shared" si="1"/>
        <v>#REF!</v>
      </c>
      <c r="C8" s="400" t="str">
        <f>IF(ISBLANK('Kegg Taxon'!A8), "", (CONCAT("Kegg code: ", 'Kegg Taxon'!A8)))</f>
        <v>Kegg code: aof</v>
      </c>
      <c r="D8" s="400" t="str">
        <f>IF(ISBLANK('Kegg Taxon'!B8), "", (CONCAT(" || Common name: ", 'Kegg Taxon'!B8)))</f>
        <v> || Common name: Garden Asparagus</v>
      </c>
      <c r="E8" s="400" t="str">
        <f>IF(ISBLANK('Kegg Taxon'!C8), "", (CONCAT(" || Scientific name: ", 'Kegg Taxon'!C8)))</f>
        <v> || Scientific name: Asparagus officinalis</v>
      </c>
      <c r="F8" s="400" t="str">
        <f>IF(ISBLANK('Kegg Taxon'!D8), "", (CONCAT(" || Kingdom: ", 'Kegg Taxon'!D8)))</f>
        <v> || Kingdom: Plantae</v>
      </c>
      <c r="G8" s="400" t="str">
        <f>IF(ISBLANK('Kegg Taxon'!F8), "", (CONCAT(" || Subkingdom: ", 'Kegg Taxon'!F8)))</f>
        <v> || Subkingdom: Viridiplantae</v>
      </c>
      <c r="H8" s="400" t="str">
        <f>IF(ISBLANK('Kegg Taxon'!H8), "", (CONCAT(" || Superdivision: ", 'Kegg Taxon'!H8)))</f>
        <v> || Superdivision: Embryophyta</v>
      </c>
      <c r="I8" s="400" t="str">
        <f>IF(ISBLANK('Kegg Taxon'!I8), "", (CONCAT(" || Phylum: ", 'Kegg Taxon'!I8)))</f>
        <v> || Phylum: Tracheophyta</v>
      </c>
      <c r="J8" s="400" t="str">
        <f>IF(ISBLANK('Kegg Taxon'!J8), "", (CONCAT(" || Subphylum: ", 'Kegg Taxon'!J8)))</f>
        <v> || Subphylum: Spermophytina</v>
      </c>
      <c r="K8" s="400" t="str">
        <f>IF(ISBLANK('Kegg Taxon'!K8), "", (CONCAT(" || Class: ", 'Kegg Taxon'!K8)))</f>
        <v> || Class: Magnoliopsida</v>
      </c>
      <c r="L8" s="400" t="str">
        <f>IF(ISBLANK('Kegg Taxon'!L8), "", (CONCAT(" || Subclass: ", 'Kegg Taxon'!L8)))</f>
        <v> || Subclass: --</v>
      </c>
      <c r="M8" s="400" t="str">
        <f>IF(ISBLANK('Kegg Taxon'!O8), "", (CONCAT(" || Order: ", 'Kegg Taxon'!O8)))</f>
        <v> || Order: Asparagales</v>
      </c>
      <c r="N8" s="400" t="str">
        <f>IF(ISBLANK('Kegg Taxon'!P8), "", (CONCAT(" || Family: ", 'Kegg Taxon'!P8)))</f>
        <v> || Family: Asparagaceae</v>
      </c>
      <c r="O8" s="400" t="str">
        <f>IF(ISBLANK('Kegg Taxon'!Q8), "", (CONCAT(" || Subfamily: ", 'Kegg Taxon'!Q8)))</f>
        <v> || Subfamily: Asparagoideae</v>
      </c>
      <c r="P8" s="400" t="str">
        <f>IF(ISBLANK('Kegg Taxon'!R8), "", (CONCAT(" || Tribe: ", 'Kegg Taxon'!R8)))</f>
        <v> || Tribe: --</v>
      </c>
      <c r="Q8" s="400" t="str">
        <f>IF(ISBLANK('Kegg Taxon'!S8), "", (CONCAT(" || Subtribe: ", 'Kegg Taxon'!S8)))</f>
        <v> || Subtribe: --</v>
      </c>
      <c r="R8" s="400" t="str">
        <f>IF(ISBLANK('Kegg Taxon'!T8), "", (CONCAT(" || Genus: ", 'Kegg Taxon'!T8)))</f>
        <v> || Genus: Asparagus</v>
      </c>
      <c r="S8" s="400" t="str">
        <f t="shared" si="2"/>
        <v>#REF!</v>
      </c>
      <c r="T8" s="400" t="str">
        <f>IF(ISBLANK('Kegg Taxon'!U8), "", (CONCAT(" || Species: ", 'Kegg Taxon'!U8)))</f>
        <v> || Species: officinalis</v>
      </c>
      <c r="U8" s="400" t="str">
        <f>IF(ISBLANK('Kegg Taxon'!V8), "", (CONCAT(" || Var/Subsp: ", 'Kegg Taxon'!V8)))</f>
        <v/>
      </c>
      <c r="V8" s="400"/>
      <c r="W8" s="400"/>
      <c r="X8" s="400"/>
      <c r="Y8" s="400"/>
      <c r="Z8" s="400"/>
    </row>
    <row r="9" ht="14.25" customHeight="1">
      <c r="A9" s="401" t="s">
        <v>3577</v>
      </c>
      <c r="B9" s="399" t="str">
        <f t="shared" si="1"/>
        <v>#REF!</v>
      </c>
      <c r="C9" s="400" t="str">
        <f>IF(ISBLANK('Kegg Taxon'!A9), "", (CONCAT("Kegg code: ", 'Kegg Taxon'!A9)))</f>
        <v>Kegg code: ccav</v>
      </c>
      <c r="D9" s="400" t="str">
        <f>IF(ISBLANK('Kegg Taxon'!B9), "", (CONCAT(" || Common name: ", 'Kegg Taxon'!B9)))</f>
        <v> || Common name: Artichoke</v>
      </c>
      <c r="E9" s="400" t="str">
        <f>IF(ISBLANK('Kegg Taxon'!C9), "", (CONCAT(" || Scientific name: ", 'Kegg Taxon'!C9)))</f>
        <v> || Scientific name: Cynara cardunculus</v>
      </c>
      <c r="F9" s="400" t="str">
        <f>IF(ISBLANK('Kegg Taxon'!D9), "", (CONCAT(" || Kingdom: ", 'Kegg Taxon'!D9)))</f>
        <v> || Kingdom: Plantae</v>
      </c>
      <c r="G9" s="400" t="str">
        <f>IF(ISBLANK('Kegg Taxon'!F9), "", (CONCAT(" || Subkingdom: ", 'Kegg Taxon'!F9)))</f>
        <v> || Subkingdom: Viridiplantae</v>
      </c>
      <c r="H9" s="400" t="str">
        <f>IF(ISBLANK('Kegg Taxon'!H9), "", (CONCAT(" || Superdivision: ", 'Kegg Taxon'!H9)))</f>
        <v> || Superdivision: Embryophyta</v>
      </c>
      <c r="I9" s="400" t="str">
        <f>IF(ISBLANK('Kegg Taxon'!I9), "", (CONCAT(" || Phylum: ", 'Kegg Taxon'!I9)))</f>
        <v> || Phylum: Tracheophyta</v>
      </c>
      <c r="J9" s="400" t="str">
        <f>IF(ISBLANK('Kegg Taxon'!J9), "", (CONCAT(" || Subphylum: ", 'Kegg Taxon'!J9)))</f>
        <v> || Subphylum: Spermophytina</v>
      </c>
      <c r="K9" s="400" t="str">
        <f>IF(ISBLANK('Kegg Taxon'!K9), "", (CONCAT(" || Class: ", 'Kegg Taxon'!K9)))</f>
        <v> || Class: Magnoliopsida</v>
      </c>
      <c r="L9" s="400" t="str">
        <f>IF(ISBLANK('Kegg Taxon'!L9), "", (CONCAT(" || Subclass: ", 'Kegg Taxon'!L9)))</f>
        <v> || Subclass: --</v>
      </c>
      <c r="M9" s="400" t="str">
        <f>IF(ISBLANK('Kegg Taxon'!O9), "", (CONCAT(" || Order: ", 'Kegg Taxon'!O9)))</f>
        <v> || Order: Asterales</v>
      </c>
      <c r="N9" s="400" t="str">
        <f>IF(ISBLANK('Kegg Taxon'!P9), "", (CONCAT(" || Family: ", 'Kegg Taxon'!P9)))</f>
        <v> || Family: Asteraceae</v>
      </c>
      <c r="O9" s="400" t="str">
        <f>IF(ISBLANK('Kegg Taxon'!Q9), "", (CONCAT(" || Subfamily: ", 'Kegg Taxon'!Q9)))</f>
        <v> || Subfamily: Carduoideae</v>
      </c>
      <c r="P9" s="400" t="str">
        <f>IF(ISBLANK('Kegg Taxon'!R9), "", (CONCAT(" || Tribe: ", 'Kegg Taxon'!R9)))</f>
        <v> || Tribe: Cardueae</v>
      </c>
      <c r="Q9" s="400" t="str">
        <f>IF(ISBLANK('Kegg Taxon'!S9), "", (CONCAT(" || Subtribe: ", 'Kegg Taxon'!S9)))</f>
        <v> || Subtribe: Carduinae</v>
      </c>
      <c r="R9" s="400" t="str">
        <f>IF(ISBLANK('Kegg Taxon'!T9), "", (CONCAT(" || Genus: ", 'Kegg Taxon'!T9)))</f>
        <v> || Genus: Cynara</v>
      </c>
      <c r="S9" s="400" t="str">
        <f t="shared" si="2"/>
        <v>#REF!</v>
      </c>
      <c r="T9" s="400" t="str">
        <f>IF(ISBLANK('Kegg Taxon'!U9), "", (CONCAT(" || Species: ", 'Kegg Taxon'!U9)))</f>
        <v> || Species: cardunculus</v>
      </c>
      <c r="U9" s="400" t="str">
        <f>IF(ISBLANK('Kegg Taxon'!V9), "", (CONCAT(" || Var/Subsp: ", 'Kegg Taxon'!V9)))</f>
        <v> || Var/Subsp: scolymus</v>
      </c>
      <c r="V9" s="400"/>
      <c r="W9" s="400"/>
      <c r="X9" s="400"/>
      <c r="Y9" s="400"/>
      <c r="Z9" s="400"/>
    </row>
    <row r="10" ht="14.25" customHeight="1">
      <c r="A10" s="401" t="s">
        <v>3578</v>
      </c>
      <c r="B10" s="399" t="str">
        <f t="shared" si="1"/>
        <v>#REF!</v>
      </c>
      <c r="C10" s="400" t="str">
        <f>IF(ISBLANK('Kegg Taxon'!A10), "", (CONCAT("Kegg code: ", 'Kegg Taxon'!A10)))</f>
        <v>Kegg code: han</v>
      </c>
      <c r="D10" s="400" t="str">
        <f>IF(ISBLANK('Kegg Taxon'!B10), "", (CONCAT(" || Common name: ", 'Kegg Taxon'!B10)))</f>
        <v> || Common name: Common Sunflower</v>
      </c>
      <c r="E10" s="400" t="str">
        <f>IF(ISBLANK('Kegg Taxon'!C10), "", (CONCAT(" || Scientific name: ", 'Kegg Taxon'!C10)))</f>
        <v> || Scientific name: Helianthus annuus</v>
      </c>
      <c r="F10" s="400" t="str">
        <f>IF(ISBLANK('Kegg Taxon'!D10), "", (CONCAT(" || Kingdom: ", 'Kegg Taxon'!D10)))</f>
        <v> || Kingdom: Plantae</v>
      </c>
      <c r="G10" s="400" t="str">
        <f>IF(ISBLANK('Kegg Taxon'!F10), "", (CONCAT(" || Subkingdom: ", 'Kegg Taxon'!F10)))</f>
        <v> || Subkingdom: Viridiplantae</v>
      </c>
      <c r="H10" s="400" t="str">
        <f>IF(ISBLANK('Kegg Taxon'!H10), "", (CONCAT(" || Superdivision: ", 'Kegg Taxon'!H10)))</f>
        <v> || Superdivision: Embryophyta</v>
      </c>
      <c r="I10" s="400" t="str">
        <f>IF(ISBLANK('Kegg Taxon'!I10), "", (CONCAT(" || Phylum: ", 'Kegg Taxon'!I10)))</f>
        <v> || Phylum: Tracheophyta</v>
      </c>
      <c r="J10" s="400" t="str">
        <f>IF(ISBLANK('Kegg Taxon'!J10), "", (CONCAT(" || Subphylum: ", 'Kegg Taxon'!J10)))</f>
        <v> || Subphylum: Spermophytina</v>
      </c>
      <c r="K10" s="400" t="str">
        <f>IF(ISBLANK('Kegg Taxon'!K10), "", (CONCAT(" || Class: ", 'Kegg Taxon'!K10)))</f>
        <v> || Class: Magnoliopsida</v>
      </c>
      <c r="L10" s="400" t="str">
        <f>IF(ISBLANK('Kegg Taxon'!L10), "", (CONCAT(" || Subclass: ", 'Kegg Taxon'!L10)))</f>
        <v> || Subclass: --</v>
      </c>
      <c r="M10" s="400" t="str">
        <f>IF(ISBLANK('Kegg Taxon'!O10), "", (CONCAT(" || Order: ", 'Kegg Taxon'!O10)))</f>
        <v> || Order: Asterales</v>
      </c>
      <c r="N10" s="400" t="str">
        <f>IF(ISBLANK('Kegg Taxon'!P10), "", (CONCAT(" || Family: ", 'Kegg Taxon'!P10)))</f>
        <v> || Family: Asteraceae</v>
      </c>
      <c r="O10" s="400" t="str">
        <f>IF(ISBLANK('Kegg Taxon'!Q10), "", (CONCAT(" || Subfamily: ", 'Kegg Taxon'!Q10)))</f>
        <v> || Subfamily: Asteroideae</v>
      </c>
      <c r="P10" s="400" t="str">
        <f>IF(ISBLANK('Kegg Taxon'!R10), "", (CONCAT(" || Tribe: ", 'Kegg Taxon'!R10)))</f>
        <v> || Tribe: Heliantheae</v>
      </c>
      <c r="Q10" s="400" t="str">
        <f>IF(ISBLANK('Kegg Taxon'!S10), "", (CONCAT(" || Subtribe: ", 'Kegg Taxon'!S10)))</f>
        <v> || Subtribe: --</v>
      </c>
      <c r="R10" s="400" t="str">
        <f>IF(ISBLANK('Kegg Taxon'!T10), "", (CONCAT(" || Genus: ", 'Kegg Taxon'!T10)))</f>
        <v> || Genus: Helianthus</v>
      </c>
      <c r="S10" s="400" t="str">
        <f t="shared" si="2"/>
        <v>#REF!</v>
      </c>
      <c r="T10" s="400" t="str">
        <f>IF(ISBLANK('Kegg Taxon'!U10), "", (CONCAT(" || Species: ", 'Kegg Taxon'!U10)))</f>
        <v> || Species: annuus</v>
      </c>
      <c r="U10" s="400" t="str">
        <f>IF(ISBLANK('Kegg Taxon'!V10), "", (CONCAT(" || Var/Subsp: ", 'Kegg Taxon'!V10)))</f>
        <v/>
      </c>
      <c r="V10" s="400"/>
      <c r="W10" s="400"/>
      <c r="X10" s="400"/>
      <c r="Y10" s="400"/>
      <c r="Z10" s="400"/>
    </row>
    <row r="11" ht="14.25" customHeight="1">
      <c r="A11" s="401" t="s">
        <v>3579</v>
      </c>
      <c r="B11" s="399" t="str">
        <f t="shared" si="1"/>
        <v>#REF!</v>
      </c>
      <c r="C11" s="400" t="str">
        <f>IF(ISBLANK('Kegg Taxon'!A11), "", (CONCAT("Kegg code: ", 'Kegg Taxon'!A11)))</f>
        <v>Kegg code: lsv</v>
      </c>
      <c r="D11" s="400" t="str">
        <f>IF(ISBLANK('Kegg Taxon'!B11), "", (CONCAT(" || Common name: ", 'Kegg Taxon'!B11)))</f>
        <v> || Common name: Garden Lettuce</v>
      </c>
      <c r="E11" s="400" t="str">
        <f>IF(ISBLANK('Kegg Taxon'!C11), "", (CONCAT(" || Scientific name: ", 'Kegg Taxon'!C11)))</f>
        <v> || Scientific name: Lactuca sativa</v>
      </c>
      <c r="F11" s="400" t="str">
        <f>IF(ISBLANK('Kegg Taxon'!D11), "", (CONCAT(" || Kingdom: ", 'Kegg Taxon'!D11)))</f>
        <v> || Kingdom: Plantae</v>
      </c>
      <c r="G11" s="400" t="str">
        <f>IF(ISBLANK('Kegg Taxon'!F11), "", (CONCAT(" || Subkingdom: ", 'Kegg Taxon'!F11)))</f>
        <v> || Subkingdom: Viridiplantae</v>
      </c>
      <c r="H11" s="400" t="str">
        <f>IF(ISBLANK('Kegg Taxon'!H11), "", (CONCAT(" || Superdivision: ", 'Kegg Taxon'!H11)))</f>
        <v> || Superdivision: Embryophyta</v>
      </c>
      <c r="I11" s="400" t="str">
        <f>IF(ISBLANK('Kegg Taxon'!I11), "", (CONCAT(" || Phylum: ", 'Kegg Taxon'!I11)))</f>
        <v> || Phylum: Tracheophyta</v>
      </c>
      <c r="J11" s="400" t="str">
        <f>IF(ISBLANK('Kegg Taxon'!J11), "", (CONCAT(" || Subphylum: ", 'Kegg Taxon'!J11)))</f>
        <v> || Subphylum: Spermophytina</v>
      </c>
      <c r="K11" s="400" t="str">
        <f>IF(ISBLANK('Kegg Taxon'!K11), "", (CONCAT(" || Class: ", 'Kegg Taxon'!K11)))</f>
        <v> || Class: Magnoliopsida</v>
      </c>
      <c r="L11" s="400" t="str">
        <f>IF(ISBLANK('Kegg Taxon'!L11), "", (CONCAT(" || Subclass: ", 'Kegg Taxon'!L11)))</f>
        <v> || Subclass: --</v>
      </c>
      <c r="M11" s="400" t="str">
        <f>IF(ISBLANK('Kegg Taxon'!O11), "", (CONCAT(" || Order: ", 'Kegg Taxon'!O11)))</f>
        <v> || Order: Asterales</v>
      </c>
      <c r="N11" s="400" t="str">
        <f>IF(ISBLANK('Kegg Taxon'!P11), "", (CONCAT(" || Family: ", 'Kegg Taxon'!P11)))</f>
        <v> || Family: Asteraceae</v>
      </c>
      <c r="O11" s="400" t="str">
        <f>IF(ISBLANK('Kegg Taxon'!Q11), "", (CONCAT(" || Subfamily: ", 'Kegg Taxon'!Q11)))</f>
        <v> || Subfamily: Cichorioideae</v>
      </c>
      <c r="P11" s="400" t="str">
        <f>IF(ISBLANK('Kegg Taxon'!R11), "", (CONCAT(" || Tribe: ", 'Kegg Taxon'!R11)))</f>
        <v> || Tribe: Cichorieae</v>
      </c>
      <c r="Q11" s="400" t="str">
        <f>IF(ISBLANK('Kegg Taxon'!S11), "", (CONCAT(" || Subtribe: ", 'Kegg Taxon'!S11)))</f>
        <v> || Subtribe: Lactucinae</v>
      </c>
      <c r="R11" s="400" t="str">
        <f>IF(ISBLANK('Kegg Taxon'!T11), "", (CONCAT(" || Genus: ", 'Kegg Taxon'!T11)))</f>
        <v> || Genus: Lactuca</v>
      </c>
      <c r="S11" s="400" t="str">
        <f t="shared" si="2"/>
        <v>#REF!</v>
      </c>
      <c r="T11" s="400" t="str">
        <f>IF(ISBLANK('Kegg Taxon'!U11), "", (CONCAT(" || Species: ", 'Kegg Taxon'!U11)))</f>
        <v> || Species: sativa</v>
      </c>
      <c r="U11" s="400" t="str">
        <f>IF(ISBLANK('Kegg Taxon'!V11), "", (CONCAT(" || Var/Subsp: ", 'Kegg Taxon'!V11)))</f>
        <v/>
      </c>
      <c r="V11" s="400"/>
      <c r="W11" s="400"/>
      <c r="X11" s="400"/>
      <c r="Y11" s="400"/>
      <c r="Z11" s="400"/>
    </row>
    <row r="12" ht="14.25" customHeight="1">
      <c r="A12" s="401" t="s">
        <v>3580</v>
      </c>
      <c r="B12" s="399" t="str">
        <f t="shared" si="1"/>
        <v>#REF!</v>
      </c>
      <c r="C12" s="400" t="str">
        <f>IF(ISBLANK('Kegg Taxon'!A12), "", (CONCAT("Kegg code: ", 'Kegg Taxon'!A12)))</f>
        <v>Kegg code: bpg</v>
      </c>
      <c r="D12" s="400" t="str">
        <f>IF(ISBLANK('Kegg Taxon'!B12), "", (CONCAT(" || Common name: ", 'Kegg Taxon'!B12)))</f>
        <v> || Common name: Picoplankton</v>
      </c>
      <c r="E12" s="400" t="str">
        <f>IF(ISBLANK('Kegg Taxon'!C12), "", (CONCAT(" || Scientific name: ", 'Kegg Taxon'!C12)))</f>
        <v> || Scientific name: Bathycoccus prasinos</v>
      </c>
      <c r="F12" s="400" t="str">
        <f>IF(ISBLANK('Kegg Taxon'!D12), "", (CONCAT(" || Kingdom: ", 'Kegg Taxon'!D12)))</f>
        <v> || Kingdom: Plantae</v>
      </c>
      <c r="G12" s="400" t="str">
        <f>IF(ISBLANK('Kegg Taxon'!F12), "", (CONCAT(" || Subkingdom: ", 'Kegg Taxon'!F12)))</f>
        <v> || Subkingdom: Viridiplantae</v>
      </c>
      <c r="H12" s="400" t="str">
        <f>IF(ISBLANK('Kegg Taxon'!H12), "", (CONCAT(" || Superdivision: ", 'Kegg Taxon'!H12)))</f>
        <v> || Superdivision: --</v>
      </c>
      <c r="I12" s="400" t="str">
        <f>IF(ISBLANK('Kegg Taxon'!I12), "", (CONCAT(" || Phylum: ", 'Kegg Taxon'!I12)))</f>
        <v> || Phylum: Chlorophyta</v>
      </c>
      <c r="J12" s="400" t="str">
        <f>IF(ISBLANK('Kegg Taxon'!J12), "", (CONCAT(" || Subphylum: ", 'Kegg Taxon'!J12)))</f>
        <v> || Subphylum: Prasinophytina</v>
      </c>
      <c r="K12" s="400" t="str">
        <f>IF(ISBLANK('Kegg Taxon'!K12), "", (CONCAT(" || Class: ", 'Kegg Taxon'!K12)))</f>
        <v> || Class: Mamiellophyceae</v>
      </c>
      <c r="L12" s="400" t="str">
        <f>IF(ISBLANK('Kegg Taxon'!L12), "", (CONCAT(" || Subclass: ", 'Kegg Taxon'!L12)))</f>
        <v> || Subclass: --</v>
      </c>
      <c r="M12" s="400" t="str">
        <f>IF(ISBLANK('Kegg Taxon'!O12), "", (CONCAT(" || Order: ", 'Kegg Taxon'!O12)))</f>
        <v> || Order: Mamiellales</v>
      </c>
      <c r="N12" s="400" t="str">
        <f>IF(ISBLANK('Kegg Taxon'!P12), "", (CONCAT(" || Family: ", 'Kegg Taxon'!P12)))</f>
        <v> || Family: Bathycoccaceae</v>
      </c>
      <c r="O12" s="400" t="str">
        <f>IF(ISBLANK('Kegg Taxon'!Q12), "", (CONCAT(" || Subfamily: ", 'Kegg Taxon'!Q12)))</f>
        <v> || Subfamily: --</v>
      </c>
      <c r="P12" s="400" t="str">
        <f>IF(ISBLANK('Kegg Taxon'!R12), "", (CONCAT(" || Tribe: ", 'Kegg Taxon'!R12)))</f>
        <v> || Tribe: --</v>
      </c>
      <c r="Q12" s="400" t="str">
        <f>IF(ISBLANK('Kegg Taxon'!S12), "", (CONCAT(" || Subtribe: ", 'Kegg Taxon'!S12)))</f>
        <v> || Subtribe: --</v>
      </c>
      <c r="R12" s="400" t="str">
        <f>IF(ISBLANK('Kegg Taxon'!T12), "", (CONCAT(" || Genus: ", 'Kegg Taxon'!T12)))</f>
        <v> || Genus: Bathycoccus</v>
      </c>
      <c r="S12" s="400" t="str">
        <f t="shared" si="2"/>
        <v>#REF!</v>
      </c>
      <c r="T12" s="400" t="str">
        <f>IF(ISBLANK('Kegg Taxon'!U12), "", (CONCAT(" || Species: ", 'Kegg Taxon'!U12)))</f>
        <v> || Species: prasinos</v>
      </c>
      <c r="U12" s="400" t="str">
        <f>IF(ISBLANK('Kegg Taxon'!V12), "", (CONCAT(" || Var/Subsp: ", 'Kegg Taxon'!V12)))</f>
        <v/>
      </c>
      <c r="V12" s="400"/>
      <c r="W12" s="400"/>
      <c r="X12" s="400"/>
      <c r="Y12" s="400"/>
      <c r="Z12" s="400"/>
    </row>
    <row r="13" ht="14.25" customHeight="1">
      <c r="A13" s="401" t="s">
        <v>3581</v>
      </c>
      <c r="B13" s="399" t="str">
        <f t="shared" si="1"/>
        <v>#REF!</v>
      </c>
      <c r="C13" s="400" t="str">
        <f>IF(ISBLANK('Kegg Taxon'!A13), "", (CONCAT("Kegg code: ", 'Kegg Taxon'!A13)))</f>
        <v>Kegg code: olu</v>
      </c>
      <c r="D13" s="400" t="str">
        <f>IF(ISBLANK('Kegg Taxon'!B13), "", (CONCAT(" || Common name: ", 'Kegg Taxon'!B13)))</f>
        <v> || Common name: Marine Surface-Isolated Green Algae</v>
      </c>
      <c r="E13" s="400" t="str">
        <f>IF(ISBLANK('Kegg Taxon'!C13), "", (CONCAT(" || Scientific name: ", 'Kegg Taxon'!C13)))</f>
        <v> || Scientific name: Ostreococcus lucimarinus</v>
      </c>
      <c r="F13" s="400" t="str">
        <f>IF(ISBLANK('Kegg Taxon'!D13), "", (CONCAT(" || Kingdom: ", 'Kegg Taxon'!D13)))</f>
        <v> || Kingdom: Plantae</v>
      </c>
      <c r="G13" s="400" t="str">
        <f>IF(ISBLANK('Kegg Taxon'!F13), "", (CONCAT(" || Subkingdom: ", 'Kegg Taxon'!F13)))</f>
        <v> || Subkingdom: Viridiplantae</v>
      </c>
      <c r="H13" s="400" t="str">
        <f>IF(ISBLANK('Kegg Taxon'!H13), "", (CONCAT(" || Superdivision: ", 'Kegg Taxon'!H13)))</f>
        <v> || Superdivision: --</v>
      </c>
      <c r="I13" s="400" t="str">
        <f>IF(ISBLANK('Kegg Taxon'!I13), "", (CONCAT(" || Phylum: ", 'Kegg Taxon'!I13)))</f>
        <v> || Phylum: Chlorophyta</v>
      </c>
      <c r="J13" s="400" t="str">
        <f>IF(ISBLANK('Kegg Taxon'!J13), "", (CONCAT(" || Subphylum: ", 'Kegg Taxon'!J13)))</f>
        <v> || Subphylum: Prasinophytina</v>
      </c>
      <c r="K13" s="400" t="str">
        <f>IF(ISBLANK('Kegg Taxon'!K13), "", (CONCAT(" || Class: ", 'Kegg Taxon'!K13)))</f>
        <v> || Class: Mamiellophyceae</v>
      </c>
      <c r="L13" s="400" t="str">
        <f>IF(ISBLANK('Kegg Taxon'!L13), "", (CONCAT(" || Subclass: ", 'Kegg Taxon'!L13)))</f>
        <v> || Subclass: --</v>
      </c>
      <c r="M13" s="400" t="str">
        <f>IF(ISBLANK('Kegg Taxon'!O13), "", (CONCAT(" || Order: ", 'Kegg Taxon'!O13)))</f>
        <v> || Order: Mamiellales</v>
      </c>
      <c r="N13" s="400" t="str">
        <f>IF(ISBLANK('Kegg Taxon'!P13), "", (CONCAT(" || Family: ", 'Kegg Taxon'!P13)))</f>
        <v> || Family: Bathycoccaceae</v>
      </c>
      <c r="O13" s="400" t="str">
        <f>IF(ISBLANK('Kegg Taxon'!Q13), "", (CONCAT(" || Subfamily: ", 'Kegg Taxon'!Q13)))</f>
        <v> || Subfamily: --</v>
      </c>
      <c r="P13" s="400" t="str">
        <f>IF(ISBLANK('Kegg Taxon'!R13), "", (CONCAT(" || Tribe: ", 'Kegg Taxon'!R13)))</f>
        <v> || Tribe: --</v>
      </c>
      <c r="Q13" s="400" t="str">
        <f>IF(ISBLANK('Kegg Taxon'!S13), "", (CONCAT(" || Subtribe: ", 'Kegg Taxon'!S13)))</f>
        <v> || Subtribe: --</v>
      </c>
      <c r="R13" s="400" t="str">
        <f>IF(ISBLANK('Kegg Taxon'!T13), "", (CONCAT(" || Genus: ", 'Kegg Taxon'!T13)))</f>
        <v> || Genus: Ostreococcus</v>
      </c>
      <c r="S13" s="400" t="str">
        <f t="shared" si="2"/>
        <v>#REF!</v>
      </c>
      <c r="T13" s="400" t="str">
        <f>IF(ISBLANK('Kegg Taxon'!U13), "", (CONCAT(" || Species: ", 'Kegg Taxon'!U13)))</f>
        <v> || Species: lucimarinus</v>
      </c>
      <c r="U13" s="400" t="str">
        <f>IF(ISBLANK('Kegg Taxon'!V13), "", (CONCAT(" || Var/Subsp: ", 'Kegg Taxon'!V13)))</f>
        <v/>
      </c>
      <c r="V13" s="400"/>
      <c r="W13" s="400"/>
      <c r="X13" s="400"/>
      <c r="Y13" s="400"/>
      <c r="Z13" s="400"/>
    </row>
    <row r="14" ht="14.25" customHeight="1">
      <c r="A14" s="401" t="s">
        <v>3582</v>
      </c>
      <c r="B14" s="399" t="str">
        <f t="shared" si="1"/>
        <v>#REF!</v>
      </c>
      <c r="C14" s="400" t="str">
        <f>IF(ISBLANK('Kegg Taxon'!A14), "", (CONCAT("Kegg code: ", 'Kegg Taxon'!A14)))</f>
        <v>Kegg code: ota</v>
      </c>
      <c r="D14" s="400" t="str">
        <f>IF(ISBLANK('Kegg Taxon'!B14), "", (CONCAT(" || Common name: ", 'Kegg Taxon'!B14)))</f>
        <v> || Common name: Marine Light-Polyvalent Green Algae</v>
      </c>
      <c r="E14" s="400" t="str">
        <f>IF(ISBLANK('Kegg Taxon'!C14), "", (CONCAT(" || Scientific name: ", 'Kegg Taxon'!C14)))</f>
        <v> || Scientific name: Ostreococcus tauri</v>
      </c>
      <c r="F14" s="400" t="str">
        <f>IF(ISBLANK('Kegg Taxon'!D14), "", (CONCAT(" || Kingdom: ", 'Kegg Taxon'!D14)))</f>
        <v> || Kingdom: Plantae</v>
      </c>
      <c r="G14" s="400" t="str">
        <f>IF(ISBLANK('Kegg Taxon'!F14), "", (CONCAT(" || Subkingdom: ", 'Kegg Taxon'!F14)))</f>
        <v> || Subkingdom: Viridiplantae</v>
      </c>
      <c r="H14" s="400" t="str">
        <f>IF(ISBLANK('Kegg Taxon'!H14), "", (CONCAT(" || Superdivision: ", 'Kegg Taxon'!H14)))</f>
        <v> || Superdivision: --</v>
      </c>
      <c r="I14" s="400" t="str">
        <f>IF(ISBLANK('Kegg Taxon'!I14), "", (CONCAT(" || Phylum: ", 'Kegg Taxon'!I14)))</f>
        <v> || Phylum: Chlorophyta</v>
      </c>
      <c r="J14" s="400" t="str">
        <f>IF(ISBLANK('Kegg Taxon'!J14), "", (CONCAT(" || Subphylum: ", 'Kegg Taxon'!J14)))</f>
        <v> || Subphylum: Prasinophytina</v>
      </c>
      <c r="K14" s="400" t="str">
        <f>IF(ISBLANK('Kegg Taxon'!K14), "", (CONCAT(" || Class: ", 'Kegg Taxon'!K14)))</f>
        <v> || Class: Mamiellophyceae</v>
      </c>
      <c r="L14" s="400" t="str">
        <f>IF(ISBLANK('Kegg Taxon'!L14), "", (CONCAT(" || Subclass: ", 'Kegg Taxon'!L14)))</f>
        <v> || Subclass: --</v>
      </c>
      <c r="M14" s="400" t="str">
        <f>IF(ISBLANK('Kegg Taxon'!O14), "", (CONCAT(" || Order: ", 'Kegg Taxon'!O14)))</f>
        <v> || Order: Mamiellales</v>
      </c>
      <c r="N14" s="400" t="str">
        <f>IF(ISBLANK('Kegg Taxon'!P14), "", (CONCAT(" || Family: ", 'Kegg Taxon'!P14)))</f>
        <v> || Family: Bathycoccaceae</v>
      </c>
      <c r="O14" s="400" t="str">
        <f>IF(ISBLANK('Kegg Taxon'!Q14), "", (CONCAT(" || Subfamily: ", 'Kegg Taxon'!Q14)))</f>
        <v> || Subfamily: --</v>
      </c>
      <c r="P14" s="400" t="str">
        <f>IF(ISBLANK('Kegg Taxon'!R14), "", (CONCAT(" || Tribe: ", 'Kegg Taxon'!R14)))</f>
        <v> || Tribe: --</v>
      </c>
      <c r="Q14" s="400" t="str">
        <f>IF(ISBLANK('Kegg Taxon'!S14), "", (CONCAT(" || Subtribe: ", 'Kegg Taxon'!S14)))</f>
        <v> || Subtribe: --</v>
      </c>
      <c r="R14" s="400" t="str">
        <f>IF(ISBLANK('Kegg Taxon'!T14), "", (CONCAT(" || Genus: ", 'Kegg Taxon'!T14)))</f>
        <v> || Genus: Ostreococcus</v>
      </c>
      <c r="S14" s="400" t="str">
        <f t="shared" si="2"/>
        <v>#REF!</v>
      </c>
      <c r="T14" s="400" t="str">
        <f>IF(ISBLANK('Kegg Taxon'!U14), "", (CONCAT(" || Species: ", 'Kegg Taxon'!U14)))</f>
        <v> || Species: tauri</v>
      </c>
      <c r="U14" s="400" t="str">
        <f>IF(ISBLANK('Kegg Taxon'!V14), "", (CONCAT(" || Var/Subsp: ", 'Kegg Taxon'!V14)))</f>
        <v/>
      </c>
      <c r="V14" s="400"/>
      <c r="W14" s="400"/>
      <c r="X14" s="400"/>
      <c r="Y14" s="400"/>
      <c r="Z14" s="400"/>
    </row>
    <row r="15" ht="14.25" customHeight="1">
      <c r="A15" s="401" t="s">
        <v>3583</v>
      </c>
      <c r="B15" s="399" t="str">
        <f t="shared" si="1"/>
        <v>#REF!</v>
      </c>
      <c r="C15" s="400" t="str">
        <f>IF(ISBLANK('Kegg Taxon'!A15), "", (CONCAT("Kegg code: ", 'Kegg Taxon'!A15)))</f>
        <v>Kegg code: dzi</v>
      </c>
      <c r="D15" s="400" t="str">
        <f>IF(ISBLANK('Kegg Taxon'!B15), "", (CONCAT(" || Common name: ", 'Kegg Taxon'!B15)))</f>
        <v> || Common name: Durian</v>
      </c>
      <c r="E15" s="400" t="str">
        <f>IF(ISBLANK('Kegg Taxon'!C15), "", (CONCAT(" || Scientific name: ", 'Kegg Taxon'!C15)))</f>
        <v> || Scientific name: Durio zibethinus</v>
      </c>
      <c r="F15" s="400" t="str">
        <f>IF(ISBLANK('Kegg Taxon'!D15), "", (CONCAT(" || Kingdom: ", 'Kegg Taxon'!D15)))</f>
        <v> || Kingdom: Plantae</v>
      </c>
      <c r="G15" s="400" t="str">
        <f>IF(ISBLANK('Kegg Taxon'!F15), "", (CONCAT(" || Subkingdom: ", 'Kegg Taxon'!F15)))</f>
        <v> || Subkingdom: Viridiplantae</v>
      </c>
      <c r="H15" s="400" t="str">
        <f>IF(ISBLANK('Kegg Taxon'!H15), "", (CONCAT(" || Superdivision: ", 'Kegg Taxon'!H15)))</f>
        <v> || Superdivision: Embryophyta</v>
      </c>
      <c r="I15" s="400" t="str">
        <f>IF(ISBLANK('Kegg Taxon'!I15), "", (CONCAT(" || Phylum: ", 'Kegg Taxon'!I15)))</f>
        <v> || Phylum: Tracheophyta</v>
      </c>
      <c r="J15" s="400" t="str">
        <f>IF(ISBLANK('Kegg Taxon'!J15), "", (CONCAT(" || Subphylum: ", 'Kegg Taxon'!J15)))</f>
        <v> || Subphylum: Spermophytina</v>
      </c>
      <c r="K15" s="400" t="str">
        <f>IF(ISBLANK('Kegg Taxon'!K15), "", (CONCAT(" || Class: ", 'Kegg Taxon'!K15)))</f>
        <v> || Class: Magnoliopsida</v>
      </c>
      <c r="L15" s="400" t="str">
        <f>IF(ISBLANK('Kegg Taxon'!L15), "", (CONCAT(" || Subclass: ", 'Kegg Taxon'!L15)))</f>
        <v> || Subclass: --</v>
      </c>
      <c r="M15" s="400" t="str">
        <f>IF(ISBLANK('Kegg Taxon'!O15), "", (CONCAT(" || Order: ", 'Kegg Taxon'!O15)))</f>
        <v> || Order: Malvales</v>
      </c>
      <c r="N15" s="400" t="str">
        <f>IF(ISBLANK('Kegg Taxon'!P15), "", (CONCAT(" || Family: ", 'Kegg Taxon'!P15)))</f>
        <v> || Family: Bombacaceae</v>
      </c>
      <c r="O15" s="400" t="str">
        <f>IF(ISBLANK('Kegg Taxon'!Q15), "", (CONCAT(" || Subfamily: ", 'Kegg Taxon'!Q15)))</f>
        <v> || Subfamily: --</v>
      </c>
      <c r="P15" s="400" t="str">
        <f>IF(ISBLANK('Kegg Taxon'!R15), "", (CONCAT(" || Tribe: ", 'Kegg Taxon'!R15)))</f>
        <v> || Tribe: --</v>
      </c>
      <c r="Q15" s="400" t="str">
        <f>IF(ISBLANK('Kegg Taxon'!S15), "", (CONCAT(" || Subtribe: ", 'Kegg Taxon'!S15)))</f>
        <v> || Subtribe: --</v>
      </c>
      <c r="R15" s="400" t="str">
        <f>IF(ISBLANK('Kegg Taxon'!T15), "", (CONCAT(" || Genus: ", 'Kegg Taxon'!T15)))</f>
        <v> || Genus: Durio</v>
      </c>
      <c r="S15" s="400" t="str">
        <f t="shared" si="2"/>
        <v>#REF!</v>
      </c>
      <c r="T15" s="400" t="str">
        <f>IF(ISBLANK('Kegg Taxon'!U15), "", (CONCAT(" || Species: ", 'Kegg Taxon'!U15)))</f>
        <v> || Species: zibethinus</v>
      </c>
      <c r="U15" s="400" t="str">
        <f>IF(ISBLANK('Kegg Taxon'!V15), "", (CONCAT(" || Var/Subsp: ", 'Kegg Taxon'!V15)))</f>
        <v/>
      </c>
      <c r="V15" s="400"/>
      <c r="W15" s="400"/>
      <c r="X15" s="400"/>
      <c r="Y15" s="400"/>
      <c r="Z15" s="400"/>
    </row>
    <row r="16" ht="14.25" customHeight="1">
      <c r="A16" s="401" t="s">
        <v>3584</v>
      </c>
      <c r="B16" s="399" t="str">
        <f t="shared" si="1"/>
        <v>#REF!</v>
      </c>
      <c r="C16" s="400" t="str">
        <f>IF(ISBLANK('Kegg Taxon'!A16), "", (CONCAT("Kegg code: ", 'Kegg Taxon'!A16)))</f>
        <v>Kegg code: aly</v>
      </c>
      <c r="D16" s="400" t="str">
        <f>IF(ISBLANK('Kegg Taxon'!B16), "", (CONCAT(" || Common name: ", 'Kegg Taxon'!B16)))</f>
        <v> || Common name: Lyrate Rockcress</v>
      </c>
      <c r="E16" s="400" t="str">
        <f>IF(ISBLANK('Kegg Taxon'!C16), "", (CONCAT(" || Scientific name: ", 'Kegg Taxon'!C16)))</f>
        <v> || Scientific name: Arabidopsis lyrata</v>
      </c>
      <c r="F16" s="400" t="str">
        <f>IF(ISBLANK('Kegg Taxon'!D16), "", (CONCAT(" || Kingdom: ", 'Kegg Taxon'!D16)))</f>
        <v> || Kingdom: Plantae</v>
      </c>
      <c r="G16" s="400" t="str">
        <f>IF(ISBLANK('Kegg Taxon'!F16), "", (CONCAT(" || Subkingdom: ", 'Kegg Taxon'!F16)))</f>
        <v> || Subkingdom: Viridiplantae</v>
      </c>
      <c r="H16" s="400" t="str">
        <f>IF(ISBLANK('Kegg Taxon'!H16), "", (CONCAT(" || Superdivision: ", 'Kegg Taxon'!H16)))</f>
        <v> || Superdivision: Embryophyta</v>
      </c>
      <c r="I16" s="400" t="str">
        <f>IF(ISBLANK('Kegg Taxon'!I16), "", (CONCAT(" || Phylum: ", 'Kegg Taxon'!I16)))</f>
        <v> || Phylum: Tracheophyta</v>
      </c>
      <c r="J16" s="400" t="str">
        <f>IF(ISBLANK('Kegg Taxon'!J16), "", (CONCAT(" || Subphylum: ", 'Kegg Taxon'!J16)))</f>
        <v> || Subphylum: Spermophytina</v>
      </c>
      <c r="K16" s="400" t="str">
        <f>IF(ISBLANK('Kegg Taxon'!K16), "", (CONCAT(" || Class: ", 'Kegg Taxon'!K16)))</f>
        <v> || Class: Magnoliopsida</v>
      </c>
      <c r="L16" s="400" t="str">
        <f>IF(ISBLANK('Kegg Taxon'!L16), "", (CONCAT(" || Subclass: ", 'Kegg Taxon'!L16)))</f>
        <v> || Subclass: --</v>
      </c>
      <c r="M16" s="400" t="str">
        <f>IF(ISBLANK('Kegg Taxon'!O16), "", (CONCAT(" || Order: ", 'Kegg Taxon'!O16)))</f>
        <v> || Order: Brassicales</v>
      </c>
      <c r="N16" s="400" t="str">
        <f>IF(ISBLANK('Kegg Taxon'!P16), "", (CONCAT(" || Family: ", 'Kegg Taxon'!P16)))</f>
        <v> || Family: Brassicaceae</v>
      </c>
      <c r="O16" s="400" t="str">
        <f>IF(ISBLANK('Kegg Taxon'!Q16), "", (CONCAT(" || Subfamily: ", 'Kegg Taxon'!Q16)))</f>
        <v> || Subfamily: --</v>
      </c>
      <c r="P16" s="400" t="str">
        <f>IF(ISBLANK('Kegg Taxon'!R16), "", (CONCAT(" || Tribe: ", 'Kegg Taxon'!R16)))</f>
        <v> || Tribe: --</v>
      </c>
      <c r="Q16" s="400" t="str">
        <f>IF(ISBLANK('Kegg Taxon'!S16), "", (CONCAT(" || Subtribe: ", 'Kegg Taxon'!S16)))</f>
        <v> || Subtribe: --</v>
      </c>
      <c r="R16" s="400" t="str">
        <f>IF(ISBLANK('Kegg Taxon'!T16), "", (CONCAT(" || Genus: ", 'Kegg Taxon'!T16)))</f>
        <v> || Genus: Arabidopsis</v>
      </c>
      <c r="S16" s="400" t="str">
        <f t="shared" si="2"/>
        <v>#REF!</v>
      </c>
      <c r="T16" s="400" t="str">
        <f>IF(ISBLANK('Kegg Taxon'!U16), "", (CONCAT(" || Species: ", 'Kegg Taxon'!U16)))</f>
        <v> || Species: lyrata</v>
      </c>
      <c r="U16" s="400" t="str">
        <f>IF(ISBLANK('Kegg Taxon'!V16), "", (CONCAT(" || Var/Subsp: ", 'Kegg Taxon'!V16)))</f>
        <v/>
      </c>
      <c r="V16" s="400"/>
      <c r="W16" s="400"/>
      <c r="X16" s="400"/>
      <c r="Y16" s="400"/>
      <c r="Z16" s="400"/>
    </row>
    <row r="17" ht="14.25" customHeight="1">
      <c r="A17" s="401" t="s">
        <v>3585</v>
      </c>
      <c r="B17" s="399" t="str">
        <f t="shared" si="1"/>
        <v>#REF!</v>
      </c>
      <c r="C17" s="400" t="str">
        <f>IF(ISBLANK('Kegg Taxon'!A17), "", (CONCAT("Kegg code: ", 'Kegg Taxon'!A17)))</f>
        <v>Kegg code: ath</v>
      </c>
      <c r="D17" s="400" t="str">
        <f>IF(ISBLANK('Kegg Taxon'!B17), "", (CONCAT(" || Common name: ", 'Kegg Taxon'!B17)))</f>
        <v> || Common name: Thale Cress</v>
      </c>
      <c r="E17" s="400" t="str">
        <f>IF(ISBLANK('Kegg Taxon'!C17), "", (CONCAT(" || Scientific name: ", 'Kegg Taxon'!C17)))</f>
        <v> || Scientific name: Arabidopsis thaliana</v>
      </c>
      <c r="F17" s="400" t="str">
        <f>IF(ISBLANK('Kegg Taxon'!D17), "", (CONCAT(" || Kingdom: ", 'Kegg Taxon'!D17)))</f>
        <v> || Kingdom: Plantae</v>
      </c>
      <c r="G17" s="400" t="str">
        <f>IF(ISBLANK('Kegg Taxon'!F17), "", (CONCAT(" || Subkingdom: ", 'Kegg Taxon'!F17)))</f>
        <v> || Subkingdom: Viridiplantae</v>
      </c>
      <c r="H17" s="400" t="str">
        <f>IF(ISBLANK('Kegg Taxon'!H17), "", (CONCAT(" || Superdivision: ", 'Kegg Taxon'!H17)))</f>
        <v> || Superdivision: Embryophyta</v>
      </c>
      <c r="I17" s="400" t="str">
        <f>IF(ISBLANK('Kegg Taxon'!I17), "", (CONCAT(" || Phylum: ", 'Kegg Taxon'!I17)))</f>
        <v> || Phylum: Tracheophyta</v>
      </c>
      <c r="J17" s="400" t="str">
        <f>IF(ISBLANK('Kegg Taxon'!J17), "", (CONCAT(" || Subphylum: ", 'Kegg Taxon'!J17)))</f>
        <v> || Subphylum: Spermophytina</v>
      </c>
      <c r="K17" s="400" t="str">
        <f>IF(ISBLANK('Kegg Taxon'!K17), "", (CONCAT(" || Class: ", 'Kegg Taxon'!K17)))</f>
        <v> || Class: Magnoliopsida</v>
      </c>
      <c r="L17" s="400" t="str">
        <f>IF(ISBLANK('Kegg Taxon'!L17), "", (CONCAT(" || Subclass: ", 'Kegg Taxon'!L17)))</f>
        <v> || Subclass: --</v>
      </c>
      <c r="M17" s="400" t="str">
        <f>IF(ISBLANK('Kegg Taxon'!O17), "", (CONCAT(" || Order: ", 'Kegg Taxon'!O17)))</f>
        <v> || Order: Brassicales</v>
      </c>
      <c r="N17" s="400" t="str">
        <f>IF(ISBLANK('Kegg Taxon'!P17), "", (CONCAT(" || Family: ", 'Kegg Taxon'!P17)))</f>
        <v> || Family: Brassicaceae</v>
      </c>
      <c r="O17" s="400" t="str">
        <f>IF(ISBLANK('Kegg Taxon'!Q17), "", (CONCAT(" || Subfamily: ", 'Kegg Taxon'!Q17)))</f>
        <v> || Subfamily: --</v>
      </c>
      <c r="P17" s="400" t="str">
        <f>IF(ISBLANK('Kegg Taxon'!R17), "", (CONCAT(" || Tribe: ", 'Kegg Taxon'!R17)))</f>
        <v> || Tribe: --</v>
      </c>
      <c r="Q17" s="400" t="str">
        <f>IF(ISBLANK('Kegg Taxon'!S17), "", (CONCAT(" || Subtribe: ", 'Kegg Taxon'!S17)))</f>
        <v> || Subtribe: --</v>
      </c>
      <c r="R17" s="400" t="str">
        <f>IF(ISBLANK('Kegg Taxon'!T17), "", (CONCAT(" || Genus: ", 'Kegg Taxon'!T17)))</f>
        <v> || Genus: Arabidopsis</v>
      </c>
      <c r="S17" s="400" t="str">
        <f t="shared" si="2"/>
        <v>#REF!</v>
      </c>
      <c r="T17" s="400" t="str">
        <f>IF(ISBLANK('Kegg Taxon'!U17), "", (CONCAT(" || Species: ", 'Kegg Taxon'!U17)))</f>
        <v> || Species: thaliana</v>
      </c>
      <c r="U17" s="400" t="str">
        <f>IF(ISBLANK('Kegg Taxon'!V17), "", (CONCAT(" || Var/Subsp: ", 'Kegg Taxon'!V17)))</f>
        <v/>
      </c>
      <c r="V17" s="400"/>
      <c r="W17" s="400"/>
      <c r="X17" s="400"/>
      <c r="Y17" s="400"/>
      <c r="Z17" s="400"/>
    </row>
    <row r="18" ht="14.25" customHeight="1">
      <c r="A18" s="401" t="s">
        <v>3586</v>
      </c>
      <c r="B18" s="399" t="str">
        <f t="shared" si="1"/>
        <v>#REF!</v>
      </c>
      <c r="C18" s="400" t="str">
        <f>IF(ISBLANK('Kegg Taxon'!A18), "", (CONCAT("Kegg code: ", 'Kegg Taxon'!A18)))</f>
        <v>Kegg code: bna</v>
      </c>
      <c r="D18" s="400" t="str">
        <f>IF(ISBLANK('Kegg Taxon'!B18), "", (CONCAT(" || Common name: ", 'Kegg Taxon'!B18)))</f>
        <v> || Common name: Rapeseed</v>
      </c>
      <c r="E18" s="400" t="str">
        <f>IF(ISBLANK('Kegg Taxon'!C18), "", (CONCAT(" || Scientific name: ", 'Kegg Taxon'!C18)))</f>
        <v> || Scientific name: Brassica napus</v>
      </c>
      <c r="F18" s="400" t="str">
        <f>IF(ISBLANK('Kegg Taxon'!D18), "", (CONCAT(" || Kingdom: ", 'Kegg Taxon'!D18)))</f>
        <v> || Kingdom: Plantae</v>
      </c>
      <c r="G18" s="400" t="str">
        <f>IF(ISBLANK('Kegg Taxon'!F18), "", (CONCAT(" || Subkingdom: ", 'Kegg Taxon'!F18)))</f>
        <v> || Subkingdom: Viridiplantae</v>
      </c>
      <c r="H18" s="400" t="str">
        <f>IF(ISBLANK('Kegg Taxon'!H18), "", (CONCAT(" || Superdivision: ", 'Kegg Taxon'!H18)))</f>
        <v> || Superdivision: Embryophyta</v>
      </c>
      <c r="I18" s="400" t="str">
        <f>IF(ISBLANK('Kegg Taxon'!I18), "", (CONCAT(" || Phylum: ", 'Kegg Taxon'!I18)))</f>
        <v> || Phylum: Tracheophyta</v>
      </c>
      <c r="J18" s="400" t="str">
        <f>IF(ISBLANK('Kegg Taxon'!J18), "", (CONCAT(" || Subphylum: ", 'Kegg Taxon'!J18)))</f>
        <v> || Subphylum: Spermophytina</v>
      </c>
      <c r="K18" s="400" t="str">
        <f>IF(ISBLANK('Kegg Taxon'!K18), "", (CONCAT(" || Class: ", 'Kegg Taxon'!K18)))</f>
        <v> || Class: Magnoliopsida</v>
      </c>
      <c r="L18" s="400" t="str">
        <f>IF(ISBLANK('Kegg Taxon'!L18), "", (CONCAT(" || Subclass: ", 'Kegg Taxon'!L18)))</f>
        <v> || Subclass: --</v>
      </c>
      <c r="M18" s="400" t="str">
        <f>IF(ISBLANK('Kegg Taxon'!O18), "", (CONCAT(" || Order: ", 'Kegg Taxon'!O18)))</f>
        <v> || Order: Brassicales</v>
      </c>
      <c r="N18" s="400" t="str">
        <f>IF(ISBLANK('Kegg Taxon'!P18), "", (CONCAT(" || Family: ", 'Kegg Taxon'!P18)))</f>
        <v> || Family: Brassicaceae</v>
      </c>
      <c r="O18" s="400" t="str">
        <f>IF(ISBLANK('Kegg Taxon'!Q18), "", (CONCAT(" || Subfamily: ", 'Kegg Taxon'!Q18)))</f>
        <v> || Subfamily: --</v>
      </c>
      <c r="P18" s="400" t="str">
        <f>IF(ISBLANK('Kegg Taxon'!R18), "", (CONCAT(" || Tribe: ", 'Kegg Taxon'!R18)))</f>
        <v> || Tribe: --</v>
      </c>
      <c r="Q18" s="400" t="str">
        <f>IF(ISBLANK('Kegg Taxon'!S18), "", (CONCAT(" || Subtribe: ", 'Kegg Taxon'!S18)))</f>
        <v> || Subtribe: --</v>
      </c>
      <c r="R18" s="400" t="str">
        <f>IF(ISBLANK('Kegg Taxon'!T18), "", (CONCAT(" || Genus: ", 'Kegg Taxon'!T18)))</f>
        <v> || Genus: Brassica</v>
      </c>
      <c r="S18" s="400" t="str">
        <f t="shared" si="2"/>
        <v>#REF!</v>
      </c>
      <c r="T18" s="400" t="str">
        <f>IF(ISBLANK('Kegg Taxon'!U18), "", (CONCAT(" || Species: ", 'Kegg Taxon'!U18)))</f>
        <v> || Species: napus</v>
      </c>
      <c r="U18" s="400" t="str">
        <f>IF(ISBLANK('Kegg Taxon'!V18), "", (CONCAT(" || Var/Subsp: ", 'Kegg Taxon'!V18)))</f>
        <v/>
      </c>
      <c r="V18" s="400"/>
      <c r="W18" s="400"/>
      <c r="X18" s="400"/>
      <c r="Y18" s="400"/>
      <c r="Z18" s="400"/>
    </row>
    <row r="19" ht="14.25" customHeight="1">
      <c r="A19" s="401" t="s">
        <v>3587</v>
      </c>
      <c r="B19" s="399" t="str">
        <f t="shared" si="1"/>
        <v>#REF!</v>
      </c>
      <c r="C19" s="400" t="str">
        <f>IF(ISBLANK('Kegg Taxon'!A19), "", (CONCAT("Kegg code: ", 'Kegg Taxon'!A19)))</f>
        <v>Kegg code: boe</v>
      </c>
      <c r="D19" s="400" t="str">
        <f>IF(ISBLANK('Kegg Taxon'!B19), "", (CONCAT(" || Common name: ", 'Kegg Taxon'!B19)))</f>
        <v> || Common name: Wild Cabbage</v>
      </c>
      <c r="E19" s="400" t="str">
        <f>IF(ISBLANK('Kegg Taxon'!C19), "", (CONCAT(" || Scientific name: ", 'Kegg Taxon'!C19)))</f>
        <v> || Scientific name: Brassica oleracea</v>
      </c>
      <c r="F19" s="400" t="str">
        <f>IF(ISBLANK('Kegg Taxon'!D19), "", (CONCAT(" || Kingdom: ", 'Kegg Taxon'!D19)))</f>
        <v> || Kingdom: Plantae</v>
      </c>
      <c r="G19" s="400" t="str">
        <f>IF(ISBLANK('Kegg Taxon'!F19), "", (CONCAT(" || Subkingdom: ", 'Kegg Taxon'!F19)))</f>
        <v> || Subkingdom: Viridiplantae</v>
      </c>
      <c r="H19" s="400" t="str">
        <f>IF(ISBLANK('Kegg Taxon'!H19), "", (CONCAT(" || Superdivision: ", 'Kegg Taxon'!H19)))</f>
        <v> || Superdivision: Embryophyta</v>
      </c>
      <c r="I19" s="400" t="str">
        <f>IF(ISBLANK('Kegg Taxon'!I19), "", (CONCAT(" || Phylum: ", 'Kegg Taxon'!I19)))</f>
        <v> || Phylum: Tracheophyta</v>
      </c>
      <c r="J19" s="400" t="str">
        <f>IF(ISBLANK('Kegg Taxon'!J19), "", (CONCAT(" || Subphylum: ", 'Kegg Taxon'!J19)))</f>
        <v> || Subphylum: Spermophytina</v>
      </c>
      <c r="K19" s="400" t="str">
        <f>IF(ISBLANK('Kegg Taxon'!K19), "", (CONCAT(" || Class: ", 'Kegg Taxon'!K19)))</f>
        <v> || Class: Magnoliopsida</v>
      </c>
      <c r="L19" s="400" t="str">
        <f>IF(ISBLANK('Kegg Taxon'!L19), "", (CONCAT(" || Subclass: ", 'Kegg Taxon'!L19)))</f>
        <v> || Subclass: --</v>
      </c>
      <c r="M19" s="400" t="str">
        <f>IF(ISBLANK('Kegg Taxon'!O19), "", (CONCAT(" || Order: ", 'Kegg Taxon'!O19)))</f>
        <v> || Order: Brassicales</v>
      </c>
      <c r="N19" s="400" t="str">
        <f>IF(ISBLANK('Kegg Taxon'!P19), "", (CONCAT(" || Family: ", 'Kegg Taxon'!P19)))</f>
        <v> || Family: Brassicaceae</v>
      </c>
      <c r="O19" s="400" t="str">
        <f>IF(ISBLANK('Kegg Taxon'!Q19), "", (CONCAT(" || Subfamily: ", 'Kegg Taxon'!Q19)))</f>
        <v> || Subfamily: --</v>
      </c>
      <c r="P19" s="400" t="str">
        <f>IF(ISBLANK('Kegg Taxon'!R19), "", (CONCAT(" || Tribe: ", 'Kegg Taxon'!R19)))</f>
        <v> || Tribe: --</v>
      </c>
      <c r="Q19" s="400" t="str">
        <f>IF(ISBLANK('Kegg Taxon'!S19), "", (CONCAT(" || Subtribe: ", 'Kegg Taxon'!S19)))</f>
        <v> || Subtribe: --</v>
      </c>
      <c r="R19" s="400" t="str">
        <f>IF(ISBLANK('Kegg Taxon'!T19), "", (CONCAT(" || Genus: ", 'Kegg Taxon'!T19)))</f>
        <v> || Genus: Brassica</v>
      </c>
      <c r="S19" s="400" t="str">
        <f t="shared" si="2"/>
        <v>#REF!</v>
      </c>
      <c r="T19" s="400" t="str">
        <f>IF(ISBLANK('Kegg Taxon'!U19), "", (CONCAT(" || Species: ", 'Kegg Taxon'!U19)))</f>
        <v> || Species: oleracea</v>
      </c>
      <c r="U19" s="400" t="str">
        <f>IF(ISBLANK('Kegg Taxon'!V19), "", (CONCAT(" || Var/Subsp: ", 'Kegg Taxon'!V19)))</f>
        <v/>
      </c>
      <c r="V19" s="400"/>
      <c r="W19" s="400"/>
      <c r="X19" s="400"/>
      <c r="Y19" s="400"/>
      <c r="Z19" s="400"/>
    </row>
    <row r="20" ht="14.25" customHeight="1">
      <c r="A20" s="402" t="s">
        <v>243</v>
      </c>
      <c r="B20" s="399" t="str">
        <f t="shared" si="1"/>
        <v>#REF!</v>
      </c>
      <c r="C20" s="400" t="str">
        <f>IF(ISBLANK('Kegg Taxon'!A20), "", (CONCAT("Kegg code: ", 'Kegg Taxon'!A20)))</f>
        <v>Kegg code: brp</v>
      </c>
      <c r="D20" s="400" t="str">
        <f>IF(ISBLANK('Kegg Taxon'!B20), "", (CONCAT(" || Common name: ", 'Kegg Taxon'!B20)))</f>
        <v> || Common name: Field Mustard</v>
      </c>
      <c r="E20" s="400" t="str">
        <f>IF(ISBLANK('Kegg Taxon'!C20), "", (CONCAT(" || Scientific name: ", 'Kegg Taxon'!C20)))</f>
        <v> || Scientific name: Brassica rapa</v>
      </c>
      <c r="F20" s="400" t="str">
        <f>IF(ISBLANK('Kegg Taxon'!D20), "", (CONCAT(" || Kingdom: ", 'Kegg Taxon'!D20)))</f>
        <v> || Kingdom: Plantae</v>
      </c>
      <c r="G20" s="400" t="str">
        <f>IF(ISBLANK('Kegg Taxon'!F20), "", (CONCAT(" || Subkingdom: ", 'Kegg Taxon'!F20)))</f>
        <v> || Subkingdom: Viridiplantae</v>
      </c>
      <c r="H20" s="400" t="str">
        <f>IF(ISBLANK('Kegg Taxon'!H20), "", (CONCAT(" || Superdivision: ", 'Kegg Taxon'!H20)))</f>
        <v> || Superdivision: Embryophyta</v>
      </c>
      <c r="I20" s="400" t="str">
        <f>IF(ISBLANK('Kegg Taxon'!I20), "", (CONCAT(" || Phylum: ", 'Kegg Taxon'!I20)))</f>
        <v> || Phylum: Tracheophyta</v>
      </c>
      <c r="J20" s="400" t="str">
        <f>IF(ISBLANK('Kegg Taxon'!J20), "", (CONCAT(" || Subphylum: ", 'Kegg Taxon'!J20)))</f>
        <v> || Subphylum: Spermophytina</v>
      </c>
      <c r="K20" s="400" t="str">
        <f>IF(ISBLANK('Kegg Taxon'!K20), "", (CONCAT(" || Class: ", 'Kegg Taxon'!K20)))</f>
        <v> || Class: Magnoliopsida</v>
      </c>
      <c r="L20" s="400" t="str">
        <f>IF(ISBLANK('Kegg Taxon'!L20), "", (CONCAT(" || Subclass: ", 'Kegg Taxon'!L20)))</f>
        <v> || Subclass: --</v>
      </c>
      <c r="M20" s="400" t="str">
        <f>IF(ISBLANK('Kegg Taxon'!O20), "", (CONCAT(" || Order: ", 'Kegg Taxon'!O20)))</f>
        <v> || Order: Brassicales</v>
      </c>
      <c r="N20" s="400" t="str">
        <f>IF(ISBLANK('Kegg Taxon'!P20), "", (CONCAT(" || Family: ", 'Kegg Taxon'!P20)))</f>
        <v> || Family: Brassicaceae</v>
      </c>
      <c r="O20" s="400" t="str">
        <f>IF(ISBLANK('Kegg Taxon'!Q20), "", (CONCAT(" || Subfamily: ", 'Kegg Taxon'!Q20)))</f>
        <v> || Subfamily: --</v>
      </c>
      <c r="P20" s="400" t="str">
        <f>IF(ISBLANK('Kegg Taxon'!R20), "", (CONCAT(" || Tribe: ", 'Kegg Taxon'!R20)))</f>
        <v> || Tribe: --</v>
      </c>
      <c r="Q20" s="400" t="str">
        <f>IF(ISBLANK('Kegg Taxon'!S20), "", (CONCAT(" || Subtribe: ", 'Kegg Taxon'!S20)))</f>
        <v> || Subtribe: --</v>
      </c>
      <c r="R20" s="400" t="str">
        <f>IF(ISBLANK('Kegg Taxon'!T20), "", (CONCAT(" || Genus: ", 'Kegg Taxon'!T20)))</f>
        <v> || Genus: Brassica</v>
      </c>
      <c r="S20" s="400" t="str">
        <f t="shared" si="2"/>
        <v>#REF!</v>
      </c>
      <c r="T20" s="400" t="str">
        <f>IF(ISBLANK('Kegg Taxon'!U20), "", (CONCAT(" || Species: ", 'Kegg Taxon'!U20)))</f>
        <v> || Species: rapa</v>
      </c>
      <c r="U20" s="400" t="str">
        <f>IF(ISBLANK('Kegg Taxon'!V20), "", (CONCAT(" || Var/Subsp: ", 'Kegg Taxon'!V20)))</f>
        <v/>
      </c>
      <c r="V20" s="400"/>
      <c r="W20" s="400"/>
      <c r="X20" s="400"/>
      <c r="Y20" s="400"/>
      <c r="Z20" s="400"/>
    </row>
    <row r="21" ht="14.25" customHeight="1">
      <c r="A21" s="401" t="s">
        <v>3588</v>
      </c>
      <c r="B21" s="399" t="str">
        <f t="shared" si="1"/>
        <v>#REF!</v>
      </c>
      <c r="C21" s="400" t="str">
        <f>IF(ISBLANK('Kegg Taxon'!A21), "", (CONCAT("Kegg code: ", 'Kegg Taxon'!A21)))</f>
        <v>Kegg code: csat</v>
      </c>
      <c r="D21" s="400" t="str">
        <f>IF(ISBLANK('Kegg Taxon'!B21), "", (CONCAT(" || Common name: ", 'Kegg Taxon'!B21)))</f>
        <v> || Common name: False Flax</v>
      </c>
      <c r="E21" s="400" t="str">
        <f>IF(ISBLANK('Kegg Taxon'!C21), "", (CONCAT(" || Scientific name: ", 'Kegg Taxon'!C21)))</f>
        <v> || Scientific name: Camelina sativa</v>
      </c>
      <c r="F21" s="400" t="str">
        <f>IF(ISBLANK('Kegg Taxon'!D21), "", (CONCAT(" || Kingdom: ", 'Kegg Taxon'!D21)))</f>
        <v> || Kingdom: Plantae</v>
      </c>
      <c r="G21" s="400" t="str">
        <f>IF(ISBLANK('Kegg Taxon'!F21), "", (CONCAT(" || Subkingdom: ", 'Kegg Taxon'!F21)))</f>
        <v> || Subkingdom: Viridiplantae</v>
      </c>
      <c r="H21" s="400" t="str">
        <f>IF(ISBLANK('Kegg Taxon'!H21), "", (CONCAT(" || Superdivision: ", 'Kegg Taxon'!H21)))</f>
        <v> || Superdivision: Embryophyta</v>
      </c>
      <c r="I21" s="400" t="str">
        <f>IF(ISBLANK('Kegg Taxon'!I21), "", (CONCAT(" || Phylum: ", 'Kegg Taxon'!I21)))</f>
        <v> || Phylum: Tracheophyta</v>
      </c>
      <c r="J21" s="400" t="str">
        <f>IF(ISBLANK('Kegg Taxon'!J21), "", (CONCAT(" || Subphylum: ", 'Kegg Taxon'!J21)))</f>
        <v> || Subphylum: Spermophytina</v>
      </c>
      <c r="K21" s="400" t="str">
        <f>IF(ISBLANK('Kegg Taxon'!K21), "", (CONCAT(" || Class: ", 'Kegg Taxon'!K21)))</f>
        <v> || Class: Magnoliopsida</v>
      </c>
      <c r="L21" s="400" t="str">
        <f>IF(ISBLANK('Kegg Taxon'!L21), "", (CONCAT(" || Subclass: ", 'Kegg Taxon'!L21)))</f>
        <v> || Subclass: --</v>
      </c>
      <c r="M21" s="400" t="str">
        <f>IF(ISBLANK('Kegg Taxon'!O21), "", (CONCAT(" || Order: ", 'Kegg Taxon'!O21)))</f>
        <v> || Order: Brassicales</v>
      </c>
      <c r="N21" s="400" t="str">
        <f>IF(ISBLANK('Kegg Taxon'!P21), "", (CONCAT(" || Family: ", 'Kegg Taxon'!P21)))</f>
        <v> || Family: Brassicaceae</v>
      </c>
      <c r="O21" s="400" t="str">
        <f>IF(ISBLANK('Kegg Taxon'!Q21), "", (CONCAT(" || Subfamily: ", 'Kegg Taxon'!Q21)))</f>
        <v> || Subfamily: --</v>
      </c>
      <c r="P21" s="400" t="str">
        <f>IF(ISBLANK('Kegg Taxon'!R21), "", (CONCAT(" || Tribe: ", 'Kegg Taxon'!R21)))</f>
        <v> || Tribe: --</v>
      </c>
      <c r="Q21" s="400" t="str">
        <f>IF(ISBLANK('Kegg Taxon'!S21), "", (CONCAT(" || Subtribe: ", 'Kegg Taxon'!S21)))</f>
        <v> || Subtribe: --</v>
      </c>
      <c r="R21" s="400" t="str">
        <f>IF(ISBLANK('Kegg Taxon'!T21), "", (CONCAT(" || Genus: ", 'Kegg Taxon'!T21)))</f>
        <v> || Genus: Camelina</v>
      </c>
      <c r="S21" s="400" t="str">
        <f t="shared" si="2"/>
        <v>#REF!</v>
      </c>
      <c r="T21" s="400" t="str">
        <f>IF(ISBLANK('Kegg Taxon'!U21), "", (CONCAT(" || Species: ", 'Kegg Taxon'!U21)))</f>
        <v> || Species: sativa</v>
      </c>
      <c r="U21" s="400" t="str">
        <f>IF(ISBLANK('Kegg Taxon'!V21), "", (CONCAT(" || Var/Subsp: ", 'Kegg Taxon'!V21)))</f>
        <v/>
      </c>
      <c r="V21" s="400"/>
      <c r="W21" s="400"/>
      <c r="X21" s="400"/>
      <c r="Y21" s="400"/>
      <c r="Z21" s="400"/>
    </row>
    <row r="22" ht="14.25" customHeight="1">
      <c r="A22" s="401" t="s">
        <v>3589</v>
      </c>
      <c r="B22" s="399" t="str">
        <f t="shared" si="1"/>
        <v>#REF!</v>
      </c>
      <c r="C22" s="400" t="str">
        <f>IF(ISBLANK('Kegg Taxon'!A22), "", (CONCAT("Kegg code: ", 'Kegg Taxon'!A22)))</f>
        <v>Kegg code: crb</v>
      </c>
      <c r="D22" s="400" t="str">
        <f>IF(ISBLANK('Kegg Taxon'!B22), "", (CONCAT(" || Common name: ", 'Kegg Taxon'!B22)))</f>
        <v> || Common name: Pink Shepard's-purse</v>
      </c>
      <c r="E22" s="400" t="str">
        <f>IF(ISBLANK('Kegg Taxon'!C22), "", (CONCAT(" || Scientific name: ", 'Kegg Taxon'!C22)))</f>
        <v> || Scientific name: Capsella rubella (bursa-pastoris)</v>
      </c>
      <c r="F22" s="400" t="str">
        <f>IF(ISBLANK('Kegg Taxon'!D22), "", (CONCAT(" || Kingdom: ", 'Kegg Taxon'!D22)))</f>
        <v> || Kingdom: Plantae</v>
      </c>
      <c r="G22" s="400" t="str">
        <f>IF(ISBLANK('Kegg Taxon'!F22), "", (CONCAT(" || Subkingdom: ", 'Kegg Taxon'!F22)))</f>
        <v> || Subkingdom: Viridiplantae</v>
      </c>
      <c r="H22" s="400" t="str">
        <f>IF(ISBLANK('Kegg Taxon'!H22), "", (CONCAT(" || Superdivision: ", 'Kegg Taxon'!H22)))</f>
        <v> || Superdivision: Embryophyta</v>
      </c>
      <c r="I22" s="400" t="str">
        <f>IF(ISBLANK('Kegg Taxon'!I22), "", (CONCAT(" || Phylum: ", 'Kegg Taxon'!I22)))</f>
        <v> || Phylum: Tracheophyta</v>
      </c>
      <c r="J22" s="400" t="str">
        <f>IF(ISBLANK('Kegg Taxon'!J22), "", (CONCAT(" || Subphylum: ", 'Kegg Taxon'!J22)))</f>
        <v> || Subphylum: Spermophytina</v>
      </c>
      <c r="K22" s="400" t="str">
        <f>IF(ISBLANK('Kegg Taxon'!K22), "", (CONCAT(" || Class: ", 'Kegg Taxon'!K22)))</f>
        <v> || Class: Magnoliopsida</v>
      </c>
      <c r="L22" s="400" t="str">
        <f>IF(ISBLANK('Kegg Taxon'!L22), "", (CONCAT(" || Subclass: ", 'Kegg Taxon'!L22)))</f>
        <v> || Subclass: --</v>
      </c>
      <c r="M22" s="400" t="str">
        <f>IF(ISBLANK('Kegg Taxon'!O22), "", (CONCAT(" || Order: ", 'Kegg Taxon'!O22)))</f>
        <v> || Order: Brassicales</v>
      </c>
      <c r="N22" s="400" t="str">
        <f>IF(ISBLANK('Kegg Taxon'!P22), "", (CONCAT(" || Family: ", 'Kegg Taxon'!P22)))</f>
        <v> || Family: Brassicaceae</v>
      </c>
      <c r="O22" s="400" t="str">
        <f>IF(ISBLANK('Kegg Taxon'!Q22), "", (CONCAT(" || Subfamily: ", 'Kegg Taxon'!Q22)))</f>
        <v> || Subfamily: --</v>
      </c>
      <c r="P22" s="400" t="str">
        <f>IF(ISBLANK('Kegg Taxon'!R22), "", (CONCAT(" || Tribe: ", 'Kegg Taxon'!R22)))</f>
        <v> || Tribe: --</v>
      </c>
      <c r="Q22" s="400" t="str">
        <f>IF(ISBLANK('Kegg Taxon'!S22), "", (CONCAT(" || Subtribe: ", 'Kegg Taxon'!S22)))</f>
        <v> || Subtribe: --</v>
      </c>
      <c r="R22" s="400" t="str">
        <f>IF(ISBLANK('Kegg Taxon'!T22), "", (CONCAT(" || Genus: ", 'Kegg Taxon'!T22)))</f>
        <v> || Genus: Capsella</v>
      </c>
      <c r="S22" s="400" t="str">
        <f t="shared" si="2"/>
        <v>#REF!</v>
      </c>
      <c r="T22" s="400" t="str">
        <f>IF(ISBLANK('Kegg Taxon'!U22), "", (CONCAT(" || Species: ", 'Kegg Taxon'!U22)))</f>
        <v> || Species: rubella</v>
      </c>
      <c r="U22" s="400" t="str">
        <f>IF(ISBLANK('Kegg Taxon'!V22), "", (CONCAT(" || Var/Subsp: ", 'Kegg Taxon'!V22)))</f>
        <v/>
      </c>
      <c r="V22" s="400"/>
      <c r="W22" s="400"/>
      <c r="X22" s="400"/>
      <c r="Y22" s="400"/>
      <c r="Z22" s="400"/>
    </row>
    <row r="23" ht="14.25" customHeight="1">
      <c r="A23" s="401" t="s">
        <v>3590</v>
      </c>
      <c r="B23" s="399" t="str">
        <f t="shared" si="1"/>
        <v>#REF!</v>
      </c>
      <c r="C23" s="400" t="str">
        <f>IF(ISBLANK('Kegg Taxon'!A23), "", (CONCAT("Kegg code: ", 'Kegg Taxon'!A23)))</f>
        <v>Kegg code: eus</v>
      </c>
      <c r="D23" s="400" t="str">
        <f>IF(ISBLANK('Kegg Taxon'!B23), "", (CONCAT(" || Common name: ", 'Kegg Taxon'!B23)))</f>
        <v> || Common name: Saltwater Cress</v>
      </c>
      <c r="E23" s="400" t="str">
        <f>IF(ISBLANK('Kegg Taxon'!C23), "", (CONCAT(" || Scientific name: ", 'Kegg Taxon'!C23)))</f>
        <v> || Scientific name: Eutrema salsugineum</v>
      </c>
      <c r="F23" s="400" t="str">
        <f>IF(ISBLANK('Kegg Taxon'!D23), "", (CONCAT(" || Kingdom: ", 'Kegg Taxon'!D23)))</f>
        <v> || Kingdom: Plantae</v>
      </c>
      <c r="G23" s="400" t="str">
        <f>IF(ISBLANK('Kegg Taxon'!F23), "", (CONCAT(" || Subkingdom: ", 'Kegg Taxon'!F23)))</f>
        <v> || Subkingdom: Viridiplantae</v>
      </c>
      <c r="H23" s="400" t="str">
        <f>IF(ISBLANK('Kegg Taxon'!H23), "", (CONCAT(" || Superdivision: ", 'Kegg Taxon'!H23)))</f>
        <v> || Superdivision: Embryophyta</v>
      </c>
      <c r="I23" s="400" t="str">
        <f>IF(ISBLANK('Kegg Taxon'!I23), "", (CONCAT(" || Phylum: ", 'Kegg Taxon'!I23)))</f>
        <v> || Phylum: Tracheophyta</v>
      </c>
      <c r="J23" s="400" t="str">
        <f>IF(ISBLANK('Kegg Taxon'!J23), "", (CONCAT(" || Subphylum: ", 'Kegg Taxon'!J23)))</f>
        <v> || Subphylum: Spermophytina</v>
      </c>
      <c r="K23" s="400" t="str">
        <f>IF(ISBLANK('Kegg Taxon'!K23), "", (CONCAT(" || Class: ", 'Kegg Taxon'!K23)))</f>
        <v> || Class: Magnoliopsida</v>
      </c>
      <c r="L23" s="400" t="str">
        <f>IF(ISBLANK('Kegg Taxon'!L23), "", (CONCAT(" || Subclass: ", 'Kegg Taxon'!L23)))</f>
        <v> || Subclass: --</v>
      </c>
      <c r="M23" s="400" t="str">
        <f>IF(ISBLANK('Kegg Taxon'!O23), "", (CONCAT(" || Order: ", 'Kegg Taxon'!O23)))</f>
        <v> || Order: Brassicales</v>
      </c>
      <c r="N23" s="400" t="str">
        <f>IF(ISBLANK('Kegg Taxon'!P23), "", (CONCAT(" || Family: ", 'Kegg Taxon'!P23)))</f>
        <v> || Family: Brassicaceae</v>
      </c>
      <c r="O23" s="400" t="str">
        <f>IF(ISBLANK('Kegg Taxon'!Q23), "", (CONCAT(" || Subfamily: ", 'Kegg Taxon'!Q23)))</f>
        <v> || Subfamily: --</v>
      </c>
      <c r="P23" s="400" t="str">
        <f>IF(ISBLANK('Kegg Taxon'!R23), "", (CONCAT(" || Tribe: ", 'Kegg Taxon'!R23)))</f>
        <v> || Tribe: --</v>
      </c>
      <c r="Q23" s="400" t="str">
        <f>IF(ISBLANK('Kegg Taxon'!S23), "", (CONCAT(" || Subtribe: ", 'Kegg Taxon'!S23)))</f>
        <v> || Subtribe: --</v>
      </c>
      <c r="R23" s="400" t="str">
        <f>IF(ISBLANK('Kegg Taxon'!T23), "", (CONCAT(" || Genus: ", 'Kegg Taxon'!T23)))</f>
        <v> || Genus: Eutrema</v>
      </c>
      <c r="S23" s="400" t="str">
        <f t="shared" si="2"/>
        <v>#REF!</v>
      </c>
      <c r="T23" s="400" t="str">
        <f>IF(ISBLANK('Kegg Taxon'!U23), "", (CONCAT(" || Species: ", 'Kegg Taxon'!U23)))</f>
        <v> || Species: salsugineum</v>
      </c>
      <c r="U23" s="400" t="str">
        <f>IF(ISBLANK('Kegg Taxon'!V23), "", (CONCAT(" || Var/Subsp: ", 'Kegg Taxon'!V23)))</f>
        <v/>
      </c>
      <c r="V23" s="400"/>
      <c r="W23" s="400"/>
      <c r="X23" s="400"/>
      <c r="Y23" s="400"/>
      <c r="Z23" s="400"/>
    </row>
    <row r="24" ht="14.25" customHeight="1">
      <c r="A24" s="401" t="s">
        <v>3591</v>
      </c>
      <c r="B24" s="399" t="str">
        <f t="shared" si="1"/>
        <v>#REF!</v>
      </c>
      <c r="C24" s="400" t="str">
        <f>IF(ISBLANK('Kegg Taxon'!A24), "", (CONCAT("Kegg code: ", 'Kegg Taxon'!A24)))</f>
        <v>Kegg code: rsz</v>
      </c>
      <c r="D24" s="400" t="str">
        <f>IF(ISBLANK('Kegg Taxon'!B24), "", (CONCAT(" || Common name: ", 'Kegg Taxon'!B24)))</f>
        <v> || Common name: Radish</v>
      </c>
      <c r="E24" s="400" t="str">
        <f>IF(ISBLANK('Kegg Taxon'!C24), "", (CONCAT(" || Scientific name: ", 'Kegg Taxon'!C24)))</f>
        <v> || Scientific name: Raphanus sativus</v>
      </c>
      <c r="F24" s="400" t="str">
        <f>IF(ISBLANK('Kegg Taxon'!D24), "", (CONCAT(" || Kingdom: ", 'Kegg Taxon'!D24)))</f>
        <v> || Kingdom: Plantae</v>
      </c>
      <c r="G24" s="400" t="str">
        <f>IF(ISBLANK('Kegg Taxon'!F24), "", (CONCAT(" || Subkingdom: ", 'Kegg Taxon'!F24)))</f>
        <v> || Subkingdom: Viridiplantae</v>
      </c>
      <c r="H24" s="400" t="str">
        <f>IF(ISBLANK('Kegg Taxon'!H24), "", (CONCAT(" || Superdivision: ", 'Kegg Taxon'!H24)))</f>
        <v> || Superdivision: Embryophyta</v>
      </c>
      <c r="I24" s="400" t="str">
        <f>IF(ISBLANK('Kegg Taxon'!I24), "", (CONCAT(" || Phylum: ", 'Kegg Taxon'!I24)))</f>
        <v> || Phylum: Tracheophyta</v>
      </c>
      <c r="J24" s="400" t="str">
        <f>IF(ISBLANK('Kegg Taxon'!J24), "", (CONCAT(" || Subphylum: ", 'Kegg Taxon'!J24)))</f>
        <v> || Subphylum: Spermophytina</v>
      </c>
      <c r="K24" s="400" t="str">
        <f>IF(ISBLANK('Kegg Taxon'!K24), "", (CONCAT(" || Class: ", 'Kegg Taxon'!K24)))</f>
        <v> || Class: Magnoliopsida</v>
      </c>
      <c r="L24" s="400" t="str">
        <f>IF(ISBLANK('Kegg Taxon'!L24), "", (CONCAT(" || Subclass: ", 'Kegg Taxon'!L24)))</f>
        <v> || Subclass: --</v>
      </c>
      <c r="M24" s="400" t="str">
        <f>IF(ISBLANK('Kegg Taxon'!O24), "", (CONCAT(" || Order: ", 'Kegg Taxon'!O24)))</f>
        <v> || Order: Brassicales</v>
      </c>
      <c r="N24" s="400" t="str">
        <f>IF(ISBLANK('Kegg Taxon'!P24), "", (CONCAT(" || Family: ", 'Kegg Taxon'!P24)))</f>
        <v> || Family: Brassicaceae</v>
      </c>
      <c r="O24" s="400" t="str">
        <f>IF(ISBLANK('Kegg Taxon'!Q24), "", (CONCAT(" || Subfamily: ", 'Kegg Taxon'!Q24)))</f>
        <v> || Subfamily: --</v>
      </c>
      <c r="P24" s="400" t="str">
        <f>IF(ISBLANK('Kegg Taxon'!R24), "", (CONCAT(" || Tribe: ", 'Kegg Taxon'!R24)))</f>
        <v> || Tribe: --</v>
      </c>
      <c r="Q24" s="400" t="str">
        <f>IF(ISBLANK('Kegg Taxon'!S24), "", (CONCAT(" || Subtribe: ", 'Kegg Taxon'!S24)))</f>
        <v> || Subtribe: --</v>
      </c>
      <c r="R24" s="400" t="str">
        <f>IF(ISBLANK('Kegg Taxon'!T24), "", (CONCAT(" || Genus: ", 'Kegg Taxon'!T24)))</f>
        <v> || Genus: Raphanus</v>
      </c>
      <c r="S24" s="400" t="str">
        <f t="shared" si="2"/>
        <v>#REF!</v>
      </c>
      <c r="T24" s="400" t="str">
        <f>IF(ISBLANK('Kegg Taxon'!U24), "", (CONCAT(" || Species: ", 'Kegg Taxon'!U24)))</f>
        <v> || Species: sativus</v>
      </c>
      <c r="U24" s="400" t="str">
        <f>IF(ISBLANK('Kegg Taxon'!V24), "", (CONCAT(" || Var/Subsp: ", 'Kegg Taxon'!V24)))</f>
        <v/>
      </c>
      <c r="V24" s="400"/>
      <c r="W24" s="400"/>
      <c r="X24" s="400"/>
      <c r="Y24" s="400"/>
      <c r="Z24" s="400"/>
    </row>
    <row r="25" ht="14.25" customHeight="1">
      <c r="A25" s="401" t="s">
        <v>3592</v>
      </c>
      <c r="B25" s="399" t="str">
        <f t="shared" si="1"/>
        <v>#REF!</v>
      </c>
      <c r="C25" s="400" t="str">
        <f>IF(ISBLANK('Kegg Taxon'!A25), "", (CONCAT("Kegg code: ", 'Kegg Taxon'!A25)))</f>
        <v>Kegg code: cpap</v>
      </c>
      <c r="D25" s="400" t="str">
        <f>IF(ISBLANK('Kegg Taxon'!B25), "", (CONCAT(" || Common name: ", 'Kegg Taxon'!B25)))</f>
        <v> || Common name: Papaya</v>
      </c>
      <c r="E25" s="400" t="str">
        <f>IF(ISBLANK('Kegg Taxon'!C25), "", (CONCAT(" || Scientific name: ", 'Kegg Taxon'!C25)))</f>
        <v> || Scientific name: Carica papaya</v>
      </c>
      <c r="F25" s="400" t="str">
        <f>IF(ISBLANK('Kegg Taxon'!D25), "", (CONCAT(" || Kingdom: ", 'Kegg Taxon'!D25)))</f>
        <v> || Kingdom: Plantae</v>
      </c>
      <c r="G25" s="400" t="str">
        <f>IF(ISBLANK('Kegg Taxon'!F25), "", (CONCAT(" || Subkingdom: ", 'Kegg Taxon'!F25)))</f>
        <v> || Subkingdom: Viridiplantae</v>
      </c>
      <c r="H25" s="400" t="str">
        <f>IF(ISBLANK('Kegg Taxon'!H25), "", (CONCAT(" || Superdivision: ", 'Kegg Taxon'!H25)))</f>
        <v> || Superdivision: Embryophyta</v>
      </c>
      <c r="I25" s="400" t="str">
        <f>IF(ISBLANK('Kegg Taxon'!I25), "", (CONCAT(" || Phylum: ", 'Kegg Taxon'!I25)))</f>
        <v> || Phylum: Tracheophyta</v>
      </c>
      <c r="J25" s="400" t="str">
        <f>IF(ISBLANK('Kegg Taxon'!J25), "", (CONCAT(" || Subphylum: ", 'Kegg Taxon'!J25)))</f>
        <v> || Subphylum: Spermophytina</v>
      </c>
      <c r="K25" s="400" t="str">
        <f>IF(ISBLANK('Kegg Taxon'!K25), "", (CONCAT(" || Class: ", 'Kegg Taxon'!K25)))</f>
        <v> || Class: Magnoliopsida</v>
      </c>
      <c r="L25" s="400" t="str">
        <f>IF(ISBLANK('Kegg Taxon'!L25), "", (CONCAT(" || Subclass: ", 'Kegg Taxon'!L25)))</f>
        <v> || Subclass: --</v>
      </c>
      <c r="M25" s="400" t="str">
        <f>IF(ISBLANK('Kegg Taxon'!O25), "", (CONCAT(" || Order: ", 'Kegg Taxon'!O25)))</f>
        <v> || Order: Brassicales</v>
      </c>
      <c r="N25" s="400" t="str">
        <f>IF(ISBLANK('Kegg Taxon'!P25), "", (CONCAT(" || Family: ", 'Kegg Taxon'!P25)))</f>
        <v> || Family: Caricaceae</v>
      </c>
      <c r="O25" s="400" t="str">
        <f>IF(ISBLANK('Kegg Taxon'!Q25), "", (CONCAT(" || Subfamily: ", 'Kegg Taxon'!Q25)))</f>
        <v> || Subfamily: --</v>
      </c>
      <c r="P25" s="400" t="str">
        <f>IF(ISBLANK('Kegg Taxon'!R25), "", (CONCAT(" || Tribe: ", 'Kegg Taxon'!R25)))</f>
        <v> || Tribe: --</v>
      </c>
      <c r="Q25" s="400" t="str">
        <f>IF(ISBLANK('Kegg Taxon'!S25), "", (CONCAT(" || Subtribe: ", 'Kegg Taxon'!S25)))</f>
        <v> || Subtribe: --</v>
      </c>
      <c r="R25" s="400" t="str">
        <f>IF(ISBLANK('Kegg Taxon'!T25), "", (CONCAT(" || Genus: ", 'Kegg Taxon'!T25)))</f>
        <v> || Genus: Carica</v>
      </c>
      <c r="S25" s="400" t="str">
        <f t="shared" si="2"/>
        <v>#REF!</v>
      </c>
      <c r="T25" s="400" t="str">
        <f>IF(ISBLANK('Kegg Taxon'!U25), "", (CONCAT(" || Species: ", 'Kegg Taxon'!U25)))</f>
        <v> || Species: papaya</v>
      </c>
      <c r="U25" s="400" t="str">
        <f>IF(ISBLANK('Kegg Taxon'!V25), "", (CONCAT(" || Var/Subsp: ", 'Kegg Taxon'!V25)))</f>
        <v/>
      </c>
      <c r="V25" s="400"/>
      <c r="W25" s="400"/>
      <c r="X25" s="400"/>
      <c r="Y25" s="400"/>
      <c r="Z25" s="400"/>
    </row>
    <row r="26" ht="14.25" customHeight="1">
      <c r="A26" s="401" t="s">
        <v>3593</v>
      </c>
      <c r="B26" s="399" t="str">
        <f t="shared" si="1"/>
        <v>#REF!</v>
      </c>
      <c r="C26" s="400" t="str">
        <f>IF(ISBLANK('Kegg Taxon'!A26), "", (CONCAT("Kegg code: ", 'Kegg Taxon'!A26)))</f>
        <v>Kegg code: cqi</v>
      </c>
      <c r="D26" s="400" t="str">
        <f>IF(ISBLANK('Kegg Taxon'!B26), "", (CONCAT(" || Common name: ", 'Kegg Taxon'!B26)))</f>
        <v> || Common name: Quinoa</v>
      </c>
      <c r="E26" s="400" t="str">
        <f>IF(ISBLANK('Kegg Taxon'!C26), "", (CONCAT(" || Scientific name: ", 'Kegg Taxon'!C26)))</f>
        <v> || Scientific name: Chenopodium quinoa</v>
      </c>
      <c r="F26" s="400" t="str">
        <f>IF(ISBLANK('Kegg Taxon'!D26), "", (CONCAT(" || Kingdom: ", 'Kegg Taxon'!D26)))</f>
        <v> || Kingdom: Plantae</v>
      </c>
      <c r="G26" s="400" t="str">
        <f>IF(ISBLANK('Kegg Taxon'!F26), "", (CONCAT(" || Subkingdom: ", 'Kegg Taxon'!F26)))</f>
        <v> || Subkingdom: Viridiplantae</v>
      </c>
      <c r="H26" s="400" t="str">
        <f>IF(ISBLANK('Kegg Taxon'!H26), "", (CONCAT(" || Superdivision: ", 'Kegg Taxon'!H26)))</f>
        <v> || Superdivision: Embryophyta</v>
      </c>
      <c r="I26" s="400" t="str">
        <f>IF(ISBLANK('Kegg Taxon'!I26), "", (CONCAT(" || Phylum: ", 'Kegg Taxon'!I26)))</f>
        <v> || Phylum: Tracheophyta</v>
      </c>
      <c r="J26" s="400" t="str">
        <f>IF(ISBLANK('Kegg Taxon'!J26), "", (CONCAT(" || Subphylum: ", 'Kegg Taxon'!J26)))</f>
        <v> || Subphylum: Spermophytina</v>
      </c>
      <c r="K26" s="400" t="str">
        <f>IF(ISBLANK('Kegg Taxon'!K26), "", (CONCAT(" || Class: ", 'Kegg Taxon'!K26)))</f>
        <v> || Class: Magnoliopsida</v>
      </c>
      <c r="L26" s="400" t="str">
        <f>IF(ISBLANK('Kegg Taxon'!L26), "", (CONCAT(" || Subclass: ", 'Kegg Taxon'!L26)))</f>
        <v> || Subclass: --</v>
      </c>
      <c r="M26" s="400" t="str">
        <f>IF(ISBLANK('Kegg Taxon'!O26), "", (CONCAT(" || Order: ", 'Kegg Taxon'!O26)))</f>
        <v> || Order: Caryophyllales</v>
      </c>
      <c r="N26" s="400" t="str">
        <f>IF(ISBLANK('Kegg Taxon'!P26), "", (CONCAT(" || Family: ", 'Kegg Taxon'!P26)))</f>
        <v> || Family: Chenopodiaceae</v>
      </c>
      <c r="O26" s="400" t="str">
        <f>IF(ISBLANK('Kegg Taxon'!Q26), "", (CONCAT(" || Subfamily: ", 'Kegg Taxon'!Q26)))</f>
        <v> || Subfamily: Chenopodioideae</v>
      </c>
      <c r="P26" s="400" t="str">
        <f>IF(ISBLANK('Kegg Taxon'!R26), "", (CONCAT(" || Tribe: ", 'Kegg Taxon'!R26)))</f>
        <v> || Tribe: Atripliceae</v>
      </c>
      <c r="Q26" s="400" t="str">
        <f>IF(ISBLANK('Kegg Taxon'!S26), "", (CONCAT(" || Subtribe: ", 'Kegg Taxon'!S26)))</f>
        <v> || Subtribe: --</v>
      </c>
      <c r="R26" s="400" t="str">
        <f>IF(ISBLANK('Kegg Taxon'!T26), "", (CONCAT(" || Genus: ", 'Kegg Taxon'!T26)))</f>
        <v> || Genus: Chenopodium</v>
      </c>
      <c r="S26" s="400" t="str">
        <f t="shared" si="2"/>
        <v>#REF!</v>
      </c>
      <c r="T26" s="400" t="str">
        <f>IF(ISBLANK('Kegg Taxon'!U26), "", (CONCAT(" || Species: ", 'Kegg Taxon'!U26)))</f>
        <v> || Species: quinoa</v>
      </c>
      <c r="U26" s="400" t="str">
        <f>IF(ISBLANK('Kegg Taxon'!V26), "", (CONCAT(" || Var/Subsp: ", 'Kegg Taxon'!V26)))</f>
        <v/>
      </c>
      <c r="V26" s="400"/>
      <c r="W26" s="400"/>
      <c r="X26" s="400"/>
      <c r="Y26" s="400"/>
      <c r="Z26" s="400"/>
    </row>
    <row r="27" ht="14.25" customHeight="1">
      <c r="A27" s="401" t="s">
        <v>3594</v>
      </c>
      <c r="B27" s="399" t="str">
        <f t="shared" si="1"/>
        <v>#REF!</v>
      </c>
      <c r="C27" s="400" t="str">
        <f>IF(ISBLANK('Kegg Taxon'!A27), "", (CONCAT("Kegg code: ", 'Kegg Taxon'!A27)))</f>
        <v>Kegg code: cre</v>
      </c>
      <c r="D27" s="400" t="str">
        <f>IF(ISBLANK('Kegg Taxon'!B27), "", (CONCAT(" || Common name: ", 'Kegg Taxon'!B27)))</f>
        <v> || Common name: Freshwater Single-cell Alga</v>
      </c>
      <c r="E27" s="400" t="str">
        <f>IF(ISBLANK('Kegg Taxon'!C27), "", (CONCAT(" || Scientific name: ", 'Kegg Taxon'!C27)))</f>
        <v> || Scientific name: Chlamydomonas reinhardtii</v>
      </c>
      <c r="F27" s="400" t="str">
        <f>IF(ISBLANK('Kegg Taxon'!D27), "", (CONCAT(" || Kingdom: ", 'Kegg Taxon'!D27)))</f>
        <v> || Kingdom: Plantae</v>
      </c>
      <c r="G27" s="400" t="str">
        <f>IF(ISBLANK('Kegg Taxon'!F27), "", (CONCAT(" || Subkingdom: ", 'Kegg Taxon'!F27)))</f>
        <v> || Subkingdom: Viridiplantae</v>
      </c>
      <c r="H27" s="400" t="str">
        <f>IF(ISBLANK('Kegg Taxon'!H27), "", (CONCAT(" || Superdivision: ", 'Kegg Taxon'!H27)))</f>
        <v> || Superdivision: --</v>
      </c>
      <c r="I27" s="400" t="str">
        <f>IF(ISBLANK('Kegg Taxon'!I27), "", (CONCAT(" || Phylum: ", 'Kegg Taxon'!I27)))</f>
        <v> || Phylum: Chlorophyta</v>
      </c>
      <c r="J27" s="400" t="str">
        <f>IF(ISBLANK('Kegg Taxon'!J27), "", (CONCAT(" || Subphylum: ", 'Kegg Taxon'!J27)))</f>
        <v> || Subphylum: Chlorophytina</v>
      </c>
      <c r="K27" s="400" t="str">
        <f>IF(ISBLANK('Kegg Taxon'!K27), "", (CONCAT(" || Class: ", 'Kegg Taxon'!K27)))</f>
        <v> || Class: Chlorophyceae</v>
      </c>
      <c r="L27" s="400" t="str">
        <f>IF(ISBLANK('Kegg Taxon'!L27), "", (CONCAT(" || Subclass: ", 'Kegg Taxon'!L27)))</f>
        <v> || Subclass: --</v>
      </c>
      <c r="M27" s="400" t="str">
        <f>IF(ISBLANK('Kegg Taxon'!O27), "", (CONCAT(" || Order: ", 'Kegg Taxon'!O27)))</f>
        <v> || Order: Chlamydomonadales</v>
      </c>
      <c r="N27" s="400" t="str">
        <f>IF(ISBLANK('Kegg Taxon'!P27), "", (CONCAT(" || Family: ", 'Kegg Taxon'!P27)))</f>
        <v> || Family: Chlamydomonadaceae</v>
      </c>
      <c r="O27" s="400" t="str">
        <f>IF(ISBLANK('Kegg Taxon'!Q27), "", (CONCAT(" || Subfamily: ", 'Kegg Taxon'!Q27)))</f>
        <v> || Subfamily: --</v>
      </c>
      <c r="P27" s="400" t="str">
        <f>IF(ISBLANK('Kegg Taxon'!R27), "", (CONCAT(" || Tribe: ", 'Kegg Taxon'!R27)))</f>
        <v> || Tribe: --</v>
      </c>
      <c r="Q27" s="400" t="str">
        <f>IF(ISBLANK('Kegg Taxon'!S27), "", (CONCAT(" || Subtribe: ", 'Kegg Taxon'!S27)))</f>
        <v> || Subtribe: --</v>
      </c>
      <c r="R27" s="400" t="str">
        <f>IF(ISBLANK('Kegg Taxon'!T27), "", (CONCAT(" || Genus: ", 'Kegg Taxon'!T27)))</f>
        <v> || Genus: Chlamydomonas</v>
      </c>
      <c r="S27" s="400" t="str">
        <f t="shared" si="2"/>
        <v>#REF!</v>
      </c>
      <c r="T27" s="400" t="str">
        <f>IF(ISBLANK('Kegg Taxon'!U27), "", (CONCAT(" || Species: ", 'Kegg Taxon'!U27)))</f>
        <v> || Species: reinhardtii</v>
      </c>
      <c r="U27" s="400" t="str">
        <f>IF(ISBLANK('Kegg Taxon'!V27), "", (CONCAT(" || Var/Subsp: ", 'Kegg Taxon'!V27)))</f>
        <v/>
      </c>
      <c r="V27" s="400"/>
      <c r="W27" s="400"/>
      <c r="X27" s="400"/>
      <c r="Y27" s="400"/>
      <c r="Z27" s="400"/>
    </row>
    <row r="28" ht="14.25" customHeight="1">
      <c r="A28" s="401" t="s">
        <v>3595</v>
      </c>
      <c r="B28" s="399" t="str">
        <f t="shared" si="1"/>
        <v>#REF!</v>
      </c>
      <c r="C28" s="400" t="str">
        <f>IF(ISBLANK('Kegg Taxon'!A28), "", (CONCAT("Kegg code: ", 'Kegg Taxon'!A28)))</f>
        <v>Kegg code: apro</v>
      </c>
      <c r="D28" s="400" t="str">
        <f>IF(ISBLANK('Kegg Taxon'!B28), "", (CONCAT(" || Common name: ", 'Kegg Taxon'!B28)))</f>
        <v> || Common name: Green Microalga</v>
      </c>
      <c r="E28" s="400" t="str">
        <f>IF(ISBLANK('Kegg Taxon'!C28), "", (CONCAT(" || Scientific name: ", 'Kegg Taxon'!C28)))</f>
        <v> || Scientific name: Auxenochlorella protothecoides</v>
      </c>
      <c r="F28" s="400" t="str">
        <f>IF(ISBLANK('Kegg Taxon'!D28), "", (CONCAT(" || Kingdom: ", 'Kegg Taxon'!D28)))</f>
        <v> || Kingdom: Plantae</v>
      </c>
      <c r="G28" s="400" t="str">
        <f>IF(ISBLANK('Kegg Taxon'!F28), "", (CONCAT(" || Subkingdom: ", 'Kegg Taxon'!F28)))</f>
        <v> || Subkingdom: Viridiplantae</v>
      </c>
      <c r="H28" s="400" t="str">
        <f>IF(ISBLANK('Kegg Taxon'!H28), "", (CONCAT(" || Superdivision: ", 'Kegg Taxon'!H28)))</f>
        <v> || Superdivision: --</v>
      </c>
      <c r="I28" s="400" t="str">
        <f>IF(ISBLANK('Kegg Taxon'!I28), "", (CONCAT(" || Phylum: ", 'Kegg Taxon'!I28)))</f>
        <v> || Phylum: Chlorophyta</v>
      </c>
      <c r="J28" s="400" t="str">
        <f>IF(ISBLANK('Kegg Taxon'!J28), "", (CONCAT(" || Subphylum: ", 'Kegg Taxon'!J28)))</f>
        <v> || Subphylum: Chlorophytina</v>
      </c>
      <c r="K28" s="400" t="str">
        <f>IF(ISBLANK('Kegg Taxon'!K28), "", (CONCAT(" || Class: ", 'Kegg Taxon'!K28)))</f>
        <v> || Class: Trebouxiophyceae</v>
      </c>
      <c r="L28" s="400" t="str">
        <f>IF(ISBLANK('Kegg Taxon'!L28), "", (CONCAT(" || Subclass: ", 'Kegg Taxon'!L28)))</f>
        <v> || Subclass: --</v>
      </c>
      <c r="M28" s="400" t="str">
        <f>IF(ISBLANK('Kegg Taxon'!O28), "", (CONCAT(" || Order: ", 'Kegg Taxon'!O28)))</f>
        <v> || Order: Chlorellales</v>
      </c>
      <c r="N28" s="400" t="str">
        <f>IF(ISBLANK('Kegg Taxon'!P28), "", (CONCAT(" || Family: ", 'Kegg Taxon'!P28)))</f>
        <v> || Family: Chlorellaceae</v>
      </c>
      <c r="O28" s="400" t="str">
        <f>IF(ISBLANK('Kegg Taxon'!Q28), "", (CONCAT(" || Subfamily: ", 'Kegg Taxon'!Q28)))</f>
        <v> || Subfamily: --</v>
      </c>
      <c r="P28" s="400" t="str">
        <f>IF(ISBLANK('Kegg Taxon'!R28), "", (CONCAT(" || Tribe: ", 'Kegg Taxon'!R28)))</f>
        <v> || Tribe: --</v>
      </c>
      <c r="Q28" s="400" t="str">
        <f>IF(ISBLANK('Kegg Taxon'!S28), "", (CONCAT(" || Subtribe: ", 'Kegg Taxon'!S28)))</f>
        <v> || Subtribe: --</v>
      </c>
      <c r="R28" s="400" t="str">
        <f>IF(ISBLANK('Kegg Taxon'!T28), "", (CONCAT(" || Genus: ", 'Kegg Taxon'!T28)))</f>
        <v> || Genus: Auxenochlorella</v>
      </c>
      <c r="S28" s="400" t="str">
        <f t="shared" si="2"/>
        <v>#REF!</v>
      </c>
      <c r="T28" s="400" t="str">
        <f>IF(ISBLANK('Kegg Taxon'!U28), "", (CONCAT(" || Species: ", 'Kegg Taxon'!U28)))</f>
        <v> || Species: protothecoides</v>
      </c>
      <c r="U28" s="400" t="str">
        <f>IF(ISBLANK('Kegg Taxon'!V28), "", (CONCAT(" || Var/Subsp: ", 'Kegg Taxon'!V28)))</f>
        <v/>
      </c>
      <c r="V28" s="400"/>
      <c r="W28" s="400"/>
      <c r="X28" s="400"/>
      <c r="Y28" s="400"/>
      <c r="Z28" s="400"/>
    </row>
    <row r="29" ht="14.25" customHeight="1">
      <c r="A29" s="401" t="s">
        <v>3596</v>
      </c>
      <c r="B29" s="399" t="str">
        <f t="shared" si="1"/>
        <v>#REF!</v>
      </c>
      <c r="C29" s="400" t="str">
        <f>IF(ISBLANK('Kegg Taxon'!A29), "", (CONCAT("Kegg code: ", 'Kegg Taxon'!A29)))</f>
        <v>Kegg code: cvr</v>
      </c>
      <c r="D29" s="400" t="str">
        <f>IF(ISBLANK('Kegg Taxon'!B29), "", (CONCAT(" || Common name: ", 'Kegg Taxon'!B29)))</f>
        <v> || Common name: Freshwater Green Algae</v>
      </c>
      <c r="E29" s="400" t="str">
        <f>IF(ISBLANK('Kegg Taxon'!C29), "", (CONCAT(" || Scientific name: ", 'Kegg Taxon'!C29)))</f>
        <v> || Scientific name: Chlorella variabilis</v>
      </c>
      <c r="F29" s="400" t="str">
        <f>IF(ISBLANK('Kegg Taxon'!D29), "", (CONCAT(" || Kingdom: ", 'Kegg Taxon'!D29)))</f>
        <v> || Kingdom: Plantae</v>
      </c>
      <c r="G29" s="400" t="str">
        <f>IF(ISBLANK('Kegg Taxon'!F29), "", (CONCAT(" || Subkingdom: ", 'Kegg Taxon'!F29)))</f>
        <v> || Subkingdom: Viridiplantae</v>
      </c>
      <c r="H29" s="400" t="str">
        <f>IF(ISBLANK('Kegg Taxon'!H29), "", (CONCAT(" || Superdivision: ", 'Kegg Taxon'!H29)))</f>
        <v> || Superdivision: --</v>
      </c>
      <c r="I29" s="400" t="str">
        <f>IF(ISBLANK('Kegg Taxon'!I29), "", (CONCAT(" || Phylum: ", 'Kegg Taxon'!I29)))</f>
        <v> || Phylum: Chlorophyta</v>
      </c>
      <c r="J29" s="400" t="str">
        <f>IF(ISBLANK('Kegg Taxon'!J29), "", (CONCAT(" || Subphylum: ", 'Kegg Taxon'!J29)))</f>
        <v> || Subphylum: Chlorophytina</v>
      </c>
      <c r="K29" s="400" t="str">
        <f>IF(ISBLANK('Kegg Taxon'!K29), "", (CONCAT(" || Class: ", 'Kegg Taxon'!K29)))</f>
        <v> || Class: Trebouxiophyceae</v>
      </c>
      <c r="L29" s="400" t="str">
        <f>IF(ISBLANK('Kegg Taxon'!L29), "", (CONCAT(" || Subclass: ", 'Kegg Taxon'!L29)))</f>
        <v> || Subclass: --</v>
      </c>
      <c r="M29" s="400" t="str">
        <f>IF(ISBLANK('Kegg Taxon'!O29), "", (CONCAT(" || Order: ", 'Kegg Taxon'!O29)))</f>
        <v> || Order: Chlorellales</v>
      </c>
      <c r="N29" s="400" t="str">
        <f>IF(ISBLANK('Kegg Taxon'!P29), "", (CONCAT(" || Family: ", 'Kegg Taxon'!P29)))</f>
        <v> || Family: Chlorellaceae</v>
      </c>
      <c r="O29" s="400" t="str">
        <f>IF(ISBLANK('Kegg Taxon'!Q29), "", (CONCAT(" || Subfamily: ", 'Kegg Taxon'!Q29)))</f>
        <v> || Subfamily: --</v>
      </c>
      <c r="P29" s="400" t="str">
        <f>IF(ISBLANK('Kegg Taxon'!R29), "", (CONCAT(" || Tribe: ", 'Kegg Taxon'!R29)))</f>
        <v> || Tribe: --</v>
      </c>
      <c r="Q29" s="400" t="str">
        <f>IF(ISBLANK('Kegg Taxon'!S29), "", (CONCAT(" || Subtribe: ", 'Kegg Taxon'!S29)))</f>
        <v> || Subtribe: --</v>
      </c>
      <c r="R29" s="400" t="str">
        <f>IF(ISBLANK('Kegg Taxon'!T29), "", (CONCAT(" || Genus: ", 'Kegg Taxon'!T29)))</f>
        <v> || Genus: Chlorella</v>
      </c>
      <c r="S29" s="400" t="str">
        <f t="shared" si="2"/>
        <v>#REF!</v>
      </c>
      <c r="T29" s="400" t="str">
        <f>IF(ISBLANK('Kegg Taxon'!U29), "", (CONCAT(" || Species: ", 'Kegg Taxon'!U29)))</f>
        <v> || Species: variabilis</v>
      </c>
      <c r="U29" s="400" t="str">
        <f>IF(ISBLANK('Kegg Taxon'!V29), "", (CONCAT(" || Var/Subsp: ", 'Kegg Taxon'!V29)))</f>
        <v/>
      </c>
      <c r="V29" s="400"/>
      <c r="W29" s="400"/>
      <c r="X29" s="400"/>
      <c r="Y29" s="400"/>
      <c r="Z29" s="400"/>
    </row>
    <row r="30" ht="14.25" customHeight="1">
      <c r="A30" s="401" t="s">
        <v>3597</v>
      </c>
      <c r="B30" s="399" t="str">
        <f t="shared" si="1"/>
        <v>#REF!</v>
      </c>
      <c r="C30" s="400" t="str">
        <f>IF(ISBLANK('Kegg Taxon'!A30), "", (CONCAT("Kegg code: ", 'Kegg Taxon'!A30)))</f>
        <v>Kegg code: thj</v>
      </c>
      <c r="D30" s="400" t="str">
        <f>IF(ISBLANK('Kegg Taxon'!B30), "", (CONCAT(" || Common name: ", 'Kegg Taxon'!B30)))</f>
        <v> || Common name: Spider Flower</v>
      </c>
      <c r="E30" s="400" t="str">
        <f>IF(ISBLANK('Kegg Taxon'!C30), "", (CONCAT(" || Scientific name: ", 'Kegg Taxon'!C30)))</f>
        <v> || Scientific name: Tarenaya hassleriana</v>
      </c>
      <c r="F30" s="400" t="str">
        <f>IF(ISBLANK('Kegg Taxon'!D30), "", (CONCAT(" || Kingdom: ", 'Kegg Taxon'!D30)))</f>
        <v> || Kingdom: Plantae</v>
      </c>
      <c r="G30" s="400" t="str">
        <f>IF(ISBLANK('Kegg Taxon'!F30), "", (CONCAT(" || Subkingdom: ", 'Kegg Taxon'!F30)))</f>
        <v> || Subkingdom: Viridiplantae</v>
      </c>
      <c r="H30" s="400" t="str">
        <f>IF(ISBLANK('Kegg Taxon'!H30), "", (CONCAT(" || Superdivision: ", 'Kegg Taxon'!H30)))</f>
        <v> || Superdivision: Embryophyta</v>
      </c>
      <c r="I30" s="400" t="str">
        <f>IF(ISBLANK('Kegg Taxon'!I30), "", (CONCAT(" || Phylum: ", 'Kegg Taxon'!I30)))</f>
        <v> || Phylum: Tracheophyta</v>
      </c>
      <c r="J30" s="400" t="str">
        <f>IF(ISBLANK('Kegg Taxon'!J30), "", (CONCAT(" || Subphylum: ", 'Kegg Taxon'!J30)))</f>
        <v> || Subphylum: Spermophytina</v>
      </c>
      <c r="K30" s="400" t="str">
        <f>IF(ISBLANK('Kegg Taxon'!K30), "", (CONCAT(" || Class: ", 'Kegg Taxon'!K30)))</f>
        <v> || Class: Magnoliopsida</v>
      </c>
      <c r="L30" s="400" t="str">
        <f>IF(ISBLANK('Kegg Taxon'!L30), "", (CONCAT(" || Subclass: ", 'Kegg Taxon'!L30)))</f>
        <v> || Subclass: --</v>
      </c>
      <c r="M30" s="400" t="str">
        <f>IF(ISBLANK('Kegg Taxon'!O30), "", (CONCAT(" || Order: ", 'Kegg Taxon'!O30)))</f>
        <v> || Order: Brassicales</v>
      </c>
      <c r="N30" s="400" t="str">
        <f>IF(ISBLANK('Kegg Taxon'!P30), "", (CONCAT(" || Family: ", 'Kegg Taxon'!P30)))</f>
        <v> || Family: Cleomaceae</v>
      </c>
      <c r="O30" s="400" t="str">
        <f>IF(ISBLANK('Kegg Taxon'!Q30), "", (CONCAT(" || Subfamily: ", 'Kegg Taxon'!Q30)))</f>
        <v> || Subfamily: --</v>
      </c>
      <c r="P30" s="400" t="str">
        <f>IF(ISBLANK('Kegg Taxon'!R30), "", (CONCAT(" || Tribe: ", 'Kegg Taxon'!R30)))</f>
        <v> || Tribe: --</v>
      </c>
      <c r="Q30" s="400" t="str">
        <f>IF(ISBLANK('Kegg Taxon'!S30), "", (CONCAT(" || Subtribe: ", 'Kegg Taxon'!S30)))</f>
        <v> || Subtribe: --</v>
      </c>
      <c r="R30" s="400" t="str">
        <f>IF(ISBLANK('Kegg Taxon'!T30), "", (CONCAT(" || Genus: ", 'Kegg Taxon'!T30)))</f>
        <v> || Genus: Tarenaya</v>
      </c>
      <c r="S30" s="400" t="str">
        <f t="shared" si="2"/>
        <v>#REF!</v>
      </c>
      <c r="T30" s="400" t="str">
        <f>IF(ISBLANK('Kegg Taxon'!U30), "", (CONCAT(" || Species: ", 'Kegg Taxon'!U30)))</f>
        <v> || Species: hassleriana</v>
      </c>
      <c r="U30" s="400" t="str">
        <f>IF(ISBLANK('Kegg Taxon'!V30), "", (CONCAT(" || Var/Subsp: ", 'Kegg Taxon'!V30)))</f>
        <v/>
      </c>
      <c r="V30" s="400"/>
      <c r="W30" s="400"/>
      <c r="X30" s="400"/>
      <c r="Y30" s="400"/>
      <c r="Z30" s="400"/>
    </row>
    <row r="31" ht="14.25" customHeight="1">
      <c r="A31" s="401" t="s">
        <v>3598</v>
      </c>
      <c r="B31" s="399" t="str">
        <f t="shared" si="1"/>
        <v>#REF!</v>
      </c>
      <c r="C31" s="400" t="str">
        <f>IF(ISBLANK('Kegg Taxon'!A31), "", (CONCAT("Kegg code: ", 'Kegg Taxon'!A31)))</f>
        <v>Kegg code: csl</v>
      </c>
      <c r="D31" s="400" t="str">
        <f>IF(ISBLANK('Kegg Taxon'!B31), "", (CONCAT(" || Common name: ", 'Kegg Taxon'!B31)))</f>
        <v> || Common name: Freshwater Microalga</v>
      </c>
      <c r="E31" s="400" t="str">
        <f>IF(ISBLANK('Kegg Taxon'!C31), "", (CONCAT(" || Scientific name: ", 'Kegg Taxon'!C31)))</f>
        <v> || Scientific name: Coccomyxa subellipsoidea</v>
      </c>
      <c r="F31" s="400" t="str">
        <f>IF(ISBLANK('Kegg Taxon'!D31), "", (CONCAT(" || Kingdom: ", 'Kegg Taxon'!D31)))</f>
        <v> || Kingdom: Plantae</v>
      </c>
      <c r="G31" s="400" t="str">
        <f>IF(ISBLANK('Kegg Taxon'!F31), "", (CONCAT(" || Subkingdom: ", 'Kegg Taxon'!F31)))</f>
        <v> || Subkingdom: Viridiplantae</v>
      </c>
      <c r="H31" s="400" t="str">
        <f>IF(ISBLANK('Kegg Taxon'!H31), "", (CONCAT(" || Superdivision: ", 'Kegg Taxon'!H31)))</f>
        <v> || Superdivision: --</v>
      </c>
      <c r="I31" s="400" t="str">
        <f>IF(ISBLANK('Kegg Taxon'!I31), "", (CONCAT(" || Phylum: ", 'Kegg Taxon'!I31)))</f>
        <v> || Phylum: Chlorophyta</v>
      </c>
      <c r="J31" s="400" t="str">
        <f>IF(ISBLANK('Kegg Taxon'!J31), "", (CONCAT(" || Subphylum: ", 'Kegg Taxon'!J31)))</f>
        <v> || Subphylum: Chlorophytina</v>
      </c>
      <c r="K31" s="400" t="str">
        <f>IF(ISBLANK('Kegg Taxon'!K31), "", (CONCAT(" || Class: ", 'Kegg Taxon'!K31)))</f>
        <v> || Class: Chlorophyceae</v>
      </c>
      <c r="L31" s="400" t="str">
        <f>IF(ISBLANK('Kegg Taxon'!L31), "", (CONCAT(" || Subclass: ", 'Kegg Taxon'!L31)))</f>
        <v> || Subclass: --</v>
      </c>
      <c r="M31" s="400" t="str">
        <f>IF(ISBLANK('Kegg Taxon'!O31), "", (CONCAT(" || Order: ", 'Kegg Taxon'!O31)))</f>
        <v> || Order: Chlorococcales</v>
      </c>
      <c r="N31" s="400" t="str">
        <f>IF(ISBLANK('Kegg Taxon'!P31), "", (CONCAT(" || Family: ", 'Kegg Taxon'!P31)))</f>
        <v> || Family: Coccomyxaceae</v>
      </c>
      <c r="O31" s="400" t="str">
        <f>IF(ISBLANK('Kegg Taxon'!Q31), "", (CONCAT(" || Subfamily: ", 'Kegg Taxon'!Q31)))</f>
        <v> || Subfamily: --</v>
      </c>
      <c r="P31" s="400" t="str">
        <f>IF(ISBLANK('Kegg Taxon'!R31), "", (CONCAT(" || Tribe: ", 'Kegg Taxon'!R31)))</f>
        <v> || Tribe: --</v>
      </c>
      <c r="Q31" s="400" t="str">
        <f>IF(ISBLANK('Kegg Taxon'!S31), "", (CONCAT(" || Subtribe: ", 'Kegg Taxon'!S31)))</f>
        <v> || Subtribe: --</v>
      </c>
      <c r="R31" s="400" t="str">
        <f>IF(ISBLANK('Kegg Taxon'!T31), "", (CONCAT(" || Genus: ", 'Kegg Taxon'!T31)))</f>
        <v> || Genus: Coccomyxa</v>
      </c>
      <c r="S31" s="400" t="str">
        <f t="shared" si="2"/>
        <v>#REF!</v>
      </c>
      <c r="T31" s="400" t="str">
        <f>IF(ISBLANK('Kegg Taxon'!U31), "", (CONCAT(" || Species: ", 'Kegg Taxon'!U31)))</f>
        <v> || Species: subellipsoidea</v>
      </c>
      <c r="U31" s="400" t="str">
        <f>IF(ISBLANK('Kegg Taxon'!V31), "", (CONCAT(" || Var/Subsp: ", 'Kegg Taxon'!V31)))</f>
        <v/>
      </c>
      <c r="V31" s="400"/>
      <c r="W31" s="400"/>
      <c r="X31" s="400"/>
      <c r="Y31" s="400"/>
      <c r="Z31" s="400"/>
    </row>
    <row r="32" ht="14.25" customHeight="1">
      <c r="A32" s="401" t="s">
        <v>3599</v>
      </c>
      <c r="B32" s="399" t="str">
        <f t="shared" si="1"/>
        <v>#REF!</v>
      </c>
      <c r="C32" s="400" t="str">
        <f>IF(ISBLANK('Kegg Taxon'!A32), "", (CONCAT("Kegg code: ", 'Kegg Taxon'!A32)))</f>
        <v>Kegg code: ini</v>
      </c>
      <c r="D32" s="400" t="str">
        <f>IF(ISBLANK('Kegg Taxon'!B32), "", (CONCAT(" || Common name: ", 'Kegg Taxon'!B32)))</f>
        <v> || Common name: Japanese Morning Glory</v>
      </c>
      <c r="E32" s="400" t="str">
        <f>IF(ISBLANK('Kegg Taxon'!C32), "", (CONCAT(" || Scientific name: ", 'Kegg Taxon'!C32)))</f>
        <v> || Scientific name: Ipomoea nil</v>
      </c>
      <c r="F32" s="400" t="str">
        <f>IF(ISBLANK('Kegg Taxon'!D32), "", (CONCAT(" || Kingdom: ", 'Kegg Taxon'!D32)))</f>
        <v> || Kingdom: Plantae</v>
      </c>
      <c r="G32" s="400" t="str">
        <f>IF(ISBLANK('Kegg Taxon'!F32), "", (CONCAT(" || Subkingdom: ", 'Kegg Taxon'!F32)))</f>
        <v> || Subkingdom: Viridiplantae</v>
      </c>
      <c r="H32" s="400" t="str">
        <f>IF(ISBLANK('Kegg Taxon'!H32), "", (CONCAT(" || Superdivision: ", 'Kegg Taxon'!H32)))</f>
        <v> || Superdivision: Embryophyta</v>
      </c>
      <c r="I32" s="400" t="str">
        <f>IF(ISBLANK('Kegg Taxon'!I32), "", (CONCAT(" || Phylum: ", 'Kegg Taxon'!I32)))</f>
        <v> || Phylum: Tracheophyta</v>
      </c>
      <c r="J32" s="400" t="str">
        <f>IF(ISBLANK('Kegg Taxon'!J32), "", (CONCAT(" || Subphylum: ", 'Kegg Taxon'!J32)))</f>
        <v> || Subphylum: Spermophytina</v>
      </c>
      <c r="K32" s="400" t="str">
        <f>IF(ISBLANK('Kegg Taxon'!K32), "", (CONCAT(" || Class: ", 'Kegg Taxon'!K32)))</f>
        <v> || Class: Magnoliopsida</v>
      </c>
      <c r="L32" s="400" t="str">
        <f>IF(ISBLANK('Kegg Taxon'!L32), "", (CONCAT(" || Subclass: ", 'Kegg Taxon'!L32)))</f>
        <v> || Subclass: --</v>
      </c>
      <c r="M32" s="400" t="str">
        <f>IF(ISBLANK('Kegg Taxon'!O32), "", (CONCAT(" || Order: ", 'Kegg Taxon'!O32)))</f>
        <v> || Order: Solanales</v>
      </c>
      <c r="N32" s="400" t="str">
        <f>IF(ISBLANK('Kegg Taxon'!P32), "", (CONCAT(" || Family: ", 'Kegg Taxon'!P32)))</f>
        <v> || Family: Convolvulaceae</v>
      </c>
      <c r="O32" s="400" t="str">
        <f>IF(ISBLANK('Kegg Taxon'!Q32), "", (CONCAT(" || Subfamily: ", 'Kegg Taxon'!Q32)))</f>
        <v> || Subfamily: --</v>
      </c>
      <c r="P32" s="400" t="str">
        <f>IF(ISBLANK('Kegg Taxon'!R32), "", (CONCAT(" || Tribe: ", 'Kegg Taxon'!R32)))</f>
        <v> || Tribe: Ipomoeeae</v>
      </c>
      <c r="Q32" s="400" t="str">
        <f>IF(ISBLANK('Kegg Taxon'!S32), "", (CONCAT(" || Subtribe: ", 'Kegg Taxon'!S32)))</f>
        <v> || Subtribe: --</v>
      </c>
      <c r="R32" s="400" t="str">
        <f>IF(ISBLANK('Kegg Taxon'!T32), "", (CONCAT(" || Genus: ", 'Kegg Taxon'!T32)))</f>
        <v> || Genus: Ipomoea</v>
      </c>
      <c r="S32" s="400" t="str">
        <f t="shared" si="2"/>
        <v>#REF!</v>
      </c>
      <c r="T32" s="400" t="str">
        <f>IF(ISBLANK('Kegg Taxon'!U32), "", (CONCAT(" || Species: ", 'Kegg Taxon'!U32)))</f>
        <v> || Species: nil</v>
      </c>
      <c r="U32" s="400" t="str">
        <f>IF(ISBLANK('Kegg Taxon'!V32), "", (CONCAT(" || Var/Subsp: ", 'Kegg Taxon'!V32)))</f>
        <v/>
      </c>
      <c r="V32" s="400"/>
      <c r="W32" s="400"/>
      <c r="X32" s="400"/>
      <c r="Y32" s="400"/>
      <c r="Z32" s="400"/>
    </row>
    <row r="33" ht="14.25" customHeight="1">
      <c r="A33" s="401" t="s">
        <v>3600</v>
      </c>
      <c r="B33" s="399" t="str">
        <f t="shared" si="1"/>
        <v>#REF!</v>
      </c>
      <c r="C33" s="400" t="str">
        <f>IF(ISBLANK('Kegg Taxon'!A33), "", (CONCAT("Kegg code: ", 'Kegg Taxon'!A33)))</f>
        <v>Kegg code: cmo</v>
      </c>
      <c r="D33" s="400" t="str">
        <f>IF(ISBLANK('Kegg Taxon'!B33), "", (CONCAT(" || Common name: ", 'Kegg Taxon'!B33)))</f>
        <v> || Common name: Muskmelon</v>
      </c>
      <c r="E33" s="400" t="str">
        <f>IF(ISBLANK('Kegg Taxon'!C33), "", (CONCAT(" || Scientific name: ", 'Kegg Taxon'!C33)))</f>
        <v> || Scientific name: Cucumis melo</v>
      </c>
      <c r="F33" s="400" t="str">
        <f>IF(ISBLANK('Kegg Taxon'!D33), "", (CONCAT(" || Kingdom: ", 'Kegg Taxon'!D33)))</f>
        <v> || Kingdom: Plantae</v>
      </c>
      <c r="G33" s="400" t="str">
        <f>IF(ISBLANK('Kegg Taxon'!F33), "", (CONCAT(" || Subkingdom: ", 'Kegg Taxon'!F33)))</f>
        <v> || Subkingdom: Viridiplantae</v>
      </c>
      <c r="H33" s="400" t="str">
        <f>IF(ISBLANK('Kegg Taxon'!H33), "", (CONCAT(" || Superdivision: ", 'Kegg Taxon'!H33)))</f>
        <v> || Superdivision: Embryophyta</v>
      </c>
      <c r="I33" s="400" t="str">
        <f>IF(ISBLANK('Kegg Taxon'!I33), "", (CONCAT(" || Phylum: ", 'Kegg Taxon'!I33)))</f>
        <v> || Phylum: Tracheophyta</v>
      </c>
      <c r="J33" s="400" t="str">
        <f>IF(ISBLANK('Kegg Taxon'!J33), "", (CONCAT(" || Subphylum: ", 'Kegg Taxon'!J33)))</f>
        <v> || Subphylum: Spermophytina</v>
      </c>
      <c r="K33" s="400" t="str">
        <f>IF(ISBLANK('Kegg Taxon'!K33), "", (CONCAT(" || Class: ", 'Kegg Taxon'!K33)))</f>
        <v> || Class: Magnoliopsida</v>
      </c>
      <c r="L33" s="400" t="str">
        <f>IF(ISBLANK('Kegg Taxon'!L33), "", (CONCAT(" || Subclass: ", 'Kegg Taxon'!L33)))</f>
        <v> || Subclass: --</v>
      </c>
      <c r="M33" s="400" t="str">
        <f>IF(ISBLANK('Kegg Taxon'!O33), "", (CONCAT(" || Order: ", 'Kegg Taxon'!O33)))</f>
        <v> || Order: Cucurbitales</v>
      </c>
      <c r="N33" s="400" t="str">
        <f>IF(ISBLANK('Kegg Taxon'!P33), "", (CONCAT(" || Family: ", 'Kegg Taxon'!P33)))</f>
        <v> || Family: Cucurbitaceae</v>
      </c>
      <c r="O33" s="400" t="str">
        <f>IF(ISBLANK('Kegg Taxon'!Q33), "", (CONCAT(" || Subfamily: ", 'Kegg Taxon'!Q33)))</f>
        <v> || Subfamily: --</v>
      </c>
      <c r="P33" s="400" t="str">
        <f>IF(ISBLANK('Kegg Taxon'!R33), "", (CONCAT(" || Tribe: ", 'Kegg Taxon'!R33)))</f>
        <v> || Tribe: Benincaseae</v>
      </c>
      <c r="Q33" s="400" t="str">
        <f>IF(ISBLANK('Kegg Taxon'!S33), "", (CONCAT(" || Subtribe: ", 'Kegg Taxon'!S33)))</f>
        <v> || Subtribe: --</v>
      </c>
      <c r="R33" s="400" t="str">
        <f>IF(ISBLANK('Kegg Taxon'!T33), "", (CONCAT(" || Genus: ", 'Kegg Taxon'!T33)))</f>
        <v> || Genus: Cucumis</v>
      </c>
      <c r="S33" s="400" t="str">
        <f t="shared" si="2"/>
        <v>#REF!</v>
      </c>
      <c r="T33" s="400" t="str">
        <f>IF(ISBLANK('Kegg Taxon'!U33), "", (CONCAT(" || Species: ", 'Kegg Taxon'!U33)))</f>
        <v> || Species: melo</v>
      </c>
      <c r="U33" s="400" t="str">
        <f>IF(ISBLANK('Kegg Taxon'!V33), "", (CONCAT(" || Var/Subsp: ", 'Kegg Taxon'!V33)))</f>
        <v/>
      </c>
      <c r="V33" s="400"/>
      <c r="W33" s="400"/>
      <c r="X33" s="400"/>
      <c r="Y33" s="400"/>
      <c r="Z33" s="400"/>
    </row>
    <row r="34" ht="14.25" customHeight="1">
      <c r="A34" s="401" t="s">
        <v>3601</v>
      </c>
      <c r="B34" s="399" t="str">
        <f t="shared" si="1"/>
        <v>#REF!</v>
      </c>
      <c r="C34" s="400" t="str">
        <f>IF(ISBLANK('Kegg Taxon'!A34), "", (CONCAT("Kegg code: ", 'Kegg Taxon'!A34)))</f>
        <v>Kegg code: csv</v>
      </c>
      <c r="D34" s="400" t="str">
        <f>IF(ISBLANK('Kegg Taxon'!B34), "", (CONCAT(" || Common name: ", 'Kegg Taxon'!B34)))</f>
        <v> || Common name: Cucumber</v>
      </c>
      <c r="E34" s="400" t="str">
        <f>IF(ISBLANK('Kegg Taxon'!C34), "", (CONCAT(" || Scientific name: ", 'Kegg Taxon'!C34)))</f>
        <v> || Scientific name: Cucumis sativus</v>
      </c>
      <c r="F34" s="400" t="str">
        <f>IF(ISBLANK('Kegg Taxon'!D34), "", (CONCAT(" || Kingdom: ", 'Kegg Taxon'!D34)))</f>
        <v> || Kingdom: Plantae</v>
      </c>
      <c r="G34" s="400" t="str">
        <f>IF(ISBLANK('Kegg Taxon'!F34), "", (CONCAT(" || Subkingdom: ", 'Kegg Taxon'!F34)))</f>
        <v> || Subkingdom: Viridiplantae</v>
      </c>
      <c r="H34" s="400" t="str">
        <f>IF(ISBLANK('Kegg Taxon'!H34), "", (CONCAT(" || Superdivision: ", 'Kegg Taxon'!H34)))</f>
        <v> || Superdivision: Embryophyta</v>
      </c>
      <c r="I34" s="400" t="str">
        <f>IF(ISBLANK('Kegg Taxon'!I34), "", (CONCAT(" || Phylum: ", 'Kegg Taxon'!I34)))</f>
        <v> || Phylum: Tracheophyta</v>
      </c>
      <c r="J34" s="400" t="str">
        <f>IF(ISBLANK('Kegg Taxon'!J34), "", (CONCAT(" || Subphylum: ", 'Kegg Taxon'!J34)))</f>
        <v> || Subphylum: Spermophytina</v>
      </c>
      <c r="K34" s="400" t="str">
        <f>IF(ISBLANK('Kegg Taxon'!K34), "", (CONCAT(" || Class: ", 'Kegg Taxon'!K34)))</f>
        <v> || Class: Magnoliopsida</v>
      </c>
      <c r="L34" s="400" t="str">
        <f>IF(ISBLANK('Kegg Taxon'!L34), "", (CONCAT(" || Subclass: ", 'Kegg Taxon'!L34)))</f>
        <v> || Subclass: --</v>
      </c>
      <c r="M34" s="400" t="str">
        <f>IF(ISBLANK('Kegg Taxon'!O34), "", (CONCAT(" || Order: ", 'Kegg Taxon'!O34)))</f>
        <v> || Order: Cucurbitales</v>
      </c>
      <c r="N34" s="400" t="str">
        <f>IF(ISBLANK('Kegg Taxon'!P34), "", (CONCAT(" || Family: ", 'Kegg Taxon'!P34)))</f>
        <v> || Family: Cucurbitaceae</v>
      </c>
      <c r="O34" s="400" t="str">
        <f>IF(ISBLANK('Kegg Taxon'!Q34), "", (CONCAT(" || Subfamily: ", 'Kegg Taxon'!Q34)))</f>
        <v> || Subfamily: --</v>
      </c>
      <c r="P34" s="400" t="str">
        <f>IF(ISBLANK('Kegg Taxon'!R34), "", (CONCAT(" || Tribe: ", 'Kegg Taxon'!R34)))</f>
        <v> || Tribe: Benincaseae</v>
      </c>
      <c r="Q34" s="400" t="str">
        <f>IF(ISBLANK('Kegg Taxon'!S34), "", (CONCAT(" || Subtribe: ", 'Kegg Taxon'!S34)))</f>
        <v> || Subtribe: --</v>
      </c>
      <c r="R34" s="400" t="str">
        <f>IF(ISBLANK('Kegg Taxon'!T34), "", (CONCAT(" || Genus: ", 'Kegg Taxon'!T34)))</f>
        <v> || Genus: Cucumis</v>
      </c>
      <c r="S34" s="400" t="str">
        <f t="shared" si="2"/>
        <v>#REF!</v>
      </c>
      <c r="T34" s="400" t="str">
        <f>IF(ISBLANK('Kegg Taxon'!U34), "", (CONCAT(" || Species: ", 'Kegg Taxon'!U34)))</f>
        <v> || Species: sativus</v>
      </c>
      <c r="U34" s="400" t="str">
        <f>IF(ISBLANK('Kegg Taxon'!V34), "", (CONCAT(" || Var/Subsp: ", 'Kegg Taxon'!V34)))</f>
        <v/>
      </c>
      <c r="V34" s="400"/>
      <c r="W34" s="400"/>
      <c r="X34" s="400"/>
      <c r="Y34" s="400"/>
      <c r="Z34" s="400"/>
    </row>
    <row r="35" ht="14.25" customHeight="1">
      <c r="A35" s="401" t="s">
        <v>3602</v>
      </c>
      <c r="B35" s="399" t="str">
        <f t="shared" si="1"/>
        <v>#REF!</v>
      </c>
      <c r="C35" s="400" t="str">
        <f>IF(ISBLANK('Kegg Taxon'!A35), "", (CONCAT("Kegg code: ", 'Kegg Taxon'!A35)))</f>
        <v>Kegg code: cmax</v>
      </c>
      <c r="D35" s="400" t="str">
        <f>IF(ISBLANK('Kegg Taxon'!B35), "", (CONCAT(" || Common name: ", 'Kegg Taxon'!B35)))</f>
        <v> || Common name: Winter Squash</v>
      </c>
      <c r="E35" s="400" t="str">
        <f>IF(ISBLANK('Kegg Taxon'!C35), "", (CONCAT(" || Scientific name: ", 'Kegg Taxon'!C35)))</f>
        <v> || Scientific name: Cucurbita maxima</v>
      </c>
      <c r="F35" s="400" t="str">
        <f>IF(ISBLANK('Kegg Taxon'!D35), "", (CONCAT(" || Kingdom: ", 'Kegg Taxon'!D35)))</f>
        <v> || Kingdom: Plantae</v>
      </c>
      <c r="G35" s="400" t="str">
        <f>IF(ISBLANK('Kegg Taxon'!F35), "", (CONCAT(" || Subkingdom: ", 'Kegg Taxon'!F35)))</f>
        <v> || Subkingdom: Viridiplantae</v>
      </c>
      <c r="H35" s="400" t="str">
        <f>IF(ISBLANK('Kegg Taxon'!H35), "", (CONCAT(" || Superdivision: ", 'Kegg Taxon'!H35)))</f>
        <v> || Superdivision: Embryophyta</v>
      </c>
      <c r="I35" s="400" t="str">
        <f>IF(ISBLANK('Kegg Taxon'!I35), "", (CONCAT(" || Phylum: ", 'Kegg Taxon'!I35)))</f>
        <v> || Phylum: Tracheophyta</v>
      </c>
      <c r="J35" s="400" t="str">
        <f>IF(ISBLANK('Kegg Taxon'!J35), "", (CONCAT(" || Subphylum: ", 'Kegg Taxon'!J35)))</f>
        <v> || Subphylum: Spermophytina</v>
      </c>
      <c r="K35" s="400" t="str">
        <f>IF(ISBLANK('Kegg Taxon'!K35), "", (CONCAT(" || Class: ", 'Kegg Taxon'!K35)))</f>
        <v> || Class: Magnoliopsida</v>
      </c>
      <c r="L35" s="400" t="str">
        <f>IF(ISBLANK('Kegg Taxon'!L35), "", (CONCAT(" || Subclass: ", 'Kegg Taxon'!L35)))</f>
        <v> || Subclass: --</v>
      </c>
      <c r="M35" s="400" t="str">
        <f>IF(ISBLANK('Kegg Taxon'!O35), "", (CONCAT(" || Order: ", 'Kegg Taxon'!O35)))</f>
        <v> || Order: Cucurbitales</v>
      </c>
      <c r="N35" s="400" t="str">
        <f>IF(ISBLANK('Kegg Taxon'!P35), "", (CONCAT(" || Family: ", 'Kegg Taxon'!P35)))</f>
        <v> || Family: Cucurbitaceae</v>
      </c>
      <c r="O35" s="400" t="str">
        <f>IF(ISBLANK('Kegg Taxon'!Q35), "", (CONCAT(" || Subfamily: ", 'Kegg Taxon'!Q35)))</f>
        <v> || Subfamily: --</v>
      </c>
      <c r="P35" s="400" t="str">
        <f>IF(ISBLANK('Kegg Taxon'!R35), "", (CONCAT(" || Tribe: ", 'Kegg Taxon'!R35)))</f>
        <v> || Tribe: Cucurbiteae</v>
      </c>
      <c r="Q35" s="400" t="str">
        <f>IF(ISBLANK('Kegg Taxon'!S35), "", (CONCAT(" || Subtribe: ", 'Kegg Taxon'!S35)))</f>
        <v> || Subtribe: --</v>
      </c>
      <c r="R35" s="400" t="str">
        <f>IF(ISBLANK('Kegg Taxon'!T35), "", (CONCAT(" || Genus: ", 'Kegg Taxon'!T35)))</f>
        <v> || Genus: Cucurbita</v>
      </c>
      <c r="S35" s="400" t="str">
        <f t="shared" si="2"/>
        <v>#REF!</v>
      </c>
      <c r="T35" s="400" t="str">
        <f>IF(ISBLANK('Kegg Taxon'!U35), "", (CONCAT(" || Species: ", 'Kegg Taxon'!U35)))</f>
        <v> || Species: maxima</v>
      </c>
      <c r="U35" s="400" t="str">
        <f>IF(ISBLANK('Kegg Taxon'!V35), "", (CONCAT(" || Var/Subsp: ", 'Kegg Taxon'!V35)))</f>
        <v/>
      </c>
      <c r="V35" s="400"/>
      <c r="W35" s="400"/>
      <c r="X35" s="400"/>
      <c r="Y35" s="400"/>
      <c r="Z35" s="400"/>
    </row>
    <row r="36" ht="14.25" customHeight="1">
      <c r="A36" s="401" t="s">
        <v>3603</v>
      </c>
      <c r="B36" s="399" t="str">
        <f t="shared" si="1"/>
        <v>#REF!</v>
      </c>
      <c r="C36" s="400" t="str">
        <f>IF(ISBLANK('Kegg Taxon'!A36), "", (CONCAT("Kegg code: ", 'Kegg Taxon'!A36)))</f>
        <v>Kegg code: cmos</v>
      </c>
      <c r="D36" s="400" t="str">
        <f>IF(ISBLANK('Kegg Taxon'!B36), "", (CONCAT(" || Common name: ", 'Kegg Taxon'!B36)))</f>
        <v> || Common name: Crookneck Pumpkin</v>
      </c>
      <c r="E36" s="400" t="str">
        <f>IF(ISBLANK('Kegg Taxon'!C36), "", (CONCAT(" || Scientific name: ", 'Kegg Taxon'!C36)))</f>
        <v> || Scientific name: Cucurbita moschata</v>
      </c>
      <c r="F36" s="400" t="str">
        <f>IF(ISBLANK('Kegg Taxon'!D36), "", (CONCAT(" || Kingdom: ", 'Kegg Taxon'!D36)))</f>
        <v> || Kingdom: Plantae</v>
      </c>
      <c r="G36" s="400" t="str">
        <f>IF(ISBLANK('Kegg Taxon'!F36), "", (CONCAT(" || Subkingdom: ", 'Kegg Taxon'!F36)))</f>
        <v> || Subkingdom: Viridiplantae</v>
      </c>
      <c r="H36" s="400" t="str">
        <f>IF(ISBLANK('Kegg Taxon'!H36), "", (CONCAT(" || Superdivision: ", 'Kegg Taxon'!H36)))</f>
        <v> || Superdivision: Embryophyta</v>
      </c>
      <c r="I36" s="400" t="str">
        <f>IF(ISBLANK('Kegg Taxon'!I36), "", (CONCAT(" || Phylum: ", 'Kegg Taxon'!I36)))</f>
        <v> || Phylum: Tracheophyta</v>
      </c>
      <c r="J36" s="400" t="str">
        <f>IF(ISBLANK('Kegg Taxon'!J36), "", (CONCAT(" || Subphylum: ", 'Kegg Taxon'!J36)))</f>
        <v> || Subphylum: Spermophytina</v>
      </c>
      <c r="K36" s="400" t="str">
        <f>IF(ISBLANK('Kegg Taxon'!K36), "", (CONCAT(" || Class: ", 'Kegg Taxon'!K36)))</f>
        <v> || Class: Magnoliopsida</v>
      </c>
      <c r="L36" s="400" t="str">
        <f>IF(ISBLANK('Kegg Taxon'!L36), "", (CONCAT(" || Subclass: ", 'Kegg Taxon'!L36)))</f>
        <v> || Subclass: --</v>
      </c>
      <c r="M36" s="400" t="str">
        <f>IF(ISBLANK('Kegg Taxon'!O36), "", (CONCAT(" || Order: ", 'Kegg Taxon'!O36)))</f>
        <v> || Order: Cucurbitales</v>
      </c>
      <c r="N36" s="400" t="str">
        <f>IF(ISBLANK('Kegg Taxon'!P36), "", (CONCAT(" || Family: ", 'Kegg Taxon'!P36)))</f>
        <v> || Family: Cucurbitaceae</v>
      </c>
      <c r="O36" s="400" t="str">
        <f>IF(ISBLANK('Kegg Taxon'!Q36), "", (CONCAT(" || Subfamily: ", 'Kegg Taxon'!Q36)))</f>
        <v> || Subfamily: --</v>
      </c>
      <c r="P36" s="400" t="str">
        <f>IF(ISBLANK('Kegg Taxon'!R36), "", (CONCAT(" || Tribe: ", 'Kegg Taxon'!R36)))</f>
        <v> || Tribe: Cucurbiteae</v>
      </c>
      <c r="Q36" s="400" t="str">
        <f>IF(ISBLANK('Kegg Taxon'!S36), "", (CONCAT(" || Subtribe: ", 'Kegg Taxon'!S36)))</f>
        <v> || Subtribe: --</v>
      </c>
      <c r="R36" s="400" t="str">
        <f>IF(ISBLANK('Kegg Taxon'!T36), "", (CONCAT(" || Genus: ", 'Kegg Taxon'!T36)))</f>
        <v> || Genus: Cucurbita</v>
      </c>
      <c r="S36" s="400" t="str">
        <f t="shared" si="2"/>
        <v>#REF!</v>
      </c>
      <c r="T36" s="400" t="str">
        <f>IF(ISBLANK('Kegg Taxon'!U36), "", (CONCAT(" || Species: ", 'Kegg Taxon'!U36)))</f>
        <v> || Species: moschata</v>
      </c>
      <c r="U36" s="400" t="str">
        <f>IF(ISBLANK('Kegg Taxon'!V36), "", (CONCAT(" || Var/Subsp: ", 'Kegg Taxon'!V36)))</f>
        <v/>
      </c>
      <c r="V36" s="400"/>
      <c r="W36" s="400"/>
      <c r="X36" s="400"/>
      <c r="Y36" s="400"/>
      <c r="Z36" s="400"/>
    </row>
    <row r="37" ht="14.25" customHeight="1">
      <c r="A37" s="401" t="s">
        <v>3604</v>
      </c>
      <c r="B37" s="399" t="str">
        <f t="shared" si="1"/>
        <v>#REF!</v>
      </c>
      <c r="C37" s="400" t="str">
        <f>IF(ISBLANK('Kegg Taxon'!A37), "", (CONCAT("Kegg code: ", 'Kegg Taxon'!A37)))</f>
        <v>Kegg code: cpep</v>
      </c>
      <c r="D37" s="400" t="str">
        <f>IF(ISBLANK('Kegg Taxon'!B37), "", (CONCAT(" || Common name: ", 'Kegg Taxon'!B37)))</f>
        <v> || Common name: Vegetable Marrow</v>
      </c>
      <c r="E37" s="400" t="str">
        <f>IF(ISBLANK('Kegg Taxon'!C37), "", (CONCAT(" || Scientific name: ", 'Kegg Taxon'!C37)))</f>
        <v> || Scientific name: Cucurbita pepo</v>
      </c>
      <c r="F37" s="400" t="str">
        <f>IF(ISBLANK('Kegg Taxon'!D37), "", (CONCAT(" || Kingdom: ", 'Kegg Taxon'!D37)))</f>
        <v> || Kingdom: Plantae</v>
      </c>
      <c r="G37" s="400" t="str">
        <f>IF(ISBLANK('Kegg Taxon'!F37), "", (CONCAT(" || Subkingdom: ", 'Kegg Taxon'!F37)))</f>
        <v> || Subkingdom: Viridiplantae</v>
      </c>
      <c r="H37" s="400" t="str">
        <f>IF(ISBLANK('Kegg Taxon'!H37), "", (CONCAT(" || Superdivision: ", 'Kegg Taxon'!H37)))</f>
        <v> || Superdivision: Embryophyta</v>
      </c>
      <c r="I37" s="400" t="str">
        <f>IF(ISBLANK('Kegg Taxon'!I37), "", (CONCAT(" || Phylum: ", 'Kegg Taxon'!I37)))</f>
        <v> || Phylum: Tracheophyta</v>
      </c>
      <c r="J37" s="400" t="str">
        <f>IF(ISBLANK('Kegg Taxon'!J37), "", (CONCAT(" || Subphylum: ", 'Kegg Taxon'!J37)))</f>
        <v> || Subphylum: Spermophytina</v>
      </c>
      <c r="K37" s="400" t="str">
        <f>IF(ISBLANK('Kegg Taxon'!K37), "", (CONCAT(" || Class: ", 'Kegg Taxon'!K37)))</f>
        <v> || Class: Magnoliopsida</v>
      </c>
      <c r="L37" s="400" t="str">
        <f>IF(ISBLANK('Kegg Taxon'!L37), "", (CONCAT(" || Subclass: ", 'Kegg Taxon'!L37)))</f>
        <v> || Subclass: --</v>
      </c>
      <c r="M37" s="400" t="str">
        <f>IF(ISBLANK('Kegg Taxon'!O37), "", (CONCAT(" || Order: ", 'Kegg Taxon'!O37)))</f>
        <v> || Order: Cucurbitales</v>
      </c>
      <c r="N37" s="400" t="str">
        <f>IF(ISBLANK('Kegg Taxon'!P37), "", (CONCAT(" || Family: ", 'Kegg Taxon'!P37)))</f>
        <v> || Family: Cucurbitaceae</v>
      </c>
      <c r="O37" s="400" t="str">
        <f>IF(ISBLANK('Kegg Taxon'!Q37), "", (CONCAT(" || Subfamily: ", 'Kegg Taxon'!Q37)))</f>
        <v> || Subfamily: --</v>
      </c>
      <c r="P37" s="400" t="str">
        <f>IF(ISBLANK('Kegg Taxon'!R37), "", (CONCAT(" || Tribe: ", 'Kegg Taxon'!R37)))</f>
        <v> || Tribe: Cucurbiteae</v>
      </c>
      <c r="Q37" s="400" t="str">
        <f>IF(ISBLANK('Kegg Taxon'!S37), "", (CONCAT(" || Subtribe: ", 'Kegg Taxon'!S37)))</f>
        <v> || Subtribe: --</v>
      </c>
      <c r="R37" s="400" t="str">
        <f>IF(ISBLANK('Kegg Taxon'!T37), "", (CONCAT(" || Genus: ", 'Kegg Taxon'!T37)))</f>
        <v> || Genus: Cucurbita</v>
      </c>
      <c r="S37" s="400" t="str">
        <f t="shared" si="2"/>
        <v>#REF!</v>
      </c>
      <c r="T37" s="400" t="str">
        <f>IF(ISBLANK('Kegg Taxon'!U37), "", (CONCAT(" || Species: ", 'Kegg Taxon'!U37)))</f>
        <v> || Species: pepo</v>
      </c>
      <c r="U37" s="400" t="str">
        <f>IF(ISBLANK('Kegg Taxon'!V37), "", (CONCAT(" || Var/Subsp: ", 'Kegg Taxon'!V37)))</f>
        <v> || Var/Subsp: pepo</v>
      </c>
      <c r="V37" s="400"/>
      <c r="W37" s="400"/>
      <c r="X37" s="400"/>
      <c r="Y37" s="400"/>
      <c r="Z37" s="400"/>
    </row>
    <row r="38" ht="14.25" customHeight="1">
      <c r="A38" s="401" t="s">
        <v>3605</v>
      </c>
      <c r="B38" s="399" t="str">
        <f t="shared" si="1"/>
        <v>#REF!</v>
      </c>
      <c r="C38" s="400" t="str">
        <f>IF(ISBLANK('Kegg Taxon'!A38), "", (CONCAT("Kegg code: ", 'Kegg Taxon'!A38)))</f>
        <v>Kegg code: mcha</v>
      </c>
      <c r="D38" s="400" t="str">
        <f>IF(ISBLANK('Kegg Taxon'!B38), "", (CONCAT(" || Common name: ", 'Kegg Taxon'!B38)))</f>
        <v> || Common name: Bitter Melon</v>
      </c>
      <c r="E38" s="400" t="str">
        <f>IF(ISBLANK('Kegg Taxon'!C38), "", (CONCAT(" || Scientific name: ", 'Kegg Taxon'!C38)))</f>
        <v> || Scientific name: Momordica charantia</v>
      </c>
      <c r="F38" s="400" t="str">
        <f>IF(ISBLANK('Kegg Taxon'!D38), "", (CONCAT(" || Kingdom: ", 'Kegg Taxon'!D38)))</f>
        <v> || Kingdom: Plantae</v>
      </c>
      <c r="G38" s="400" t="str">
        <f>IF(ISBLANK('Kegg Taxon'!F38), "", (CONCAT(" || Subkingdom: ", 'Kegg Taxon'!F38)))</f>
        <v> || Subkingdom: Viridiplantae</v>
      </c>
      <c r="H38" s="400" t="str">
        <f>IF(ISBLANK('Kegg Taxon'!H38), "", (CONCAT(" || Superdivision: ", 'Kegg Taxon'!H38)))</f>
        <v> || Superdivision: Embryophyta</v>
      </c>
      <c r="I38" s="400" t="str">
        <f>IF(ISBLANK('Kegg Taxon'!I38), "", (CONCAT(" || Phylum: ", 'Kegg Taxon'!I38)))</f>
        <v> || Phylum: Tracheophyta</v>
      </c>
      <c r="J38" s="400" t="str">
        <f>IF(ISBLANK('Kegg Taxon'!J38), "", (CONCAT(" || Subphylum: ", 'Kegg Taxon'!J38)))</f>
        <v> || Subphylum: Spermophytina</v>
      </c>
      <c r="K38" s="400" t="str">
        <f>IF(ISBLANK('Kegg Taxon'!K38), "", (CONCAT(" || Class: ", 'Kegg Taxon'!K38)))</f>
        <v> || Class: Magnoliopsida</v>
      </c>
      <c r="L38" s="400" t="str">
        <f>IF(ISBLANK('Kegg Taxon'!L38), "", (CONCAT(" || Subclass: ", 'Kegg Taxon'!L38)))</f>
        <v> || Subclass: --</v>
      </c>
      <c r="M38" s="400" t="str">
        <f>IF(ISBLANK('Kegg Taxon'!O38), "", (CONCAT(" || Order: ", 'Kegg Taxon'!O38)))</f>
        <v> || Order: Cucurbitales</v>
      </c>
      <c r="N38" s="400" t="str">
        <f>IF(ISBLANK('Kegg Taxon'!P38), "", (CONCAT(" || Family: ", 'Kegg Taxon'!P38)))</f>
        <v> || Family: Cucurbitaceae</v>
      </c>
      <c r="O38" s="400" t="str">
        <f>IF(ISBLANK('Kegg Taxon'!Q38), "", (CONCAT(" || Subfamily: ", 'Kegg Taxon'!Q38)))</f>
        <v> || Subfamily: --</v>
      </c>
      <c r="P38" s="400" t="str">
        <f>IF(ISBLANK('Kegg Taxon'!R38), "", (CONCAT(" || Tribe: ", 'Kegg Taxon'!R38)))</f>
        <v> || Tribe: Momordiceae</v>
      </c>
      <c r="Q38" s="400" t="str">
        <f>IF(ISBLANK('Kegg Taxon'!S38), "", (CONCAT(" || Subtribe: ", 'Kegg Taxon'!S38)))</f>
        <v> || Subtribe: --</v>
      </c>
      <c r="R38" s="400" t="str">
        <f>IF(ISBLANK('Kegg Taxon'!T38), "", (CONCAT(" || Genus: ", 'Kegg Taxon'!T38)))</f>
        <v> || Genus: Momordica</v>
      </c>
      <c r="S38" s="400" t="str">
        <f t="shared" si="2"/>
        <v>#REF!</v>
      </c>
      <c r="T38" s="400" t="str">
        <f>IF(ISBLANK('Kegg Taxon'!U38), "", (CONCAT(" || Species: ", 'Kegg Taxon'!U38)))</f>
        <v> || Species: charantia</v>
      </c>
      <c r="U38" s="400" t="str">
        <f>IF(ISBLANK('Kegg Taxon'!V38), "", (CONCAT(" || Var/Subsp: ", 'Kegg Taxon'!V38)))</f>
        <v/>
      </c>
      <c r="V38" s="400"/>
      <c r="W38" s="400"/>
      <c r="X38" s="400"/>
      <c r="Y38" s="400"/>
      <c r="Z38" s="400"/>
    </row>
    <row r="39" ht="14.25" customHeight="1">
      <c r="A39" s="401" t="s">
        <v>3606</v>
      </c>
      <c r="B39" s="399" t="str">
        <f t="shared" si="1"/>
        <v>#REF!</v>
      </c>
      <c r="C39" s="400" t="str">
        <f>IF(ISBLANK('Kegg Taxon'!A39), "", (CONCAT("Kegg code: ", 'Kegg Taxon'!A39)))</f>
        <v>Kegg code: cme</v>
      </c>
      <c r="D39" s="400" t="str">
        <f>IF(ISBLANK('Kegg Taxon'!B39), "", (CONCAT(" || Common name: ", 'Kegg Taxon'!B39)))</f>
        <v> || Common name: Extremophile Unicellular Red Algae</v>
      </c>
      <c r="E39" s="400" t="str">
        <f>IF(ISBLANK('Kegg Taxon'!C39), "", (CONCAT(" || Scientific name: ", 'Kegg Taxon'!C39)))</f>
        <v> || Scientific name: Cyanidioschyzon merolae</v>
      </c>
      <c r="F39" s="400" t="str">
        <f>IF(ISBLANK('Kegg Taxon'!D39), "", (CONCAT(" || Kingdom: ", 'Kegg Taxon'!D39)))</f>
        <v> || Kingdom: Plantae</v>
      </c>
      <c r="G39" s="400" t="str">
        <f>IF(ISBLANK('Kegg Taxon'!F39), "", (CONCAT(" || Subkingdom: ", 'Kegg Taxon'!F39)))</f>
        <v> || Subkingdom: Biliphyta</v>
      </c>
      <c r="H39" s="400" t="str">
        <f>IF(ISBLANK('Kegg Taxon'!H39), "", (CONCAT(" || Superdivision: ", 'Kegg Taxon'!H39)))</f>
        <v> || Superdivision: --</v>
      </c>
      <c r="I39" s="400" t="str">
        <f>IF(ISBLANK('Kegg Taxon'!I39), "", (CONCAT(" || Phylum: ", 'Kegg Taxon'!I39)))</f>
        <v> || Phylum: Rhodophyta (red algae)</v>
      </c>
      <c r="J39" s="400" t="str">
        <f>IF(ISBLANK('Kegg Taxon'!J39), "", (CONCAT(" || Subphylum: ", 'Kegg Taxon'!J39)))</f>
        <v> || Subphylum: Eurhodophytina</v>
      </c>
      <c r="K39" s="400" t="str">
        <f>IF(ISBLANK('Kegg Taxon'!K39), "", (CONCAT(" || Class: ", 'Kegg Taxon'!K39)))</f>
        <v> || Class: Bangiophycideae</v>
      </c>
      <c r="L39" s="400" t="str">
        <f>IF(ISBLANK('Kegg Taxon'!L39), "", (CONCAT(" || Subclass: ", 'Kegg Taxon'!L39)))</f>
        <v> || Subclass: --</v>
      </c>
      <c r="M39" s="400" t="str">
        <f>IF(ISBLANK('Kegg Taxon'!O39), "", (CONCAT(" || Order: ", 'Kegg Taxon'!O39)))</f>
        <v> || Order: Cyanidiales</v>
      </c>
      <c r="N39" s="400" t="str">
        <f>IF(ISBLANK('Kegg Taxon'!P39), "", (CONCAT(" || Family: ", 'Kegg Taxon'!P39)))</f>
        <v> || Family: Cyanidiaceae</v>
      </c>
      <c r="O39" s="400" t="str">
        <f>IF(ISBLANK('Kegg Taxon'!Q39), "", (CONCAT(" || Subfamily: ", 'Kegg Taxon'!Q39)))</f>
        <v> || Subfamily: --</v>
      </c>
      <c r="P39" s="400" t="str">
        <f>IF(ISBLANK('Kegg Taxon'!R39), "", (CONCAT(" || Tribe: ", 'Kegg Taxon'!R39)))</f>
        <v> || Tribe: --</v>
      </c>
      <c r="Q39" s="400" t="str">
        <f>IF(ISBLANK('Kegg Taxon'!S39), "", (CONCAT(" || Subtribe: ", 'Kegg Taxon'!S39)))</f>
        <v> || Subtribe: --</v>
      </c>
      <c r="R39" s="400" t="str">
        <f>IF(ISBLANK('Kegg Taxon'!T39), "", (CONCAT(" || Genus: ", 'Kegg Taxon'!T39)))</f>
        <v> || Genus: Cyanidioschyzon</v>
      </c>
      <c r="S39" s="400" t="str">
        <f t="shared" si="2"/>
        <v>#REF!</v>
      </c>
      <c r="T39" s="400" t="str">
        <f>IF(ISBLANK('Kegg Taxon'!U39), "", (CONCAT(" || Species: ", 'Kegg Taxon'!U39)))</f>
        <v> || Species: merolae</v>
      </c>
      <c r="U39" s="400" t="str">
        <f>IF(ISBLANK('Kegg Taxon'!V39), "", (CONCAT(" || Var/Subsp: ", 'Kegg Taxon'!V39)))</f>
        <v/>
      </c>
      <c r="V39" s="400"/>
      <c r="W39" s="400"/>
      <c r="X39" s="400"/>
      <c r="Y39" s="400"/>
      <c r="Z39" s="400"/>
    </row>
    <row r="40" ht="14.25" customHeight="1">
      <c r="A40" s="401" t="s">
        <v>3607</v>
      </c>
      <c r="B40" s="399" t="str">
        <f t="shared" si="1"/>
        <v>#REF!</v>
      </c>
      <c r="C40" s="400" t="str">
        <f>IF(ISBLANK('Kegg Taxon'!A40), "", (CONCAT("Kegg code: ", 'Kegg Taxon'!A40)))</f>
        <v>Kegg code: gsl</v>
      </c>
      <c r="D40" s="400" t="str">
        <f>IF(ISBLANK('Kegg Taxon'!B40), "", (CONCAT(" || Common name: ", 'Kegg Taxon'!B40)))</f>
        <v> || Common name: Italian Freshwater Alga</v>
      </c>
      <c r="E40" s="400" t="str">
        <f>IF(ISBLANK('Kegg Taxon'!C40), "", (CONCAT(" || Scientific name: ", 'Kegg Taxon'!C40)))</f>
        <v> || Scientific name: Galdieria sulphuraria</v>
      </c>
      <c r="F40" s="400" t="str">
        <f>IF(ISBLANK('Kegg Taxon'!D40), "", (CONCAT(" || Kingdom: ", 'Kegg Taxon'!D40)))</f>
        <v> || Kingdom: Plantae</v>
      </c>
      <c r="G40" s="400" t="str">
        <f>IF(ISBLANK('Kegg Taxon'!F40), "", (CONCAT(" || Subkingdom: ", 'Kegg Taxon'!F40)))</f>
        <v> || Subkingdom: Biliphyta</v>
      </c>
      <c r="H40" s="400" t="str">
        <f>IF(ISBLANK('Kegg Taxon'!H40), "", (CONCAT(" || Superdivision: ", 'Kegg Taxon'!H40)))</f>
        <v> || Superdivision: --</v>
      </c>
      <c r="I40" s="400" t="str">
        <f>IF(ISBLANK('Kegg Taxon'!I40), "", (CONCAT(" || Phylum: ", 'Kegg Taxon'!I40)))</f>
        <v> || Phylum: Rhodophyta (red algae)</v>
      </c>
      <c r="J40" s="400" t="str">
        <f>IF(ISBLANK('Kegg Taxon'!J40), "", (CONCAT(" || Subphylum: ", 'Kegg Taxon'!J40)))</f>
        <v> || Subphylum: Eurhodophytina</v>
      </c>
      <c r="K40" s="400" t="str">
        <f>IF(ISBLANK('Kegg Taxon'!K40), "", (CONCAT(" || Class: ", 'Kegg Taxon'!K40)))</f>
        <v> || Class: Bangiophycideae</v>
      </c>
      <c r="L40" s="400" t="str">
        <f>IF(ISBLANK('Kegg Taxon'!L40), "", (CONCAT(" || Subclass: ", 'Kegg Taxon'!L40)))</f>
        <v> || Subclass: --</v>
      </c>
      <c r="M40" s="400" t="str">
        <f>IF(ISBLANK('Kegg Taxon'!O40), "", (CONCAT(" || Order: ", 'Kegg Taxon'!O40)))</f>
        <v> || Order: Cyanidiales</v>
      </c>
      <c r="N40" s="400" t="str">
        <f>IF(ISBLANK('Kegg Taxon'!P40), "", (CONCAT(" || Family: ", 'Kegg Taxon'!P40)))</f>
        <v> || Family: Cyanidiaceae</v>
      </c>
      <c r="O40" s="400" t="str">
        <f>IF(ISBLANK('Kegg Taxon'!Q40), "", (CONCAT(" || Subfamily: ", 'Kegg Taxon'!Q40)))</f>
        <v> || Subfamily: --</v>
      </c>
      <c r="P40" s="400" t="str">
        <f>IF(ISBLANK('Kegg Taxon'!R40), "", (CONCAT(" || Tribe: ", 'Kegg Taxon'!R40)))</f>
        <v> || Tribe: --</v>
      </c>
      <c r="Q40" s="400" t="str">
        <f>IF(ISBLANK('Kegg Taxon'!S40), "", (CONCAT(" || Subtribe: ", 'Kegg Taxon'!S40)))</f>
        <v> || Subtribe: --</v>
      </c>
      <c r="R40" s="400" t="str">
        <f>IF(ISBLANK('Kegg Taxon'!T40), "", (CONCAT(" || Genus: ", 'Kegg Taxon'!T40)))</f>
        <v> || Genus: Galdiera</v>
      </c>
      <c r="S40" s="400" t="str">
        <f t="shared" si="2"/>
        <v>#REF!</v>
      </c>
      <c r="T40" s="400" t="str">
        <f>IF(ISBLANK('Kegg Taxon'!U40), "", (CONCAT(" || Species: ", 'Kegg Taxon'!U40)))</f>
        <v> || Species: sulphuraria</v>
      </c>
      <c r="U40" s="400" t="str">
        <f>IF(ISBLANK('Kegg Taxon'!V40), "", (CONCAT(" || Var/Subsp: ", 'Kegg Taxon'!V40)))</f>
        <v/>
      </c>
      <c r="V40" s="400"/>
      <c r="W40" s="400"/>
      <c r="X40" s="400"/>
      <c r="Y40" s="400"/>
      <c r="Z40" s="400"/>
    </row>
    <row r="41" ht="14.25" customHeight="1">
      <c r="A41" s="401" t="s">
        <v>3608</v>
      </c>
      <c r="B41" s="399" t="str">
        <f t="shared" si="1"/>
        <v>#REF!</v>
      </c>
      <c r="C41" s="400" t="str">
        <f>IF(ISBLANK('Kegg Taxon'!A41), "", (CONCAT("Kegg code: ", 'Kegg Taxon'!A41)))</f>
        <v>Kegg code: hbr</v>
      </c>
      <c r="D41" s="400" t="str">
        <f>IF(ISBLANK('Kegg Taxon'!B41), "", (CONCAT(" || Common name: ", 'Kegg Taxon'!B41)))</f>
        <v> || Common name: Rubber Tree</v>
      </c>
      <c r="E41" s="400" t="str">
        <f>IF(ISBLANK('Kegg Taxon'!C41), "", (CONCAT(" || Scientific name: ", 'Kegg Taxon'!C41)))</f>
        <v> || Scientific name: Hevea brasiliensis</v>
      </c>
      <c r="F41" s="400" t="str">
        <f>IF(ISBLANK('Kegg Taxon'!D41), "", (CONCAT(" || Kingdom: ", 'Kegg Taxon'!D41)))</f>
        <v> || Kingdom: Plantae</v>
      </c>
      <c r="G41" s="400" t="str">
        <f>IF(ISBLANK('Kegg Taxon'!F41), "", (CONCAT(" || Subkingdom: ", 'Kegg Taxon'!F41)))</f>
        <v> || Subkingdom: Viridiplantae</v>
      </c>
      <c r="H41" s="400" t="str">
        <f>IF(ISBLANK('Kegg Taxon'!H41), "", (CONCAT(" || Superdivision: ", 'Kegg Taxon'!H41)))</f>
        <v> || Superdivision: Embryophyta</v>
      </c>
      <c r="I41" s="400" t="str">
        <f>IF(ISBLANK('Kegg Taxon'!I41), "", (CONCAT(" || Phylum: ", 'Kegg Taxon'!I41)))</f>
        <v> || Phylum: Tracheophyta</v>
      </c>
      <c r="J41" s="400" t="str">
        <f>IF(ISBLANK('Kegg Taxon'!J41), "", (CONCAT(" || Subphylum: ", 'Kegg Taxon'!J41)))</f>
        <v> || Subphylum: Spermophytina</v>
      </c>
      <c r="K41" s="400" t="str">
        <f>IF(ISBLANK('Kegg Taxon'!K41), "", (CONCAT(" || Class: ", 'Kegg Taxon'!K41)))</f>
        <v> || Class: Magnoliopsida</v>
      </c>
      <c r="L41" s="400" t="str">
        <f>IF(ISBLANK('Kegg Taxon'!L41), "", (CONCAT(" || Subclass: ", 'Kegg Taxon'!L41)))</f>
        <v> || Subclass: --</v>
      </c>
      <c r="M41" s="400" t="str">
        <f>IF(ISBLANK('Kegg Taxon'!O41), "", (CONCAT(" || Order: ", 'Kegg Taxon'!O41)))</f>
        <v> || Order: Malpighiales</v>
      </c>
      <c r="N41" s="400" t="str">
        <f>IF(ISBLANK('Kegg Taxon'!P41), "", (CONCAT(" || Family: ", 'Kegg Taxon'!P41)))</f>
        <v> || Family: Euphorbiaceae</v>
      </c>
      <c r="O41" s="400" t="str">
        <f>IF(ISBLANK('Kegg Taxon'!Q41), "", (CONCAT(" || Subfamily: ", 'Kegg Taxon'!Q41)))</f>
        <v> || Subfamily: Crotonoideae</v>
      </c>
      <c r="P41" s="400" t="str">
        <f>IF(ISBLANK('Kegg Taxon'!R41), "", (CONCAT(" || Tribe: ", 'Kegg Taxon'!R41)))</f>
        <v> || Tribe: Micrandreae</v>
      </c>
      <c r="Q41" s="400" t="str">
        <f>IF(ISBLANK('Kegg Taxon'!S41), "", (CONCAT(" || Subtribe: ", 'Kegg Taxon'!S41)))</f>
        <v> || Subtribe: --</v>
      </c>
      <c r="R41" s="400" t="str">
        <f>IF(ISBLANK('Kegg Taxon'!T41), "", (CONCAT(" || Genus: ", 'Kegg Taxon'!T41)))</f>
        <v> || Genus: Hevea</v>
      </c>
      <c r="S41" s="400" t="str">
        <f t="shared" si="2"/>
        <v>#REF!</v>
      </c>
      <c r="T41" s="400" t="str">
        <f>IF(ISBLANK('Kegg Taxon'!U41), "", (CONCAT(" || Species: ", 'Kegg Taxon'!U41)))</f>
        <v> || Species: brasiliensis</v>
      </c>
      <c r="U41" s="400" t="str">
        <f>IF(ISBLANK('Kegg Taxon'!V41), "", (CONCAT(" || Var/Subsp: ", 'Kegg Taxon'!V41)))</f>
        <v/>
      </c>
      <c r="V41" s="400"/>
      <c r="W41" s="400"/>
      <c r="X41" s="400"/>
      <c r="Y41" s="400"/>
      <c r="Z41" s="400"/>
    </row>
    <row r="42" ht="14.25" customHeight="1">
      <c r="A42" s="401" t="s">
        <v>3609</v>
      </c>
      <c r="B42" s="399" t="str">
        <f t="shared" si="1"/>
        <v>#REF!</v>
      </c>
      <c r="C42" s="400" t="str">
        <f>IF(ISBLANK('Kegg Taxon'!A42), "", (CONCAT("Kegg code: ", 'Kegg Taxon'!A42)))</f>
        <v>Kegg code: jcu</v>
      </c>
      <c r="D42" s="400" t="str">
        <f>IF(ISBLANK('Kegg Taxon'!B42), "", (CONCAT(" || Common name: ", 'Kegg Taxon'!B42)))</f>
        <v> || Common name: Barbados Nut</v>
      </c>
      <c r="E42" s="400" t="str">
        <f>IF(ISBLANK('Kegg Taxon'!C42), "", (CONCAT(" || Scientific name: ", 'Kegg Taxon'!C42)))</f>
        <v> || Scientific name: Jatropha curcas</v>
      </c>
      <c r="F42" s="400" t="str">
        <f>IF(ISBLANK('Kegg Taxon'!D42), "", (CONCAT(" || Kingdom: ", 'Kegg Taxon'!D42)))</f>
        <v> || Kingdom: Plantae</v>
      </c>
      <c r="G42" s="400" t="str">
        <f>IF(ISBLANK('Kegg Taxon'!F42), "", (CONCAT(" || Subkingdom: ", 'Kegg Taxon'!F42)))</f>
        <v> || Subkingdom: Viridiplantae</v>
      </c>
      <c r="H42" s="400" t="str">
        <f>IF(ISBLANK('Kegg Taxon'!H42), "", (CONCAT(" || Superdivision: ", 'Kegg Taxon'!H42)))</f>
        <v> || Superdivision: Embryophyta</v>
      </c>
      <c r="I42" s="400" t="str">
        <f>IF(ISBLANK('Kegg Taxon'!I42), "", (CONCAT(" || Phylum: ", 'Kegg Taxon'!I42)))</f>
        <v> || Phylum: Tracheophyta</v>
      </c>
      <c r="J42" s="400" t="str">
        <f>IF(ISBLANK('Kegg Taxon'!J42), "", (CONCAT(" || Subphylum: ", 'Kegg Taxon'!J42)))</f>
        <v> || Subphylum: Spermophytina</v>
      </c>
      <c r="K42" s="400" t="str">
        <f>IF(ISBLANK('Kegg Taxon'!K42), "", (CONCAT(" || Class: ", 'Kegg Taxon'!K42)))</f>
        <v> || Class: Magnoliopsida</v>
      </c>
      <c r="L42" s="400" t="str">
        <f>IF(ISBLANK('Kegg Taxon'!L42), "", (CONCAT(" || Subclass: ", 'Kegg Taxon'!L42)))</f>
        <v> || Subclass: --</v>
      </c>
      <c r="M42" s="400" t="str">
        <f>IF(ISBLANK('Kegg Taxon'!O42), "", (CONCAT(" || Order: ", 'Kegg Taxon'!O42)))</f>
        <v> || Order: Malpighiales</v>
      </c>
      <c r="N42" s="400" t="str">
        <f>IF(ISBLANK('Kegg Taxon'!P42), "", (CONCAT(" || Family: ", 'Kegg Taxon'!P42)))</f>
        <v> || Family: Euphorbiaceae</v>
      </c>
      <c r="O42" s="400" t="str">
        <f>IF(ISBLANK('Kegg Taxon'!Q42), "", (CONCAT(" || Subfamily: ", 'Kegg Taxon'!Q42)))</f>
        <v> || Subfamily: Crotonoideae</v>
      </c>
      <c r="P42" s="400" t="str">
        <f>IF(ISBLANK('Kegg Taxon'!R42), "", (CONCAT(" || Tribe: ", 'Kegg Taxon'!R42)))</f>
        <v> || Tribe: Jatropheae</v>
      </c>
      <c r="Q42" s="400" t="str">
        <f>IF(ISBLANK('Kegg Taxon'!S42), "", (CONCAT(" || Subtribe: ", 'Kegg Taxon'!S42)))</f>
        <v> || Subtribe: --</v>
      </c>
      <c r="R42" s="400" t="str">
        <f>IF(ISBLANK('Kegg Taxon'!T42), "", (CONCAT(" || Genus: ", 'Kegg Taxon'!T42)))</f>
        <v> || Genus: Jatropha</v>
      </c>
      <c r="S42" s="400" t="str">
        <f t="shared" si="2"/>
        <v>#REF!</v>
      </c>
      <c r="T42" s="400" t="str">
        <f>IF(ISBLANK('Kegg Taxon'!U42), "", (CONCAT(" || Species: ", 'Kegg Taxon'!U42)))</f>
        <v> || Species: curcas</v>
      </c>
      <c r="U42" s="400" t="str">
        <f>IF(ISBLANK('Kegg Taxon'!V42), "", (CONCAT(" || Var/Subsp: ", 'Kegg Taxon'!V42)))</f>
        <v/>
      </c>
      <c r="V42" s="400"/>
      <c r="W42" s="400"/>
      <c r="X42" s="400"/>
      <c r="Y42" s="400"/>
      <c r="Z42" s="400"/>
    </row>
    <row r="43" ht="14.25" customHeight="1">
      <c r="A43" s="401" t="s">
        <v>3610</v>
      </c>
      <c r="B43" s="399" t="str">
        <f t="shared" si="1"/>
        <v>#REF!</v>
      </c>
      <c r="C43" s="400" t="str">
        <f>IF(ISBLANK('Kegg Taxon'!A43), "", (CONCAT("Kegg code: ", 'Kegg Taxon'!A43)))</f>
        <v>Kegg code: mesc</v>
      </c>
      <c r="D43" s="400" t="str">
        <f>IF(ISBLANK('Kegg Taxon'!B43), "", (CONCAT(" || Common name: ", 'Kegg Taxon'!B43)))</f>
        <v> || Common name: Cassava</v>
      </c>
      <c r="E43" s="400" t="str">
        <f>IF(ISBLANK('Kegg Taxon'!C43), "", (CONCAT(" || Scientific name: ", 'Kegg Taxon'!C43)))</f>
        <v> || Scientific name: Manihot esculenta</v>
      </c>
      <c r="F43" s="400" t="str">
        <f>IF(ISBLANK('Kegg Taxon'!D43), "", (CONCAT(" || Kingdom: ", 'Kegg Taxon'!D43)))</f>
        <v> || Kingdom: Plantae</v>
      </c>
      <c r="G43" s="400" t="str">
        <f>IF(ISBLANK('Kegg Taxon'!F43), "", (CONCAT(" || Subkingdom: ", 'Kegg Taxon'!F43)))</f>
        <v> || Subkingdom: Viridiplantae</v>
      </c>
      <c r="H43" s="400" t="str">
        <f>IF(ISBLANK('Kegg Taxon'!H43), "", (CONCAT(" || Superdivision: ", 'Kegg Taxon'!H43)))</f>
        <v> || Superdivision: Embryophyta</v>
      </c>
      <c r="I43" s="400" t="str">
        <f>IF(ISBLANK('Kegg Taxon'!I43), "", (CONCAT(" || Phylum: ", 'Kegg Taxon'!I43)))</f>
        <v> || Phylum: Tracheophyta</v>
      </c>
      <c r="J43" s="400" t="str">
        <f>IF(ISBLANK('Kegg Taxon'!J43), "", (CONCAT(" || Subphylum: ", 'Kegg Taxon'!J43)))</f>
        <v> || Subphylum: Spermophytina</v>
      </c>
      <c r="K43" s="400" t="str">
        <f>IF(ISBLANK('Kegg Taxon'!K43), "", (CONCAT(" || Class: ", 'Kegg Taxon'!K43)))</f>
        <v> || Class: Magnoliopsida</v>
      </c>
      <c r="L43" s="400" t="str">
        <f>IF(ISBLANK('Kegg Taxon'!L43), "", (CONCAT(" || Subclass: ", 'Kegg Taxon'!L43)))</f>
        <v> || Subclass: --</v>
      </c>
      <c r="M43" s="400" t="str">
        <f>IF(ISBLANK('Kegg Taxon'!O43), "", (CONCAT(" || Order: ", 'Kegg Taxon'!O43)))</f>
        <v> || Order: Malpighiales</v>
      </c>
      <c r="N43" s="400" t="str">
        <f>IF(ISBLANK('Kegg Taxon'!P43), "", (CONCAT(" || Family: ", 'Kegg Taxon'!P43)))</f>
        <v> || Family: Euphorbiaceae</v>
      </c>
      <c r="O43" s="400" t="str">
        <f>IF(ISBLANK('Kegg Taxon'!Q43), "", (CONCAT(" || Subfamily: ", 'Kegg Taxon'!Q43)))</f>
        <v> || Subfamily: Crotonoideae</v>
      </c>
      <c r="P43" s="400" t="str">
        <f>IF(ISBLANK('Kegg Taxon'!R43), "", (CONCAT(" || Tribe: ", 'Kegg Taxon'!R43)))</f>
        <v> || Tribe: Manihoteae</v>
      </c>
      <c r="Q43" s="400" t="str">
        <f>IF(ISBLANK('Kegg Taxon'!S43), "", (CONCAT(" || Subtribe: ", 'Kegg Taxon'!S43)))</f>
        <v> || Subtribe: --</v>
      </c>
      <c r="R43" s="400" t="str">
        <f>IF(ISBLANK('Kegg Taxon'!T43), "", (CONCAT(" || Genus: ", 'Kegg Taxon'!T43)))</f>
        <v> || Genus: Manihot</v>
      </c>
      <c r="S43" s="400" t="str">
        <f t="shared" si="2"/>
        <v>#REF!</v>
      </c>
      <c r="T43" s="400" t="str">
        <f>IF(ISBLANK('Kegg Taxon'!U43), "", (CONCAT(" || Species: ", 'Kegg Taxon'!U43)))</f>
        <v> || Species: esculenta</v>
      </c>
      <c r="U43" s="400" t="str">
        <f>IF(ISBLANK('Kegg Taxon'!V43), "", (CONCAT(" || Var/Subsp: ", 'Kegg Taxon'!V43)))</f>
        <v/>
      </c>
      <c r="V43" s="400"/>
      <c r="W43" s="400"/>
      <c r="X43" s="400"/>
      <c r="Y43" s="400"/>
      <c r="Z43" s="400"/>
    </row>
    <row r="44" ht="14.25" customHeight="1">
      <c r="A44" s="401" t="s">
        <v>3611</v>
      </c>
      <c r="B44" s="399" t="str">
        <f t="shared" si="1"/>
        <v>#REF!</v>
      </c>
      <c r="C44" s="400" t="str">
        <f>IF(ISBLANK('Kegg Taxon'!A44), "", (CONCAT("Kegg code: ", 'Kegg Taxon'!A44)))</f>
        <v>Kegg code: rcu</v>
      </c>
      <c r="D44" s="400" t="str">
        <f>IF(ISBLANK('Kegg Taxon'!B44), "", (CONCAT(" || Common name: ", 'Kegg Taxon'!B44)))</f>
        <v> || Common name: Castor Bean</v>
      </c>
      <c r="E44" s="400" t="str">
        <f>IF(ISBLANK('Kegg Taxon'!C44), "", (CONCAT(" || Scientific name: ", 'Kegg Taxon'!C44)))</f>
        <v> || Scientific name: Ricinus communis</v>
      </c>
      <c r="F44" s="400" t="str">
        <f>IF(ISBLANK('Kegg Taxon'!D44), "", (CONCAT(" || Kingdom: ", 'Kegg Taxon'!D44)))</f>
        <v> || Kingdom: Plantae</v>
      </c>
      <c r="G44" s="400" t="str">
        <f>IF(ISBLANK('Kegg Taxon'!F44), "", (CONCAT(" || Subkingdom: ", 'Kegg Taxon'!F44)))</f>
        <v> || Subkingdom: Viridiplantae</v>
      </c>
      <c r="H44" s="400" t="str">
        <f>IF(ISBLANK('Kegg Taxon'!H44), "", (CONCAT(" || Superdivision: ", 'Kegg Taxon'!H44)))</f>
        <v> || Superdivision: Embryophyta</v>
      </c>
      <c r="I44" s="400" t="str">
        <f>IF(ISBLANK('Kegg Taxon'!I44), "", (CONCAT(" || Phylum: ", 'Kegg Taxon'!I44)))</f>
        <v> || Phylum: Tracheophyta</v>
      </c>
      <c r="J44" s="400" t="str">
        <f>IF(ISBLANK('Kegg Taxon'!J44), "", (CONCAT(" || Subphylum: ", 'Kegg Taxon'!J44)))</f>
        <v> || Subphylum: Spermophytina</v>
      </c>
      <c r="K44" s="400" t="str">
        <f>IF(ISBLANK('Kegg Taxon'!K44), "", (CONCAT(" || Class: ", 'Kegg Taxon'!K44)))</f>
        <v> || Class: Magnoliopsida</v>
      </c>
      <c r="L44" s="400" t="str">
        <f>IF(ISBLANK('Kegg Taxon'!L44), "", (CONCAT(" || Subclass: ", 'Kegg Taxon'!L44)))</f>
        <v> || Subclass: --</v>
      </c>
      <c r="M44" s="400" t="str">
        <f>IF(ISBLANK('Kegg Taxon'!O44), "", (CONCAT(" || Order: ", 'Kegg Taxon'!O44)))</f>
        <v> || Order: Malpighiales</v>
      </c>
      <c r="N44" s="400" t="str">
        <f>IF(ISBLANK('Kegg Taxon'!P44), "", (CONCAT(" || Family: ", 'Kegg Taxon'!P44)))</f>
        <v> || Family: Euphorbiaceae</v>
      </c>
      <c r="O44" s="400" t="str">
        <f>IF(ISBLANK('Kegg Taxon'!Q44), "", (CONCAT(" || Subfamily: ", 'Kegg Taxon'!Q44)))</f>
        <v> || Subfamily: Acalyphoideae</v>
      </c>
      <c r="P44" s="400" t="str">
        <f>IF(ISBLANK('Kegg Taxon'!R44), "", (CONCAT(" || Tribe: ", 'Kegg Taxon'!R44)))</f>
        <v> || Tribe: Acalypheae</v>
      </c>
      <c r="Q44" s="400" t="str">
        <f>IF(ISBLANK('Kegg Taxon'!S44), "", (CONCAT(" || Subtribe: ", 'Kegg Taxon'!S44)))</f>
        <v> || Subtribe: --</v>
      </c>
      <c r="R44" s="400" t="str">
        <f>IF(ISBLANK('Kegg Taxon'!T44), "", (CONCAT(" || Genus: ", 'Kegg Taxon'!T44)))</f>
        <v> || Genus: Ricinus</v>
      </c>
      <c r="S44" s="400" t="str">
        <f t="shared" si="2"/>
        <v>#REF!</v>
      </c>
      <c r="T44" s="400" t="str">
        <f>IF(ISBLANK('Kegg Taxon'!U44), "", (CONCAT(" || Species: ", 'Kegg Taxon'!U44)))</f>
        <v> || Species: communis</v>
      </c>
      <c r="U44" s="400" t="str">
        <f>IF(ISBLANK('Kegg Taxon'!V44), "", (CONCAT(" || Var/Subsp: ", 'Kegg Taxon'!V44)))</f>
        <v/>
      </c>
      <c r="V44" s="400"/>
      <c r="W44" s="400"/>
      <c r="X44" s="400"/>
      <c r="Y44" s="400"/>
      <c r="Z44" s="400"/>
    </row>
    <row r="45" ht="14.25" customHeight="1">
      <c r="A45" s="401" t="s">
        <v>3612</v>
      </c>
      <c r="B45" s="399" t="str">
        <f t="shared" si="1"/>
        <v>#REF!</v>
      </c>
      <c r="C45" s="400" t="str">
        <f>IF(ISBLANK('Kegg Taxon'!A45), "", (CONCAT("Kegg code: ", 'Kegg Taxon'!A45)))</f>
        <v>Kegg code: adu</v>
      </c>
      <c r="D45" s="400" t="str">
        <f>IF(ISBLANK('Kegg Taxon'!B45), "", (CONCAT(" || Common name: ", 'Kegg Taxon'!B45)))</f>
        <v> || Common name: Peanut Diploid Ancestor</v>
      </c>
      <c r="E45" s="400" t="str">
        <f>IF(ISBLANK('Kegg Taxon'!C45), "", (CONCAT(" || Scientific name: ", 'Kegg Taxon'!C45)))</f>
        <v> || Scientific name: Arachis duranensis</v>
      </c>
      <c r="F45" s="400" t="str">
        <f>IF(ISBLANK('Kegg Taxon'!D45), "", (CONCAT(" || Kingdom: ", 'Kegg Taxon'!D45)))</f>
        <v> || Kingdom: Plantae</v>
      </c>
      <c r="G45" s="400" t="str">
        <f>IF(ISBLANK('Kegg Taxon'!F45), "", (CONCAT(" || Subkingdom: ", 'Kegg Taxon'!F45)))</f>
        <v> || Subkingdom: Viridiplantae</v>
      </c>
      <c r="H45" s="400" t="str">
        <f>IF(ISBLANK('Kegg Taxon'!H45), "", (CONCAT(" || Superdivision: ", 'Kegg Taxon'!H45)))</f>
        <v> || Superdivision: Embryophyta</v>
      </c>
      <c r="I45" s="400" t="str">
        <f>IF(ISBLANK('Kegg Taxon'!I45), "", (CONCAT(" || Phylum: ", 'Kegg Taxon'!I45)))</f>
        <v> || Phylum: Tracheophyta</v>
      </c>
      <c r="J45" s="400" t="str">
        <f>IF(ISBLANK('Kegg Taxon'!J45), "", (CONCAT(" || Subphylum: ", 'Kegg Taxon'!J45)))</f>
        <v> || Subphylum: Spermophytina</v>
      </c>
      <c r="K45" s="400" t="str">
        <f>IF(ISBLANK('Kegg Taxon'!K45), "", (CONCAT(" || Class: ", 'Kegg Taxon'!K45)))</f>
        <v> || Class: Magnoliopsida</v>
      </c>
      <c r="L45" s="400" t="str">
        <f>IF(ISBLANK('Kegg Taxon'!L45), "", (CONCAT(" || Subclass: ", 'Kegg Taxon'!L45)))</f>
        <v> || Subclass: --</v>
      </c>
      <c r="M45" s="400" t="str">
        <f>IF(ISBLANK('Kegg Taxon'!O45), "", (CONCAT(" || Order: ", 'Kegg Taxon'!O45)))</f>
        <v> || Order: Fabales</v>
      </c>
      <c r="N45" s="400" t="str">
        <f>IF(ISBLANK('Kegg Taxon'!P45), "", (CONCAT(" || Family: ", 'Kegg Taxon'!P45)))</f>
        <v> || Family: Fabaceae</v>
      </c>
      <c r="O45" s="400" t="str">
        <f>IF(ISBLANK('Kegg Taxon'!Q45), "", (CONCAT(" || Subfamily: ", 'Kegg Taxon'!Q45)))</f>
        <v> || Subfamily: Papilionoideae</v>
      </c>
      <c r="P45" s="400" t="str">
        <f>IF(ISBLANK('Kegg Taxon'!R45), "", (CONCAT(" || Tribe: ", 'Kegg Taxon'!R45)))</f>
        <v> || Tribe: Dalbergieae</v>
      </c>
      <c r="Q45" s="400" t="str">
        <f>IF(ISBLANK('Kegg Taxon'!S45), "", (CONCAT(" || Subtribe: ", 'Kegg Taxon'!S45)))</f>
        <v> || Subtribe: --</v>
      </c>
      <c r="R45" s="400" t="str">
        <f>IF(ISBLANK('Kegg Taxon'!T45), "", (CONCAT(" || Genus: ", 'Kegg Taxon'!T45)))</f>
        <v> || Genus: Arachis</v>
      </c>
      <c r="S45" s="400" t="str">
        <f t="shared" si="2"/>
        <v>#REF!</v>
      </c>
      <c r="T45" s="400" t="str">
        <f>IF(ISBLANK('Kegg Taxon'!U45), "", (CONCAT(" || Species: ", 'Kegg Taxon'!U45)))</f>
        <v> || Species: duranensis</v>
      </c>
      <c r="U45" s="400" t="str">
        <f>IF(ISBLANK('Kegg Taxon'!V45), "", (CONCAT(" || Var/Subsp: ", 'Kegg Taxon'!V45)))</f>
        <v/>
      </c>
      <c r="V45" s="400"/>
      <c r="W45" s="400"/>
      <c r="X45" s="400"/>
      <c r="Y45" s="400"/>
      <c r="Z45" s="400"/>
    </row>
    <row r="46" ht="14.25" customHeight="1">
      <c r="A46" s="401" t="s">
        <v>3613</v>
      </c>
      <c r="B46" s="399" t="str">
        <f t="shared" si="1"/>
        <v>#REF!</v>
      </c>
      <c r="C46" s="400" t="str">
        <f>IF(ISBLANK('Kegg Taxon'!A46), "", (CONCAT("Kegg code: ", 'Kegg Taxon'!A46)))</f>
        <v>Kegg code: aip</v>
      </c>
      <c r="D46" s="400" t="str">
        <f>IF(ISBLANK('Kegg Taxon'!B46), "", (CONCAT(" || Common name: ", 'Kegg Taxon'!B46)))</f>
        <v> || Common name: Peanut Diploid Ancestor</v>
      </c>
      <c r="E46" s="400" t="str">
        <f>IF(ISBLANK('Kegg Taxon'!C46), "", (CONCAT(" || Scientific name: ", 'Kegg Taxon'!C46)))</f>
        <v> || Scientific name: Arachis ipaensis</v>
      </c>
      <c r="F46" s="400" t="str">
        <f>IF(ISBLANK('Kegg Taxon'!D46), "", (CONCAT(" || Kingdom: ", 'Kegg Taxon'!D46)))</f>
        <v> || Kingdom: Plantae</v>
      </c>
      <c r="G46" s="400" t="str">
        <f>IF(ISBLANK('Kegg Taxon'!F46), "", (CONCAT(" || Subkingdom: ", 'Kegg Taxon'!F46)))</f>
        <v> || Subkingdom: Viridiplantae</v>
      </c>
      <c r="H46" s="400" t="str">
        <f>IF(ISBLANK('Kegg Taxon'!H46), "", (CONCAT(" || Superdivision: ", 'Kegg Taxon'!H46)))</f>
        <v> || Superdivision: Embryophyta</v>
      </c>
      <c r="I46" s="400" t="str">
        <f>IF(ISBLANK('Kegg Taxon'!I46), "", (CONCAT(" || Phylum: ", 'Kegg Taxon'!I46)))</f>
        <v> || Phylum: Tracheophyta</v>
      </c>
      <c r="J46" s="400" t="str">
        <f>IF(ISBLANK('Kegg Taxon'!J46), "", (CONCAT(" || Subphylum: ", 'Kegg Taxon'!J46)))</f>
        <v> || Subphylum: Spermophytina</v>
      </c>
      <c r="K46" s="400" t="str">
        <f>IF(ISBLANK('Kegg Taxon'!K46), "", (CONCAT(" || Class: ", 'Kegg Taxon'!K46)))</f>
        <v> || Class: Magnoliopsida</v>
      </c>
      <c r="L46" s="400" t="str">
        <f>IF(ISBLANK('Kegg Taxon'!L46), "", (CONCAT(" || Subclass: ", 'Kegg Taxon'!L46)))</f>
        <v> || Subclass: --</v>
      </c>
      <c r="M46" s="400" t="str">
        <f>IF(ISBLANK('Kegg Taxon'!O46), "", (CONCAT(" || Order: ", 'Kegg Taxon'!O46)))</f>
        <v> || Order: Fabales</v>
      </c>
      <c r="N46" s="400" t="str">
        <f>IF(ISBLANK('Kegg Taxon'!P46), "", (CONCAT(" || Family: ", 'Kegg Taxon'!P46)))</f>
        <v> || Family: Fabaceae</v>
      </c>
      <c r="O46" s="400" t="str">
        <f>IF(ISBLANK('Kegg Taxon'!Q46), "", (CONCAT(" || Subfamily: ", 'Kegg Taxon'!Q46)))</f>
        <v> || Subfamily: Papilionoideae</v>
      </c>
      <c r="P46" s="400" t="str">
        <f>IF(ISBLANK('Kegg Taxon'!R46), "", (CONCAT(" || Tribe: ", 'Kegg Taxon'!R46)))</f>
        <v> || Tribe: Dalbergieae</v>
      </c>
      <c r="Q46" s="400" t="str">
        <f>IF(ISBLANK('Kegg Taxon'!S46), "", (CONCAT(" || Subtribe: ", 'Kegg Taxon'!S46)))</f>
        <v> || Subtribe: --</v>
      </c>
      <c r="R46" s="400" t="str">
        <f>IF(ISBLANK('Kegg Taxon'!T46), "", (CONCAT(" || Genus: ", 'Kegg Taxon'!T46)))</f>
        <v> || Genus: Arachis</v>
      </c>
      <c r="S46" s="400" t="str">
        <f t="shared" si="2"/>
        <v>#REF!</v>
      </c>
      <c r="T46" s="400" t="str">
        <f>IF(ISBLANK('Kegg Taxon'!U46), "", (CONCAT(" || Species: ", 'Kegg Taxon'!U46)))</f>
        <v> || Species: ipaensis</v>
      </c>
      <c r="U46" s="400" t="str">
        <f>IF(ISBLANK('Kegg Taxon'!V46), "", (CONCAT(" || Var/Subsp: ", 'Kegg Taxon'!V46)))</f>
        <v/>
      </c>
      <c r="V46" s="400"/>
      <c r="W46" s="400"/>
      <c r="X46" s="400"/>
      <c r="Y46" s="400"/>
      <c r="Z46" s="400"/>
    </row>
    <row r="47" ht="14.25" customHeight="1">
      <c r="A47" s="401" t="s">
        <v>3614</v>
      </c>
      <c r="B47" s="399" t="str">
        <f t="shared" si="1"/>
        <v>#REF!</v>
      </c>
      <c r="C47" s="400" t="str">
        <f>IF(ISBLANK('Kegg Taxon'!A47), "", (CONCAT("Kegg code: ", 'Kegg Taxon'!A47)))</f>
        <v>Kegg code: ccaj</v>
      </c>
      <c r="D47" s="400" t="str">
        <f>IF(ISBLANK('Kegg Taxon'!B47), "", (CONCAT(" || Common name: ", 'Kegg Taxon'!B47)))</f>
        <v> || Common name: Pigeon Pea</v>
      </c>
      <c r="E47" s="400" t="str">
        <f>IF(ISBLANK('Kegg Taxon'!C47), "", (CONCAT(" || Scientific name: ", 'Kegg Taxon'!C47)))</f>
        <v> || Scientific name: Cajanus cajan</v>
      </c>
      <c r="F47" s="400" t="str">
        <f>IF(ISBLANK('Kegg Taxon'!D47), "", (CONCAT(" || Kingdom: ", 'Kegg Taxon'!D47)))</f>
        <v> || Kingdom: Plantae</v>
      </c>
      <c r="G47" s="400" t="str">
        <f>IF(ISBLANK('Kegg Taxon'!F47), "", (CONCAT(" || Subkingdom: ", 'Kegg Taxon'!F47)))</f>
        <v> || Subkingdom: Viridiplantae</v>
      </c>
      <c r="H47" s="400" t="str">
        <f>IF(ISBLANK('Kegg Taxon'!H47), "", (CONCAT(" || Superdivision: ", 'Kegg Taxon'!H47)))</f>
        <v> || Superdivision: Embryophyta</v>
      </c>
      <c r="I47" s="400" t="str">
        <f>IF(ISBLANK('Kegg Taxon'!I47), "", (CONCAT(" || Phylum: ", 'Kegg Taxon'!I47)))</f>
        <v> || Phylum: Tracheophyta</v>
      </c>
      <c r="J47" s="400" t="str">
        <f>IF(ISBLANK('Kegg Taxon'!J47), "", (CONCAT(" || Subphylum: ", 'Kegg Taxon'!J47)))</f>
        <v> || Subphylum: Spermophytina</v>
      </c>
      <c r="K47" s="400" t="str">
        <f>IF(ISBLANK('Kegg Taxon'!K47), "", (CONCAT(" || Class: ", 'Kegg Taxon'!K47)))</f>
        <v> || Class: Magnoliopsida</v>
      </c>
      <c r="L47" s="400" t="str">
        <f>IF(ISBLANK('Kegg Taxon'!L47), "", (CONCAT(" || Subclass: ", 'Kegg Taxon'!L47)))</f>
        <v> || Subclass: --</v>
      </c>
      <c r="M47" s="400" t="str">
        <f>IF(ISBLANK('Kegg Taxon'!O47), "", (CONCAT(" || Order: ", 'Kegg Taxon'!O47)))</f>
        <v> || Order: Fabales</v>
      </c>
      <c r="N47" s="400" t="str">
        <f>IF(ISBLANK('Kegg Taxon'!P47), "", (CONCAT(" || Family: ", 'Kegg Taxon'!P47)))</f>
        <v> || Family: Fabaceae</v>
      </c>
      <c r="O47" s="400" t="str">
        <f>IF(ISBLANK('Kegg Taxon'!Q47), "", (CONCAT(" || Subfamily: ", 'Kegg Taxon'!Q47)))</f>
        <v> || Subfamily: Papilionoideae</v>
      </c>
      <c r="P47" s="400" t="str">
        <f>IF(ISBLANK('Kegg Taxon'!R47), "", (CONCAT(" || Tribe: ", 'Kegg Taxon'!R47)))</f>
        <v> || Tribe: Phaseoleae</v>
      </c>
      <c r="Q47" s="400" t="str">
        <f>IF(ISBLANK('Kegg Taxon'!S47), "", (CONCAT(" || Subtribe: ", 'Kegg Taxon'!S47)))</f>
        <v> || Subtribe: --</v>
      </c>
      <c r="R47" s="400" t="str">
        <f>IF(ISBLANK('Kegg Taxon'!T47), "", (CONCAT(" || Genus: ", 'Kegg Taxon'!T47)))</f>
        <v> || Genus: Cajanus</v>
      </c>
      <c r="S47" s="400" t="str">
        <f t="shared" si="2"/>
        <v>#REF!</v>
      </c>
      <c r="T47" s="400" t="str">
        <f>IF(ISBLANK('Kegg Taxon'!U47), "", (CONCAT(" || Species: ", 'Kegg Taxon'!U47)))</f>
        <v> || Species: cajan</v>
      </c>
      <c r="U47" s="400" t="str">
        <f>IF(ISBLANK('Kegg Taxon'!V47), "", (CONCAT(" || Var/Subsp: ", 'Kegg Taxon'!V47)))</f>
        <v/>
      </c>
      <c r="V47" s="400"/>
      <c r="W47" s="400"/>
      <c r="X47" s="400"/>
      <c r="Y47" s="400"/>
      <c r="Z47" s="400"/>
    </row>
    <row r="48" ht="14.25" customHeight="1">
      <c r="A48" s="401" t="s">
        <v>3615</v>
      </c>
      <c r="B48" s="399" t="str">
        <f t="shared" si="1"/>
        <v>#REF!</v>
      </c>
      <c r="C48" s="400" t="str">
        <f>IF(ISBLANK('Kegg Taxon'!A48), "", (CONCAT("Kegg code: ", 'Kegg Taxon'!A48)))</f>
        <v>Kegg code: cam</v>
      </c>
      <c r="D48" s="400" t="str">
        <f>IF(ISBLANK('Kegg Taxon'!B48), "", (CONCAT(" || Common name: ", 'Kegg Taxon'!B48)))</f>
        <v> || Common name: Chickpea</v>
      </c>
      <c r="E48" s="400" t="str">
        <f>IF(ISBLANK('Kegg Taxon'!C48), "", (CONCAT(" || Scientific name: ", 'Kegg Taxon'!C48)))</f>
        <v> || Scientific name: Cicer arietinum</v>
      </c>
      <c r="F48" s="400" t="str">
        <f>IF(ISBLANK('Kegg Taxon'!D48), "", (CONCAT(" || Kingdom: ", 'Kegg Taxon'!D48)))</f>
        <v> || Kingdom: Plantae</v>
      </c>
      <c r="G48" s="400" t="str">
        <f>IF(ISBLANK('Kegg Taxon'!F48), "", (CONCAT(" || Subkingdom: ", 'Kegg Taxon'!F48)))</f>
        <v> || Subkingdom: Viridiplantae</v>
      </c>
      <c r="H48" s="400" t="str">
        <f>IF(ISBLANK('Kegg Taxon'!H48), "", (CONCAT(" || Superdivision: ", 'Kegg Taxon'!H48)))</f>
        <v> || Superdivision: Embryophyta</v>
      </c>
      <c r="I48" s="400" t="str">
        <f>IF(ISBLANK('Kegg Taxon'!I48), "", (CONCAT(" || Phylum: ", 'Kegg Taxon'!I48)))</f>
        <v> || Phylum: Tracheophyta</v>
      </c>
      <c r="J48" s="400" t="str">
        <f>IF(ISBLANK('Kegg Taxon'!J48), "", (CONCAT(" || Subphylum: ", 'Kegg Taxon'!J48)))</f>
        <v> || Subphylum: Spermophytina</v>
      </c>
      <c r="K48" s="400" t="str">
        <f>IF(ISBLANK('Kegg Taxon'!K48), "", (CONCAT(" || Class: ", 'Kegg Taxon'!K48)))</f>
        <v> || Class: Magnoliopsida</v>
      </c>
      <c r="L48" s="400" t="str">
        <f>IF(ISBLANK('Kegg Taxon'!L48), "", (CONCAT(" || Subclass: ", 'Kegg Taxon'!L48)))</f>
        <v> || Subclass: --</v>
      </c>
      <c r="M48" s="400" t="str">
        <f>IF(ISBLANK('Kegg Taxon'!O48), "", (CONCAT(" || Order: ", 'Kegg Taxon'!O48)))</f>
        <v> || Order: Fabales</v>
      </c>
      <c r="N48" s="400" t="str">
        <f>IF(ISBLANK('Kegg Taxon'!P48), "", (CONCAT(" || Family: ", 'Kegg Taxon'!P48)))</f>
        <v> || Family: Fabaceae</v>
      </c>
      <c r="O48" s="400" t="str">
        <f>IF(ISBLANK('Kegg Taxon'!Q48), "", (CONCAT(" || Subfamily: ", 'Kegg Taxon'!Q48)))</f>
        <v> || Subfamily: Papilionoideae</v>
      </c>
      <c r="P48" s="400" t="str">
        <f>IF(ISBLANK('Kegg Taxon'!R48), "", (CONCAT(" || Tribe: ", 'Kegg Taxon'!R48)))</f>
        <v> || Tribe: Cicereae</v>
      </c>
      <c r="Q48" s="400" t="str">
        <f>IF(ISBLANK('Kegg Taxon'!S48), "", (CONCAT(" || Subtribe: ", 'Kegg Taxon'!S48)))</f>
        <v> || Subtribe: --</v>
      </c>
      <c r="R48" s="400" t="str">
        <f>IF(ISBLANK('Kegg Taxon'!T48), "", (CONCAT(" || Genus: ", 'Kegg Taxon'!T48)))</f>
        <v> || Genus: Cicer</v>
      </c>
      <c r="S48" s="400" t="str">
        <f t="shared" si="2"/>
        <v>#REF!</v>
      </c>
      <c r="T48" s="400" t="str">
        <f>IF(ISBLANK('Kegg Taxon'!U48), "", (CONCAT(" || Species: ", 'Kegg Taxon'!U48)))</f>
        <v> || Species: arietinum</v>
      </c>
      <c r="U48" s="400" t="str">
        <f>IF(ISBLANK('Kegg Taxon'!V48), "", (CONCAT(" || Var/Subsp: ", 'Kegg Taxon'!V48)))</f>
        <v/>
      </c>
      <c r="V48" s="400"/>
      <c r="W48" s="400"/>
      <c r="X48" s="400"/>
      <c r="Y48" s="400"/>
      <c r="Z48" s="400"/>
    </row>
    <row r="49" ht="14.25" customHeight="1">
      <c r="A49" s="401" t="s">
        <v>3616</v>
      </c>
      <c r="B49" s="399" t="str">
        <f t="shared" si="1"/>
        <v>#REF!</v>
      </c>
      <c r="C49" s="400" t="str">
        <f>IF(ISBLANK('Kegg Taxon'!A49), "", (CONCAT("Kegg code: ", 'Kegg Taxon'!A49)))</f>
        <v>Kegg code: gmx</v>
      </c>
      <c r="D49" s="400" t="str">
        <f>IF(ISBLANK('Kegg Taxon'!B49), "", (CONCAT(" || Common name: ", 'Kegg Taxon'!B49)))</f>
        <v> || Common name: Soybean</v>
      </c>
      <c r="E49" s="400" t="str">
        <f>IF(ISBLANK('Kegg Taxon'!C49), "", (CONCAT(" || Scientific name: ", 'Kegg Taxon'!C49)))</f>
        <v> || Scientific name: Glycine max</v>
      </c>
      <c r="F49" s="400" t="str">
        <f>IF(ISBLANK('Kegg Taxon'!D49), "", (CONCAT(" || Kingdom: ", 'Kegg Taxon'!D49)))</f>
        <v> || Kingdom: Plantae</v>
      </c>
      <c r="G49" s="400" t="str">
        <f>IF(ISBLANK('Kegg Taxon'!F49), "", (CONCAT(" || Subkingdom: ", 'Kegg Taxon'!F49)))</f>
        <v> || Subkingdom: Viridiplantae</v>
      </c>
      <c r="H49" s="400" t="str">
        <f>IF(ISBLANK('Kegg Taxon'!H49), "", (CONCAT(" || Superdivision: ", 'Kegg Taxon'!H49)))</f>
        <v> || Superdivision: Embryophyta</v>
      </c>
      <c r="I49" s="400" t="str">
        <f>IF(ISBLANK('Kegg Taxon'!I49), "", (CONCAT(" || Phylum: ", 'Kegg Taxon'!I49)))</f>
        <v> || Phylum: Tracheophyta</v>
      </c>
      <c r="J49" s="400" t="str">
        <f>IF(ISBLANK('Kegg Taxon'!J49), "", (CONCAT(" || Subphylum: ", 'Kegg Taxon'!J49)))</f>
        <v> || Subphylum: Spermophytina</v>
      </c>
      <c r="K49" s="400" t="str">
        <f>IF(ISBLANK('Kegg Taxon'!K49), "", (CONCAT(" || Class: ", 'Kegg Taxon'!K49)))</f>
        <v> || Class: Magnoliopsida</v>
      </c>
      <c r="L49" s="400" t="str">
        <f>IF(ISBLANK('Kegg Taxon'!L49), "", (CONCAT(" || Subclass: ", 'Kegg Taxon'!L49)))</f>
        <v> || Subclass: --</v>
      </c>
      <c r="M49" s="400" t="str">
        <f>IF(ISBLANK('Kegg Taxon'!O49), "", (CONCAT(" || Order: ", 'Kegg Taxon'!O49)))</f>
        <v> || Order: Fabales</v>
      </c>
      <c r="N49" s="400" t="str">
        <f>IF(ISBLANK('Kegg Taxon'!P49), "", (CONCAT(" || Family: ", 'Kegg Taxon'!P49)))</f>
        <v> || Family: Fabaceae</v>
      </c>
      <c r="O49" s="400" t="str">
        <f>IF(ISBLANK('Kegg Taxon'!Q49), "", (CONCAT(" || Subfamily: ", 'Kegg Taxon'!Q49)))</f>
        <v> || Subfamily: Papilionoideae</v>
      </c>
      <c r="P49" s="400" t="str">
        <f>IF(ISBLANK('Kegg Taxon'!R49), "", (CONCAT(" || Tribe: ", 'Kegg Taxon'!R49)))</f>
        <v> || Tribe: Phaseoleae</v>
      </c>
      <c r="Q49" s="400" t="str">
        <f>IF(ISBLANK('Kegg Taxon'!S49), "", (CONCAT(" || Subtribe: ", 'Kegg Taxon'!S49)))</f>
        <v> || Subtribe: --</v>
      </c>
      <c r="R49" s="400" t="str">
        <f>IF(ISBLANK('Kegg Taxon'!T49), "", (CONCAT(" || Genus: ", 'Kegg Taxon'!T49)))</f>
        <v> || Genus: Glycine</v>
      </c>
      <c r="S49" s="400" t="str">
        <f t="shared" si="2"/>
        <v>#REF!</v>
      </c>
      <c r="T49" s="400" t="str">
        <f>IF(ISBLANK('Kegg Taxon'!U49), "", (CONCAT(" || Species: ", 'Kegg Taxon'!U49)))</f>
        <v> || Species: max</v>
      </c>
      <c r="U49" s="400" t="str">
        <f>IF(ISBLANK('Kegg Taxon'!V49), "", (CONCAT(" || Var/Subsp: ", 'Kegg Taxon'!V49)))</f>
        <v/>
      </c>
      <c r="V49" s="400"/>
      <c r="W49" s="400"/>
      <c r="X49" s="400"/>
      <c r="Y49" s="400"/>
      <c r="Z49" s="400"/>
    </row>
    <row r="50" ht="14.25" customHeight="1">
      <c r="A50" s="401" t="s">
        <v>3617</v>
      </c>
      <c r="B50" s="399" t="str">
        <f t="shared" si="1"/>
        <v>#REF!</v>
      </c>
      <c r="C50" s="400" t="str">
        <f>IF(ISBLANK('Kegg Taxon'!A50), "", (CONCAT("Kegg code: ", 'Kegg Taxon'!A50)))</f>
        <v>Kegg code: gsj</v>
      </c>
      <c r="D50" s="400" t="str">
        <f>IF(ISBLANK('Kegg Taxon'!B50), "", (CONCAT(" || Common name: ", 'Kegg Taxon'!B50)))</f>
        <v> || Common name: Wild Soybean</v>
      </c>
      <c r="E50" s="400" t="str">
        <f>IF(ISBLANK('Kegg Taxon'!C50), "", (CONCAT(" || Scientific name: ", 'Kegg Taxon'!C50)))</f>
        <v> || Scientific name: Glycine soja</v>
      </c>
      <c r="F50" s="400" t="str">
        <f>IF(ISBLANK('Kegg Taxon'!D50), "", (CONCAT(" || Kingdom: ", 'Kegg Taxon'!D50)))</f>
        <v> || Kingdom: Plantae</v>
      </c>
      <c r="G50" s="400" t="str">
        <f>IF(ISBLANK('Kegg Taxon'!F50), "", (CONCAT(" || Subkingdom: ", 'Kegg Taxon'!F50)))</f>
        <v> || Subkingdom: Viridiplantae</v>
      </c>
      <c r="H50" s="400" t="str">
        <f>IF(ISBLANK('Kegg Taxon'!H50), "", (CONCAT(" || Superdivision: ", 'Kegg Taxon'!H50)))</f>
        <v> || Superdivision: Embryophyta</v>
      </c>
      <c r="I50" s="400" t="str">
        <f>IF(ISBLANK('Kegg Taxon'!I50), "", (CONCAT(" || Phylum: ", 'Kegg Taxon'!I50)))</f>
        <v> || Phylum: Tracheophyta</v>
      </c>
      <c r="J50" s="400" t="str">
        <f>IF(ISBLANK('Kegg Taxon'!J50), "", (CONCAT(" || Subphylum: ", 'Kegg Taxon'!J50)))</f>
        <v> || Subphylum: Spermophytina</v>
      </c>
      <c r="K50" s="400" t="str">
        <f>IF(ISBLANK('Kegg Taxon'!K50), "", (CONCAT(" || Class: ", 'Kegg Taxon'!K50)))</f>
        <v> || Class: Magnoliopsida</v>
      </c>
      <c r="L50" s="400" t="str">
        <f>IF(ISBLANK('Kegg Taxon'!L50), "", (CONCAT(" || Subclass: ", 'Kegg Taxon'!L50)))</f>
        <v> || Subclass: --</v>
      </c>
      <c r="M50" s="400" t="str">
        <f>IF(ISBLANK('Kegg Taxon'!O50), "", (CONCAT(" || Order: ", 'Kegg Taxon'!O50)))</f>
        <v> || Order: Fabales</v>
      </c>
      <c r="N50" s="400" t="str">
        <f>IF(ISBLANK('Kegg Taxon'!P50), "", (CONCAT(" || Family: ", 'Kegg Taxon'!P50)))</f>
        <v> || Family: Fabaceae</v>
      </c>
      <c r="O50" s="400" t="str">
        <f>IF(ISBLANK('Kegg Taxon'!Q50), "", (CONCAT(" || Subfamily: ", 'Kegg Taxon'!Q50)))</f>
        <v> || Subfamily: Papilionoideae</v>
      </c>
      <c r="P50" s="400" t="str">
        <f>IF(ISBLANK('Kegg Taxon'!R50), "", (CONCAT(" || Tribe: ", 'Kegg Taxon'!R50)))</f>
        <v> || Tribe: Phaseoleae</v>
      </c>
      <c r="Q50" s="400" t="str">
        <f>IF(ISBLANK('Kegg Taxon'!S50), "", (CONCAT(" || Subtribe: ", 'Kegg Taxon'!S50)))</f>
        <v> || Subtribe: --</v>
      </c>
      <c r="R50" s="400" t="str">
        <f>IF(ISBLANK('Kegg Taxon'!T50), "", (CONCAT(" || Genus: ", 'Kegg Taxon'!T50)))</f>
        <v> || Genus: Glycine</v>
      </c>
      <c r="S50" s="400" t="str">
        <f t="shared" si="2"/>
        <v>#REF!</v>
      </c>
      <c r="T50" s="400" t="str">
        <f>IF(ISBLANK('Kegg Taxon'!U50), "", (CONCAT(" || Species: ", 'Kegg Taxon'!U50)))</f>
        <v> || Species: soja</v>
      </c>
      <c r="U50" s="400" t="str">
        <f>IF(ISBLANK('Kegg Taxon'!V50), "", (CONCAT(" || Var/Subsp: ", 'Kegg Taxon'!V50)))</f>
        <v/>
      </c>
      <c r="V50" s="400"/>
      <c r="W50" s="400"/>
      <c r="X50" s="400"/>
      <c r="Y50" s="400"/>
      <c r="Z50" s="400"/>
    </row>
    <row r="51" ht="14.25" customHeight="1">
      <c r="A51" s="401" t="s">
        <v>3618</v>
      </c>
      <c r="B51" s="399" t="str">
        <f t="shared" si="1"/>
        <v>#REF!</v>
      </c>
      <c r="C51" s="400" t="str">
        <f>IF(ISBLANK('Kegg Taxon'!A51), "", (CONCAT("Kegg code: ", 'Kegg Taxon'!A51)))</f>
        <v>Kegg code: lja</v>
      </c>
      <c r="D51" s="400" t="str">
        <f>IF(ISBLANK('Kegg Taxon'!B51), "", (CONCAT(" || Common name: ", 'Kegg Taxon'!B51)))</f>
        <v> || Common name: Birdsfoot Trefoil</v>
      </c>
      <c r="E51" s="400" t="str">
        <f>IF(ISBLANK('Kegg Taxon'!C51), "", (CONCAT(" || Scientific name: ", 'Kegg Taxon'!C51)))</f>
        <v> || Scientific name: Lotus japonicus</v>
      </c>
      <c r="F51" s="400" t="str">
        <f>IF(ISBLANK('Kegg Taxon'!D51), "", (CONCAT(" || Kingdom: ", 'Kegg Taxon'!D51)))</f>
        <v> || Kingdom: Plantae</v>
      </c>
      <c r="G51" s="400" t="str">
        <f>IF(ISBLANK('Kegg Taxon'!F51), "", (CONCAT(" || Subkingdom: ", 'Kegg Taxon'!F51)))</f>
        <v> || Subkingdom: Viridiplantae</v>
      </c>
      <c r="H51" s="400" t="str">
        <f>IF(ISBLANK('Kegg Taxon'!H51), "", (CONCAT(" || Superdivision: ", 'Kegg Taxon'!H51)))</f>
        <v> || Superdivision: Embryophyta</v>
      </c>
      <c r="I51" s="400" t="str">
        <f>IF(ISBLANK('Kegg Taxon'!I51), "", (CONCAT(" || Phylum: ", 'Kegg Taxon'!I51)))</f>
        <v> || Phylum: Tracheophyta</v>
      </c>
      <c r="J51" s="400" t="str">
        <f>IF(ISBLANK('Kegg Taxon'!J51), "", (CONCAT(" || Subphylum: ", 'Kegg Taxon'!J51)))</f>
        <v> || Subphylum: Spermophytina</v>
      </c>
      <c r="K51" s="400" t="str">
        <f>IF(ISBLANK('Kegg Taxon'!K51), "", (CONCAT(" || Class: ", 'Kegg Taxon'!K51)))</f>
        <v> || Class: Magnoliopsida</v>
      </c>
      <c r="L51" s="400" t="str">
        <f>IF(ISBLANK('Kegg Taxon'!L51), "", (CONCAT(" || Subclass: ", 'Kegg Taxon'!L51)))</f>
        <v> || Subclass: --</v>
      </c>
      <c r="M51" s="400" t="str">
        <f>IF(ISBLANK('Kegg Taxon'!O51), "", (CONCAT(" || Order: ", 'Kegg Taxon'!O51)))</f>
        <v> || Order: Fabales</v>
      </c>
      <c r="N51" s="400" t="str">
        <f>IF(ISBLANK('Kegg Taxon'!P51), "", (CONCAT(" || Family: ", 'Kegg Taxon'!P51)))</f>
        <v> || Family: Fabaceae</v>
      </c>
      <c r="O51" s="400" t="str">
        <f>IF(ISBLANK('Kegg Taxon'!Q51), "", (CONCAT(" || Subfamily: ", 'Kegg Taxon'!Q51)))</f>
        <v> || Subfamily: Papilionoideae</v>
      </c>
      <c r="P51" s="400" t="str">
        <f>IF(ISBLANK('Kegg Taxon'!R51), "", (CONCAT(" || Tribe: ", 'Kegg Taxon'!R51)))</f>
        <v> || Tribe: Loteae</v>
      </c>
      <c r="Q51" s="400" t="str">
        <f>IF(ISBLANK('Kegg Taxon'!S51), "", (CONCAT(" || Subtribe: ", 'Kegg Taxon'!S51)))</f>
        <v> || Subtribe: --</v>
      </c>
      <c r="R51" s="400" t="str">
        <f>IF(ISBLANK('Kegg Taxon'!T51), "", (CONCAT(" || Genus: ", 'Kegg Taxon'!T51)))</f>
        <v> || Genus: Lotus</v>
      </c>
      <c r="S51" s="400" t="str">
        <f t="shared" si="2"/>
        <v>#REF!</v>
      </c>
      <c r="T51" s="400" t="str">
        <f>IF(ISBLANK('Kegg Taxon'!U51), "", (CONCAT(" || Species: ", 'Kegg Taxon'!U51)))</f>
        <v> || Species: japonicus</v>
      </c>
      <c r="U51" s="400" t="str">
        <f>IF(ISBLANK('Kegg Taxon'!V51), "", (CONCAT(" || Var/Subsp: ", 'Kegg Taxon'!V51)))</f>
        <v/>
      </c>
      <c r="V51" s="400"/>
      <c r="W51" s="400"/>
      <c r="X51" s="400"/>
      <c r="Y51" s="400"/>
      <c r="Z51" s="400"/>
    </row>
    <row r="52" ht="14.25" customHeight="1">
      <c r="A52" s="401" t="s">
        <v>3619</v>
      </c>
      <c r="B52" s="399" t="str">
        <f t="shared" si="1"/>
        <v>#REF!</v>
      </c>
      <c r="C52" s="400" t="str">
        <f>IF(ISBLANK('Kegg Taxon'!A52), "", (CONCAT("Kegg code: ", 'Kegg Taxon'!A52)))</f>
        <v>Kegg code: lang</v>
      </c>
      <c r="D52" s="400" t="str">
        <f>IF(ISBLANK('Kegg Taxon'!B52), "", (CONCAT(" || Common name: ", 'Kegg Taxon'!B52)))</f>
        <v> || Common name: Narrow-leaved Blue Lupine</v>
      </c>
      <c r="E52" s="400" t="str">
        <f>IF(ISBLANK('Kegg Taxon'!C52), "", (CONCAT(" || Scientific name: ", 'Kegg Taxon'!C52)))</f>
        <v> || Scientific name: Lupinus angustifolius</v>
      </c>
      <c r="F52" s="400" t="str">
        <f>IF(ISBLANK('Kegg Taxon'!D52), "", (CONCAT(" || Kingdom: ", 'Kegg Taxon'!D52)))</f>
        <v> || Kingdom: Plantae</v>
      </c>
      <c r="G52" s="400" t="str">
        <f>IF(ISBLANK('Kegg Taxon'!F52), "", (CONCAT(" || Subkingdom: ", 'Kegg Taxon'!F52)))</f>
        <v> || Subkingdom: Viridiplantae</v>
      </c>
      <c r="H52" s="400" t="str">
        <f>IF(ISBLANK('Kegg Taxon'!H52), "", (CONCAT(" || Superdivision: ", 'Kegg Taxon'!H52)))</f>
        <v> || Superdivision: Embryophyta</v>
      </c>
      <c r="I52" s="400" t="str">
        <f>IF(ISBLANK('Kegg Taxon'!I52), "", (CONCAT(" || Phylum: ", 'Kegg Taxon'!I52)))</f>
        <v> || Phylum: Tracheophyta</v>
      </c>
      <c r="J52" s="400" t="str">
        <f>IF(ISBLANK('Kegg Taxon'!J52), "", (CONCAT(" || Subphylum: ", 'Kegg Taxon'!J52)))</f>
        <v> || Subphylum: Spermophytina</v>
      </c>
      <c r="K52" s="400" t="str">
        <f>IF(ISBLANK('Kegg Taxon'!K52), "", (CONCAT(" || Class: ", 'Kegg Taxon'!K52)))</f>
        <v> || Class: Magnoliopsida</v>
      </c>
      <c r="L52" s="400" t="str">
        <f>IF(ISBLANK('Kegg Taxon'!L52), "", (CONCAT(" || Subclass: ", 'Kegg Taxon'!L52)))</f>
        <v> || Subclass: --</v>
      </c>
      <c r="M52" s="400" t="str">
        <f>IF(ISBLANK('Kegg Taxon'!O52), "", (CONCAT(" || Order: ", 'Kegg Taxon'!O52)))</f>
        <v> || Order: Fabales</v>
      </c>
      <c r="N52" s="400" t="str">
        <f>IF(ISBLANK('Kegg Taxon'!P52), "", (CONCAT(" || Family: ", 'Kegg Taxon'!P52)))</f>
        <v> || Family: Fabaceae</v>
      </c>
      <c r="O52" s="400" t="str">
        <f>IF(ISBLANK('Kegg Taxon'!Q52), "", (CONCAT(" || Subfamily: ", 'Kegg Taxon'!Q52)))</f>
        <v> || Subfamily: Papilionoideae</v>
      </c>
      <c r="P52" s="400" t="str">
        <f>IF(ISBLANK('Kegg Taxon'!R52), "", (CONCAT(" || Tribe: ", 'Kegg Taxon'!R52)))</f>
        <v> || Tribe: Genisteae</v>
      </c>
      <c r="Q52" s="400" t="str">
        <f>IF(ISBLANK('Kegg Taxon'!S52), "", (CONCAT(" || Subtribe: ", 'Kegg Taxon'!S52)))</f>
        <v> || Subtribe: --</v>
      </c>
      <c r="R52" s="400" t="str">
        <f>IF(ISBLANK('Kegg Taxon'!T52), "", (CONCAT(" || Genus: ", 'Kegg Taxon'!T52)))</f>
        <v> || Genus: Lupinus</v>
      </c>
      <c r="S52" s="400" t="str">
        <f t="shared" si="2"/>
        <v>#REF!</v>
      </c>
      <c r="T52" s="400" t="str">
        <f>IF(ISBLANK('Kegg Taxon'!U52), "", (CONCAT(" || Species: ", 'Kegg Taxon'!U52)))</f>
        <v> || Species: angustifolius</v>
      </c>
      <c r="U52" s="400" t="str">
        <f>IF(ISBLANK('Kegg Taxon'!V52), "", (CONCAT(" || Var/Subsp: ", 'Kegg Taxon'!V52)))</f>
        <v/>
      </c>
      <c r="V52" s="400"/>
      <c r="W52" s="400"/>
      <c r="X52" s="400"/>
      <c r="Y52" s="400"/>
      <c r="Z52" s="400"/>
    </row>
    <row r="53" ht="14.25" customHeight="1">
      <c r="A53" s="401" t="s">
        <v>3620</v>
      </c>
      <c r="B53" s="399" t="str">
        <f t="shared" si="1"/>
        <v>#REF!</v>
      </c>
      <c r="C53" s="400" t="str">
        <f>IF(ISBLANK('Kegg Taxon'!A53), "", (CONCAT("Kegg code: ", 'Kegg Taxon'!A53)))</f>
        <v>Kegg code: mtr</v>
      </c>
      <c r="D53" s="400" t="str">
        <f>IF(ISBLANK('Kegg Taxon'!B53), "", (CONCAT(" || Common name: ", 'Kegg Taxon'!B53)))</f>
        <v> || Common name: Barrel Medic</v>
      </c>
      <c r="E53" s="400" t="str">
        <f>IF(ISBLANK('Kegg Taxon'!C53), "", (CONCAT(" || Scientific name: ", 'Kegg Taxon'!C53)))</f>
        <v> || Scientific name: Medicago truncatula</v>
      </c>
      <c r="F53" s="400" t="str">
        <f>IF(ISBLANK('Kegg Taxon'!D53), "", (CONCAT(" || Kingdom: ", 'Kegg Taxon'!D53)))</f>
        <v> || Kingdom: Plantae</v>
      </c>
      <c r="G53" s="400" t="str">
        <f>IF(ISBLANK('Kegg Taxon'!F53), "", (CONCAT(" || Subkingdom: ", 'Kegg Taxon'!F53)))</f>
        <v> || Subkingdom: Viridiplantae</v>
      </c>
      <c r="H53" s="400" t="str">
        <f>IF(ISBLANK('Kegg Taxon'!H53), "", (CONCAT(" || Superdivision: ", 'Kegg Taxon'!H53)))</f>
        <v> || Superdivision: Embryophyta</v>
      </c>
      <c r="I53" s="400" t="str">
        <f>IF(ISBLANK('Kegg Taxon'!I53), "", (CONCAT(" || Phylum: ", 'Kegg Taxon'!I53)))</f>
        <v> || Phylum: Tracheophyta</v>
      </c>
      <c r="J53" s="400" t="str">
        <f>IF(ISBLANK('Kegg Taxon'!J53), "", (CONCAT(" || Subphylum: ", 'Kegg Taxon'!J53)))</f>
        <v> || Subphylum: Spermophytina</v>
      </c>
      <c r="K53" s="400" t="str">
        <f>IF(ISBLANK('Kegg Taxon'!K53), "", (CONCAT(" || Class: ", 'Kegg Taxon'!K53)))</f>
        <v> || Class: Magnoliopsida</v>
      </c>
      <c r="L53" s="400" t="str">
        <f>IF(ISBLANK('Kegg Taxon'!L53), "", (CONCAT(" || Subclass: ", 'Kegg Taxon'!L53)))</f>
        <v> || Subclass: --</v>
      </c>
      <c r="M53" s="400" t="str">
        <f>IF(ISBLANK('Kegg Taxon'!O53), "", (CONCAT(" || Order: ", 'Kegg Taxon'!O53)))</f>
        <v> || Order: Fabales</v>
      </c>
      <c r="N53" s="400" t="str">
        <f>IF(ISBLANK('Kegg Taxon'!P53), "", (CONCAT(" || Family: ", 'Kegg Taxon'!P53)))</f>
        <v> || Family: Fabaceae</v>
      </c>
      <c r="O53" s="400" t="str">
        <f>IF(ISBLANK('Kegg Taxon'!Q53), "", (CONCAT(" || Subfamily: ", 'Kegg Taxon'!Q53)))</f>
        <v> || Subfamily: Papilionoideae</v>
      </c>
      <c r="P53" s="400" t="str">
        <f>IF(ISBLANK('Kegg Taxon'!R53), "", (CONCAT(" || Tribe: ", 'Kegg Taxon'!R53)))</f>
        <v> || Tribe: Trifolieae</v>
      </c>
      <c r="Q53" s="400" t="str">
        <f>IF(ISBLANK('Kegg Taxon'!S53), "", (CONCAT(" || Subtribe: ", 'Kegg Taxon'!S53)))</f>
        <v> || Subtribe: --</v>
      </c>
      <c r="R53" s="400" t="str">
        <f>IF(ISBLANK('Kegg Taxon'!T53), "", (CONCAT(" || Genus: ", 'Kegg Taxon'!T53)))</f>
        <v> || Genus: Medicago</v>
      </c>
      <c r="S53" s="400" t="str">
        <f t="shared" si="2"/>
        <v>#REF!</v>
      </c>
      <c r="T53" s="400" t="str">
        <f>IF(ISBLANK('Kegg Taxon'!U53), "", (CONCAT(" || Species: ", 'Kegg Taxon'!U53)))</f>
        <v> || Species: truncatula</v>
      </c>
      <c r="U53" s="400" t="str">
        <f>IF(ISBLANK('Kegg Taxon'!V53), "", (CONCAT(" || Var/Subsp: ", 'Kegg Taxon'!V53)))</f>
        <v/>
      </c>
      <c r="V53" s="400"/>
      <c r="W53" s="400"/>
      <c r="X53" s="400"/>
      <c r="Y53" s="400"/>
      <c r="Z53" s="400"/>
    </row>
    <row r="54" ht="14.25" customHeight="1">
      <c r="A54" s="401" t="s">
        <v>3621</v>
      </c>
      <c r="B54" s="399" t="str">
        <f t="shared" si="1"/>
        <v>#REF!</v>
      </c>
      <c r="C54" s="400" t="str">
        <f>IF(ISBLANK('Kegg Taxon'!A54), "", (CONCAT("Kegg code: ", 'Kegg Taxon'!A54)))</f>
        <v>Kegg code: pvu</v>
      </c>
      <c r="D54" s="400" t="str">
        <f>IF(ISBLANK('Kegg Taxon'!B54), "", (CONCAT(" || Common name: ", 'Kegg Taxon'!B54)))</f>
        <v> || Common name: Common Bean</v>
      </c>
      <c r="E54" s="400" t="str">
        <f>IF(ISBLANK('Kegg Taxon'!C54), "", (CONCAT(" || Scientific name: ", 'Kegg Taxon'!C54)))</f>
        <v> || Scientific name: Phaseolus vulgaris</v>
      </c>
      <c r="F54" s="400" t="str">
        <f>IF(ISBLANK('Kegg Taxon'!D54), "", (CONCAT(" || Kingdom: ", 'Kegg Taxon'!D54)))</f>
        <v> || Kingdom: Plantae</v>
      </c>
      <c r="G54" s="400" t="str">
        <f>IF(ISBLANK('Kegg Taxon'!F54), "", (CONCAT(" || Subkingdom: ", 'Kegg Taxon'!F54)))</f>
        <v> || Subkingdom: Viridiplantae</v>
      </c>
      <c r="H54" s="400" t="str">
        <f>IF(ISBLANK('Kegg Taxon'!H54), "", (CONCAT(" || Superdivision: ", 'Kegg Taxon'!H54)))</f>
        <v> || Superdivision: Embryophyta</v>
      </c>
      <c r="I54" s="400" t="str">
        <f>IF(ISBLANK('Kegg Taxon'!I54), "", (CONCAT(" || Phylum: ", 'Kegg Taxon'!I54)))</f>
        <v> || Phylum: Tracheophyta</v>
      </c>
      <c r="J54" s="400" t="str">
        <f>IF(ISBLANK('Kegg Taxon'!J54), "", (CONCAT(" || Subphylum: ", 'Kegg Taxon'!J54)))</f>
        <v> || Subphylum: Spermophytina</v>
      </c>
      <c r="K54" s="400" t="str">
        <f>IF(ISBLANK('Kegg Taxon'!K54), "", (CONCAT(" || Class: ", 'Kegg Taxon'!K54)))</f>
        <v> || Class: Magnoliopsida</v>
      </c>
      <c r="L54" s="400" t="str">
        <f>IF(ISBLANK('Kegg Taxon'!L54), "", (CONCAT(" || Subclass: ", 'Kegg Taxon'!L54)))</f>
        <v> || Subclass: --</v>
      </c>
      <c r="M54" s="400" t="str">
        <f>IF(ISBLANK('Kegg Taxon'!O54), "", (CONCAT(" || Order: ", 'Kegg Taxon'!O54)))</f>
        <v> || Order: Fabales</v>
      </c>
      <c r="N54" s="400" t="str">
        <f>IF(ISBLANK('Kegg Taxon'!P54), "", (CONCAT(" || Family: ", 'Kegg Taxon'!P54)))</f>
        <v> || Family: Fabaceae</v>
      </c>
      <c r="O54" s="400" t="str">
        <f>IF(ISBLANK('Kegg Taxon'!Q54), "", (CONCAT(" || Subfamily: ", 'Kegg Taxon'!Q54)))</f>
        <v> || Subfamily: Papilionoideae</v>
      </c>
      <c r="P54" s="400" t="str">
        <f>IF(ISBLANK('Kegg Taxon'!R54), "", (CONCAT(" || Tribe: ", 'Kegg Taxon'!R54)))</f>
        <v> || Tribe: Phaseoleae</v>
      </c>
      <c r="Q54" s="400" t="str">
        <f>IF(ISBLANK('Kegg Taxon'!S54), "", (CONCAT(" || Subtribe: ", 'Kegg Taxon'!S54)))</f>
        <v> || Subtribe: --</v>
      </c>
      <c r="R54" s="400" t="str">
        <f>IF(ISBLANK('Kegg Taxon'!T54), "", (CONCAT(" || Genus: ", 'Kegg Taxon'!T54)))</f>
        <v> || Genus: Phaseolus</v>
      </c>
      <c r="S54" s="400" t="str">
        <f t="shared" si="2"/>
        <v>#REF!</v>
      </c>
      <c r="T54" s="400" t="str">
        <f>IF(ISBLANK('Kegg Taxon'!U54), "", (CONCAT(" || Species: ", 'Kegg Taxon'!U54)))</f>
        <v> || Species: vulgaris</v>
      </c>
      <c r="U54" s="400" t="str">
        <f>IF(ISBLANK('Kegg Taxon'!V54), "", (CONCAT(" || Var/Subsp: ", 'Kegg Taxon'!V54)))</f>
        <v/>
      </c>
      <c r="V54" s="400"/>
      <c r="W54" s="400"/>
      <c r="X54" s="400"/>
      <c r="Y54" s="400"/>
      <c r="Z54" s="400"/>
    </row>
    <row r="55" ht="14.25" customHeight="1">
      <c r="A55" s="401" t="s">
        <v>3622</v>
      </c>
      <c r="B55" s="399" t="str">
        <f t="shared" si="1"/>
        <v>#REF!</v>
      </c>
      <c r="C55" s="400" t="str">
        <f>IF(ISBLANK('Kegg Taxon'!A55), "", (CONCAT("Kegg code: ", 'Kegg Taxon'!A55)))</f>
        <v>Kegg code: var</v>
      </c>
      <c r="D55" s="400" t="str">
        <f>IF(ISBLANK('Kegg Taxon'!B55), "", (CONCAT(" || Common name: ", 'Kegg Taxon'!B55)))</f>
        <v> || Common name: Adzuki Bean</v>
      </c>
      <c r="E55" s="400" t="str">
        <f>IF(ISBLANK('Kegg Taxon'!C55), "", (CONCAT(" || Scientific name: ", 'Kegg Taxon'!C55)))</f>
        <v> || Scientific name: Vigna angularis</v>
      </c>
      <c r="F55" s="400" t="str">
        <f>IF(ISBLANK('Kegg Taxon'!D55), "", (CONCAT(" || Kingdom: ", 'Kegg Taxon'!D55)))</f>
        <v> || Kingdom: Plantae</v>
      </c>
      <c r="G55" s="400" t="str">
        <f>IF(ISBLANK('Kegg Taxon'!F55), "", (CONCAT(" || Subkingdom: ", 'Kegg Taxon'!F55)))</f>
        <v> || Subkingdom: Viridiplantae</v>
      </c>
      <c r="H55" s="400" t="str">
        <f>IF(ISBLANK('Kegg Taxon'!H55), "", (CONCAT(" || Superdivision: ", 'Kegg Taxon'!H55)))</f>
        <v> || Superdivision: Embryophyta</v>
      </c>
      <c r="I55" s="400" t="str">
        <f>IF(ISBLANK('Kegg Taxon'!I55), "", (CONCAT(" || Phylum: ", 'Kegg Taxon'!I55)))</f>
        <v> || Phylum: Tracheophyta</v>
      </c>
      <c r="J55" s="400" t="str">
        <f>IF(ISBLANK('Kegg Taxon'!J55), "", (CONCAT(" || Subphylum: ", 'Kegg Taxon'!J55)))</f>
        <v> || Subphylum: Spermophytina</v>
      </c>
      <c r="K55" s="400" t="str">
        <f>IF(ISBLANK('Kegg Taxon'!K55), "", (CONCAT(" || Class: ", 'Kegg Taxon'!K55)))</f>
        <v> || Class: Magnoliopsida</v>
      </c>
      <c r="L55" s="400" t="str">
        <f>IF(ISBLANK('Kegg Taxon'!L55), "", (CONCAT(" || Subclass: ", 'Kegg Taxon'!L55)))</f>
        <v> || Subclass: --</v>
      </c>
      <c r="M55" s="400" t="str">
        <f>IF(ISBLANK('Kegg Taxon'!O55), "", (CONCAT(" || Order: ", 'Kegg Taxon'!O55)))</f>
        <v> || Order: Fabales</v>
      </c>
      <c r="N55" s="400" t="str">
        <f>IF(ISBLANK('Kegg Taxon'!P55), "", (CONCAT(" || Family: ", 'Kegg Taxon'!P55)))</f>
        <v> || Family: Fabaceae</v>
      </c>
      <c r="O55" s="400" t="str">
        <f>IF(ISBLANK('Kegg Taxon'!Q55), "", (CONCAT(" || Subfamily: ", 'Kegg Taxon'!Q55)))</f>
        <v> || Subfamily: Papilionoideae</v>
      </c>
      <c r="P55" s="400" t="str">
        <f>IF(ISBLANK('Kegg Taxon'!R55), "", (CONCAT(" || Tribe: ", 'Kegg Taxon'!R55)))</f>
        <v> || Tribe: Phaseoleae</v>
      </c>
      <c r="Q55" s="400" t="str">
        <f>IF(ISBLANK('Kegg Taxon'!S55), "", (CONCAT(" || Subtribe: ", 'Kegg Taxon'!S55)))</f>
        <v> || Subtribe: --</v>
      </c>
      <c r="R55" s="400" t="str">
        <f>IF(ISBLANK('Kegg Taxon'!T55), "", (CONCAT(" || Genus: ", 'Kegg Taxon'!T55)))</f>
        <v> || Genus: Vigna</v>
      </c>
      <c r="S55" s="400" t="str">
        <f t="shared" si="2"/>
        <v>#REF!</v>
      </c>
      <c r="T55" s="400" t="str">
        <f>IF(ISBLANK('Kegg Taxon'!U55), "", (CONCAT(" || Species: ", 'Kegg Taxon'!U55)))</f>
        <v> || Species: angularis</v>
      </c>
      <c r="U55" s="400" t="str">
        <f>IF(ISBLANK('Kegg Taxon'!V55), "", (CONCAT(" || Var/Subsp: ", 'Kegg Taxon'!V55)))</f>
        <v/>
      </c>
      <c r="V55" s="400"/>
      <c r="W55" s="400"/>
      <c r="X55" s="400"/>
      <c r="Y55" s="400"/>
      <c r="Z55" s="400"/>
    </row>
    <row r="56" ht="14.25" customHeight="1">
      <c r="A56" s="401" t="s">
        <v>3623</v>
      </c>
      <c r="B56" s="399" t="str">
        <f t="shared" si="1"/>
        <v>#REF!</v>
      </c>
      <c r="C56" s="400" t="str">
        <f>IF(ISBLANK('Kegg Taxon'!A56), "", (CONCAT("Kegg code: ", 'Kegg Taxon'!A56)))</f>
        <v>Kegg code: vra</v>
      </c>
      <c r="D56" s="400" t="str">
        <f>IF(ISBLANK('Kegg Taxon'!B56), "", (CONCAT(" || Common name: ", 'Kegg Taxon'!B56)))</f>
        <v> || Common name: Mung Bean</v>
      </c>
      <c r="E56" s="400" t="str">
        <f>IF(ISBLANK('Kegg Taxon'!C56), "", (CONCAT(" || Scientific name: ", 'Kegg Taxon'!C56)))</f>
        <v> || Scientific name: Vigna radiata</v>
      </c>
      <c r="F56" s="400" t="str">
        <f>IF(ISBLANK('Kegg Taxon'!D56), "", (CONCAT(" || Kingdom: ", 'Kegg Taxon'!D56)))</f>
        <v> || Kingdom: Plantae</v>
      </c>
      <c r="G56" s="400" t="str">
        <f>IF(ISBLANK('Kegg Taxon'!F56), "", (CONCAT(" || Subkingdom: ", 'Kegg Taxon'!F56)))</f>
        <v> || Subkingdom: Viridiplantae</v>
      </c>
      <c r="H56" s="400" t="str">
        <f>IF(ISBLANK('Kegg Taxon'!H56), "", (CONCAT(" || Superdivision: ", 'Kegg Taxon'!H56)))</f>
        <v> || Superdivision: Embryophyta</v>
      </c>
      <c r="I56" s="400" t="str">
        <f>IF(ISBLANK('Kegg Taxon'!I56), "", (CONCAT(" || Phylum: ", 'Kegg Taxon'!I56)))</f>
        <v> || Phylum: Tracheophyta</v>
      </c>
      <c r="J56" s="400" t="str">
        <f>IF(ISBLANK('Kegg Taxon'!J56), "", (CONCAT(" || Subphylum: ", 'Kegg Taxon'!J56)))</f>
        <v> || Subphylum: Spermophytina</v>
      </c>
      <c r="K56" s="400" t="str">
        <f>IF(ISBLANK('Kegg Taxon'!K56), "", (CONCAT(" || Class: ", 'Kegg Taxon'!K56)))</f>
        <v> || Class: Magnoliopsida</v>
      </c>
      <c r="L56" s="400" t="str">
        <f>IF(ISBLANK('Kegg Taxon'!L56), "", (CONCAT(" || Subclass: ", 'Kegg Taxon'!L56)))</f>
        <v> || Subclass: --</v>
      </c>
      <c r="M56" s="400" t="str">
        <f>IF(ISBLANK('Kegg Taxon'!O56), "", (CONCAT(" || Order: ", 'Kegg Taxon'!O56)))</f>
        <v> || Order: Fabales</v>
      </c>
      <c r="N56" s="400" t="str">
        <f>IF(ISBLANK('Kegg Taxon'!P56), "", (CONCAT(" || Family: ", 'Kegg Taxon'!P56)))</f>
        <v> || Family: Fabaceae</v>
      </c>
      <c r="O56" s="400" t="str">
        <f>IF(ISBLANK('Kegg Taxon'!Q56), "", (CONCAT(" || Subfamily: ", 'Kegg Taxon'!Q56)))</f>
        <v> || Subfamily: Papilionoideae</v>
      </c>
      <c r="P56" s="400" t="str">
        <f>IF(ISBLANK('Kegg Taxon'!R56), "", (CONCAT(" || Tribe: ", 'Kegg Taxon'!R56)))</f>
        <v> || Tribe: Phaseoleae</v>
      </c>
      <c r="Q56" s="400" t="str">
        <f>IF(ISBLANK('Kegg Taxon'!S56), "", (CONCAT(" || Subtribe: ", 'Kegg Taxon'!S56)))</f>
        <v> || Subtribe: --</v>
      </c>
      <c r="R56" s="400" t="str">
        <f>IF(ISBLANK('Kegg Taxon'!T56), "", (CONCAT(" || Genus: ", 'Kegg Taxon'!T56)))</f>
        <v> || Genus: Vigna</v>
      </c>
      <c r="S56" s="400" t="str">
        <f t="shared" si="2"/>
        <v>#REF!</v>
      </c>
      <c r="T56" s="400" t="str">
        <f>IF(ISBLANK('Kegg Taxon'!U56), "", (CONCAT(" || Species: ", 'Kegg Taxon'!U56)))</f>
        <v> || Species: radiata</v>
      </c>
      <c r="U56" s="400" t="str">
        <f>IF(ISBLANK('Kegg Taxon'!V56), "", (CONCAT(" || Var/Subsp: ", 'Kegg Taxon'!V56)))</f>
        <v/>
      </c>
      <c r="V56" s="400"/>
      <c r="W56" s="400"/>
      <c r="X56" s="400"/>
      <c r="Y56" s="400"/>
      <c r="Z56" s="400"/>
    </row>
    <row r="57" ht="14.25" customHeight="1">
      <c r="A57" s="401" t="s">
        <v>3624</v>
      </c>
      <c r="B57" s="399" t="str">
        <f t="shared" si="1"/>
        <v>#REF!</v>
      </c>
      <c r="C57" s="400" t="str">
        <f>IF(ISBLANK('Kegg Taxon'!A57), "", (CONCAT("Kegg code: ", 'Kegg Taxon'!A57)))</f>
        <v>Kegg code: vun</v>
      </c>
      <c r="D57" s="400" t="str">
        <f>IF(ISBLANK('Kegg Taxon'!B57), "", (CONCAT(" || Common name: ", 'Kegg Taxon'!B57)))</f>
        <v> || Common name: Cowpea</v>
      </c>
      <c r="E57" s="400" t="str">
        <f>IF(ISBLANK('Kegg Taxon'!C57), "", (CONCAT(" || Scientific name: ", 'Kegg Taxon'!C57)))</f>
        <v> || Scientific name: Vigna unguiculata</v>
      </c>
      <c r="F57" s="400" t="str">
        <f>IF(ISBLANK('Kegg Taxon'!D57), "", (CONCAT(" || Kingdom: ", 'Kegg Taxon'!D57)))</f>
        <v> || Kingdom: Plantae</v>
      </c>
      <c r="G57" s="400" t="str">
        <f>IF(ISBLANK('Kegg Taxon'!F57), "", (CONCAT(" || Subkingdom: ", 'Kegg Taxon'!F57)))</f>
        <v> || Subkingdom: Viridiplantae</v>
      </c>
      <c r="H57" s="400" t="str">
        <f>IF(ISBLANK('Kegg Taxon'!H57), "", (CONCAT(" || Superdivision: ", 'Kegg Taxon'!H57)))</f>
        <v> || Superdivision: Embryophyta</v>
      </c>
      <c r="I57" s="400" t="str">
        <f>IF(ISBLANK('Kegg Taxon'!I57), "", (CONCAT(" || Phylum: ", 'Kegg Taxon'!I57)))</f>
        <v> || Phylum: Tracheophyta</v>
      </c>
      <c r="J57" s="400" t="str">
        <f>IF(ISBLANK('Kegg Taxon'!J57), "", (CONCAT(" || Subphylum: ", 'Kegg Taxon'!J57)))</f>
        <v> || Subphylum: Spermophytina</v>
      </c>
      <c r="K57" s="400" t="str">
        <f>IF(ISBLANK('Kegg Taxon'!K57), "", (CONCAT(" || Class: ", 'Kegg Taxon'!K57)))</f>
        <v> || Class: Magnoliopsida</v>
      </c>
      <c r="L57" s="400" t="str">
        <f>IF(ISBLANK('Kegg Taxon'!L57), "", (CONCAT(" || Subclass: ", 'Kegg Taxon'!L57)))</f>
        <v> || Subclass: --</v>
      </c>
      <c r="M57" s="400" t="str">
        <f>IF(ISBLANK('Kegg Taxon'!O57), "", (CONCAT(" || Order: ", 'Kegg Taxon'!O57)))</f>
        <v> || Order: Fabales</v>
      </c>
      <c r="N57" s="400" t="str">
        <f>IF(ISBLANK('Kegg Taxon'!P57), "", (CONCAT(" || Family: ", 'Kegg Taxon'!P57)))</f>
        <v> || Family: Fabaceae</v>
      </c>
      <c r="O57" s="400" t="str">
        <f>IF(ISBLANK('Kegg Taxon'!Q57), "", (CONCAT(" || Subfamily: ", 'Kegg Taxon'!Q57)))</f>
        <v> || Subfamily: Papilionoideae</v>
      </c>
      <c r="P57" s="400" t="str">
        <f>IF(ISBLANK('Kegg Taxon'!R57), "", (CONCAT(" || Tribe: ", 'Kegg Taxon'!R57)))</f>
        <v> || Tribe: Phaseoleae</v>
      </c>
      <c r="Q57" s="400" t="str">
        <f>IF(ISBLANK('Kegg Taxon'!S57), "", (CONCAT(" || Subtribe: ", 'Kegg Taxon'!S57)))</f>
        <v> || Subtribe: --</v>
      </c>
      <c r="R57" s="400" t="str">
        <f>IF(ISBLANK('Kegg Taxon'!T57), "", (CONCAT(" || Genus: ", 'Kegg Taxon'!T57)))</f>
        <v> || Genus: Vigna</v>
      </c>
      <c r="S57" s="400" t="str">
        <f t="shared" si="2"/>
        <v>#REF!</v>
      </c>
      <c r="T57" s="400" t="str">
        <f>IF(ISBLANK('Kegg Taxon'!U57), "", (CONCAT(" || Species: ", 'Kegg Taxon'!U57)))</f>
        <v> || Species: unguiculata</v>
      </c>
      <c r="U57" s="400" t="str">
        <f>IF(ISBLANK('Kegg Taxon'!V57), "", (CONCAT(" || Var/Subsp: ", 'Kegg Taxon'!V57)))</f>
        <v/>
      </c>
      <c r="V57" s="400"/>
      <c r="W57" s="400"/>
      <c r="X57" s="400"/>
      <c r="Y57" s="400"/>
      <c r="Z57" s="400"/>
    </row>
    <row r="58" ht="14.25" customHeight="1">
      <c r="A58" s="401" t="s">
        <v>3625</v>
      </c>
      <c r="B58" s="399" t="str">
        <f t="shared" si="1"/>
        <v>#REF!</v>
      </c>
      <c r="C58" s="400" t="str">
        <f>IF(ISBLANK('Kegg Taxon'!A58), "", (CONCAT("Kegg code: ", 'Kegg Taxon'!A58)))</f>
        <v>Kegg code: qsu</v>
      </c>
      <c r="D58" s="400" t="str">
        <f>IF(ISBLANK('Kegg Taxon'!B58), "", (CONCAT(" || Common name: ", 'Kegg Taxon'!B58)))</f>
        <v> || Common name: Cork Oak</v>
      </c>
      <c r="E58" s="400" t="str">
        <f>IF(ISBLANK('Kegg Taxon'!C58), "", (CONCAT(" || Scientific name: ", 'Kegg Taxon'!C58)))</f>
        <v> || Scientific name: Quercus suber</v>
      </c>
      <c r="F58" s="400" t="str">
        <f>IF(ISBLANK('Kegg Taxon'!D58), "", (CONCAT(" || Kingdom: ", 'Kegg Taxon'!D58)))</f>
        <v> || Kingdom: Plantae</v>
      </c>
      <c r="G58" s="400" t="str">
        <f>IF(ISBLANK('Kegg Taxon'!F58), "", (CONCAT(" || Subkingdom: ", 'Kegg Taxon'!F58)))</f>
        <v> || Subkingdom: Viridiplantae</v>
      </c>
      <c r="H58" s="400" t="str">
        <f>IF(ISBLANK('Kegg Taxon'!H58), "", (CONCAT(" || Superdivision: ", 'Kegg Taxon'!H58)))</f>
        <v> || Superdivision: Embryophyta</v>
      </c>
      <c r="I58" s="400" t="str">
        <f>IF(ISBLANK('Kegg Taxon'!I58), "", (CONCAT(" || Phylum: ", 'Kegg Taxon'!I58)))</f>
        <v> || Phylum: Tracheophyta</v>
      </c>
      <c r="J58" s="400" t="str">
        <f>IF(ISBLANK('Kegg Taxon'!J58), "", (CONCAT(" || Subphylum: ", 'Kegg Taxon'!J58)))</f>
        <v> || Subphylum: Spermophytina</v>
      </c>
      <c r="K58" s="400" t="str">
        <f>IF(ISBLANK('Kegg Taxon'!K58), "", (CONCAT(" || Class: ", 'Kegg Taxon'!K58)))</f>
        <v> || Class: Magnoliopsida</v>
      </c>
      <c r="L58" s="400" t="str">
        <f>IF(ISBLANK('Kegg Taxon'!L58), "", (CONCAT(" || Subclass: ", 'Kegg Taxon'!L58)))</f>
        <v> || Subclass: --</v>
      </c>
      <c r="M58" s="400" t="str">
        <f>IF(ISBLANK('Kegg Taxon'!O58), "", (CONCAT(" || Order: ", 'Kegg Taxon'!O58)))</f>
        <v> || Order: Fagales</v>
      </c>
      <c r="N58" s="400" t="str">
        <f>IF(ISBLANK('Kegg Taxon'!P58), "", (CONCAT(" || Family: ", 'Kegg Taxon'!P58)))</f>
        <v> || Family: Fagaceae</v>
      </c>
      <c r="O58" s="400" t="str">
        <f>IF(ISBLANK('Kegg Taxon'!Q58), "", (CONCAT(" || Subfamily: ", 'Kegg Taxon'!Q58)))</f>
        <v> || Subfamily: --</v>
      </c>
      <c r="P58" s="400" t="str">
        <f>IF(ISBLANK('Kegg Taxon'!R58), "", (CONCAT(" || Tribe: ", 'Kegg Taxon'!R58)))</f>
        <v> || Tribe: --</v>
      </c>
      <c r="Q58" s="400" t="str">
        <f>IF(ISBLANK('Kegg Taxon'!S58), "", (CONCAT(" || Subtribe: ", 'Kegg Taxon'!S58)))</f>
        <v> || Subtribe: --</v>
      </c>
      <c r="R58" s="400" t="str">
        <f>IF(ISBLANK('Kegg Taxon'!T58), "", (CONCAT(" || Genus: ", 'Kegg Taxon'!T58)))</f>
        <v> || Genus: Quercus</v>
      </c>
      <c r="S58" s="400" t="str">
        <f t="shared" si="2"/>
        <v>#REF!</v>
      </c>
      <c r="T58" s="400" t="str">
        <f>IF(ISBLANK('Kegg Taxon'!U58), "", (CONCAT(" || Species: ", 'Kegg Taxon'!U58)))</f>
        <v> || Species: suber</v>
      </c>
      <c r="U58" s="400" t="str">
        <f>IF(ISBLANK('Kegg Taxon'!V58), "", (CONCAT(" || Var/Subsp: ", 'Kegg Taxon'!V58)))</f>
        <v/>
      </c>
      <c r="V58" s="400"/>
      <c r="W58" s="400"/>
      <c r="X58" s="400"/>
      <c r="Y58" s="400"/>
      <c r="Z58" s="400"/>
    </row>
    <row r="59" ht="14.25" customHeight="1">
      <c r="A59" s="401" t="s">
        <v>3626</v>
      </c>
      <c r="B59" s="399" t="str">
        <f t="shared" si="1"/>
        <v>#REF!</v>
      </c>
      <c r="C59" s="400" t="str">
        <f>IF(ISBLANK('Kegg Taxon'!A59), "", (CONCAT("Kegg code: ", 'Kegg Taxon'!A59)))</f>
        <v>Kegg code: ppp</v>
      </c>
      <c r="D59" s="400" t="str">
        <f>IF(ISBLANK('Kegg Taxon'!B59), "", (CONCAT(" || Common name: ", 'Kegg Taxon'!B59)))</f>
        <v> || Common name: Spreading Earthmoss</v>
      </c>
      <c r="E59" s="400" t="str">
        <f>IF(ISBLANK('Kegg Taxon'!C59), "", (CONCAT(" || Scientific name: ", 'Kegg Taxon'!C59)))</f>
        <v> || Scientific name: Physcomitrium patens</v>
      </c>
      <c r="F59" s="400" t="str">
        <f>IF(ISBLANK('Kegg Taxon'!D59), "", (CONCAT(" || Kingdom: ", 'Kegg Taxon'!D59)))</f>
        <v> || Kingdom: Plantae</v>
      </c>
      <c r="G59" s="400" t="str">
        <f>IF(ISBLANK('Kegg Taxon'!F59), "", (CONCAT(" || Subkingdom: ", 'Kegg Taxon'!F59)))</f>
        <v> || Subkingdom: Viridiplantae</v>
      </c>
      <c r="H59" s="400" t="str">
        <f>IF(ISBLANK('Kegg Taxon'!H59), "", (CONCAT(" || Superdivision: ", 'Kegg Taxon'!H59)))</f>
        <v> || Superdivision: Embryophyta</v>
      </c>
      <c r="I59" s="400" t="str">
        <f>IF(ISBLANK('Kegg Taxon'!I59), "", (CONCAT(" || Phylum: ", 'Kegg Taxon'!I59)))</f>
        <v> || Phylum: Byrophyta</v>
      </c>
      <c r="J59" s="400" t="str">
        <f>IF(ISBLANK('Kegg Taxon'!J59), "", (CONCAT(" || Subphylum: ", 'Kegg Taxon'!J59)))</f>
        <v> || Subphylum: Bryophytina</v>
      </c>
      <c r="K59" s="400" t="str">
        <f>IF(ISBLANK('Kegg Taxon'!K59), "", (CONCAT(" || Class: ", 'Kegg Taxon'!K59)))</f>
        <v> || Class: Bryopsida</v>
      </c>
      <c r="L59" s="400" t="str">
        <f>IF(ISBLANK('Kegg Taxon'!L59), "", (CONCAT(" || Subclass: ", 'Kegg Taxon'!L59)))</f>
        <v> || Subclass: Funariidae</v>
      </c>
      <c r="M59" s="400" t="str">
        <f>IF(ISBLANK('Kegg Taxon'!O59), "", (CONCAT(" || Order: ", 'Kegg Taxon'!O59)))</f>
        <v> || Order: Funariales</v>
      </c>
      <c r="N59" s="400" t="str">
        <f>IF(ISBLANK('Kegg Taxon'!P59), "", (CONCAT(" || Family: ", 'Kegg Taxon'!P59)))</f>
        <v> || Family: Funariaceae</v>
      </c>
      <c r="O59" s="400" t="str">
        <f>IF(ISBLANK('Kegg Taxon'!Q59), "", (CONCAT(" || Subfamily: ", 'Kegg Taxon'!Q59)))</f>
        <v> || Subfamily: --</v>
      </c>
      <c r="P59" s="400" t="str">
        <f>IF(ISBLANK('Kegg Taxon'!R59), "", (CONCAT(" || Tribe: ", 'Kegg Taxon'!R59)))</f>
        <v> || Tribe: --</v>
      </c>
      <c r="Q59" s="400" t="str">
        <f>IF(ISBLANK('Kegg Taxon'!S59), "", (CONCAT(" || Subtribe: ", 'Kegg Taxon'!S59)))</f>
        <v> || Subtribe: --</v>
      </c>
      <c r="R59" s="400" t="str">
        <f>IF(ISBLANK('Kegg Taxon'!T59), "", (CONCAT(" || Genus: ", 'Kegg Taxon'!T59)))</f>
        <v> || Genus: Physcomitrium</v>
      </c>
      <c r="S59" s="400" t="str">
        <f t="shared" si="2"/>
        <v>#REF!</v>
      </c>
      <c r="T59" s="400" t="str">
        <f>IF(ISBLANK('Kegg Taxon'!U59), "", (CONCAT(" || Species: ", 'Kegg Taxon'!U59)))</f>
        <v> || Species: patens</v>
      </c>
      <c r="U59" s="400" t="str">
        <f>IF(ISBLANK('Kegg Taxon'!V59), "", (CONCAT(" || Var/Subsp: ", 'Kegg Taxon'!V59)))</f>
        <v/>
      </c>
      <c r="V59" s="400"/>
      <c r="W59" s="400"/>
      <c r="X59" s="400"/>
      <c r="Y59" s="400"/>
      <c r="Z59" s="400"/>
    </row>
    <row r="60" ht="14.25" customHeight="1">
      <c r="A60" s="401" t="s">
        <v>3627</v>
      </c>
      <c r="B60" s="399" t="str">
        <f t="shared" si="1"/>
        <v>#REF!</v>
      </c>
      <c r="C60" s="400" t="str">
        <f>IF(ISBLANK('Kegg Taxon'!A60), "", (CONCAT("Kegg code: ", 'Kegg Taxon'!A60)))</f>
        <v>Kegg code: ccp</v>
      </c>
      <c r="D60" s="400" t="str">
        <f>IF(ISBLANK('Kegg Taxon'!B60), "", (CONCAT(" || Common name: ", 'Kegg Taxon'!B60)))</f>
        <v> || Common name: Carragheen Moss</v>
      </c>
      <c r="E60" s="400" t="str">
        <f>IF(ISBLANK('Kegg Taxon'!C60), "", (CONCAT(" || Scientific name: ", 'Kegg Taxon'!C60)))</f>
        <v> || Scientific name: Chondrus crispus</v>
      </c>
      <c r="F60" s="400" t="str">
        <f>IF(ISBLANK('Kegg Taxon'!D60), "", (CONCAT(" || Kingdom: ", 'Kegg Taxon'!D60)))</f>
        <v> || Kingdom: Plantae</v>
      </c>
      <c r="G60" s="400" t="str">
        <f>IF(ISBLANK('Kegg Taxon'!F60), "", (CONCAT(" || Subkingdom: ", 'Kegg Taxon'!F60)))</f>
        <v> || Subkingdom: Biliphyta</v>
      </c>
      <c r="H60" s="400" t="str">
        <f>IF(ISBLANK('Kegg Taxon'!H60), "", (CONCAT(" || Superdivision: ", 'Kegg Taxon'!H60)))</f>
        <v> || Superdivision: --</v>
      </c>
      <c r="I60" s="400" t="str">
        <f>IF(ISBLANK('Kegg Taxon'!I60), "", (CONCAT(" || Phylum: ", 'Kegg Taxon'!I60)))</f>
        <v> || Phylum: Rhodophyta (red algae)</v>
      </c>
      <c r="J60" s="400" t="str">
        <f>IF(ISBLANK('Kegg Taxon'!J60), "", (CONCAT(" || Subphylum: ", 'Kegg Taxon'!J60)))</f>
        <v> || Subphylum: Eurhodophytina</v>
      </c>
      <c r="K60" s="400" t="str">
        <f>IF(ISBLANK('Kegg Taxon'!K60), "", (CONCAT(" || Class: ", 'Kegg Taxon'!K60)))</f>
        <v> || Class: Florideophyceae</v>
      </c>
      <c r="L60" s="400" t="str">
        <f>IF(ISBLANK('Kegg Taxon'!L60), "", (CONCAT(" || Subclass: ", 'Kegg Taxon'!L60)))</f>
        <v> || Subclass: Rhodymeniophycidae</v>
      </c>
      <c r="M60" s="400" t="str">
        <f>IF(ISBLANK('Kegg Taxon'!O60), "", (CONCAT(" || Order: ", 'Kegg Taxon'!O60)))</f>
        <v> || Order: Gigartinales</v>
      </c>
      <c r="N60" s="400" t="str">
        <f>IF(ISBLANK('Kegg Taxon'!P60), "", (CONCAT(" || Family: ", 'Kegg Taxon'!P60)))</f>
        <v> || Family: Gigartinaceae</v>
      </c>
      <c r="O60" s="400" t="str">
        <f>IF(ISBLANK('Kegg Taxon'!Q60), "", (CONCAT(" || Subfamily: ", 'Kegg Taxon'!Q60)))</f>
        <v> || Subfamily: --</v>
      </c>
      <c r="P60" s="400" t="str">
        <f>IF(ISBLANK('Kegg Taxon'!R60), "", (CONCAT(" || Tribe: ", 'Kegg Taxon'!R60)))</f>
        <v> || Tribe: --</v>
      </c>
      <c r="Q60" s="400" t="str">
        <f>IF(ISBLANK('Kegg Taxon'!S60), "", (CONCAT(" || Subtribe: ", 'Kegg Taxon'!S60)))</f>
        <v> || Subtribe: --</v>
      </c>
      <c r="R60" s="400" t="str">
        <f>IF(ISBLANK('Kegg Taxon'!T60), "", (CONCAT(" || Genus: ", 'Kegg Taxon'!T60)))</f>
        <v> || Genus: Chrondus</v>
      </c>
      <c r="S60" s="400" t="str">
        <f t="shared" si="2"/>
        <v>#REF!</v>
      </c>
      <c r="T60" s="400" t="str">
        <f>IF(ISBLANK('Kegg Taxon'!U60), "", (CONCAT(" || Species: ", 'Kegg Taxon'!U60)))</f>
        <v> || Species: crispus</v>
      </c>
      <c r="U60" s="400" t="str">
        <f>IF(ISBLANK('Kegg Taxon'!V60), "", (CONCAT(" || Var/Subsp: ", 'Kegg Taxon'!V60)))</f>
        <v/>
      </c>
      <c r="V60" s="400"/>
      <c r="W60" s="400"/>
      <c r="X60" s="400"/>
      <c r="Y60" s="400"/>
      <c r="Z60" s="400"/>
    </row>
    <row r="61" ht="14.25" customHeight="1">
      <c r="A61" s="401" t="s">
        <v>3628</v>
      </c>
      <c r="B61" s="399" t="str">
        <f t="shared" si="1"/>
        <v>#REF!</v>
      </c>
      <c r="C61" s="400" t="str">
        <f>IF(ISBLANK('Kegg Taxon'!A61), "", (CONCAT("Kegg code: ", 'Kegg Taxon'!A61)))</f>
        <v>Kegg code: jre</v>
      </c>
      <c r="D61" s="400" t="str">
        <f>IF(ISBLANK('Kegg Taxon'!B61), "", (CONCAT(" || Common name: ", 'Kegg Taxon'!B61)))</f>
        <v> || Common name: English Walnut</v>
      </c>
      <c r="E61" s="400" t="str">
        <f>IF(ISBLANK('Kegg Taxon'!C61), "", (CONCAT(" || Scientific name: ", 'Kegg Taxon'!C61)))</f>
        <v> || Scientific name: Juglans regia</v>
      </c>
      <c r="F61" s="400" t="str">
        <f>IF(ISBLANK('Kegg Taxon'!D61), "", (CONCAT(" || Kingdom: ", 'Kegg Taxon'!D61)))</f>
        <v> || Kingdom: Plantae</v>
      </c>
      <c r="G61" s="400" t="str">
        <f>IF(ISBLANK('Kegg Taxon'!F61), "", (CONCAT(" || Subkingdom: ", 'Kegg Taxon'!F61)))</f>
        <v> || Subkingdom: Viridiplantae</v>
      </c>
      <c r="H61" s="400" t="str">
        <f>IF(ISBLANK('Kegg Taxon'!H61), "", (CONCAT(" || Superdivision: ", 'Kegg Taxon'!H61)))</f>
        <v> || Superdivision: Embryophyta</v>
      </c>
      <c r="I61" s="400" t="str">
        <f>IF(ISBLANK('Kegg Taxon'!I61), "", (CONCAT(" || Phylum: ", 'Kegg Taxon'!I61)))</f>
        <v> || Phylum: Tracheophyta</v>
      </c>
      <c r="J61" s="400" t="str">
        <f>IF(ISBLANK('Kegg Taxon'!J61), "", (CONCAT(" || Subphylum: ", 'Kegg Taxon'!J61)))</f>
        <v> || Subphylum: Spermophytina</v>
      </c>
      <c r="K61" s="400" t="str">
        <f>IF(ISBLANK('Kegg Taxon'!K61), "", (CONCAT(" || Class: ", 'Kegg Taxon'!K61)))</f>
        <v> || Class: Magnoliopsida</v>
      </c>
      <c r="L61" s="400" t="str">
        <f>IF(ISBLANK('Kegg Taxon'!L61), "", (CONCAT(" || Subclass: ", 'Kegg Taxon'!L61)))</f>
        <v> || Subclass: --</v>
      </c>
      <c r="M61" s="400" t="str">
        <f>IF(ISBLANK('Kegg Taxon'!O61), "", (CONCAT(" || Order: ", 'Kegg Taxon'!O61)))</f>
        <v> || Order: Fagales</v>
      </c>
      <c r="N61" s="400" t="str">
        <f>IF(ISBLANK('Kegg Taxon'!P61), "", (CONCAT(" || Family: ", 'Kegg Taxon'!P61)))</f>
        <v> || Family: Juglandaceae</v>
      </c>
      <c r="O61" s="400" t="str">
        <f>IF(ISBLANK('Kegg Taxon'!Q61), "", (CONCAT(" || Subfamily: ", 'Kegg Taxon'!Q61)))</f>
        <v> || Subfamily: --</v>
      </c>
      <c r="P61" s="400" t="str">
        <f>IF(ISBLANK('Kegg Taxon'!R61), "", (CONCAT(" || Tribe: ", 'Kegg Taxon'!R61)))</f>
        <v> || Tribe: --</v>
      </c>
      <c r="Q61" s="400" t="str">
        <f>IF(ISBLANK('Kegg Taxon'!S61), "", (CONCAT(" || Subtribe: ", 'Kegg Taxon'!S61)))</f>
        <v> || Subtribe: --</v>
      </c>
      <c r="R61" s="400" t="str">
        <f>IF(ISBLANK('Kegg Taxon'!T61), "", (CONCAT(" || Genus: ", 'Kegg Taxon'!T61)))</f>
        <v> || Genus: Juglans</v>
      </c>
      <c r="S61" s="400" t="str">
        <f t="shared" si="2"/>
        <v>#REF!</v>
      </c>
      <c r="T61" s="400" t="str">
        <f>IF(ISBLANK('Kegg Taxon'!U61), "", (CONCAT(" || Species: ", 'Kegg Taxon'!U61)))</f>
        <v> || Species: regia</v>
      </c>
      <c r="U61" s="400" t="str">
        <f>IF(ISBLANK('Kegg Taxon'!V61), "", (CONCAT(" || Var/Subsp: ", 'Kegg Taxon'!V61)))</f>
        <v/>
      </c>
      <c r="V61" s="400"/>
      <c r="W61" s="400"/>
      <c r="X61" s="400"/>
      <c r="Y61" s="400"/>
      <c r="Z61" s="400"/>
    </row>
    <row r="62" ht="14.25" customHeight="1">
      <c r="A62" s="401" t="s">
        <v>3629</v>
      </c>
      <c r="B62" s="399" t="str">
        <f t="shared" si="1"/>
        <v>#REF!</v>
      </c>
      <c r="C62" s="400" t="str">
        <f>IF(ISBLANK('Kegg Taxon'!A62), "", (CONCAT("Kegg code: ", 'Kegg Taxon'!A62)))</f>
        <v>Kegg code: gab</v>
      </c>
      <c r="D62" s="400" t="str">
        <f>IF(ISBLANK('Kegg Taxon'!B62), "", (CONCAT(" || Common name: ", 'Kegg Taxon'!B62)))</f>
        <v> || Common name: Tree Cotton</v>
      </c>
      <c r="E62" s="400" t="str">
        <f>IF(ISBLANK('Kegg Taxon'!C62), "", (CONCAT(" || Scientific name: ", 'Kegg Taxon'!C62)))</f>
        <v> || Scientific name: Gossypium arboreum</v>
      </c>
      <c r="F62" s="400" t="str">
        <f>IF(ISBLANK('Kegg Taxon'!D62), "", (CONCAT(" || Kingdom: ", 'Kegg Taxon'!D62)))</f>
        <v> || Kingdom: Plantae</v>
      </c>
      <c r="G62" s="400" t="str">
        <f>IF(ISBLANK('Kegg Taxon'!F62), "", (CONCAT(" || Subkingdom: ", 'Kegg Taxon'!F62)))</f>
        <v> || Subkingdom: Viridiplantae</v>
      </c>
      <c r="H62" s="400" t="str">
        <f>IF(ISBLANK('Kegg Taxon'!H62), "", (CONCAT(" || Superdivision: ", 'Kegg Taxon'!H62)))</f>
        <v> || Superdivision: Embryophyta</v>
      </c>
      <c r="I62" s="400" t="str">
        <f>IF(ISBLANK('Kegg Taxon'!I62), "", (CONCAT(" || Phylum: ", 'Kegg Taxon'!I62)))</f>
        <v> || Phylum: Tracheophyta</v>
      </c>
      <c r="J62" s="400" t="str">
        <f>IF(ISBLANK('Kegg Taxon'!J62), "", (CONCAT(" || Subphylum: ", 'Kegg Taxon'!J62)))</f>
        <v> || Subphylum: Spermophytina</v>
      </c>
      <c r="K62" s="400" t="str">
        <f>IF(ISBLANK('Kegg Taxon'!K62), "", (CONCAT(" || Class: ", 'Kegg Taxon'!K62)))</f>
        <v> || Class: Magnoliopsida</v>
      </c>
      <c r="L62" s="400" t="str">
        <f>IF(ISBLANK('Kegg Taxon'!L62), "", (CONCAT(" || Subclass: ", 'Kegg Taxon'!L62)))</f>
        <v> || Subclass: --</v>
      </c>
      <c r="M62" s="400" t="str">
        <f>IF(ISBLANK('Kegg Taxon'!O62), "", (CONCAT(" || Order: ", 'Kegg Taxon'!O62)))</f>
        <v> || Order: Malvales</v>
      </c>
      <c r="N62" s="400" t="str">
        <f>IF(ISBLANK('Kegg Taxon'!P62), "", (CONCAT(" || Family: ", 'Kegg Taxon'!P62)))</f>
        <v> || Family: Malvaceae</v>
      </c>
      <c r="O62" s="400" t="str">
        <f>IF(ISBLANK('Kegg Taxon'!Q62), "", (CONCAT(" || Subfamily: ", 'Kegg Taxon'!Q62)))</f>
        <v> || Subfamily: --</v>
      </c>
      <c r="P62" s="400" t="str">
        <f>IF(ISBLANK('Kegg Taxon'!R62), "", (CONCAT(" || Tribe: ", 'Kegg Taxon'!R62)))</f>
        <v> || Tribe: --</v>
      </c>
      <c r="Q62" s="400" t="str">
        <f>IF(ISBLANK('Kegg Taxon'!S62), "", (CONCAT(" || Subtribe: ", 'Kegg Taxon'!S62)))</f>
        <v> || Subtribe: --</v>
      </c>
      <c r="R62" s="400" t="str">
        <f>IF(ISBLANK('Kegg Taxon'!T62), "", (CONCAT(" || Genus: ", 'Kegg Taxon'!T62)))</f>
        <v> || Genus: Gossypium</v>
      </c>
      <c r="S62" s="400" t="str">
        <f t="shared" si="2"/>
        <v>#REF!</v>
      </c>
      <c r="T62" s="400" t="str">
        <f>IF(ISBLANK('Kegg Taxon'!U62), "", (CONCAT(" || Species: ", 'Kegg Taxon'!U62)))</f>
        <v> || Species: arboreum</v>
      </c>
      <c r="U62" s="400" t="str">
        <f>IF(ISBLANK('Kegg Taxon'!V62), "", (CONCAT(" || Var/Subsp: ", 'Kegg Taxon'!V62)))</f>
        <v/>
      </c>
      <c r="V62" s="400"/>
      <c r="W62" s="400"/>
      <c r="X62" s="400"/>
      <c r="Y62" s="400"/>
      <c r="Z62" s="400"/>
    </row>
    <row r="63" ht="14.25" customHeight="1">
      <c r="A63" s="401" t="s">
        <v>3630</v>
      </c>
      <c r="B63" s="399" t="str">
        <f t="shared" si="1"/>
        <v>#REF!</v>
      </c>
      <c r="C63" s="400" t="str">
        <f>IF(ISBLANK('Kegg Taxon'!A63), "", (CONCAT("Kegg code: ", 'Kegg Taxon'!A63)))</f>
        <v>Kegg code: ghi</v>
      </c>
      <c r="D63" s="400" t="str">
        <f>IF(ISBLANK('Kegg Taxon'!B63), "", (CONCAT(" || Common name: ", 'Kegg Taxon'!B63)))</f>
        <v> || Common name: Upland Cotton</v>
      </c>
      <c r="E63" s="400" t="str">
        <f>IF(ISBLANK('Kegg Taxon'!C63), "", (CONCAT(" || Scientific name: ", 'Kegg Taxon'!C63)))</f>
        <v> || Scientific name: Gossypium hirsutum</v>
      </c>
      <c r="F63" s="400" t="str">
        <f>IF(ISBLANK('Kegg Taxon'!D63), "", (CONCAT(" || Kingdom: ", 'Kegg Taxon'!D63)))</f>
        <v> || Kingdom: Plantae</v>
      </c>
      <c r="G63" s="400" t="str">
        <f>IF(ISBLANK('Kegg Taxon'!F63), "", (CONCAT(" || Subkingdom: ", 'Kegg Taxon'!F63)))</f>
        <v> || Subkingdom: Viridiplantae</v>
      </c>
      <c r="H63" s="400" t="str">
        <f>IF(ISBLANK('Kegg Taxon'!H63), "", (CONCAT(" || Superdivision: ", 'Kegg Taxon'!H63)))</f>
        <v> || Superdivision: Embryophyta</v>
      </c>
      <c r="I63" s="400" t="str">
        <f>IF(ISBLANK('Kegg Taxon'!I63), "", (CONCAT(" || Phylum: ", 'Kegg Taxon'!I63)))</f>
        <v> || Phylum: Tracheophyta</v>
      </c>
      <c r="J63" s="400" t="str">
        <f>IF(ISBLANK('Kegg Taxon'!J63), "", (CONCAT(" || Subphylum: ", 'Kegg Taxon'!J63)))</f>
        <v> || Subphylum: Spermophytina</v>
      </c>
      <c r="K63" s="400" t="str">
        <f>IF(ISBLANK('Kegg Taxon'!K63), "", (CONCAT(" || Class: ", 'Kegg Taxon'!K63)))</f>
        <v> || Class: Magnoliopsida</v>
      </c>
      <c r="L63" s="400" t="str">
        <f>IF(ISBLANK('Kegg Taxon'!L63), "", (CONCAT(" || Subclass: ", 'Kegg Taxon'!L63)))</f>
        <v> || Subclass: --</v>
      </c>
      <c r="M63" s="400" t="str">
        <f>IF(ISBLANK('Kegg Taxon'!O63), "", (CONCAT(" || Order: ", 'Kegg Taxon'!O63)))</f>
        <v> || Order: Malvales</v>
      </c>
      <c r="N63" s="400" t="str">
        <f>IF(ISBLANK('Kegg Taxon'!P63), "", (CONCAT(" || Family: ", 'Kegg Taxon'!P63)))</f>
        <v> || Family: Malvaceae</v>
      </c>
      <c r="O63" s="400" t="str">
        <f>IF(ISBLANK('Kegg Taxon'!Q63), "", (CONCAT(" || Subfamily: ", 'Kegg Taxon'!Q63)))</f>
        <v> || Subfamily: Malvoideae</v>
      </c>
      <c r="P63" s="400" t="str">
        <f>IF(ISBLANK('Kegg Taxon'!R63), "", (CONCAT(" || Tribe: ", 'Kegg Taxon'!R63)))</f>
        <v> || Tribe: --</v>
      </c>
      <c r="Q63" s="400" t="str">
        <f>IF(ISBLANK('Kegg Taxon'!S63), "", (CONCAT(" || Subtribe: ", 'Kegg Taxon'!S63)))</f>
        <v> || Subtribe: --</v>
      </c>
      <c r="R63" s="400" t="str">
        <f>IF(ISBLANK('Kegg Taxon'!T63), "", (CONCAT(" || Genus: ", 'Kegg Taxon'!T63)))</f>
        <v> || Genus: Gossypium</v>
      </c>
      <c r="S63" s="400" t="str">
        <f t="shared" si="2"/>
        <v>#REF!</v>
      </c>
      <c r="T63" s="400" t="str">
        <f>IF(ISBLANK('Kegg Taxon'!U63), "", (CONCAT(" || Species: ", 'Kegg Taxon'!U63)))</f>
        <v> || Species: hirsutum</v>
      </c>
      <c r="U63" s="400" t="str">
        <f>IF(ISBLANK('Kegg Taxon'!V63), "", (CONCAT(" || Var/Subsp: ", 'Kegg Taxon'!V63)))</f>
        <v/>
      </c>
      <c r="V63" s="400"/>
      <c r="W63" s="400"/>
      <c r="X63" s="400"/>
      <c r="Y63" s="400"/>
      <c r="Z63" s="400"/>
    </row>
    <row r="64" ht="14.25" customHeight="1">
      <c r="A64" s="401" t="s">
        <v>3631</v>
      </c>
      <c r="B64" s="399" t="str">
        <f t="shared" si="1"/>
        <v>#REF!</v>
      </c>
      <c r="C64" s="400" t="str">
        <f>IF(ISBLANK('Kegg Taxon'!A64), "", (CONCAT("Kegg code: ", 'Kegg Taxon'!A64)))</f>
        <v>Kegg code: gra</v>
      </c>
      <c r="D64" s="400" t="str">
        <f>IF(ISBLANK('Kegg Taxon'!B64), "", (CONCAT(" || Common name: ", 'Kegg Taxon'!B64)))</f>
        <v> || Common name: Peruvian Tree Cotton</v>
      </c>
      <c r="E64" s="400" t="str">
        <f>IF(ISBLANK('Kegg Taxon'!C64), "", (CONCAT(" || Scientific name: ", 'Kegg Taxon'!C64)))</f>
        <v> || Scientific name: Gossypium raimondii</v>
      </c>
      <c r="F64" s="400" t="str">
        <f>IF(ISBLANK('Kegg Taxon'!D64), "", (CONCAT(" || Kingdom: ", 'Kegg Taxon'!D64)))</f>
        <v> || Kingdom: Plantae</v>
      </c>
      <c r="G64" s="400" t="str">
        <f>IF(ISBLANK('Kegg Taxon'!F64), "", (CONCAT(" || Subkingdom: ", 'Kegg Taxon'!F64)))</f>
        <v> || Subkingdom: Viridiplantae</v>
      </c>
      <c r="H64" s="400" t="str">
        <f>IF(ISBLANK('Kegg Taxon'!H64), "", (CONCAT(" || Superdivision: ", 'Kegg Taxon'!H64)))</f>
        <v> || Superdivision: Embryophyta</v>
      </c>
      <c r="I64" s="400" t="str">
        <f>IF(ISBLANK('Kegg Taxon'!I64), "", (CONCAT(" || Phylum: ", 'Kegg Taxon'!I64)))</f>
        <v> || Phylum: Tracheophyta</v>
      </c>
      <c r="J64" s="400" t="str">
        <f>IF(ISBLANK('Kegg Taxon'!J64), "", (CONCAT(" || Subphylum: ", 'Kegg Taxon'!J64)))</f>
        <v> || Subphylum: Spermophytina</v>
      </c>
      <c r="K64" s="400" t="str">
        <f>IF(ISBLANK('Kegg Taxon'!K64), "", (CONCAT(" || Class: ", 'Kegg Taxon'!K64)))</f>
        <v> || Class: Magnoliopsida</v>
      </c>
      <c r="L64" s="400" t="str">
        <f>IF(ISBLANK('Kegg Taxon'!L64), "", (CONCAT(" || Subclass: ", 'Kegg Taxon'!L64)))</f>
        <v> || Subclass: --</v>
      </c>
      <c r="M64" s="400" t="str">
        <f>IF(ISBLANK('Kegg Taxon'!O64), "", (CONCAT(" || Order: ", 'Kegg Taxon'!O64)))</f>
        <v> || Order: Malvales</v>
      </c>
      <c r="N64" s="400" t="str">
        <f>IF(ISBLANK('Kegg Taxon'!P64), "", (CONCAT(" || Family: ", 'Kegg Taxon'!P64)))</f>
        <v> || Family: Malvaceae</v>
      </c>
      <c r="O64" s="400" t="str">
        <f>IF(ISBLANK('Kegg Taxon'!Q64), "", (CONCAT(" || Subfamily: ", 'Kegg Taxon'!Q64)))</f>
        <v> || Subfamily: Malvoideae</v>
      </c>
      <c r="P64" s="400" t="str">
        <f>IF(ISBLANK('Kegg Taxon'!R64), "", (CONCAT(" || Tribe: ", 'Kegg Taxon'!R64)))</f>
        <v> || Tribe: --</v>
      </c>
      <c r="Q64" s="400" t="str">
        <f>IF(ISBLANK('Kegg Taxon'!S64), "", (CONCAT(" || Subtribe: ", 'Kegg Taxon'!S64)))</f>
        <v> || Subtribe: --</v>
      </c>
      <c r="R64" s="400" t="str">
        <f>IF(ISBLANK('Kegg Taxon'!T64), "", (CONCAT(" || Genus: ", 'Kegg Taxon'!T64)))</f>
        <v> || Genus: Gossypium</v>
      </c>
      <c r="S64" s="400" t="str">
        <f t="shared" si="2"/>
        <v>#REF!</v>
      </c>
      <c r="T64" s="400" t="str">
        <f>IF(ISBLANK('Kegg Taxon'!U64), "", (CONCAT(" || Species: ", 'Kegg Taxon'!U64)))</f>
        <v> || Species: raimondii</v>
      </c>
      <c r="U64" s="400" t="str">
        <f>IF(ISBLANK('Kegg Taxon'!V64), "", (CONCAT(" || Var/Subsp: ", 'Kegg Taxon'!V64)))</f>
        <v/>
      </c>
      <c r="V64" s="400"/>
      <c r="W64" s="400"/>
      <c r="X64" s="400"/>
      <c r="Y64" s="400"/>
      <c r="Z64" s="400"/>
    </row>
    <row r="65" ht="14.25" customHeight="1">
      <c r="A65" s="401" t="s">
        <v>3632</v>
      </c>
      <c r="B65" s="399" t="str">
        <f t="shared" si="1"/>
        <v>#REF!</v>
      </c>
      <c r="C65" s="400" t="str">
        <f>IF(ISBLANK('Kegg Taxon'!A65), "", (CONCAT("Kegg code: ", 'Kegg Taxon'!A65)))</f>
        <v>Kegg code: tcc</v>
      </c>
      <c r="D65" s="400" t="str">
        <f>IF(ISBLANK('Kegg Taxon'!B65), "", (CONCAT(" || Common name: ", 'Kegg Taxon'!B65)))</f>
        <v> || Common name: Cacao</v>
      </c>
      <c r="E65" s="400" t="str">
        <f>IF(ISBLANK('Kegg Taxon'!C65), "", (CONCAT(" || Scientific name: ", 'Kegg Taxon'!C65)))</f>
        <v> || Scientific name: Theobroma cacao</v>
      </c>
      <c r="F65" s="400" t="str">
        <f>IF(ISBLANK('Kegg Taxon'!D65), "", (CONCAT(" || Kingdom: ", 'Kegg Taxon'!D65)))</f>
        <v> || Kingdom: Plantae</v>
      </c>
      <c r="G65" s="400" t="str">
        <f>IF(ISBLANK('Kegg Taxon'!F65), "", (CONCAT(" || Subkingdom: ", 'Kegg Taxon'!F65)))</f>
        <v> || Subkingdom: Viridiplantae</v>
      </c>
      <c r="H65" s="400" t="str">
        <f>IF(ISBLANK('Kegg Taxon'!H65), "", (CONCAT(" || Superdivision: ", 'Kegg Taxon'!H65)))</f>
        <v> || Superdivision: Embryophyta</v>
      </c>
      <c r="I65" s="400" t="str">
        <f>IF(ISBLANK('Kegg Taxon'!I65), "", (CONCAT(" || Phylum: ", 'Kegg Taxon'!I65)))</f>
        <v> || Phylum: Tracheophyta</v>
      </c>
      <c r="J65" s="400" t="str">
        <f>IF(ISBLANK('Kegg Taxon'!J65), "", (CONCAT(" || Subphylum: ", 'Kegg Taxon'!J65)))</f>
        <v> || Subphylum: Spermophytina</v>
      </c>
      <c r="K65" s="400" t="str">
        <f>IF(ISBLANK('Kegg Taxon'!K65), "", (CONCAT(" || Class: ", 'Kegg Taxon'!K65)))</f>
        <v> || Class: Magnoliopsida</v>
      </c>
      <c r="L65" s="400" t="str">
        <f>IF(ISBLANK('Kegg Taxon'!L65), "", (CONCAT(" || Subclass: ", 'Kegg Taxon'!L65)))</f>
        <v> || Subclass: --</v>
      </c>
      <c r="M65" s="400" t="str">
        <f>IF(ISBLANK('Kegg Taxon'!O65), "", (CONCAT(" || Order: ", 'Kegg Taxon'!O65)))</f>
        <v> || Order: Malvales</v>
      </c>
      <c r="N65" s="400" t="str">
        <f>IF(ISBLANK('Kegg Taxon'!P65), "", (CONCAT(" || Family: ", 'Kegg Taxon'!P65)))</f>
        <v> || Family: Malvaceae</v>
      </c>
      <c r="O65" s="400" t="str">
        <f>IF(ISBLANK('Kegg Taxon'!Q65), "", (CONCAT(" || Subfamily: ", 'Kegg Taxon'!Q65)))</f>
        <v> || Subfamily: Byttnerioideae</v>
      </c>
      <c r="P65" s="400" t="str">
        <f>IF(ISBLANK('Kegg Taxon'!R65), "", (CONCAT(" || Tribe: ", 'Kegg Taxon'!R65)))</f>
        <v> || Tribe: --</v>
      </c>
      <c r="Q65" s="400" t="str">
        <f>IF(ISBLANK('Kegg Taxon'!S65), "", (CONCAT(" || Subtribe: ", 'Kegg Taxon'!S65)))</f>
        <v> || Subtribe: --</v>
      </c>
      <c r="R65" s="400" t="str">
        <f>IF(ISBLANK('Kegg Taxon'!T65), "", (CONCAT(" || Genus: ", 'Kegg Taxon'!T65)))</f>
        <v> || Genus: Theobroma</v>
      </c>
      <c r="S65" s="400" t="str">
        <f t="shared" si="2"/>
        <v>#REF!</v>
      </c>
      <c r="T65" s="400" t="str">
        <f>IF(ISBLANK('Kegg Taxon'!U65), "", (CONCAT(" || Species: ", 'Kegg Taxon'!U65)))</f>
        <v> || Species: cacao</v>
      </c>
      <c r="U65" s="400" t="str">
        <f>IF(ISBLANK('Kegg Taxon'!V65), "", (CONCAT(" || Var/Subsp: ", 'Kegg Taxon'!V65)))</f>
        <v/>
      </c>
      <c r="V65" s="400"/>
      <c r="W65" s="400"/>
      <c r="X65" s="400"/>
      <c r="Y65" s="400"/>
      <c r="Z65" s="400"/>
    </row>
    <row r="66" ht="14.25" customHeight="1">
      <c r="A66" s="401" t="s">
        <v>3633</v>
      </c>
      <c r="B66" s="399" t="str">
        <f t="shared" si="1"/>
        <v>#REF!</v>
      </c>
      <c r="C66" s="400" t="str">
        <f>IF(ISBLANK('Kegg Taxon'!A66), "", (CONCAT("Kegg code: ", 'Kegg Taxon'!A66)))</f>
        <v>Kegg code: mis</v>
      </c>
      <c r="D66" s="400" t="str">
        <f>IF(ISBLANK('Kegg Taxon'!B66), "", (CONCAT(" || Common name: ", 'Kegg Taxon'!B66)))</f>
        <v> || Common name: Marine Green Picoplankton</v>
      </c>
      <c r="E66" s="400" t="str">
        <f>IF(ISBLANK('Kegg Taxon'!C66), "", (CONCAT(" || Scientific name: ", 'Kegg Taxon'!C66)))</f>
        <v> || Scientific name: Micromonas commoda</v>
      </c>
      <c r="F66" s="400" t="str">
        <f>IF(ISBLANK('Kegg Taxon'!D66), "", (CONCAT(" || Kingdom: ", 'Kegg Taxon'!D66)))</f>
        <v> || Kingdom: Plantae</v>
      </c>
      <c r="G66" s="400" t="str">
        <f>IF(ISBLANK('Kegg Taxon'!F66), "", (CONCAT(" || Subkingdom: ", 'Kegg Taxon'!F66)))</f>
        <v> || Subkingdom: Viridiplantae</v>
      </c>
      <c r="H66" s="400" t="str">
        <f>IF(ISBLANK('Kegg Taxon'!H66), "", (CONCAT(" || Superdivision: ", 'Kegg Taxon'!H66)))</f>
        <v> || Superdivision: --</v>
      </c>
      <c r="I66" s="400" t="str">
        <f>IF(ISBLANK('Kegg Taxon'!I66), "", (CONCAT(" || Phylum: ", 'Kegg Taxon'!I66)))</f>
        <v> || Phylum: Chlorophyta</v>
      </c>
      <c r="J66" s="400" t="str">
        <f>IF(ISBLANK('Kegg Taxon'!J66), "", (CONCAT(" || Subphylum: ", 'Kegg Taxon'!J66)))</f>
        <v> || Subphylum: Prasinophytina</v>
      </c>
      <c r="K66" s="400" t="str">
        <f>IF(ISBLANK('Kegg Taxon'!K66), "", (CONCAT(" || Class: ", 'Kegg Taxon'!K66)))</f>
        <v> || Class: Mamiellophyceae</v>
      </c>
      <c r="L66" s="400" t="str">
        <f>IF(ISBLANK('Kegg Taxon'!L66), "", (CONCAT(" || Subclass: ", 'Kegg Taxon'!L66)))</f>
        <v> || Subclass: --</v>
      </c>
      <c r="M66" s="400" t="str">
        <f>IF(ISBLANK('Kegg Taxon'!O66), "", (CONCAT(" || Order: ", 'Kegg Taxon'!O66)))</f>
        <v> || Order: Mamiellales</v>
      </c>
      <c r="N66" s="400" t="str">
        <f>IF(ISBLANK('Kegg Taxon'!P66), "", (CONCAT(" || Family: ", 'Kegg Taxon'!P66)))</f>
        <v> || Family: Mamiellaceae</v>
      </c>
      <c r="O66" s="400" t="str">
        <f>IF(ISBLANK('Kegg Taxon'!Q66), "", (CONCAT(" || Subfamily: ", 'Kegg Taxon'!Q66)))</f>
        <v> || Subfamily: --</v>
      </c>
      <c r="P66" s="400" t="str">
        <f>IF(ISBLANK('Kegg Taxon'!R66), "", (CONCAT(" || Tribe: ", 'Kegg Taxon'!R66)))</f>
        <v> || Tribe: --</v>
      </c>
      <c r="Q66" s="400" t="str">
        <f>IF(ISBLANK('Kegg Taxon'!S66), "", (CONCAT(" || Subtribe: ", 'Kegg Taxon'!S66)))</f>
        <v> || Subtribe: --</v>
      </c>
      <c r="R66" s="400" t="str">
        <f>IF(ISBLANK('Kegg Taxon'!T66), "", (CONCAT(" || Genus: ", 'Kegg Taxon'!T66)))</f>
        <v> || Genus: Micromonas</v>
      </c>
      <c r="S66" s="400" t="str">
        <f t="shared" si="2"/>
        <v>#REF!</v>
      </c>
      <c r="T66" s="400" t="str">
        <f>IF(ISBLANK('Kegg Taxon'!U66), "", (CONCAT(" || Species: ", 'Kegg Taxon'!U66)))</f>
        <v> || Species: commoda</v>
      </c>
      <c r="U66" s="400" t="str">
        <f>IF(ISBLANK('Kegg Taxon'!V66), "", (CONCAT(" || Var/Subsp: ", 'Kegg Taxon'!V66)))</f>
        <v/>
      </c>
      <c r="V66" s="400"/>
      <c r="W66" s="400"/>
      <c r="X66" s="400"/>
      <c r="Y66" s="400"/>
      <c r="Z66" s="400"/>
    </row>
    <row r="67" ht="14.25" customHeight="1">
      <c r="A67" s="401" t="s">
        <v>3634</v>
      </c>
      <c r="B67" s="399" t="str">
        <f t="shared" si="1"/>
        <v>#REF!</v>
      </c>
      <c r="C67" s="400" t="str">
        <f>IF(ISBLANK('Kegg Taxon'!A67), "", (CONCAT("Kegg code: ", 'Kegg Taxon'!A67)))</f>
        <v>Kegg code: mpp</v>
      </c>
      <c r="D67" s="400" t="str">
        <f>IF(ISBLANK('Kegg Taxon'!B67), "", (CONCAT(" || Common name: ", 'Kegg Taxon'!B67)))</f>
        <v> || Common name: Marine Green Picoplankton</v>
      </c>
      <c r="E67" s="400" t="str">
        <f>IF(ISBLANK('Kegg Taxon'!C67), "", (CONCAT(" || Scientific name: ", 'Kegg Taxon'!C67)))</f>
        <v> || Scientific name: Micromonas pusilla</v>
      </c>
      <c r="F67" s="400" t="str">
        <f>IF(ISBLANK('Kegg Taxon'!D67), "", (CONCAT(" || Kingdom: ", 'Kegg Taxon'!D67)))</f>
        <v> || Kingdom: Plantae</v>
      </c>
      <c r="G67" s="400" t="str">
        <f>IF(ISBLANK('Kegg Taxon'!F67), "", (CONCAT(" || Subkingdom: ", 'Kegg Taxon'!F67)))</f>
        <v> || Subkingdom: Viridiplantae</v>
      </c>
      <c r="H67" s="400" t="str">
        <f>IF(ISBLANK('Kegg Taxon'!H67), "", (CONCAT(" || Superdivision: ", 'Kegg Taxon'!H67)))</f>
        <v> || Superdivision: --</v>
      </c>
      <c r="I67" s="400" t="str">
        <f>IF(ISBLANK('Kegg Taxon'!I67), "", (CONCAT(" || Phylum: ", 'Kegg Taxon'!I67)))</f>
        <v> || Phylum: Chlorophyta</v>
      </c>
      <c r="J67" s="400" t="str">
        <f>IF(ISBLANK('Kegg Taxon'!J67), "", (CONCAT(" || Subphylum: ", 'Kegg Taxon'!J67)))</f>
        <v> || Subphylum: Prasinophytina</v>
      </c>
      <c r="K67" s="400" t="str">
        <f>IF(ISBLANK('Kegg Taxon'!K67), "", (CONCAT(" || Class: ", 'Kegg Taxon'!K67)))</f>
        <v> || Class: Mamiellophyceae</v>
      </c>
      <c r="L67" s="400" t="str">
        <f>IF(ISBLANK('Kegg Taxon'!L67), "", (CONCAT(" || Subclass: ", 'Kegg Taxon'!L67)))</f>
        <v> || Subclass: --</v>
      </c>
      <c r="M67" s="400" t="str">
        <f>IF(ISBLANK('Kegg Taxon'!O67), "", (CONCAT(" || Order: ", 'Kegg Taxon'!O67)))</f>
        <v> || Order: Mamiellales</v>
      </c>
      <c r="N67" s="400" t="str">
        <f>IF(ISBLANK('Kegg Taxon'!P67), "", (CONCAT(" || Family: ", 'Kegg Taxon'!P67)))</f>
        <v> || Family: Mamiellaceae</v>
      </c>
      <c r="O67" s="400" t="str">
        <f>IF(ISBLANK('Kegg Taxon'!Q67), "", (CONCAT(" || Subfamily: ", 'Kegg Taxon'!Q67)))</f>
        <v> || Subfamily: --</v>
      </c>
      <c r="P67" s="400" t="str">
        <f>IF(ISBLANK('Kegg Taxon'!R67), "", (CONCAT(" || Tribe: ", 'Kegg Taxon'!R67)))</f>
        <v> || Tribe: --</v>
      </c>
      <c r="Q67" s="400" t="str">
        <f>IF(ISBLANK('Kegg Taxon'!S67), "", (CONCAT(" || Subtribe: ", 'Kegg Taxon'!S67)))</f>
        <v> || Subtribe: --</v>
      </c>
      <c r="R67" s="400" t="str">
        <f>IF(ISBLANK('Kegg Taxon'!T67), "", (CONCAT(" || Genus: ", 'Kegg Taxon'!T67)))</f>
        <v> || Genus: Micromonas</v>
      </c>
      <c r="S67" s="400" t="str">
        <f t="shared" si="2"/>
        <v>#REF!</v>
      </c>
      <c r="T67" s="400" t="str">
        <f>IF(ISBLANK('Kegg Taxon'!U67), "", (CONCAT(" || Species: ", 'Kegg Taxon'!U67)))</f>
        <v> || Species: pusilla</v>
      </c>
      <c r="U67" s="400" t="str">
        <f>IF(ISBLANK('Kegg Taxon'!V67), "", (CONCAT(" || Var/Subsp: ", 'Kegg Taxon'!V67)))</f>
        <v/>
      </c>
      <c r="V67" s="400"/>
      <c r="W67" s="400"/>
      <c r="X67" s="400"/>
      <c r="Y67" s="400"/>
      <c r="Z67" s="400"/>
    </row>
    <row r="68" ht="14.25" customHeight="1">
      <c r="A68" s="401" t="s">
        <v>3635</v>
      </c>
      <c r="B68" s="399" t="str">
        <f t="shared" si="1"/>
        <v>#REF!</v>
      </c>
      <c r="C68" s="400" t="str">
        <f>IF(ISBLANK('Kegg Taxon'!A68), "", (CONCAT("Kegg code: ", 'Kegg Taxon'!A68)))</f>
        <v>Kegg code: mus</v>
      </c>
      <c r="D68" s="400" t="str">
        <f>IF(ISBLANK('Kegg Taxon'!B68), "", (CONCAT(" || Common name: ", 'Kegg Taxon'!B68)))</f>
        <v> || Common name: Wild Malaysian Banana</v>
      </c>
      <c r="E68" s="400" t="str">
        <f>IF(ISBLANK('Kegg Taxon'!C68), "", (CONCAT(" || Scientific name: ", 'Kegg Taxon'!C68)))</f>
        <v> || Scientific name: Musa acuminata</v>
      </c>
      <c r="F68" s="400" t="str">
        <f>IF(ISBLANK('Kegg Taxon'!D68), "", (CONCAT(" || Kingdom: ", 'Kegg Taxon'!D68)))</f>
        <v> || Kingdom: Plantae</v>
      </c>
      <c r="G68" s="400" t="str">
        <f>IF(ISBLANK('Kegg Taxon'!F68), "", (CONCAT(" || Subkingdom: ", 'Kegg Taxon'!F68)))</f>
        <v> || Subkingdom: Viridiplantae</v>
      </c>
      <c r="H68" s="400" t="str">
        <f>IF(ISBLANK('Kegg Taxon'!H68), "", (CONCAT(" || Superdivision: ", 'Kegg Taxon'!H68)))</f>
        <v> || Superdivision: Embryophyta</v>
      </c>
      <c r="I68" s="400" t="str">
        <f>IF(ISBLANK('Kegg Taxon'!I68), "", (CONCAT(" || Phylum: ", 'Kegg Taxon'!I68)))</f>
        <v> || Phylum: Tracheophyta</v>
      </c>
      <c r="J68" s="400" t="str">
        <f>IF(ISBLANK('Kegg Taxon'!J68), "", (CONCAT(" || Subphylum: ", 'Kegg Taxon'!J68)))</f>
        <v> || Subphylum: Spermophytina</v>
      </c>
      <c r="K68" s="400" t="str">
        <f>IF(ISBLANK('Kegg Taxon'!K68), "", (CONCAT(" || Class: ", 'Kegg Taxon'!K68)))</f>
        <v> || Class: Magnoliopsida</v>
      </c>
      <c r="L68" s="400" t="str">
        <f>IF(ISBLANK('Kegg Taxon'!L68), "", (CONCAT(" || Subclass: ", 'Kegg Taxon'!L68)))</f>
        <v> || Subclass: --</v>
      </c>
      <c r="M68" s="400" t="str">
        <f>IF(ISBLANK('Kegg Taxon'!O68), "", (CONCAT(" || Order: ", 'Kegg Taxon'!O68)))</f>
        <v> || Order: Zingiberales</v>
      </c>
      <c r="N68" s="400" t="str">
        <f>IF(ISBLANK('Kegg Taxon'!P68), "", (CONCAT(" || Family: ", 'Kegg Taxon'!P68)))</f>
        <v> || Family: Musaceae</v>
      </c>
      <c r="O68" s="400" t="str">
        <f>IF(ISBLANK('Kegg Taxon'!Q68), "", (CONCAT(" || Subfamily: ", 'Kegg Taxon'!Q68)))</f>
        <v> || Subfamily: --</v>
      </c>
      <c r="P68" s="400" t="str">
        <f>IF(ISBLANK('Kegg Taxon'!R68), "", (CONCAT(" || Tribe: ", 'Kegg Taxon'!R68)))</f>
        <v> || Tribe: --</v>
      </c>
      <c r="Q68" s="400" t="str">
        <f>IF(ISBLANK('Kegg Taxon'!S68), "", (CONCAT(" || Subtribe: ", 'Kegg Taxon'!S68)))</f>
        <v> || Subtribe: --</v>
      </c>
      <c r="R68" s="400" t="str">
        <f>IF(ISBLANK('Kegg Taxon'!T68), "", (CONCAT(" || Genus: ", 'Kegg Taxon'!T68)))</f>
        <v> || Genus: Musa</v>
      </c>
      <c r="S68" s="400" t="str">
        <f t="shared" si="2"/>
        <v>#REF!</v>
      </c>
      <c r="T68" s="400" t="str">
        <f>IF(ISBLANK('Kegg Taxon'!U68), "", (CONCAT(" || Species: ", 'Kegg Taxon'!U68)))</f>
        <v> || Species: acuminata</v>
      </c>
      <c r="U68" s="400" t="str">
        <f>IF(ISBLANK('Kegg Taxon'!V68), "", (CONCAT(" || Var/Subsp: ", 'Kegg Taxon'!V68)))</f>
        <v/>
      </c>
      <c r="V68" s="400"/>
      <c r="W68" s="400"/>
      <c r="X68" s="400"/>
      <c r="Y68" s="400"/>
      <c r="Z68" s="400"/>
    </row>
    <row r="69" ht="14.25" customHeight="1">
      <c r="A69" s="401" t="s">
        <v>3636</v>
      </c>
      <c r="B69" s="399" t="str">
        <f t="shared" si="1"/>
        <v>#REF!</v>
      </c>
      <c r="C69" s="400" t="str">
        <f>IF(ISBLANK('Kegg Taxon'!A69), "", (CONCAT("Kegg code: ", 'Kegg Taxon'!A69)))</f>
        <v>Kegg code: egr</v>
      </c>
      <c r="D69" s="400" t="str">
        <f>IF(ISBLANK('Kegg Taxon'!B69), "", (CONCAT(" || Common name: ", 'Kegg Taxon'!B69)))</f>
        <v> || Common name: Rose Gum</v>
      </c>
      <c r="E69" s="400" t="str">
        <f>IF(ISBLANK('Kegg Taxon'!C69), "", (CONCAT(" || Scientific name: ", 'Kegg Taxon'!C69)))</f>
        <v> || Scientific name: Eucalyptus grandis</v>
      </c>
      <c r="F69" s="400" t="str">
        <f>IF(ISBLANK('Kegg Taxon'!D69), "", (CONCAT(" || Kingdom: ", 'Kegg Taxon'!D69)))</f>
        <v> || Kingdom: Plantae</v>
      </c>
      <c r="G69" s="400" t="str">
        <f>IF(ISBLANK('Kegg Taxon'!F69), "", (CONCAT(" || Subkingdom: ", 'Kegg Taxon'!F69)))</f>
        <v> || Subkingdom: Viridiplantae</v>
      </c>
      <c r="H69" s="400" t="str">
        <f>IF(ISBLANK('Kegg Taxon'!H69), "", (CONCAT(" || Superdivision: ", 'Kegg Taxon'!H69)))</f>
        <v> || Superdivision: Embryophyta</v>
      </c>
      <c r="I69" s="400" t="str">
        <f>IF(ISBLANK('Kegg Taxon'!I69), "", (CONCAT(" || Phylum: ", 'Kegg Taxon'!I69)))</f>
        <v> || Phylum: Tracheophyta</v>
      </c>
      <c r="J69" s="400" t="str">
        <f>IF(ISBLANK('Kegg Taxon'!J69), "", (CONCAT(" || Subphylum: ", 'Kegg Taxon'!J69)))</f>
        <v> || Subphylum: Spermophytina</v>
      </c>
      <c r="K69" s="400" t="str">
        <f>IF(ISBLANK('Kegg Taxon'!K69), "", (CONCAT(" || Class: ", 'Kegg Taxon'!K69)))</f>
        <v> || Class: Magnoliopsida</v>
      </c>
      <c r="L69" s="400" t="str">
        <f>IF(ISBLANK('Kegg Taxon'!L69), "", (CONCAT(" || Subclass: ", 'Kegg Taxon'!L69)))</f>
        <v> || Subclass: --</v>
      </c>
      <c r="M69" s="400" t="str">
        <f>IF(ISBLANK('Kegg Taxon'!O69), "", (CONCAT(" || Order: ", 'Kegg Taxon'!O69)))</f>
        <v> || Order: Malvales</v>
      </c>
      <c r="N69" s="400" t="str">
        <f>IF(ISBLANK('Kegg Taxon'!P69), "", (CONCAT(" || Family: ", 'Kegg Taxon'!P69)))</f>
        <v> || Family: Myrtaceae</v>
      </c>
      <c r="O69" s="400" t="str">
        <f>IF(ISBLANK('Kegg Taxon'!Q69), "", (CONCAT(" || Subfamily: ", 'Kegg Taxon'!Q69)))</f>
        <v> || Subfamily: Myrtoideae</v>
      </c>
      <c r="P69" s="400" t="str">
        <f>IF(ISBLANK('Kegg Taxon'!R69), "", (CONCAT(" || Tribe: ", 'Kegg Taxon'!R69)))</f>
        <v> || Tribe: Eucalypteae</v>
      </c>
      <c r="Q69" s="400" t="str">
        <f>IF(ISBLANK('Kegg Taxon'!S69), "", (CONCAT(" || Subtribe: ", 'Kegg Taxon'!S69)))</f>
        <v> || Subtribe: --</v>
      </c>
      <c r="R69" s="400" t="str">
        <f>IF(ISBLANK('Kegg Taxon'!T69), "", (CONCAT(" || Genus: ", 'Kegg Taxon'!T69)))</f>
        <v> || Genus: Eucalyptus</v>
      </c>
      <c r="S69" s="400" t="str">
        <f t="shared" si="2"/>
        <v>#REF!</v>
      </c>
      <c r="T69" s="400" t="str">
        <f>IF(ISBLANK('Kegg Taxon'!U69), "", (CONCAT(" || Species: ", 'Kegg Taxon'!U69)))</f>
        <v> || Species: grandis</v>
      </c>
      <c r="U69" s="400" t="str">
        <f>IF(ISBLANK('Kegg Taxon'!V69), "", (CONCAT(" || Var/Subsp: ", 'Kegg Taxon'!V69)))</f>
        <v/>
      </c>
      <c r="V69" s="400"/>
      <c r="W69" s="400"/>
      <c r="X69" s="400"/>
      <c r="Y69" s="400"/>
      <c r="Z69" s="400"/>
    </row>
    <row r="70" ht="14.25" customHeight="1">
      <c r="A70" s="401" t="s">
        <v>3637</v>
      </c>
      <c r="B70" s="399" t="str">
        <f t="shared" si="1"/>
        <v>#REF!</v>
      </c>
      <c r="C70" s="400" t="str">
        <f>IF(ISBLANK('Kegg Taxon'!A70), "", (CONCAT("Kegg code: ", 'Kegg Taxon'!A70)))</f>
        <v>Kegg code: nnu</v>
      </c>
      <c r="D70" s="400" t="str">
        <f>IF(ISBLANK('Kegg Taxon'!B70), "", (CONCAT(" || Common name: ", 'Kegg Taxon'!B70)))</f>
        <v> || Common name: Sacred Lotus</v>
      </c>
      <c r="E70" s="400" t="str">
        <f>IF(ISBLANK('Kegg Taxon'!C70), "", (CONCAT(" || Scientific name: ", 'Kegg Taxon'!C70)))</f>
        <v> || Scientific name: Nelumbo nucifera</v>
      </c>
      <c r="F70" s="400" t="str">
        <f>IF(ISBLANK('Kegg Taxon'!D70), "", (CONCAT(" || Kingdom: ", 'Kegg Taxon'!D70)))</f>
        <v> || Kingdom: Plantae</v>
      </c>
      <c r="G70" s="400" t="str">
        <f>IF(ISBLANK('Kegg Taxon'!F70), "", (CONCAT(" || Subkingdom: ", 'Kegg Taxon'!F70)))</f>
        <v> || Subkingdom: Viridiplantae</v>
      </c>
      <c r="H70" s="400" t="str">
        <f>IF(ISBLANK('Kegg Taxon'!H70), "", (CONCAT(" || Superdivision: ", 'Kegg Taxon'!H70)))</f>
        <v> || Superdivision: Embryophyta</v>
      </c>
      <c r="I70" s="400" t="str">
        <f>IF(ISBLANK('Kegg Taxon'!I70), "", (CONCAT(" || Phylum: ", 'Kegg Taxon'!I70)))</f>
        <v> || Phylum: Tracheophyta</v>
      </c>
      <c r="J70" s="400" t="str">
        <f>IF(ISBLANK('Kegg Taxon'!J70), "", (CONCAT(" || Subphylum: ", 'Kegg Taxon'!J70)))</f>
        <v> || Subphylum: Spermophytina</v>
      </c>
      <c r="K70" s="400" t="str">
        <f>IF(ISBLANK('Kegg Taxon'!K70), "", (CONCAT(" || Class: ", 'Kegg Taxon'!K70)))</f>
        <v> || Class: Magnoliopsida</v>
      </c>
      <c r="L70" s="400" t="str">
        <f>IF(ISBLANK('Kegg Taxon'!L70), "", (CONCAT(" || Subclass: ", 'Kegg Taxon'!L70)))</f>
        <v> || Subclass: --</v>
      </c>
      <c r="M70" s="400" t="str">
        <f>IF(ISBLANK('Kegg Taxon'!O70), "", (CONCAT(" || Order: ", 'Kegg Taxon'!O70)))</f>
        <v> || Order: Proteales</v>
      </c>
      <c r="N70" s="400" t="str">
        <f>IF(ISBLANK('Kegg Taxon'!P70), "", (CONCAT(" || Family: ", 'Kegg Taxon'!P70)))</f>
        <v> || Family: Nelumbonaceae</v>
      </c>
      <c r="O70" s="400" t="str">
        <f>IF(ISBLANK('Kegg Taxon'!Q70), "", (CONCAT(" || Subfamily: ", 'Kegg Taxon'!Q70)))</f>
        <v> || Subfamily: --</v>
      </c>
      <c r="P70" s="400" t="str">
        <f>IF(ISBLANK('Kegg Taxon'!R70), "", (CONCAT(" || Tribe: ", 'Kegg Taxon'!R70)))</f>
        <v> || Tribe: --</v>
      </c>
      <c r="Q70" s="400" t="str">
        <f>IF(ISBLANK('Kegg Taxon'!S70), "", (CONCAT(" || Subtribe: ", 'Kegg Taxon'!S70)))</f>
        <v> || Subtribe: --</v>
      </c>
      <c r="R70" s="400" t="str">
        <f>IF(ISBLANK('Kegg Taxon'!T70), "", (CONCAT(" || Genus: ", 'Kegg Taxon'!T70)))</f>
        <v> || Genus: Nelumbo</v>
      </c>
      <c r="S70" s="400" t="str">
        <f t="shared" si="2"/>
        <v>#REF!</v>
      </c>
      <c r="T70" s="400" t="str">
        <f>IF(ISBLANK('Kegg Taxon'!U70), "", (CONCAT(" || Species: ", 'Kegg Taxon'!U70)))</f>
        <v> || Species: nucifera</v>
      </c>
      <c r="U70" s="400" t="str">
        <f>IF(ISBLANK('Kegg Taxon'!V70), "", (CONCAT(" || Var/Subsp: ", 'Kegg Taxon'!V70)))</f>
        <v/>
      </c>
      <c r="V70" s="400"/>
      <c r="W70" s="400"/>
      <c r="X70" s="400"/>
      <c r="Y70" s="400"/>
      <c r="Z70" s="400"/>
    </row>
    <row r="71" ht="14.25" customHeight="1">
      <c r="A71" s="401" t="s">
        <v>3638</v>
      </c>
      <c r="B71" s="399" t="str">
        <f t="shared" si="1"/>
        <v>#REF!</v>
      </c>
      <c r="C71" s="400" t="str">
        <f>IF(ISBLANK('Kegg Taxon'!A71), "", (CONCAT("Kegg code: ", 'Kegg Taxon'!A71)))</f>
        <v>Kegg code: oeu</v>
      </c>
      <c r="D71" s="400" t="str">
        <f>IF(ISBLANK('Kegg Taxon'!B71), "", (CONCAT(" || Common name: ", 'Kegg Taxon'!B71)))</f>
        <v> || Common name: Wild European Olive</v>
      </c>
      <c r="E71" s="400" t="str">
        <f>IF(ISBLANK('Kegg Taxon'!C71), "", (CONCAT(" || Scientific name: ", 'Kegg Taxon'!C71)))</f>
        <v> || Scientific name: Olea europaea</v>
      </c>
      <c r="F71" s="400" t="str">
        <f>IF(ISBLANK('Kegg Taxon'!D71), "", (CONCAT(" || Kingdom: ", 'Kegg Taxon'!D71)))</f>
        <v> || Kingdom: Plantae</v>
      </c>
      <c r="G71" s="400" t="str">
        <f>IF(ISBLANK('Kegg Taxon'!F71), "", (CONCAT(" || Subkingdom: ", 'Kegg Taxon'!F71)))</f>
        <v> || Subkingdom: Viridiplantae</v>
      </c>
      <c r="H71" s="400" t="str">
        <f>IF(ISBLANK('Kegg Taxon'!H71), "", (CONCAT(" || Superdivision: ", 'Kegg Taxon'!H71)))</f>
        <v> || Superdivision: Embryophyta</v>
      </c>
      <c r="I71" s="400" t="str">
        <f>IF(ISBLANK('Kegg Taxon'!I71), "", (CONCAT(" || Phylum: ", 'Kegg Taxon'!I71)))</f>
        <v> || Phylum: Tracheophyta</v>
      </c>
      <c r="J71" s="400" t="str">
        <f>IF(ISBLANK('Kegg Taxon'!J71), "", (CONCAT(" || Subphylum: ", 'Kegg Taxon'!J71)))</f>
        <v> || Subphylum: Spermophytina</v>
      </c>
      <c r="K71" s="400" t="str">
        <f>IF(ISBLANK('Kegg Taxon'!K71), "", (CONCAT(" || Class: ", 'Kegg Taxon'!K71)))</f>
        <v> || Class: Magnoliopsida</v>
      </c>
      <c r="L71" s="400" t="str">
        <f>IF(ISBLANK('Kegg Taxon'!L71), "", (CONCAT(" || Subclass: ", 'Kegg Taxon'!L71)))</f>
        <v> || Subclass: --</v>
      </c>
      <c r="M71" s="400" t="str">
        <f>IF(ISBLANK('Kegg Taxon'!O71), "", (CONCAT(" || Order: ", 'Kegg Taxon'!O71)))</f>
        <v> || Order: Lamiales</v>
      </c>
      <c r="N71" s="400" t="str">
        <f>IF(ISBLANK('Kegg Taxon'!P71), "", (CONCAT(" || Family: ", 'Kegg Taxon'!P71)))</f>
        <v> || Family: Oleaceae</v>
      </c>
      <c r="O71" s="400" t="str">
        <f>IF(ISBLANK('Kegg Taxon'!Q71), "", (CONCAT(" || Subfamily: ", 'Kegg Taxon'!Q71)))</f>
        <v> || Subfamily: --</v>
      </c>
      <c r="P71" s="400" t="str">
        <f>IF(ISBLANK('Kegg Taxon'!R71), "", (CONCAT(" || Tribe: ", 'Kegg Taxon'!R71)))</f>
        <v> || Tribe: Oleeae</v>
      </c>
      <c r="Q71" s="400" t="str">
        <f>IF(ISBLANK('Kegg Taxon'!S71), "", (CONCAT(" || Subtribe: ", 'Kegg Taxon'!S71)))</f>
        <v> || Subtribe: --</v>
      </c>
      <c r="R71" s="400" t="str">
        <f>IF(ISBLANK('Kegg Taxon'!T71), "", (CONCAT(" || Genus: ", 'Kegg Taxon'!T71)))</f>
        <v> || Genus: Olea</v>
      </c>
      <c r="S71" s="400" t="str">
        <f t="shared" si="2"/>
        <v>#REF!</v>
      </c>
      <c r="T71" s="400" t="str">
        <f>IF(ISBLANK('Kegg Taxon'!U71), "", (CONCAT(" || Species: ", 'Kegg Taxon'!U71)))</f>
        <v> || Species: europaea</v>
      </c>
      <c r="U71" s="400" t="str">
        <f>IF(ISBLANK('Kegg Taxon'!V71), "", (CONCAT(" || Var/Subsp: ", 'Kegg Taxon'!V71)))</f>
        <v> || Var/Subsp: sylvestris</v>
      </c>
      <c r="V71" s="400"/>
      <c r="W71" s="400"/>
      <c r="X71" s="400"/>
      <c r="Y71" s="400"/>
      <c r="Z71" s="400"/>
    </row>
    <row r="72" ht="14.25" customHeight="1">
      <c r="A72" s="401" t="s">
        <v>3639</v>
      </c>
      <c r="B72" s="399" t="str">
        <f t="shared" si="1"/>
        <v>#REF!</v>
      </c>
      <c r="C72" s="400" t="str">
        <f>IF(ISBLANK('Kegg Taxon'!A72), "", (CONCAT("Kegg code: ", 'Kegg Taxon'!A72)))</f>
        <v>Kegg code: dct</v>
      </c>
      <c r="D72" s="400" t="str">
        <f>IF(ISBLANK('Kegg Taxon'!B72), "", (CONCAT(" || Common name: ", 'Kegg Taxon'!B72)))</f>
        <v> || Common name: Chained Dendrobium</v>
      </c>
      <c r="E72" s="400" t="str">
        <f>IF(ISBLANK('Kegg Taxon'!C72), "", (CONCAT(" || Scientific name: ", 'Kegg Taxon'!C72)))</f>
        <v> || Scientific name: Dendrobium catenatum</v>
      </c>
      <c r="F72" s="400" t="str">
        <f>IF(ISBLANK('Kegg Taxon'!D72), "", (CONCAT(" || Kingdom: ", 'Kegg Taxon'!D72)))</f>
        <v> || Kingdom: Plantae</v>
      </c>
      <c r="G72" s="400" t="str">
        <f>IF(ISBLANK('Kegg Taxon'!F72), "", (CONCAT(" || Subkingdom: ", 'Kegg Taxon'!F72)))</f>
        <v> || Subkingdom: Viridiplantae</v>
      </c>
      <c r="H72" s="400" t="str">
        <f>IF(ISBLANK('Kegg Taxon'!H72), "", (CONCAT(" || Superdivision: ", 'Kegg Taxon'!H72)))</f>
        <v> || Superdivision: Embryophyta</v>
      </c>
      <c r="I72" s="400" t="str">
        <f>IF(ISBLANK('Kegg Taxon'!I72), "", (CONCAT(" || Phylum: ", 'Kegg Taxon'!I72)))</f>
        <v> || Phylum: Tracheophyta</v>
      </c>
      <c r="J72" s="400" t="str">
        <f>IF(ISBLANK('Kegg Taxon'!J72), "", (CONCAT(" || Subphylum: ", 'Kegg Taxon'!J72)))</f>
        <v> || Subphylum: Spermophytina</v>
      </c>
      <c r="K72" s="400" t="str">
        <f>IF(ISBLANK('Kegg Taxon'!K72), "", (CONCAT(" || Class: ", 'Kegg Taxon'!K72)))</f>
        <v> || Class: Magnoliopsida</v>
      </c>
      <c r="L72" s="400" t="str">
        <f>IF(ISBLANK('Kegg Taxon'!L72), "", (CONCAT(" || Subclass: ", 'Kegg Taxon'!L72)))</f>
        <v> || Subclass: --</v>
      </c>
      <c r="M72" s="400" t="str">
        <f>IF(ISBLANK('Kegg Taxon'!O72), "", (CONCAT(" || Order: ", 'Kegg Taxon'!O72)))</f>
        <v> || Order: Asparagales</v>
      </c>
      <c r="N72" s="400" t="str">
        <f>IF(ISBLANK('Kegg Taxon'!P72), "", (CONCAT(" || Family: ", 'Kegg Taxon'!P72)))</f>
        <v> || Family: Orchidaceae</v>
      </c>
      <c r="O72" s="400" t="str">
        <f>IF(ISBLANK('Kegg Taxon'!Q72), "", (CONCAT(" || Subfamily: ", 'Kegg Taxon'!Q72)))</f>
        <v> || Subfamily: Epidendroideae</v>
      </c>
      <c r="P72" s="400" t="str">
        <f>IF(ISBLANK('Kegg Taxon'!R72), "", (CONCAT(" || Tribe: ", 'Kegg Taxon'!R72)))</f>
        <v> || Tribe: Malaxideae</v>
      </c>
      <c r="Q72" s="400" t="str">
        <f>IF(ISBLANK('Kegg Taxon'!S72), "", (CONCAT(" || Subtribe: ", 'Kegg Taxon'!S72)))</f>
        <v> || Subtribe: Dendrobiinae</v>
      </c>
      <c r="R72" s="400" t="str">
        <f>IF(ISBLANK('Kegg Taxon'!T72), "", (CONCAT(" || Genus: ", 'Kegg Taxon'!T72)))</f>
        <v> || Genus: Dendobium</v>
      </c>
      <c r="S72" s="400" t="str">
        <f t="shared" si="2"/>
        <v>#REF!</v>
      </c>
      <c r="T72" s="400" t="str">
        <f>IF(ISBLANK('Kegg Taxon'!U72), "", (CONCAT(" || Species: ", 'Kegg Taxon'!U72)))</f>
        <v> || Species: catenatum</v>
      </c>
      <c r="U72" s="400" t="str">
        <f>IF(ISBLANK('Kegg Taxon'!V72), "", (CONCAT(" || Var/Subsp: ", 'Kegg Taxon'!V72)))</f>
        <v/>
      </c>
      <c r="V72" s="400"/>
      <c r="W72" s="400"/>
      <c r="X72" s="400"/>
      <c r="Y72" s="400"/>
      <c r="Z72" s="400"/>
    </row>
    <row r="73" ht="14.25" customHeight="1">
      <c r="A73" s="401" t="s">
        <v>3640</v>
      </c>
      <c r="B73" s="399" t="str">
        <f t="shared" si="1"/>
        <v>#REF!</v>
      </c>
      <c r="C73" s="400" t="str">
        <f>IF(ISBLANK('Kegg Taxon'!A73), "", (CONCAT("Kegg code: ", 'Kegg Taxon'!A73)))</f>
        <v>Kegg code: peq</v>
      </c>
      <c r="D73" s="400" t="str">
        <f>IF(ISBLANK('Kegg Taxon'!B73), "", (CONCAT(" || Common name: ", 'Kegg Taxon'!B73)))</f>
        <v> || Common name: Moth Orchid</v>
      </c>
      <c r="E73" s="400" t="str">
        <f>IF(ISBLANK('Kegg Taxon'!C73), "", (CONCAT(" || Scientific name: ", 'Kegg Taxon'!C73)))</f>
        <v> || Scientific name: Phalaenopsis equestris</v>
      </c>
      <c r="F73" s="400" t="str">
        <f>IF(ISBLANK('Kegg Taxon'!D73), "", (CONCAT(" || Kingdom: ", 'Kegg Taxon'!D73)))</f>
        <v> || Kingdom: Plantae</v>
      </c>
      <c r="G73" s="400" t="str">
        <f>IF(ISBLANK('Kegg Taxon'!F73), "", (CONCAT(" || Subkingdom: ", 'Kegg Taxon'!F73)))</f>
        <v> || Subkingdom: Viridiplantae</v>
      </c>
      <c r="H73" s="400" t="str">
        <f>IF(ISBLANK('Kegg Taxon'!H73), "", (CONCAT(" || Superdivision: ", 'Kegg Taxon'!H73)))</f>
        <v> || Superdivision: Embryophyta</v>
      </c>
      <c r="I73" s="400" t="str">
        <f>IF(ISBLANK('Kegg Taxon'!I73), "", (CONCAT(" || Phylum: ", 'Kegg Taxon'!I73)))</f>
        <v> || Phylum: Tracheophyta</v>
      </c>
      <c r="J73" s="400" t="str">
        <f>IF(ISBLANK('Kegg Taxon'!J73), "", (CONCAT(" || Subphylum: ", 'Kegg Taxon'!J73)))</f>
        <v> || Subphylum: Spermophytina</v>
      </c>
      <c r="K73" s="400" t="str">
        <f>IF(ISBLANK('Kegg Taxon'!K73), "", (CONCAT(" || Class: ", 'Kegg Taxon'!K73)))</f>
        <v> || Class: Magnoliopsida</v>
      </c>
      <c r="L73" s="400" t="str">
        <f>IF(ISBLANK('Kegg Taxon'!L73), "", (CONCAT(" || Subclass: ", 'Kegg Taxon'!L73)))</f>
        <v> || Subclass: --</v>
      </c>
      <c r="M73" s="400" t="str">
        <f>IF(ISBLANK('Kegg Taxon'!O73), "", (CONCAT(" || Order: ", 'Kegg Taxon'!O73)))</f>
        <v> || Order: Asparagales</v>
      </c>
      <c r="N73" s="400" t="str">
        <f>IF(ISBLANK('Kegg Taxon'!P73), "", (CONCAT(" || Family: ", 'Kegg Taxon'!P73)))</f>
        <v> || Family: Orchidaceae</v>
      </c>
      <c r="O73" s="400" t="str">
        <f>IF(ISBLANK('Kegg Taxon'!Q73), "", (CONCAT(" || Subfamily: ", 'Kegg Taxon'!Q73)))</f>
        <v> || Subfamily: Epidendroideae</v>
      </c>
      <c r="P73" s="400" t="str">
        <f>IF(ISBLANK('Kegg Taxon'!R73), "", (CONCAT(" || Tribe: ", 'Kegg Taxon'!R73)))</f>
        <v> || Tribe: Vandeae</v>
      </c>
      <c r="Q73" s="400" t="str">
        <f>IF(ISBLANK('Kegg Taxon'!S73), "", (CONCAT(" || Subtribe: ", 'Kegg Taxon'!S73)))</f>
        <v> || Subtribe: Aeridinae</v>
      </c>
      <c r="R73" s="400" t="str">
        <f>IF(ISBLANK('Kegg Taxon'!T73), "", (CONCAT(" || Genus: ", 'Kegg Taxon'!T73)))</f>
        <v> || Genus: Phalaenopsis</v>
      </c>
      <c r="S73" s="400" t="str">
        <f t="shared" si="2"/>
        <v>#REF!</v>
      </c>
      <c r="T73" s="400" t="str">
        <f>IF(ISBLANK('Kegg Taxon'!U73), "", (CONCAT(" || Species: ", 'Kegg Taxon'!U73)))</f>
        <v> || Species: equestris</v>
      </c>
      <c r="U73" s="400" t="str">
        <f>IF(ISBLANK('Kegg Taxon'!V73), "", (CONCAT(" || Var/Subsp: ", 'Kegg Taxon'!V73)))</f>
        <v/>
      </c>
      <c r="V73" s="400"/>
      <c r="W73" s="400"/>
      <c r="X73" s="400"/>
      <c r="Y73" s="400"/>
      <c r="Z73" s="400"/>
    </row>
    <row r="74" ht="14.25" customHeight="1">
      <c r="A74" s="401" t="s">
        <v>3641</v>
      </c>
      <c r="B74" s="399" t="str">
        <f t="shared" si="1"/>
        <v>#REF!</v>
      </c>
      <c r="C74" s="400" t="str">
        <f>IF(ISBLANK('Kegg Taxon'!A74), "", (CONCAT("Kegg code: ", 'Kegg Taxon'!A74)))</f>
        <v>Kegg code: psom</v>
      </c>
      <c r="D74" s="400" t="str">
        <f>IF(ISBLANK('Kegg Taxon'!B74), "", (CONCAT(" || Common name: ", 'Kegg Taxon'!B74)))</f>
        <v> || Common name: Opium Poppy</v>
      </c>
      <c r="E74" s="400" t="str">
        <f>IF(ISBLANK('Kegg Taxon'!C74), "", (CONCAT(" || Scientific name: ", 'Kegg Taxon'!C74)))</f>
        <v> || Scientific name: Papaver somniferum</v>
      </c>
      <c r="F74" s="400" t="str">
        <f>IF(ISBLANK('Kegg Taxon'!D74), "", (CONCAT(" || Kingdom: ", 'Kegg Taxon'!D74)))</f>
        <v> || Kingdom: Plantae</v>
      </c>
      <c r="G74" s="400" t="str">
        <f>IF(ISBLANK('Kegg Taxon'!F74), "", (CONCAT(" || Subkingdom: ", 'Kegg Taxon'!F74)))</f>
        <v> || Subkingdom: Viridiplantae</v>
      </c>
      <c r="H74" s="400" t="str">
        <f>IF(ISBLANK('Kegg Taxon'!H74), "", (CONCAT(" || Superdivision: ", 'Kegg Taxon'!H74)))</f>
        <v> || Superdivision: Embryophyta</v>
      </c>
      <c r="I74" s="400" t="str">
        <f>IF(ISBLANK('Kegg Taxon'!I74), "", (CONCAT(" || Phylum: ", 'Kegg Taxon'!I74)))</f>
        <v> || Phylum: Tracheophyta</v>
      </c>
      <c r="J74" s="400" t="str">
        <f>IF(ISBLANK('Kegg Taxon'!J74), "", (CONCAT(" || Subphylum: ", 'Kegg Taxon'!J74)))</f>
        <v> || Subphylum: Spermophytina</v>
      </c>
      <c r="K74" s="400" t="str">
        <f>IF(ISBLANK('Kegg Taxon'!K74), "", (CONCAT(" || Class: ", 'Kegg Taxon'!K74)))</f>
        <v> || Class: Magnoliopsida</v>
      </c>
      <c r="L74" s="400" t="str">
        <f>IF(ISBLANK('Kegg Taxon'!L74), "", (CONCAT(" || Subclass: ", 'Kegg Taxon'!L74)))</f>
        <v> || Subclass: --</v>
      </c>
      <c r="M74" s="400" t="str">
        <f>IF(ISBLANK('Kegg Taxon'!O74), "", (CONCAT(" || Order: ", 'Kegg Taxon'!O74)))</f>
        <v> || Order: Ranunculales</v>
      </c>
      <c r="N74" s="400" t="str">
        <f>IF(ISBLANK('Kegg Taxon'!P74), "", (CONCAT(" || Family: ", 'Kegg Taxon'!P74)))</f>
        <v> || Family: Papaveraceae</v>
      </c>
      <c r="O74" s="400" t="str">
        <f>IF(ISBLANK('Kegg Taxon'!Q74), "", (CONCAT(" || Subfamily: ", 'Kegg Taxon'!Q74)))</f>
        <v> || Subfamily: Papaveroideae</v>
      </c>
      <c r="P74" s="400" t="str">
        <f>IF(ISBLANK('Kegg Taxon'!R74), "", (CONCAT(" || Tribe: ", 'Kegg Taxon'!R74)))</f>
        <v> || Tribe: --</v>
      </c>
      <c r="Q74" s="400" t="str">
        <f>IF(ISBLANK('Kegg Taxon'!S74), "", (CONCAT(" || Subtribe: ", 'Kegg Taxon'!S74)))</f>
        <v> || Subtribe: --</v>
      </c>
      <c r="R74" s="400" t="str">
        <f>IF(ISBLANK('Kegg Taxon'!T74), "", (CONCAT(" || Genus: ", 'Kegg Taxon'!T74)))</f>
        <v> || Genus: Papaver</v>
      </c>
      <c r="S74" s="400" t="str">
        <f t="shared" si="2"/>
        <v>#REF!</v>
      </c>
      <c r="T74" s="400" t="str">
        <f>IF(ISBLANK('Kegg Taxon'!U74), "", (CONCAT(" || Species: ", 'Kegg Taxon'!U74)))</f>
        <v> || Species: somniferum</v>
      </c>
      <c r="U74" s="400" t="str">
        <f>IF(ISBLANK('Kegg Taxon'!V74), "", (CONCAT(" || Var/Subsp: ", 'Kegg Taxon'!V74)))</f>
        <v/>
      </c>
      <c r="V74" s="400"/>
      <c r="W74" s="400"/>
      <c r="X74" s="400"/>
      <c r="Y74" s="400"/>
      <c r="Z74" s="400"/>
    </row>
    <row r="75" ht="14.25" customHeight="1">
      <c r="A75" s="401" t="s">
        <v>3642</v>
      </c>
      <c r="B75" s="399" t="str">
        <f t="shared" si="1"/>
        <v>#REF!</v>
      </c>
      <c r="C75" s="400" t="str">
        <f>IF(ISBLANK('Kegg Taxon'!A75), "", (CONCAT("Kegg code: ", 'Kegg Taxon'!A75)))</f>
        <v>Kegg code: sind</v>
      </c>
      <c r="D75" s="400" t="str">
        <f>IF(ISBLANK('Kegg Taxon'!B75), "", (CONCAT(" || Common name: ", 'Kegg Taxon'!B75)))</f>
        <v> || Common name: Sesame</v>
      </c>
      <c r="E75" s="400" t="str">
        <f>IF(ISBLANK('Kegg Taxon'!C75), "", (CONCAT(" || Scientific name: ", 'Kegg Taxon'!C75)))</f>
        <v> || Scientific name: Sesamum indicum</v>
      </c>
      <c r="F75" s="400" t="str">
        <f>IF(ISBLANK('Kegg Taxon'!D75), "", (CONCAT(" || Kingdom: ", 'Kegg Taxon'!D75)))</f>
        <v> || Kingdom: Plantae</v>
      </c>
      <c r="G75" s="400" t="str">
        <f>IF(ISBLANK('Kegg Taxon'!F75), "", (CONCAT(" || Subkingdom: ", 'Kegg Taxon'!F75)))</f>
        <v> || Subkingdom: Viridiplantae</v>
      </c>
      <c r="H75" s="400" t="str">
        <f>IF(ISBLANK('Kegg Taxon'!H75), "", (CONCAT(" || Superdivision: ", 'Kegg Taxon'!H75)))</f>
        <v> || Superdivision: Embryophyta</v>
      </c>
      <c r="I75" s="400" t="str">
        <f>IF(ISBLANK('Kegg Taxon'!I75), "", (CONCAT(" || Phylum: ", 'Kegg Taxon'!I75)))</f>
        <v> || Phylum: Tracheophyta</v>
      </c>
      <c r="J75" s="400" t="str">
        <f>IF(ISBLANK('Kegg Taxon'!J75), "", (CONCAT(" || Subphylum: ", 'Kegg Taxon'!J75)))</f>
        <v> || Subphylum: Spermophytina</v>
      </c>
      <c r="K75" s="400" t="str">
        <f>IF(ISBLANK('Kegg Taxon'!K75), "", (CONCAT(" || Class: ", 'Kegg Taxon'!K75)))</f>
        <v> || Class: Magnoliopsida</v>
      </c>
      <c r="L75" s="400" t="str">
        <f>IF(ISBLANK('Kegg Taxon'!L75), "", (CONCAT(" || Subclass: ", 'Kegg Taxon'!L75)))</f>
        <v> || Subclass: --</v>
      </c>
      <c r="M75" s="400" t="str">
        <f>IF(ISBLANK('Kegg Taxon'!O75), "", (CONCAT(" || Order: ", 'Kegg Taxon'!O75)))</f>
        <v> || Order: Lamiales</v>
      </c>
      <c r="N75" s="400" t="str">
        <f>IF(ISBLANK('Kegg Taxon'!P75), "", (CONCAT(" || Family: ", 'Kegg Taxon'!P75)))</f>
        <v> || Family: Pedaliaceae</v>
      </c>
      <c r="O75" s="400" t="str">
        <f>IF(ISBLANK('Kegg Taxon'!Q75), "", (CONCAT(" || Subfamily: ", 'Kegg Taxon'!Q75)))</f>
        <v> || Subfamily: --</v>
      </c>
      <c r="P75" s="400" t="str">
        <f>IF(ISBLANK('Kegg Taxon'!R75), "", (CONCAT(" || Tribe: ", 'Kegg Taxon'!R75)))</f>
        <v> || Tribe: --</v>
      </c>
      <c r="Q75" s="400" t="str">
        <f>IF(ISBLANK('Kegg Taxon'!S75), "", (CONCAT(" || Subtribe: ", 'Kegg Taxon'!S75)))</f>
        <v> || Subtribe: --</v>
      </c>
      <c r="R75" s="400" t="str">
        <f>IF(ISBLANK('Kegg Taxon'!T75), "", (CONCAT(" || Genus: ", 'Kegg Taxon'!T75)))</f>
        <v> || Genus: Sesamum</v>
      </c>
      <c r="S75" s="400" t="str">
        <f t="shared" si="2"/>
        <v>#REF!</v>
      </c>
      <c r="T75" s="400" t="str">
        <f>IF(ISBLANK('Kegg Taxon'!U75), "", (CONCAT(" || Species: ", 'Kegg Taxon'!U75)))</f>
        <v> || Species: indicum</v>
      </c>
      <c r="U75" s="400" t="str">
        <f>IF(ISBLANK('Kegg Taxon'!V75), "", (CONCAT(" || Var/Subsp: ", 'Kegg Taxon'!V75)))</f>
        <v/>
      </c>
      <c r="V75" s="400"/>
      <c r="W75" s="400"/>
      <c r="X75" s="400"/>
      <c r="Y75" s="400"/>
      <c r="Z75" s="400"/>
    </row>
    <row r="76" ht="14.25" customHeight="1">
      <c r="A76" s="401" t="s">
        <v>3643</v>
      </c>
      <c r="B76" s="399" t="str">
        <f t="shared" si="1"/>
        <v>#REF!</v>
      </c>
      <c r="C76" s="400" t="str">
        <f>IF(ISBLANK('Kegg Taxon'!A76), "", (CONCAT("Kegg code: ", 'Kegg Taxon'!A76)))</f>
        <v>Kegg code: ats</v>
      </c>
      <c r="D76" s="400" t="str">
        <f>IF(ISBLANK('Kegg Taxon'!B76), "", (CONCAT(" || Common name: ", 'Kegg Taxon'!B76)))</f>
        <v> || Common name: Tausch's goatgrass (Wheat D)</v>
      </c>
      <c r="E76" s="400" t="str">
        <f>IF(ISBLANK('Kegg Taxon'!C76), "", (CONCAT(" || Scientific name: ", 'Kegg Taxon'!C76)))</f>
        <v> || Scientific name: Aegilops tauschii</v>
      </c>
      <c r="F76" s="400" t="str">
        <f>IF(ISBLANK('Kegg Taxon'!D76), "", (CONCAT(" || Kingdom: ", 'Kegg Taxon'!D76)))</f>
        <v> || Kingdom: Plantae</v>
      </c>
      <c r="G76" s="400" t="str">
        <f>IF(ISBLANK('Kegg Taxon'!F76), "", (CONCAT(" || Subkingdom: ", 'Kegg Taxon'!F76)))</f>
        <v> || Subkingdom: Viridiplantae</v>
      </c>
      <c r="H76" s="400" t="str">
        <f>IF(ISBLANK('Kegg Taxon'!H76), "", (CONCAT(" || Superdivision: ", 'Kegg Taxon'!H76)))</f>
        <v> || Superdivision: Embryophyta</v>
      </c>
      <c r="I76" s="400" t="str">
        <f>IF(ISBLANK('Kegg Taxon'!I76), "", (CONCAT(" || Phylum: ", 'Kegg Taxon'!I76)))</f>
        <v> || Phylum: Tracheophyta</v>
      </c>
      <c r="J76" s="400" t="str">
        <f>IF(ISBLANK('Kegg Taxon'!J76), "", (CONCAT(" || Subphylum: ", 'Kegg Taxon'!J76)))</f>
        <v> || Subphylum: Spermophytina</v>
      </c>
      <c r="K76" s="400" t="str">
        <f>IF(ISBLANK('Kegg Taxon'!K76), "", (CONCAT(" || Class: ", 'Kegg Taxon'!K76)))</f>
        <v> || Class: Magnoliopsida</v>
      </c>
      <c r="L76" s="400" t="str">
        <f>IF(ISBLANK('Kegg Taxon'!L76), "", (CONCAT(" || Subclass: ", 'Kegg Taxon'!L76)))</f>
        <v> || Subclass: --</v>
      </c>
      <c r="M76" s="400" t="str">
        <f>IF(ISBLANK('Kegg Taxon'!O76), "", (CONCAT(" || Order: ", 'Kegg Taxon'!O76)))</f>
        <v> || Order: Poales</v>
      </c>
      <c r="N76" s="400" t="str">
        <f>IF(ISBLANK('Kegg Taxon'!P76), "", (CONCAT(" || Family: ", 'Kegg Taxon'!P76)))</f>
        <v> || Family: Poaceae</v>
      </c>
      <c r="O76" s="400" t="str">
        <f>IF(ISBLANK('Kegg Taxon'!Q76), "", (CONCAT(" || Subfamily: ", 'Kegg Taxon'!Q76)))</f>
        <v> || Subfamily: --</v>
      </c>
      <c r="P76" s="400" t="str">
        <f>IF(ISBLANK('Kegg Taxon'!R76), "", (CONCAT(" || Tribe: ", 'Kegg Taxon'!R76)))</f>
        <v> || Tribe: --</v>
      </c>
      <c r="Q76" s="400" t="str">
        <f>IF(ISBLANK('Kegg Taxon'!S76), "", (CONCAT(" || Subtribe: ", 'Kegg Taxon'!S76)))</f>
        <v> || Subtribe: --</v>
      </c>
      <c r="R76" s="400" t="str">
        <f>IF(ISBLANK('Kegg Taxon'!T76), "", (CONCAT(" || Genus: ", 'Kegg Taxon'!T76)))</f>
        <v> || Genus: Aegilops</v>
      </c>
      <c r="S76" s="400" t="str">
        <f t="shared" si="2"/>
        <v>#REF!</v>
      </c>
      <c r="T76" s="400" t="str">
        <f>IF(ISBLANK('Kegg Taxon'!U76), "", (CONCAT(" || Species: ", 'Kegg Taxon'!U76)))</f>
        <v> || Species: tauschii</v>
      </c>
      <c r="U76" s="400" t="str">
        <f>IF(ISBLANK('Kegg Taxon'!V76), "", (CONCAT(" || Var/Subsp: ", 'Kegg Taxon'!V76)))</f>
        <v/>
      </c>
      <c r="V76" s="400"/>
      <c r="W76" s="400"/>
      <c r="X76" s="400"/>
      <c r="Y76" s="400"/>
      <c r="Z76" s="400"/>
    </row>
    <row r="77" ht="14.25" customHeight="1">
      <c r="A77" s="401" t="s">
        <v>3644</v>
      </c>
      <c r="B77" s="399" t="str">
        <f t="shared" si="1"/>
        <v>#REF!</v>
      </c>
      <c r="C77" s="400" t="str">
        <f>IF(ISBLANK('Kegg Taxon'!A77), "", (CONCAT("Kegg code: ", 'Kegg Taxon'!A77)))</f>
        <v>Kegg code: bdi</v>
      </c>
      <c r="D77" s="400" t="str">
        <f>IF(ISBLANK('Kegg Taxon'!B77), "", (CONCAT(" || Common name: ", 'Kegg Taxon'!B77)))</f>
        <v> || Common name: Purple False Brome</v>
      </c>
      <c r="E77" s="400" t="str">
        <f>IF(ISBLANK('Kegg Taxon'!C77), "", (CONCAT(" || Scientific name: ", 'Kegg Taxon'!C77)))</f>
        <v> || Scientific name: Brachypodium distachyon</v>
      </c>
      <c r="F77" s="400" t="str">
        <f>IF(ISBLANK('Kegg Taxon'!D77), "", (CONCAT(" || Kingdom: ", 'Kegg Taxon'!D77)))</f>
        <v> || Kingdom: Plantae</v>
      </c>
      <c r="G77" s="400" t="str">
        <f>IF(ISBLANK('Kegg Taxon'!F77), "", (CONCAT(" || Subkingdom: ", 'Kegg Taxon'!F77)))</f>
        <v> || Subkingdom: Viridiplantae</v>
      </c>
      <c r="H77" s="400" t="str">
        <f>IF(ISBLANK('Kegg Taxon'!H77), "", (CONCAT(" || Superdivision: ", 'Kegg Taxon'!H77)))</f>
        <v> || Superdivision: Embryophyta</v>
      </c>
      <c r="I77" s="400" t="str">
        <f>IF(ISBLANK('Kegg Taxon'!I77), "", (CONCAT(" || Phylum: ", 'Kegg Taxon'!I77)))</f>
        <v> || Phylum: Tracheophyta</v>
      </c>
      <c r="J77" s="400" t="str">
        <f>IF(ISBLANK('Kegg Taxon'!J77), "", (CONCAT(" || Subphylum: ", 'Kegg Taxon'!J77)))</f>
        <v> || Subphylum: Spermophytina</v>
      </c>
      <c r="K77" s="400" t="str">
        <f>IF(ISBLANK('Kegg Taxon'!K77), "", (CONCAT(" || Class: ", 'Kegg Taxon'!K77)))</f>
        <v> || Class: Magnoliopsida</v>
      </c>
      <c r="L77" s="400" t="str">
        <f>IF(ISBLANK('Kegg Taxon'!L77), "", (CONCAT(" || Subclass: ", 'Kegg Taxon'!L77)))</f>
        <v> || Subclass: --</v>
      </c>
      <c r="M77" s="400" t="str">
        <f>IF(ISBLANK('Kegg Taxon'!O77), "", (CONCAT(" || Order: ", 'Kegg Taxon'!O77)))</f>
        <v> || Order: Poales</v>
      </c>
      <c r="N77" s="400" t="str">
        <f>IF(ISBLANK('Kegg Taxon'!P77), "", (CONCAT(" || Family: ", 'Kegg Taxon'!P77)))</f>
        <v> || Family: Poaceae</v>
      </c>
      <c r="O77" s="400" t="str">
        <f>IF(ISBLANK('Kegg Taxon'!Q77), "", (CONCAT(" || Subfamily: ", 'Kegg Taxon'!Q77)))</f>
        <v> || Subfamily: Pooideae</v>
      </c>
      <c r="P77" s="400" t="str">
        <f>IF(ISBLANK('Kegg Taxon'!R77), "", (CONCAT(" || Tribe: ", 'Kegg Taxon'!R77)))</f>
        <v> || Tribe: Brachypodieae</v>
      </c>
      <c r="Q77" s="400" t="str">
        <f>IF(ISBLANK('Kegg Taxon'!S77), "", (CONCAT(" || Subtribe: ", 'Kegg Taxon'!S77)))</f>
        <v> || Subtribe: --</v>
      </c>
      <c r="R77" s="400" t="str">
        <f>IF(ISBLANK('Kegg Taxon'!T77), "", (CONCAT(" || Genus: ", 'Kegg Taxon'!T77)))</f>
        <v> || Genus: Brachypodium</v>
      </c>
      <c r="S77" s="400" t="str">
        <f t="shared" si="2"/>
        <v>#REF!</v>
      </c>
      <c r="T77" s="400" t="str">
        <f>IF(ISBLANK('Kegg Taxon'!U77), "", (CONCAT(" || Species: ", 'Kegg Taxon'!U77)))</f>
        <v> || Species: distachyon</v>
      </c>
      <c r="U77" s="400" t="str">
        <f>IF(ISBLANK('Kegg Taxon'!V77), "", (CONCAT(" || Var/Subsp: ", 'Kegg Taxon'!V77)))</f>
        <v/>
      </c>
      <c r="V77" s="400"/>
      <c r="W77" s="400"/>
      <c r="X77" s="400"/>
      <c r="Y77" s="400"/>
      <c r="Z77" s="400"/>
    </row>
    <row r="78" ht="14.25" customHeight="1">
      <c r="A78" s="401" t="s">
        <v>3645</v>
      </c>
      <c r="B78" s="399" t="str">
        <f t="shared" si="1"/>
        <v>#REF!</v>
      </c>
      <c r="C78" s="400" t="str">
        <f>IF(ISBLANK('Kegg Taxon'!A78), "", (CONCAT("Kegg code: ", 'Kegg Taxon'!A78)))</f>
        <v>Kegg code: obr</v>
      </c>
      <c r="D78" s="400" t="str">
        <f>IF(ISBLANK('Kegg Taxon'!B78), "", (CONCAT(" || Common name: ", 'Kegg Taxon'!B78)))</f>
        <v> || Common name: Malo Sina, Wild Rice</v>
      </c>
      <c r="E78" s="400" t="str">
        <f>IF(ISBLANK('Kegg Taxon'!C78), "", (CONCAT(" || Scientific name: ", 'Kegg Taxon'!C78)))</f>
        <v> || Scientific name: Oryza brachyantha</v>
      </c>
      <c r="F78" s="400" t="str">
        <f>IF(ISBLANK('Kegg Taxon'!D78), "", (CONCAT(" || Kingdom: ", 'Kegg Taxon'!D78)))</f>
        <v> || Kingdom: Plantae</v>
      </c>
      <c r="G78" s="400" t="str">
        <f>IF(ISBLANK('Kegg Taxon'!F78), "", (CONCAT(" || Subkingdom: ", 'Kegg Taxon'!F78)))</f>
        <v> || Subkingdom: Viridiplantae</v>
      </c>
      <c r="H78" s="400" t="str">
        <f>IF(ISBLANK('Kegg Taxon'!H78), "", (CONCAT(" || Superdivision: ", 'Kegg Taxon'!H78)))</f>
        <v> || Superdivision: Embryophyta</v>
      </c>
      <c r="I78" s="400" t="str">
        <f>IF(ISBLANK('Kegg Taxon'!I78), "", (CONCAT(" || Phylum: ", 'Kegg Taxon'!I78)))</f>
        <v> || Phylum: Tracheophyta</v>
      </c>
      <c r="J78" s="400" t="str">
        <f>IF(ISBLANK('Kegg Taxon'!J78), "", (CONCAT(" || Subphylum: ", 'Kegg Taxon'!J78)))</f>
        <v> || Subphylum: Spermophytina</v>
      </c>
      <c r="K78" s="400" t="str">
        <f>IF(ISBLANK('Kegg Taxon'!K78), "", (CONCAT(" || Class: ", 'Kegg Taxon'!K78)))</f>
        <v> || Class: Magnoliopsida</v>
      </c>
      <c r="L78" s="400" t="str">
        <f>IF(ISBLANK('Kegg Taxon'!L78), "", (CONCAT(" || Subclass: ", 'Kegg Taxon'!L78)))</f>
        <v> || Subclass: --</v>
      </c>
      <c r="M78" s="400" t="str">
        <f>IF(ISBLANK('Kegg Taxon'!O78), "", (CONCAT(" || Order: ", 'Kegg Taxon'!O78)))</f>
        <v> || Order: Poales</v>
      </c>
      <c r="N78" s="400" t="str">
        <f>IF(ISBLANK('Kegg Taxon'!P78), "", (CONCAT(" || Family: ", 'Kegg Taxon'!P78)))</f>
        <v> || Family: Poaceae</v>
      </c>
      <c r="O78" s="400" t="str">
        <f>IF(ISBLANK('Kegg Taxon'!Q78), "", (CONCAT(" || Subfamily: ", 'Kegg Taxon'!Q78)))</f>
        <v> || Subfamily: Oryzoideae</v>
      </c>
      <c r="P78" s="400" t="str">
        <f>IF(ISBLANK('Kegg Taxon'!R78), "", (CONCAT(" || Tribe: ", 'Kegg Taxon'!R78)))</f>
        <v> || Tribe: Oryzeae</v>
      </c>
      <c r="Q78" s="400" t="str">
        <f>IF(ISBLANK('Kegg Taxon'!S78), "", (CONCAT(" || Subtribe: ", 'Kegg Taxon'!S78)))</f>
        <v> || Subtribe: Oryzinae</v>
      </c>
      <c r="R78" s="400" t="str">
        <f>IF(ISBLANK('Kegg Taxon'!T78), "", (CONCAT(" || Genus: ", 'Kegg Taxon'!T78)))</f>
        <v> || Genus: Oryza</v>
      </c>
      <c r="S78" s="400" t="str">
        <f t="shared" si="2"/>
        <v>#REF!</v>
      </c>
      <c r="T78" s="400" t="str">
        <f>IF(ISBLANK('Kegg Taxon'!U78), "", (CONCAT(" || Species: ", 'Kegg Taxon'!U78)))</f>
        <v> || Species: brachyantha</v>
      </c>
      <c r="U78" s="400" t="str">
        <f>IF(ISBLANK('Kegg Taxon'!V78), "", (CONCAT(" || Var/Subsp: ", 'Kegg Taxon'!V78)))</f>
        <v/>
      </c>
      <c r="V78" s="400"/>
      <c r="W78" s="400"/>
      <c r="X78" s="400"/>
      <c r="Y78" s="400"/>
      <c r="Z78" s="400"/>
    </row>
    <row r="79" ht="14.25" customHeight="1">
      <c r="A79" s="401" t="s">
        <v>3646</v>
      </c>
      <c r="B79" s="399" t="str">
        <f t="shared" si="1"/>
        <v>#REF!</v>
      </c>
      <c r="C79" s="400" t="str">
        <f>IF(ISBLANK('Kegg Taxon'!A79), "", (CONCAT("Kegg code: ", 'Kegg Taxon'!A79)))</f>
        <v>Kegg code: osa</v>
      </c>
      <c r="D79" s="400" t="str">
        <f>IF(ISBLANK('Kegg Taxon'!B79), "", (CONCAT(" || Common name: ", 'Kegg Taxon'!B79)))</f>
        <v> || Common name: Japanese Rice</v>
      </c>
      <c r="E79" s="400" t="str">
        <f>IF(ISBLANK('Kegg Taxon'!C79), "", (CONCAT(" || Scientific name: ", 'Kegg Taxon'!C79)))</f>
        <v> || Scientific name: Oryza sativa</v>
      </c>
      <c r="F79" s="400" t="str">
        <f>IF(ISBLANK('Kegg Taxon'!D79), "", (CONCAT(" || Kingdom: ", 'Kegg Taxon'!D79)))</f>
        <v> || Kingdom: Plantae</v>
      </c>
      <c r="G79" s="400" t="str">
        <f>IF(ISBLANK('Kegg Taxon'!F79), "", (CONCAT(" || Subkingdom: ", 'Kegg Taxon'!F79)))</f>
        <v> || Subkingdom: Viridiplantae</v>
      </c>
      <c r="H79" s="400" t="str">
        <f>IF(ISBLANK('Kegg Taxon'!H79), "", (CONCAT(" || Superdivision: ", 'Kegg Taxon'!H79)))</f>
        <v> || Superdivision: Embryophyta</v>
      </c>
      <c r="I79" s="400" t="str">
        <f>IF(ISBLANK('Kegg Taxon'!I79), "", (CONCAT(" || Phylum: ", 'Kegg Taxon'!I79)))</f>
        <v> || Phylum: Tracheophyta</v>
      </c>
      <c r="J79" s="400" t="str">
        <f>IF(ISBLANK('Kegg Taxon'!J79), "", (CONCAT(" || Subphylum: ", 'Kegg Taxon'!J79)))</f>
        <v> || Subphylum: Spermophytina</v>
      </c>
      <c r="K79" s="400" t="str">
        <f>IF(ISBLANK('Kegg Taxon'!K79), "", (CONCAT(" || Class: ", 'Kegg Taxon'!K79)))</f>
        <v> || Class: Magnoliopsida</v>
      </c>
      <c r="L79" s="400" t="str">
        <f>IF(ISBLANK('Kegg Taxon'!L79), "", (CONCAT(" || Subclass: ", 'Kegg Taxon'!L79)))</f>
        <v> || Subclass: --</v>
      </c>
      <c r="M79" s="400" t="str">
        <f>IF(ISBLANK('Kegg Taxon'!O79), "", (CONCAT(" || Order: ", 'Kegg Taxon'!O79)))</f>
        <v> || Order: Poales</v>
      </c>
      <c r="N79" s="400" t="str">
        <f>IF(ISBLANK('Kegg Taxon'!P79), "", (CONCAT(" || Family: ", 'Kegg Taxon'!P79)))</f>
        <v> || Family: Poaceae</v>
      </c>
      <c r="O79" s="400" t="str">
        <f>IF(ISBLANK('Kegg Taxon'!Q79), "", (CONCAT(" || Subfamily: ", 'Kegg Taxon'!Q79)))</f>
        <v> || Subfamily: Oryzoideae</v>
      </c>
      <c r="P79" s="400" t="str">
        <f>IF(ISBLANK('Kegg Taxon'!R79), "", (CONCAT(" || Tribe: ", 'Kegg Taxon'!R79)))</f>
        <v> || Tribe: Oryzeae</v>
      </c>
      <c r="Q79" s="400" t="str">
        <f>IF(ISBLANK('Kegg Taxon'!S79), "", (CONCAT(" || Subtribe: ", 'Kegg Taxon'!S79)))</f>
        <v> || Subtribe: Oryzinae</v>
      </c>
      <c r="R79" s="400" t="str">
        <f>IF(ISBLANK('Kegg Taxon'!T79), "", (CONCAT(" || Genus: ", 'Kegg Taxon'!T79)))</f>
        <v> || Genus: Oryza</v>
      </c>
      <c r="S79" s="400" t="str">
        <f t="shared" si="2"/>
        <v>#REF!</v>
      </c>
      <c r="T79" s="400" t="str">
        <f>IF(ISBLANK('Kegg Taxon'!U79), "", (CONCAT(" || Species: ", 'Kegg Taxon'!U79)))</f>
        <v> || Species: sativa</v>
      </c>
      <c r="U79" s="400" t="str">
        <f>IF(ISBLANK('Kegg Taxon'!V79), "", (CONCAT(" || Var/Subsp: ", 'Kegg Taxon'!V79)))</f>
        <v> || Var/Subsp: japonica</v>
      </c>
      <c r="V79" s="400"/>
      <c r="W79" s="400"/>
      <c r="X79" s="400"/>
      <c r="Y79" s="400"/>
      <c r="Z79" s="400"/>
    </row>
    <row r="80" ht="14.25" customHeight="1">
      <c r="A80" s="401" t="s">
        <v>3647</v>
      </c>
      <c r="B80" s="399" t="str">
        <f t="shared" si="1"/>
        <v>#REF!</v>
      </c>
      <c r="C80" s="400" t="str">
        <f>IF(ISBLANK('Kegg Taxon'!A80), "", (CONCAT("Kegg code: ", 'Kegg Taxon'!A80)))</f>
        <v>Kegg code: dosa</v>
      </c>
      <c r="D80" s="400" t="str">
        <f>IF(ISBLANK('Kegg Taxon'!B80), "", (CONCAT(" || Common name: ", 'Kegg Taxon'!B80)))</f>
        <v> || Common name: Japanese Rice</v>
      </c>
      <c r="E80" s="400" t="str">
        <f>IF(ISBLANK('Kegg Taxon'!C80), "", (CONCAT(" || Scientific name: ", 'Kegg Taxon'!C80)))</f>
        <v> || Scientific name: Oryza sativa</v>
      </c>
      <c r="F80" s="400" t="str">
        <f>IF(ISBLANK('Kegg Taxon'!D80), "", (CONCAT(" || Kingdom: ", 'Kegg Taxon'!D80)))</f>
        <v> || Kingdom: Plantae</v>
      </c>
      <c r="G80" s="400" t="str">
        <f>IF(ISBLANK('Kegg Taxon'!F80), "", (CONCAT(" || Subkingdom: ", 'Kegg Taxon'!F80)))</f>
        <v> || Subkingdom: Viridiplantae</v>
      </c>
      <c r="H80" s="400" t="str">
        <f>IF(ISBLANK('Kegg Taxon'!H80), "", (CONCAT(" || Superdivision: ", 'Kegg Taxon'!H80)))</f>
        <v> || Superdivision: Embryophyta</v>
      </c>
      <c r="I80" s="400" t="str">
        <f>IF(ISBLANK('Kegg Taxon'!I80), "", (CONCAT(" || Phylum: ", 'Kegg Taxon'!I80)))</f>
        <v> || Phylum: Tracheophyta</v>
      </c>
      <c r="J80" s="400" t="str">
        <f>IF(ISBLANK('Kegg Taxon'!J80), "", (CONCAT(" || Subphylum: ", 'Kegg Taxon'!J80)))</f>
        <v> || Subphylum: Spermophytina</v>
      </c>
      <c r="K80" s="400" t="str">
        <f>IF(ISBLANK('Kegg Taxon'!K80), "", (CONCAT(" || Class: ", 'Kegg Taxon'!K80)))</f>
        <v> || Class: Magnoliopsida</v>
      </c>
      <c r="L80" s="400" t="str">
        <f>IF(ISBLANK('Kegg Taxon'!L80), "", (CONCAT(" || Subclass: ", 'Kegg Taxon'!L80)))</f>
        <v> || Subclass: --</v>
      </c>
      <c r="M80" s="400" t="str">
        <f>IF(ISBLANK('Kegg Taxon'!O80), "", (CONCAT(" || Order: ", 'Kegg Taxon'!O80)))</f>
        <v> || Order: Poales</v>
      </c>
      <c r="N80" s="400" t="str">
        <f>IF(ISBLANK('Kegg Taxon'!P80), "", (CONCAT(" || Family: ", 'Kegg Taxon'!P80)))</f>
        <v> || Family: Poaceae</v>
      </c>
      <c r="O80" s="400" t="str">
        <f>IF(ISBLANK('Kegg Taxon'!Q80), "", (CONCAT(" || Subfamily: ", 'Kegg Taxon'!Q80)))</f>
        <v> || Subfamily: Oryzoideae</v>
      </c>
      <c r="P80" s="400" t="str">
        <f>IF(ISBLANK('Kegg Taxon'!R80), "", (CONCAT(" || Tribe: ", 'Kegg Taxon'!R80)))</f>
        <v> || Tribe: Oryzeae</v>
      </c>
      <c r="Q80" s="400" t="str">
        <f>IF(ISBLANK('Kegg Taxon'!S80), "", (CONCAT(" || Subtribe: ", 'Kegg Taxon'!S80)))</f>
        <v> || Subtribe: Oryzinae</v>
      </c>
      <c r="R80" s="400" t="str">
        <f>IF(ISBLANK('Kegg Taxon'!T80), "", (CONCAT(" || Genus: ", 'Kegg Taxon'!T80)))</f>
        <v> || Genus: Oryza</v>
      </c>
      <c r="S80" s="400" t="str">
        <f t="shared" si="2"/>
        <v>#REF!</v>
      </c>
      <c r="T80" s="400" t="str">
        <f>IF(ISBLANK('Kegg Taxon'!U80), "", (CONCAT(" || Species: ", 'Kegg Taxon'!U80)))</f>
        <v> || Species: sativa</v>
      </c>
      <c r="U80" s="400" t="str">
        <f>IF(ISBLANK('Kegg Taxon'!V80), "", (CONCAT(" || Var/Subsp: ", 'Kegg Taxon'!V80)))</f>
        <v> || Var/Subsp: japonica</v>
      </c>
      <c r="V80" s="400"/>
      <c r="W80" s="400"/>
      <c r="X80" s="400"/>
      <c r="Y80" s="400"/>
      <c r="Z80" s="400"/>
    </row>
    <row r="81" ht="14.25" customHeight="1">
      <c r="A81" s="401" t="s">
        <v>3648</v>
      </c>
      <c r="B81" s="399" t="str">
        <f t="shared" si="1"/>
        <v>#REF!</v>
      </c>
      <c r="C81" s="400" t="str">
        <f>IF(ISBLANK('Kegg Taxon'!A81), "", (CONCAT("Kegg code: ", 'Kegg Taxon'!A81)))</f>
        <v>Kegg code: sita</v>
      </c>
      <c r="D81" s="400" t="str">
        <f>IF(ISBLANK('Kegg Taxon'!B81), "", (CONCAT(" || Common name: ", 'Kegg Taxon'!B81)))</f>
        <v> || Common name: Foxtail Millet</v>
      </c>
      <c r="E81" s="400" t="str">
        <f>IF(ISBLANK('Kegg Taxon'!C81), "", (CONCAT(" || Scientific name: ", 'Kegg Taxon'!C81)))</f>
        <v> || Scientific name: Setaria italica</v>
      </c>
      <c r="F81" s="400" t="str">
        <f>IF(ISBLANK('Kegg Taxon'!D81), "", (CONCAT(" || Kingdom: ", 'Kegg Taxon'!D81)))</f>
        <v> || Kingdom: Plantae</v>
      </c>
      <c r="G81" s="400" t="str">
        <f>IF(ISBLANK('Kegg Taxon'!F81), "", (CONCAT(" || Subkingdom: ", 'Kegg Taxon'!F81)))</f>
        <v> || Subkingdom: Viridiplantae</v>
      </c>
      <c r="H81" s="400" t="str">
        <f>IF(ISBLANK('Kegg Taxon'!H81), "", (CONCAT(" || Superdivision: ", 'Kegg Taxon'!H81)))</f>
        <v> || Superdivision: Embryophyta</v>
      </c>
      <c r="I81" s="400" t="str">
        <f>IF(ISBLANK('Kegg Taxon'!I81), "", (CONCAT(" || Phylum: ", 'Kegg Taxon'!I81)))</f>
        <v> || Phylum: Tracheophyta</v>
      </c>
      <c r="J81" s="400" t="str">
        <f>IF(ISBLANK('Kegg Taxon'!J81), "", (CONCAT(" || Subphylum: ", 'Kegg Taxon'!J81)))</f>
        <v> || Subphylum: Spermophytina</v>
      </c>
      <c r="K81" s="400" t="str">
        <f>IF(ISBLANK('Kegg Taxon'!K81), "", (CONCAT(" || Class: ", 'Kegg Taxon'!K81)))</f>
        <v> || Class: Magnoliopsida</v>
      </c>
      <c r="L81" s="400" t="str">
        <f>IF(ISBLANK('Kegg Taxon'!L81), "", (CONCAT(" || Subclass: ", 'Kegg Taxon'!L81)))</f>
        <v> || Subclass: Petrosaviidae</v>
      </c>
      <c r="M81" s="400" t="str">
        <f>IF(ISBLANK('Kegg Taxon'!O81), "", (CONCAT(" || Order: ", 'Kegg Taxon'!O81)))</f>
        <v> || Order: Poales</v>
      </c>
      <c r="N81" s="400" t="str">
        <f>IF(ISBLANK('Kegg Taxon'!P81), "", (CONCAT(" || Family: ", 'Kegg Taxon'!P81)))</f>
        <v> || Family: Poaceae</v>
      </c>
      <c r="O81" s="400" t="str">
        <f>IF(ISBLANK('Kegg Taxon'!Q81), "", (CONCAT(" || Subfamily: ", 'Kegg Taxon'!Q81)))</f>
        <v> || Subfamily: Panicoideae</v>
      </c>
      <c r="P81" s="400" t="str">
        <f>IF(ISBLANK('Kegg Taxon'!R81), "", (CONCAT(" || Tribe: ", 'Kegg Taxon'!R81)))</f>
        <v> || Tribe: Paniceae</v>
      </c>
      <c r="Q81" s="400" t="str">
        <f>IF(ISBLANK('Kegg Taxon'!S81), "", (CONCAT(" || Subtribe: ", 'Kegg Taxon'!S81)))</f>
        <v> || Subtribe: Cenchrinae</v>
      </c>
      <c r="R81" s="400" t="str">
        <f>IF(ISBLANK('Kegg Taxon'!T81), "", (CONCAT(" || Genus: ", 'Kegg Taxon'!T81)))</f>
        <v> || Genus: Setaria</v>
      </c>
      <c r="S81" s="400" t="str">
        <f t="shared" si="2"/>
        <v>#REF!</v>
      </c>
      <c r="T81" s="400" t="str">
        <f>IF(ISBLANK('Kegg Taxon'!U81), "", (CONCAT(" || Species: ", 'Kegg Taxon'!U81)))</f>
        <v> || Species: italica</v>
      </c>
      <c r="U81" s="400" t="str">
        <f>IF(ISBLANK('Kegg Taxon'!V81), "", (CONCAT(" || Var/Subsp: ", 'Kegg Taxon'!V81)))</f>
        <v/>
      </c>
      <c r="V81" s="400"/>
      <c r="W81" s="400"/>
      <c r="X81" s="400"/>
      <c r="Y81" s="400"/>
      <c r="Z81" s="400"/>
    </row>
    <row r="82" ht="14.25" customHeight="1">
      <c r="A82" s="401" t="s">
        <v>3649</v>
      </c>
      <c r="B82" s="399" t="str">
        <f t="shared" si="1"/>
        <v>#REF!</v>
      </c>
      <c r="C82" s="400" t="str">
        <f>IF(ISBLANK('Kegg Taxon'!A82), "", (CONCAT("Kegg code: ", 'Kegg Taxon'!A82)))</f>
        <v>Kegg code: sbi</v>
      </c>
      <c r="D82" s="400" t="str">
        <f>IF(ISBLANK('Kegg Taxon'!B82), "", (CONCAT(" || Common name: ", 'Kegg Taxon'!B82)))</f>
        <v> || Common name: Sorghum</v>
      </c>
      <c r="E82" s="400" t="str">
        <f>IF(ISBLANK('Kegg Taxon'!C82), "", (CONCAT(" || Scientific name: ", 'Kegg Taxon'!C82)))</f>
        <v> || Scientific name: Sorghum bicolor</v>
      </c>
      <c r="F82" s="400" t="str">
        <f>IF(ISBLANK('Kegg Taxon'!D82), "", (CONCAT(" || Kingdom: ", 'Kegg Taxon'!D82)))</f>
        <v> || Kingdom: Plantae</v>
      </c>
      <c r="G82" s="400" t="str">
        <f>IF(ISBLANK('Kegg Taxon'!F82), "", (CONCAT(" || Subkingdom: ", 'Kegg Taxon'!F82)))</f>
        <v> || Subkingdom: Viridiplantae</v>
      </c>
      <c r="H82" s="400" t="str">
        <f>IF(ISBLANK('Kegg Taxon'!H82), "", (CONCAT(" || Superdivision: ", 'Kegg Taxon'!H82)))</f>
        <v> || Superdivision: Embryophyta</v>
      </c>
      <c r="I82" s="400" t="str">
        <f>IF(ISBLANK('Kegg Taxon'!I82), "", (CONCAT(" || Phylum: ", 'Kegg Taxon'!I82)))</f>
        <v> || Phylum: Tracheophyta</v>
      </c>
      <c r="J82" s="400" t="str">
        <f>IF(ISBLANK('Kegg Taxon'!J82), "", (CONCAT(" || Subphylum: ", 'Kegg Taxon'!J82)))</f>
        <v> || Subphylum: Spermophytina</v>
      </c>
      <c r="K82" s="400" t="str">
        <f>IF(ISBLANK('Kegg Taxon'!K82), "", (CONCAT(" || Class: ", 'Kegg Taxon'!K82)))</f>
        <v> || Class: Magnoliopsida</v>
      </c>
      <c r="L82" s="400" t="str">
        <f>IF(ISBLANK('Kegg Taxon'!L82), "", (CONCAT(" || Subclass: ", 'Kegg Taxon'!L82)))</f>
        <v> || Subclass: Petrosaviidae</v>
      </c>
      <c r="M82" s="400" t="str">
        <f>IF(ISBLANK('Kegg Taxon'!O82), "", (CONCAT(" || Order: ", 'Kegg Taxon'!O82)))</f>
        <v> || Order: Poales</v>
      </c>
      <c r="N82" s="400" t="str">
        <f>IF(ISBLANK('Kegg Taxon'!P82), "", (CONCAT(" || Family: ", 'Kegg Taxon'!P82)))</f>
        <v> || Family: Poaceae</v>
      </c>
      <c r="O82" s="400" t="str">
        <f>IF(ISBLANK('Kegg Taxon'!Q82), "", (CONCAT(" || Subfamily: ", 'Kegg Taxon'!Q82)))</f>
        <v> || Subfamily: Panicoideae</v>
      </c>
      <c r="P82" s="400" t="str">
        <f>IF(ISBLANK('Kegg Taxon'!R82), "", (CONCAT(" || Tribe: ", 'Kegg Taxon'!R82)))</f>
        <v> || Tribe: Andropogoneae</v>
      </c>
      <c r="Q82" s="400" t="str">
        <f>IF(ISBLANK('Kegg Taxon'!S82), "", (CONCAT(" || Subtribe: ", 'Kegg Taxon'!S82)))</f>
        <v> || Subtribe: Sorghinae</v>
      </c>
      <c r="R82" s="400" t="str">
        <f>IF(ISBLANK('Kegg Taxon'!T82), "", (CONCAT(" || Genus: ", 'Kegg Taxon'!T82)))</f>
        <v> || Genus: Sorghum</v>
      </c>
      <c r="S82" s="400" t="str">
        <f t="shared" si="2"/>
        <v>#REF!</v>
      </c>
      <c r="T82" s="400" t="str">
        <f>IF(ISBLANK('Kegg Taxon'!U82), "", (CONCAT(" || Species: ", 'Kegg Taxon'!U82)))</f>
        <v> || Species: bicolor</v>
      </c>
      <c r="U82" s="400" t="str">
        <f>IF(ISBLANK('Kegg Taxon'!V82), "", (CONCAT(" || Var/Subsp: ", 'Kegg Taxon'!V82)))</f>
        <v/>
      </c>
      <c r="V82" s="400"/>
      <c r="W82" s="400"/>
      <c r="X82" s="400"/>
      <c r="Y82" s="400"/>
      <c r="Z82" s="400"/>
    </row>
    <row r="83" ht="14.25" customHeight="1">
      <c r="A83" s="401" t="s">
        <v>3650</v>
      </c>
      <c r="B83" s="399" t="str">
        <f t="shared" si="1"/>
        <v>#REF!</v>
      </c>
      <c r="C83" s="400" t="str">
        <f>IF(ISBLANK('Kegg Taxon'!A83), "", (CONCAT("Kegg code: ", 'Kegg Taxon'!A83)))</f>
        <v>Kegg code: zma</v>
      </c>
      <c r="D83" s="400" t="str">
        <f>IF(ISBLANK('Kegg Taxon'!B83), "", (CONCAT(" || Common name: ", 'Kegg Taxon'!B83)))</f>
        <v> || Common name: Maize</v>
      </c>
      <c r="E83" s="400" t="str">
        <f>IF(ISBLANK('Kegg Taxon'!C83), "", (CONCAT(" || Scientific name: ", 'Kegg Taxon'!C83)))</f>
        <v> || Scientific name: Zea mays</v>
      </c>
      <c r="F83" s="400" t="str">
        <f>IF(ISBLANK('Kegg Taxon'!D83), "", (CONCAT(" || Kingdom: ", 'Kegg Taxon'!D83)))</f>
        <v> || Kingdom: Plantae</v>
      </c>
      <c r="G83" s="400" t="str">
        <f>IF(ISBLANK('Kegg Taxon'!F83), "", (CONCAT(" || Subkingdom: ", 'Kegg Taxon'!F83)))</f>
        <v> || Subkingdom: Viridiplantae</v>
      </c>
      <c r="H83" s="400" t="str">
        <f>IF(ISBLANK('Kegg Taxon'!H83), "", (CONCAT(" || Superdivision: ", 'Kegg Taxon'!H83)))</f>
        <v> || Superdivision: Embryophyta</v>
      </c>
      <c r="I83" s="400" t="str">
        <f>IF(ISBLANK('Kegg Taxon'!I83), "", (CONCAT(" || Phylum: ", 'Kegg Taxon'!I83)))</f>
        <v> || Phylum: Tracheophyta</v>
      </c>
      <c r="J83" s="400" t="str">
        <f>IF(ISBLANK('Kegg Taxon'!J83), "", (CONCAT(" || Subphylum: ", 'Kegg Taxon'!J83)))</f>
        <v> || Subphylum: Spermophytina</v>
      </c>
      <c r="K83" s="400" t="str">
        <f>IF(ISBLANK('Kegg Taxon'!K83), "", (CONCAT(" || Class: ", 'Kegg Taxon'!K83)))</f>
        <v> || Class: Magnoliopsida</v>
      </c>
      <c r="L83" s="400" t="str">
        <f>IF(ISBLANK('Kegg Taxon'!L83), "", (CONCAT(" || Subclass: ", 'Kegg Taxon'!L83)))</f>
        <v> || Subclass: Petrosaviidae</v>
      </c>
      <c r="M83" s="400" t="str">
        <f>IF(ISBLANK('Kegg Taxon'!O83), "", (CONCAT(" || Order: ", 'Kegg Taxon'!O83)))</f>
        <v> || Order: Poales</v>
      </c>
      <c r="N83" s="400" t="str">
        <f>IF(ISBLANK('Kegg Taxon'!P83), "", (CONCAT(" || Family: ", 'Kegg Taxon'!P83)))</f>
        <v> || Family: Poaceae</v>
      </c>
      <c r="O83" s="400" t="str">
        <f>IF(ISBLANK('Kegg Taxon'!Q83), "", (CONCAT(" || Subfamily: ", 'Kegg Taxon'!Q83)))</f>
        <v> || Subfamily: Panicoideae</v>
      </c>
      <c r="P83" s="400" t="str">
        <f>IF(ISBLANK('Kegg Taxon'!R83), "", (CONCAT(" || Tribe: ", 'Kegg Taxon'!R83)))</f>
        <v> || Tribe: Andropogoneae</v>
      </c>
      <c r="Q83" s="400" t="str">
        <f>IF(ISBLANK('Kegg Taxon'!S83), "", (CONCAT(" || Subtribe: ", 'Kegg Taxon'!S83)))</f>
        <v> || Subtribe: Tripsacinae</v>
      </c>
      <c r="R83" s="400" t="str">
        <f>IF(ISBLANK('Kegg Taxon'!T83), "", (CONCAT(" || Genus: ", 'Kegg Taxon'!T83)))</f>
        <v> || Genus: Zea</v>
      </c>
      <c r="S83" s="400" t="str">
        <f t="shared" si="2"/>
        <v>#REF!</v>
      </c>
      <c r="T83" s="400" t="str">
        <f>IF(ISBLANK('Kegg Taxon'!U83), "", (CONCAT(" || Species: ", 'Kegg Taxon'!U83)))</f>
        <v> || Species: mays</v>
      </c>
      <c r="U83" s="400" t="str">
        <f>IF(ISBLANK('Kegg Taxon'!V83), "", (CONCAT(" || Var/Subsp: ", 'Kegg Taxon'!V83)))</f>
        <v/>
      </c>
      <c r="V83" s="400"/>
      <c r="W83" s="400"/>
      <c r="X83" s="400"/>
      <c r="Y83" s="400"/>
      <c r="Z83" s="400"/>
    </row>
    <row r="84" ht="14.25" customHeight="1">
      <c r="A84" s="401" t="s">
        <v>3651</v>
      </c>
      <c r="B84" s="399" t="str">
        <f t="shared" si="1"/>
        <v>#REF!</v>
      </c>
      <c r="C84" s="400" t="str">
        <f>IF(ISBLANK('Kegg Taxon'!A84), "", (CONCAT("Kegg code: ", 'Kegg Taxon'!A84)))</f>
        <v>Kegg code: zju</v>
      </c>
      <c r="D84" s="400" t="str">
        <f>IF(ISBLANK('Kegg Taxon'!B84), "", (CONCAT(" || Common name: ", 'Kegg Taxon'!B84)))</f>
        <v> || Common name: Chinese Date</v>
      </c>
      <c r="E84" s="400" t="str">
        <f>IF(ISBLANK('Kegg Taxon'!C84), "", (CONCAT(" || Scientific name: ", 'Kegg Taxon'!C84)))</f>
        <v> || Scientific name: Ziziphus jujuba</v>
      </c>
      <c r="F84" s="400" t="str">
        <f>IF(ISBLANK('Kegg Taxon'!D84), "", (CONCAT(" || Kingdom: ", 'Kegg Taxon'!D84)))</f>
        <v> || Kingdom: Plantae</v>
      </c>
      <c r="G84" s="400" t="str">
        <f>IF(ISBLANK('Kegg Taxon'!F84), "", (CONCAT(" || Subkingdom: ", 'Kegg Taxon'!F84)))</f>
        <v> || Subkingdom: Viridiplantae</v>
      </c>
      <c r="H84" s="400" t="str">
        <f>IF(ISBLANK('Kegg Taxon'!H84), "", (CONCAT(" || Superdivision: ", 'Kegg Taxon'!H84)))</f>
        <v> || Superdivision: Embryophyta</v>
      </c>
      <c r="I84" s="400" t="str">
        <f>IF(ISBLANK('Kegg Taxon'!I84), "", (CONCAT(" || Phylum: ", 'Kegg Taxon'!I84)))</f>
        <v> || Phylum: Tracheophyta</v>
      </c>
      <c r="J84" s="400" t="str">
        <f>IF(ISBLANK('Kegg Taxon'!J84), "", (CONCAT(" || Subphylum: ", 'Kegg Taxon'!J84)))</f>
        <v> || Subphylum: Spermophytina</v>
      </c>
      <c r="K84" s="400" t="str">
        <f>IF(ISBLANK('Kegg Taxon'!K84), "", (CONCAT(" || Class: ", 'Kegg Taxon'!K84)))</f>
        <v> || Class: Magnoliopsida</v>
      </c>
      <c r="L84" s="400" t="str">
        <f>IF(ISBLANK('Kegg Taxon'!L84), "", (CONCAT(" || Subclass: ", 'Kegg Taxon'!L84)))</f>
        <v> || Subclass: --</v>
      </c>
      <c r="M84" s="400" t="str">
        <f>IF(ISBLANK('Kegg Taxon'!O84), "", (CONCAT(" || Order: ", 'Kegg Taxon'!O84)))</f>
        <v> || Order: Rosales</v>
      </c>
      <c r="N84" s="400" t="str">
        <f>IF(ISBLANK('Kegg Taxon'!P84), "", (CONCAT(" || Family: ", 'Kegg Taxon'!P84)))</f>
        <v> || Family: Rhamnaceae</v>
      </c>
      <c r="O84" s="400" t="str">
        <f>IF(ISBLANK('Kegg Taxon'!Q84), "", (CONCAT(" || Subfamily: ", 'Kegg Taxon'!Q84)))</f>
        <v> || Subfamily: --</v>
      </c>
      <c r="P84" s="400" t="str">
        <f>IF(ISBLANK('Kegg Taxon'!R84), "", (CONCAT(" || Tribe: ", 'Kegg Taxon'!R84)))</f>
        <v> || Tribe: Paliureae</v>
      </c>
      <c r="Q84" s="400" t="str">
        <f>IF(ISBLANK('Kegg Taxon'!S84), "", (CONCAT(" || Subtribe: ", 'Kegg Taxon'!S84)))</f>
        <v> || Subtribe: --</v>
      </c>
      <c r="R84" s="400" t="str">
        <f>IF(ISBLANK('Kegg Taxon'!T84), "", (CONCAT(" || Genus: ", 'Kegg Taxon'!T84)))</f>
        <v> || Genus: Ziziphus</v>
      </c>
      <c r="S84" s="400" t="str">
        <f t="shared" si="2"/>
        <v>#REF!</v>
      </c>
      <c r="T84" s="400" t="str">
        <f>IF(ISBLANK('Kegg Taxon'!U84), "", (CONCAT(" || Species: ", 'Kegg Taxon'!U84)))</f>
        <v> || Species: jujuba</v>
      </c>
      <c r="U84" s="400" t="str">
        <f>IF(ISBLANK('Kegg Taxon'!V84), "", (CONCAT(" || Var/Subsp: ", 'Kegg Taxon'!V84)))</f>
        <v/>
      </c>
      <c r="V84" s="400"/>
      <c r="W84" s="400"/>
      <c r="X84" s="400"/>
      <c r="Y84" s="400"/>
      <c r="Z84" s="400"/>
    </row>
    <row r="85" ht="14.25" customHeight="1">
      <c r="A85" s="401" t="s">
        <v>3652</v>
      </c>
      <c r="B85" s="399" t="str">
        <f t="shared" si="1"/>
        <v>#REF!</v>
      </c>
      <c r="C85" s="400" t="str">
        <f>IF(ISBLANK('Kegg Taxon'!A85), "", (CONCAT("Kegg code: ", 'Kegg Taxon'!A85)))</f>
        <v>Kegg code: fve</v>
      </c>
      <c r="D85" s="400" t="str">
        <f>IF(ISBLANK('Kegg Taxon'!B85), "", (CONCAT(" || Common name: ", 'Kegg Taxon'!B85)))</f>
        <v> || Common name: Woodland Strawberry</v>
      </c>
      <c r="E85" s="400" t="str">
        <f>IF(ISBLANK('Kegg Taxon'!C85), "", (CONCAT(" || Scientific name: ", 'Kegg Taxon'!C85)))</f>
        <v> || Scientific name: Fragaria vesca</v>
      </c>
      <c r="F85" s="400" t="str">
        <f>IF(ISBLANK('Kegg Taxon'!D85), "", (CONCAT(" || Kingdom: ", 'Kegg Taxon'!D85)))</f>
        <v> || Kingdom: Plantae</v>
      </c>
      <c r="G85" s="400" t="str">
        <f>IF(ISBLANK('Kegg Taxon'!F85), "", (CONCAT(" || Subkingdom: ", 'Kegg Taxon'!F85)))</f>
        <v> || Subkingdom: Viridiplantae</v>
      </c>
      <c r="H85" s="400" t="str">
        <f>IF(ISBLANK('Kegg Taxon'!H85), "", (CONCAT(" || Superdivision: ", 'Kegg Taxon'!H85)))</f>
        <v> || Superdivision: Embryophyta</v>
      </c>
      <c r="I85" s="400" t="str">
        <f>IF(ISBLANK('Kegg Taxon'!I85), "", (CONCAT(" || Phylum: ", 'Kegg Taxon'!I85)))</f>
        <v> || Phylum: Tracheophyta</v>
      </c>
      <c r="J85" s="400" t="str">
        <f>IF(ISBLANK('Kegg Taxon'!J85), "", (CONCAT(" || Subphylum: ", 'Kegg Taxon'!J85)))</f>
        <v> || Subphylum: Spermophytina</v>
      </c>
      <c r="K85" s="400" t="str">
        <f>IF(ISBLANK('Kegg Taxon'!K85), "", (CONCAT(" || Class: ", 'Kegg Taxon'!K85)))</f>
        <v> || Class: Magnoliopsida</v>
      </c>
      <c r="L85" s="400" t="str">
        <f>IF(ISBLANK('Kegg Taxon'!L85), "", (CONCAT(" || Subclass: ", 'Kegg Taxon'!L85)))</f>
        <v> || Subclass: --</v>
      </c>
      <c r="M85" s="400" t="str">
        <f>IF(ISBLANK('Kegg Taxon'!O85), "", (CONCAT(" || Order: ", 'Kegg Taxon'!O85)))</f>
        <v> || Order: Rosales</v>
      </c>
      <c r="N85" s="400" t="str">
        <f>IF(ISBLANK('Kegg Taxon'!P85), "", (CONCAT(" || Family: ", 'Kegg Taxon'!P85)))</f>
        <v> || Family: Rosaceae</v>
      </c>
      <c r="O85" s="400" t="str">
        <f>IF(ISBLANK('Kegg Taxon'!Q85), "", (CONCAT(" || Subfamily: ", 'Kegg Taxon'!Q85)))</f>
        <v> || Subfamily: Rosoideae</v>
      </c>
      <c r="P85" s="400" t="str">
        <f>IF(ISBLANK('Kegg Taxon'!R85), "", (CONCAT(" || Tribe: ", 'Kegg Taxon'!R85)))</f>
        <v> || Tribe: Potentilleae</v>
      </c>
      <c r="Q85" s="400" t="str">
        <f>IF(ISBLANK('Kegg Taxon'!S85), "", (CONCAT(" || Subtribe: ", 'Kegg Taxon'!S85)))</f>
        <v> || Subtribe: Fragariinae</v>
      </c>
      <c r="R85" s="400" t="str">
        <f>IF(ISBLANK('Kegg Taxon'!T85), "", (CONCAT(" || Genus: ", 'Kegg Taxon'!T85)))</f>
        <v> || Genus: Fragaria</v>
      </c>
      <c r="S85" s="400" t="str">
        <f t="shared" si="2"/>
        <v>#REF!</v>
      </c>
      <c r="T85" s="400" t="str">
        <f>IF(ISBLANK('Kegg Taxon'!U85), "", (CONCAT(" || Species: ", 'Kegg Taxon'!U85)))</f>
        <v> || Species: vesca</v>
      </c>
      <c r="U85" s="400" t="str">
        <f>IF(ISBLANK('Kegg Taxon'!V85), "", (CONCAT(" || Var/Subsp: ", 'Kegg Taxon'!V85)))</f>
        <v/>
      </c>
      <c r="V85" s="400"/>
      <c r="W85" s="400"/>
      <c r="X85" s="400"/>
      <c r="Y85" s="400"/>
      <c r="Z85" s="400"/>
    </row>
    <row r="86" ht="14.25" customHeight="1">
      <c r="A86" s="401" t="s">
        <v>3653</v>
      </c>
      <c r="B86" s="399" t="str">
        <f t="shared" si="1"/>
        <v>#REF!</v>
      </c>
      <c r="C86" s="400" t="str">
        <f>IF(ISBLANK('Kegg Taxon'!A86), "", (CONCAT("Kegg code: ", 'Kegg Taxon'!A86)))</f>
        <v>Kegg code: mdm</v>
      </c>
      <c r="D86" s="400" t="str">
        <f>IF(ISBLANK('Kegg Taxon'!B86), "", (CONCAT(" || Common name: ", 'Kegg Taxon'!B86)))</f>
        <v> || Common name: Apple</v>
      </c>
      <c r="E86" s="400" t="str">
        <f>IF(ISBLANK('Kegg Taxon'!C86), "", (CONCAT(" || Scientific name: ", 'Kegg Taxon'!C86)))</f>
        <v> || Scientific name: Malus domestica</v>
      </c>
      <c r="F86" s="400" t="str">
        <f>IF(ISBLANK('Kegg Taxon'!D86), "", (CONCAT(" || Kingdom: ", 'Kegg Taxon'!D86)))</f>
        <v> || Kingdom: Plantae</v>
      </c>
      <c r="G86" s="400" t="str">
        <f>IF(ISBLANK('Kegg Taxon'!F86), "", (CONCAT(" || Subkingdom: ", 'Kegg Taxon'!F86)))</f>
        <v> || Subkingdom: Viridiplantae</v>
      </c>
      <c r="H86" s="400" t="str">
        <f>IF(ISBLANK('Kegg Taxon'!H86), "", (CONCAT(" || Superdivision: ", 'Kegg Taxon'!H86)))</f>
        <v> || Superdivision: Embryophyta</v>
      </c>
      <c r="I86" s="400" t="str">
        <f>IF(ISBLANK('Kegg Taxon'!I86), "", (CONCAT(" || Phylum: ", 'Kegg Taxon'!I86)))</f>
        <v> || Phylum: Tracheophyta</v>
      </c>
      <c r="J86" s="400" t="str">
        <f>IF(ISBLANK('Kegg Taxon'!J86), "", (CONCAT(" || Subphylum: ", 'Kegg Taxon'!J86)))</f>
        <v> || Subphylum: Spermophytina</v>
      </c>
      <c r="K86" s="400" t="str">
        <f>IF(ISBLANK('Kegg Taxon'!K86), "", (CONCAT(" || Class: ", 'Kegg Taxon'!K86)))</f>
        <v> || Class: Magnoliopsida</v>
      </c>
      <c r="L86" s="400" t="str">
        <f>IF(ISBLANK('Kegg Taxon'!L86), "", (CONCAT(" || Subclass: ", 'Kegg Taxon'!L86)))</f>
        <v> || Subclass: --</v>
      </c>
      <c r="M86" s="400" t="str">
        <f>IF(ISBLANK('Kegg Taxon'!O86), "", (CONCAT(" || Order: ", 'Kegg Taxon'!O86)))</f>
        <v> || Order: Rosales</v>
      </c>
      <c r="N86" s="400" t="str">
        <f>IF(ISBLANK('Kegg Taxon'!P86), "", (CONCAT(" || Family: ", 'Kegg Taxon'!P86)))</f>
        <v> || Family: Rosaceae</v>
      </c>
      <c r="O86" s="400" t="str">
        <f>IF(ISBLANK('Kegg Taxon'!Q86), "", (CONCAT(" || Subfamily: ", 'Kegg Taxon'!Q86)))</f>
        <v> || Subfamily: Amygdaloideae</v>
      </c>
      <c r="P86" s="400" t="str">
        <f>IF(ISBLANK('Kegg Taxon'!R86), "", (CONCAT(" || Tribe: ", 'Kegg Taxon'!R86)))</f>
        <v> || Tribe: Maleae</v>
      </c>
      <c r="Q86" s="400" t="str">
        <f>IF(ISBLANK('Kegg Taxon'!S86), "", (CONCAT(" || Subtribe: ", 'Kegg Taxon'!S86)))</f>
        <v> || Subtribe: --</v>
      </c>
      <c r="R86" s="400" t="str">
        <f>IF(ISBLANK('Kegg Taxon'!T86), "", (CONCAT(" || Genus: ", 'Kegg Taxon'!T86)))</f>
        <v> || Genus: Malus</v>
      </c>
      <c r="S86" s="400" t="str">
        <f t="shared" si="2"/>
        <v>#REF!</v>
      </c>
      <c r="T86" s="400" t="str">
        <f>IF(ISBLANK('Kegg Taxon'!U86), "", (CONCAT(" || Species: ", 'Kegg Taxon'!U86)))</f>
        <v> || Species: domestica</v>
      </c>
      <c r="U86" s="400" t="str">
        <f>IF(ISBLANK('Kegg Taxon'!V86), "", (CONCAT(" || Var/Subsp: ", 'Kegg Taxon'!V86)))</f>
        <v/>
      </c>
      <c r="V86" s="400"/>
      <c r="W86" s="400"/>
      <c r="X86" s="400"/>
      <c r="Y86" s="400"/>
      <c r="Z86" s="400"/>
    </row>
    <row r="87" ht="14.25" customHeight="1">
      <c r="A87" s="401" t="s">
        <v>3654</v>
      </c>
      <c r="B87" s="399" t="str">
        <f t="shared" si="1"/>
        <v>#REF!</v>
      </c>
      <c r="C87" s="400" t="str">
        <f>IF(ISBLANK('Kegg Taxon'!A87), "", (CONCAT("Kegg code: ", 'Kegg Taxon'!A87)))</f>
        <v>Kegg code: pavi</v>
      </c>
      <c r="D87" s="400" t="str">
        <f>IF(ISBLANK('Kegg Taxon'!B87), "", (CONCAT(" || Common name: ", 'Kegg Taxon'!B87)))</f>
        <v> || Common name: Sweet Cherry</v>
      </c>
      <c r="E87" s="400" t="str">
        <f>IF(ISBLANK('Kegg Taxon'!C87), "", (CONCAT(" || Scientific name: ", 'Kegg Taxon'!C87)))</f>
        <v> || Scientific name: Prunus avium</v>
      </c>
      <c r="F87" s="400" t="str">
        <f>IF(ISBLANK('Kegg Taxon'!D87), "", (CONCAT(" || Kingdom: ", 'Kegg Taxon'!D87)))</f>
        <v> || Kingdom: Plantae</v>
      </c>
      <c r="G87" s="400" t="str">
        <f>IF(ISBLANK('Kegg Taxon'!F87), "", (CONCAT(" || Subkingdom: ", 'Kegg Taxon'!F87)))</f>
        <v> || Subkingdom: Viridiplantae</v>
      </c>
      <c r="H87" s="400" t="str">
        <f>IF(ISBLANK('Kegg Taxon'!H87), "", (CONCAT(" || Superdivision: ", 'Kegg Taxon'!H87)))</f>
        <v> || Superdivision: Embryophyta</v>
      </c>
      <c r="I87" s="400" t="str">
        <f>IF(ISBLANK('Kegg Taxon'!I87), "", (CONCAT(" || Phylum: ", 'Kegg Taxon'!I87)))</f>
        <v> || Phylum: Tracheophyta</v>
      </c>
      <c r="J87" s="400" t="str">
        <f>IF(ISBLANK('Kegg Taxon'!J87), "", (CONCAT(" || Subphylum: ", 'Kegg Taxon'!J87)))</f>
        <v> || Subphylum: Spermophytina</v>
      </c>
      <c r="K87" s="400" t="str">
        <f>IF(ISBLANK('Kegg Taxon'!K87), "", (CONCAT(" || Class: ", 'Kegg Taxon'!K87)))</f>
        <v> || Class: Magnoliopsida</v>
      </c>
      <c r="L87" s="400" t="str">
        <f>IF(ISBLANK('Kegg Taxon'!L87), "", (CONCAT(" || Subclass: ", 'Kegg Taxon'!L87)))</f>
        <v> || Subclass: --</v>
      </c>
      <c r="M87" s="400" t="str">
        <f>IF(ISBLANK('Kegg Taxon'!O87), "", (CONCAT(" || Order: ", 'Kegg Taxon'!O87)))</f>
        <v> || Order: Rosales</v>
      </c>
      <c r="N87" s="400" t="str">
        <f>IF(ISBLANK('Kegg Taxon'!P87), "", (CONCAT(" || Family: ", 'Kegg Taxon'!P87)))</f>
        <v> || Family: Rosaceae</v>
      </c>
      <c r="O87" s="400" t="str">
        <f>IF(ISBLANK('Kegg Taxon'!Q87), "", (CONCAT(" || Subfamily: ", 'Kegg Taxon'!Q87)))</f>
        <v> || Subfamily: Amygdaloideae</v>
      </c>
      <c r="P87" s="400" t="str">
        <f>IF(ISBLANK('Kegg Taxon'!R87), "", (CONCAT(" || Tribe: ", 'Kegg Taxon'!R87)))</f>
        <v> || Tribe: Amygdaleae</v>
      </c>
      <c r="Q87" s="400" t="str">
        <f>IF(ISBLANK('Kegg Taxon'!S87), "", (CONCAT(" || Subtribe: ", 'Kegg Taxon'!S87)))</f>
        <v> || Subtribe: --</v>
      </c>
      <c r="R87" s="400" t="str">
        <f>IF(ISBLANK('Kegg Taxon'!T87), "", (CONCAT(" || Genus: ", 'Kegg Taxon'!T87)))</f>
        <v> || Genus: Prunus</v>
      </c>
      <c r="S87" s="400" t="str">
        <f t="shared" si="2"/>
        <v>#REF!</v>
      </c>
      <c r="T87" s="400" t="str">
        <f>IF(ISBLANK('Kegg Taxon'!U87), "", (CONCAT(" || Species: ", 'Kegg Taxon'!U87)))</f>
        <v> || Species: avium</v>
      </c>
      <c r="U87" s="400" t="str">
        <f>IF(ISBLANK('Kegg Taxon'!V87), "", (CONCAT(" || Var/Subsp: ", 'Kegg Taxon'!V87)))</f>
        <v/>
      </c>
      <c r="V87" s="400"/>
      <c r="W87" s="400"/>
      <c r="X87" s="400"/>
      <c r="Y87" s="400"/>
      <c r="Z87" s="400"/>
    </row>
    <row r="88" ht="14.25" customHeight="1">
      <c r="A88" s="401" t="s">
        <v>3655</v>
      </c>
      <c r="B88" s="399" t="str">
        <f t="shared" si="1"/>
        <v>#REF!</v>
      </c>
      <c r="C88" s="400" t="str">
        <f>IF(ISBLANK('Kegg Taxon'!A88), "", (CONCAT("Kegg code: ", 'Kegg Taxon'!A88)))</f>
        <v>Kegg code: pmum</v>
      </c>
      <c r="D88" s="400" t="str">
        <f>IF(ISBLANK('Kegg Taxon'!B88), "", (CONCAT(" || Common name: ", 'Kegg Taxon'!B88)))</f>
        <v> || Common name: Japanese Apricot</v>
      </c>
      <c r="E88" s="400" t="str">
        <f>IF(ISBLANK('Kegg Taxon'!C88), "", (CONCAT(" || Scientific name: ", 'Kegg Taxon'!C88)))</f>
        <v> || Scientific name: Prunus mume</v>
      </c>
      <c r="F88" s="400" t="str">
        <f>IF(ISBLANK('Kegg Taxon'!D88), "", (CONCAT(" || Kingdom: ", 'Kegg Taxon'!D88)))</f>
        <v> || Kingdom: Plantae</v>
      </c>
      <c r="G88" s="400" t="str">
        <f>IF(ISBLANK('Kegg Taxon'!F88), "", (CONCAT(" || Subkingdom: ", 'Kegg Taxon'!F88)))</f>
        <v> || Subkingdom: Viridiplantae</v>
      </c>
      <c r="H88" s="400" t="str">
        <f>IF(ISBLANK('Kegg Taxon'!H88), "", (CONCAT(" || Superdivision: ", 'Kegg Taxon'!H88)))</f>
        <v> || Superdivision: Embryophyta</v>
      </c>
      <c r="I88" s="400" t="str">
        <f>IF(ISBLANK('Kegg Taxon'!I88), "", (CONCAT(" || Phylum: ", 'Kegg Taxon'!I88)))</f>
        <v> || Phylum: Tracheophyta</v>
      </c>
      <c r="J88" s="400" t="str">
        <f>IF(ISBLANK('Kegg Taxon'!J88), "", (CONCAT(" || Subphylum: ", 'Kegg Taxon'!J88)))</f>
        <v> || Subphylum: Spermophytina</v>
      </c>
      <c r="K88" s="400" t="str">
        <f>IF(ISBLANK('Kegg Taxon'!K88), "", (CONCAT(" || Class: ", 'Kegg Taxon'!K88)))</f>
        <v> || Class: Magnoliopsida</v>
      </c>
      <c r="L88" s="400" t="str">
        <f>IF(ISBLANK('Kegg Taxon'!L88), "", (CONCAT(" || Subclass: ", 'Kegg Taxon'!L88)))</f>
        <v> || Subclass: --</v>
      </c>
      <c r="M88" s="400" t="str">
        <f>IF(ISBLANK('Kegg Taxon'!O88), "", (CONCAT(" || Order: ", 'Kegg Taxon'!O88)))</f>
        <v> || Order: Rosales</v>
      </c>
      <c r="N88" s="400" t="str">
        <f>IF(ISBLANK('Kegg Taxon'!P88), "", (CONCAT(" || Family: ", 'Kegg Taxon'!P88)))</f>
        <v> || Family: Rosaceae</v>
      </c>
      <c r="O88" s="400" t="str">
        <f>IF(ISBLANK('Kegg Taxon'!Q88), "", (CONCAT(" || Subfamily: ", 'Kegg Taxon'!Q88)))</f>
        <v> || Subfamily: Amygdaloideae</v>
      </c>
      <c r="P88" s="400" t="str">
        <f>IF(ISBLANK('Kegg Taxon'!R88), "", (CONCAT(" || Tribe: ", 'Kegg Taxon'!R88)))</f>
        <v> || Tribe: Amygdaleae</v>
      </c>
      <c r="Q88" s="400" t="str">
        <f>IF(ISBLANK('Kegg Taxon'!S88), "", (CONCAT(" || Subtribe: ", 'Kegg Taxon'!S88)))</f>
        <v> || Subtribe: --</v>
      </c>
      <c r="R88" s="400" t="str">
        <f>IF(ISBLANK('Kegg Taxon'!T88), "", (CONCAT(" || Genus: ", 'Kegg Taxon'!T88)))</f>
        <v> || Genus: Prunus</v>
      </c>
      <c r="S88" s="400" t="str">
        <f t="shared" si="2"/>
        <v>#REF!</v>
      </c>
      <c r="T88" s="400" t="str">
        <f>IF(ISBLANK('Kegg Taxon'!U88), "", (CONCAT(" || Species: ", 'Kegg Taxon'!U88)))</f>
        <v> || Species: mume</v>
      </c>
      <c r="U88" s="400" t="str">
        <f>IF(ISBLANK('Kegg Taxon'!V88), "", (CONCAT(" || Var/Subsp: ", 'Kegg Taxon'!V88)))</f>
        <v/>
      </c>
      <c r="V88" s="400"/>
      <c r="W88" s="400"/>
      <c r="X88" s="400"/>
      <c r="Y88" s="400"/>
      <c r="Z88" s="400"/>
    </row>
    <row r="89" ht="14.25" customHeight="1">
      <c r="A89" s="401" t="s">
        <v>3656</v>
      </c>
      <c r="B89" s="399" t="str">
        <f t="shared" si="1"/>
        <v>#REF!</v>
      </c>
      <c r="C89" s="400" t="str">
        <f>IF(ISBLANK('Kegg Taxon'!A89), "", (CONCAT("Kegg code: ", 'Kegg Taxon'!A89)))</f>
        <v>Kegg code: pper</v>
      </c>
      <c r="D89" s="400" t="str">
        <f>IF(ISBLANK('Kegg Taxon'!B89), "", (CONCAT(" || Common name: ", 'Kegg Taxon'!B89)))</f>
        <v> || Common name: Peach</v>
      </c>
      <c r="E89" s="400" t="str">
        <f>IF(ISBLANK('Kegg Taxon'!C89), "", (CONCAT(" || Scientific name: ", 'Kegg Taxon'!C89)))</f>
        <v> || Scientific name: Prunus persica</v>
      </c>
      <c r="F89" s="400" t="str">
        <f>IF(ISBLANK('Kegg Taxon'!D89), "", (CONCAT(" || Kingdom: ", 'Kegg Taxon'!D89)))</f>
        <v> || Kingdom: Plantae</v>
      </c>
      <c r="G89" s="400" t="str">
        <f>IF(ISBLANK('Kegg Taxon'!F89), "", (CONCAT(" || Subkingdom: ", 'Kegg Taxon'!F89)))</f>
        <v> || Subkingdom: Viridiplantae</v>
      </c>
      <c r="H89" s="400" t="str">
        <f>IF(ISBLANK('Kegg Taxon'!H89), "", (CONCAT(" || Superdivision: ", 'Kegg Taxon'!H89)))</f>
        <v> || Superdivision: Embryophyta</v>
      </c>
      <c r="I89" s="400" t="str">
        <f>IF(ISBLANK('Kegg Taxon'!I89), "", (CONCAT(" || Phylum: ", 'Kegg Taxon'!I89)))</f>
        <v> || Phylum: Tracheophyta</v>
      </c>
      <c r="J89" s="400" t="str">
        <f>IF(ISBLANK('Kegg Taxon'!J89), "", (CONCAT(" || Subphylum: ", 'Kegg Taxon'!J89)))</f>
        <v> || Subphylum: Spermophytina</v>
      </c>
      <c r="K89" s="400" t="str">
        <f>IF(ISBLANK('Kegg Taxon'!K89), "", (CONCAT(" || Class: ", 'Kegg Taxon'!K89)))</f>
        <v> || Class: Magnoliopsida</v>
      </c>
      <c r="L89" s="400" t="str">
        <f>IF(ISBLANK('Kegg Taxon'!L89), "", (CONCAT(" || Subclass: ", 'Kegg Taxon'!L89)))</f>
        <v> || Subclass: --</v>
      </c>
      <c r="M89" s="400" t="str">
        <f>IF(ISBLANK('Kegg Taxon'!O89), "", (CONCAT(" || Order: ", 'Kegg Taxon'!O89)))</f>
        <v> || Order: Rosales</v>
      </c>
      <c r="N89" s="400" t="str">
        <f>IF(ISBLANK('Kegg Taxon'!P89), "", (CONCAT(" || Family: ", 'Kegg Taxon'!P89)))</f>
        <v> || Family: Rosaceae</v>
      </c>
      <c r="O89" s="400" t="str">
        <f>IF(ISBLANK('Kegg Taxon'!Q89), "", (CONCAT(" || Subfamily: ", 'Kegg Taxon'!Q89)))</f>
        <v> || Subfamily: Amygdaloideae</v>
      </c>
      <c r="P89" s="400" t="str">
        <f>IF(ISBLANK('Kegg Taxon'!R89), "", (CONCAT(" || Tribe: ", 'Kegg Taxon'!R89)))</f>
        <v> || Tribe: Amygdaleae</v>
      </c>
      <c r="Q89" s="400" t="str">
        <f>IF(ISBLANK('Kegg Taxon'!S89), "", (CONCAT(" || Subtribe: ", 'Kegg Taxon'!S89)))</f>
        <v> || Subtribe: --</v>
      </c>
      <c r="R89" s="400" t="str">
        <f>IF(ISBLANK('Kegg Taxon'!T89), "", (CONCAT(" || Genus: ", 'Kegg Taxon'!T89)))</f>
        <v> || Genus: Prunus</v>
      </c>
      <c r="S89" s="400" t="str">
        <f t="shared" si="2"/>
        <v>#REF!</v>
      </c>
      <c r="T89" s="400" t="str">
        <f>IF(ISBLANK('Kegg Taxon'!U89), "", (CONCAT(" || Species: ", 'Kegg Taxon'!U89)))</f>
        <v> || Species: persica</v>
      </c>
      <c r="U89" s="400" t="str">
        <f>IF(ISBLANK('Kegg Taxon'!V89), "", (CONCAT(" || Var/Subsp: ", 'Kegg Taxon'!V89)))</f>
        <v/>
      </c>
      <c r="V89" s="400"/>
      <c r="W89" s="400"/>
      <c r="X89" s="400"/>
      <c r="Y89" s="400"/>
      <c r="Z89" s="400"/>
    </row>
    <row r="90" ht="14.25" customHeight="1">
      <c r="A90" s="401" t="s">
        <v>3657</v>
      </c>
      <c r="B90" s="399" t="str">
        <f t="shared" si="1"/>
        <v>#REF!</v>
      </c>
      <c r="C90" s="400" t="str">
        <f>IF(ISBLANK('Kegg Taxon'!A90), "", (CONCAT("Kegg code: ", 'Kegg Taxon'!A90)))</f>
        <v>Kegg code: pxb</v>
      </c>
      <c r="D90" s="400" t="str">
        <f>IF(ISBLANK('Kegg Taxon'!B90), "", (CONCAT(" || Common name: ", 'Kegg Taxon'!B90)))</f>
        <v> || Common name: Chinese White Pear</v>
      </c>
      <c r="E90" s="400" t="str">
        <f>IF(ISBLANK('Kegg Taxon'!C90), "", (CONCAT(" || Scientific name: ", 'Kegg Taxon'!C90)))</f>
        <v> || Scientific name: Pyrus x bretschneideri</v>
      </c>
      <c r="F90" s="400" t="str">
        <f>IF(ISBLANK('Kegg Taxon'!D90), "", (CONCAT(" || Kingdom: ", 'Kegg Taxon'!D90)))</f>
        <v> || Kingdom: Plantae</v>
      </c>
      <c r="G90" s="400" t="str">
        <f>IF(ISBLANK('Kegg Taxon'!F90), "", (CONCAT(" || Subkingdom: ", 'Kegg Taxon'!F90)))</f>
        <v> || Subkingdom: Viridiplantae</v>
      </c>
      <c r="H90" s="400" t="str">
        <f>IF(ISBLANK('Kegg Taxon'!H90), "", (CONCAT(" || Superdivision: ", 'Kegg Taxon'!H90)))</f>
        <v> || Superdivision: Embryophyta</v>
      </c>
      <c r="I90" s="400" t="str">
        <f>IF(ISBLANK('Kegg Taxon'!I90), "", (CONCAT(" || Phylum: ", 'Kegg Taxon'!I90)))</f>
        <v> || Phylum: Tracheophyta</v>
      </c>
      <c r="J90" s="400" t="str">
        <f>IF(ISBLANK('Kegg Taxon'!J90), "", (CONCAT(" || Subphylum: ", 'Kegg Taxon'!J90)))</f>
        <v> || Subphylum: Spermophytina</v>
      </c>
      <c r="K90" s="400" t="str">
        <f>IF(ISBLANK('Kegg Taxon'!K90), "", (CONCAT(" || Class: ", 'Kegg Taxon'!K90)))</f>
        <v> || Class: Magnoliopsida</v>
      </c>
      <c r="L90" s="400" t="str">
        <f>IF(ISBLANK('Kegg Taxon'!L90), "", (CONCAT(" || Subclass: ", 'Kegg Taxon'!L90)))</f>
        <v> || Subclass: --</v>
      </c>
      <c r="M90" s="400" t="str">
        <f>IF(ISBLANK('Kegg Taxon'!O90), "", (CONCAT(" || Order: ", 'Kegg Taxon'!O90)))</f>
        <v> || Order: Rosales</v>
      </c>
      <c r="N90" s="400" t="str">
        <f>IF(ISBLANK('Kegg Taxon'!P90), "", (CONCAT(" || Family: ", 'Kegg Taxon'!P90)))</f>
        <v> || Family: Rosaceae</v>
      </c>
      <c r="O90" s="400" t="str">
        <f>IF(ISBLANK('Kegg Taxon'!Q90), "", (CONCAT(" || Subfamily: ", 'Kegg Taxon'!Q90)))</f>
        <v> || Subfamily: Amygdaloideae</v>
      </c>
      <c r="P90" s="400" t="str">
        <f>IF(ISBLANK('Kegg Taxon'!R90), "", (CONCAT(" || Tribe: ", 'Kegg Taxon'!R90)))</f>
        <v> || Tribe: Maleae</v>
      </c>
      <c r="Q90" s="400" t="str">
        <f>IF(ISBLANK('Kegg Taxon'!S90), "", (CONCAT(" || Subtribe: ", 'Kegg Taxon'!S90)))</f>
        <v> || Subtribe: --</v>
      </c>
      <c r="R90" s="400" t="str">
        <f>IF(ISBLANK('Kegg Taxon'!T90), "", (CONCAT(" || Genus: ", 'Kegg Taxon'!T90)))</f>
        <v> || Genus: Pyrus</v>
      </c>
      <c r="S90" s="400" t="str">
        <f t="shared" si="2"/>
        <v>#REF!</v>
      </c>
      <c r="T90" s="400" t="str">
        <f>IF(ISBLANK('Kegg Taxon'!U90), "", (CONCAT(" || Species: ", 'Kegg Taxon'!U90)))</f>
        <v> || Species: x bretschneideri</v>
      </c>
      <c r="U90" s="400" t="str">
        <f>IF(ISBLANK('Kegg Taxon'!V90), "", (CONCAT(" || Var/Subsp: ", 'Kegg Taxon'!V90)))</f>
        <v/>
      </c>
      <c r="V90" s="400"/>
      <c r="W90" s="400"/>
      <c r="X90" s="400"/>
      <c r="Y90" s="400"/>
      <c r="Z90" s="400"/>
    </row>
    <row r="91" ht="14.25" customHeight="1">
      <c r="A91" s="401" t="s">
        <v>3658</v>
      </c>
      <c r="B91" s="399" t="str">
        <f t="shared" si="1"/>
        <v>#REF!</v>
      </c>
      <c r="C91" s="400" t="str">
        <f>IF(ISBLANK('Kegg Taxon'!A91), "", (CONCAT("Kegg code: ", 'Kegg Taxon'!A91)))</f>
        <v>Kegg code: rcn</v>
      </c>
      <c r="D91" s="400" t="str">
        <f>IF(ISBLANK('Kegg Taxon'!B91), "", (CONCAT(" || Common name: ", 'Kegg Taxon'!B91)))</f>
        <v> || Common name: China Rose</v>
      </c>
      <c r="E91" s="400" t="str">
        <f>IF(ISBLANK('Kegg Taxon'!C91), "", (CONCAT(" || Scientific name: ", 'Kegg Taxon'!C91)))</f>
        <v> || Scientific name: Rosa chinensis</v>
      </c>
      <c r="F91" s="400" t="str">
        <f>IF(ISBLANK('Kegg Taxon'!D91), "", (CONCAT(" || Kingdom: ", 'Kegg Taxon'!D91)))</f>
        <v> || Kingdom: Plantae</v>
      </c>
      <c r="G91" s="400" t="str">
        <f>IF(ISBLANK('Kegg Taxon'!F91), "", (CONCAT(" || Subkingdom: ", 'Kegg Taxon'!F91)))</f>
        <v> || Subkingdom: Viridiplantae</v>
      </c>
      <c r="H91" s="400" t="str">
        <f>IF(ISBLANK('Kegg Taxon'!H91), "", (CONCAT(" || Superdivision: ", 'Kegg Taxon'!H91)))</f>
        <v> || Superdivision: Embryophyta</v>
      </c>
      <c r="I91" s="400" t="str">
        <f>IF(ISBLANK('Kegg Taxon'!I91), "", (CONCAT(" || Phylum: ", 'Kegg Taxon'!I91)))</f>
        <v> || Phylum: Tracheophyta</v>
      </c>
      <c r="J91" s="400" t="str">
        <f>IF(ISBLANK('Kegg Taxon'!J91), "", (CONCAT(" || Subphylum: ", 'Kegg Taxon'!J91)))</f>
        <v> || Subphylum: Spermophytina</v>
      </c>
      <c r="K91" s="400" t="str">
        <f>IF(ISBLANK('Kegg Taxon'!K91), "", (CONCAT(" || Class: ", 'Kegg Taxon'!K91)))</f>
        <v> || Class: Magnoliopsida</v>
      </c>
      <c r="L91" s="400" t="str">
        <f>IF(ISBLANK('Kegg Taxon'!L91), "", (CONCAT(" || Subclass: ", 'Kegg Taxon'!L91)))</f>
        <v> || Subclass: --</v>
      </c>
      <c r="M91" s="400" t="str">
        <f>IF(ISBLANK('Kegg Taxon'!O91), "", (CONCAT(" || Order: ", 'Kegg Taxon'!O91)))</f>
        <v> || Order: Rosales</v>
      </c>
      <c r="N91" s="400" t="str">
        <f>IF(ISBLANK('Kegg Taxon'!P91), "", (CONCAT(" || Family: ", 'Kegg Taxon'!P91)))</f>
        <v> || Family: Rosaceae</v>
      </c>
      <c r="O91" s="400" t="str">
        <f>IF(ISBLANK('Kegg Taxon'!Q91), "", (CONCAT(" || Subfamily: ", 'Kegg Taxon'!Q91)))</f>
        <v> || Subfamily: Rosoideae</v>
      </c>
      <c r="P91" s="400" t="str">
        <f>IF(ISBLANK('Kegg Taxon'!R91), "", (CONCAT(" || Tribe: ", 'Kegg Taxon'!R91)))</f>
        <v> || Tribe: --</v>
      </c>
      <c r="Q91" s="400" t="str">
        <f>IF(ISBLANK('Kegg Taxon'!S91), "", (CONCAT(" || Subtribe: ", 'Kegg Taxon'!S91)))</f>
        <v> || Subtribe: --</v>
      </c>
      <c r="R91" s="400" t="str">
        <f>IF(ISBLANK('Kegg Taxon'!T91), "", (CONCAT(" || Genus: ", 'Kegg Taxon'!T91)))</f>
        <v> || Genus: Rosa</v>
      </c>
      <c r="S91" s="400" t="str">
        <f t="shared" si="2"/>
        <v>#REF!</v>
      </c>
      <c r="T91" s="400" t="str">
        <f>IF(ISBLANK('Kegg Taxon'!U91), "", (CONCAT(" || Species: ", 'Kegg Taxon'!U91)))</f>
        <v> || Species: chinensis</v>
      </c>
      <c r="U91" s="400" t="str">
        <f>IF(ISBLANK('Kegg Taxon'!V91), "", (CONCAT(" || Var/Subsp: ", 'Kegg Taxon'!V91)))</f>
        <v/>
      </c>
      <c r="V91" s="400"/>
      <c r="W91" s="400"/>
      <c r="X91" s="400"/>
      <c r="Y91" s="400"/>
      <c r="Z91" s="400"/>
    </row>
    <row r="92" ht="14.25" customHeight="1">
      <c r="A92" s="401" t="s">
        <v>3659</v>
      </c>
      <c r="B92" s="399" t="str">
        <f t="shared" si="1"/>
        <v>#REF!</v>
      </c>
      <c r="C92" s="400" t="str">
        <f>IF(ISBLANK('Kegg Taxon'!A92), "", (CONCAT("Kegg code: ", 'Kegg Taxon'!A92)))</f>
        <v>Kegg code: cic</v>
      </c>
      <c r="D92" s="400" t="str">
        <f>IF(ISBLANK('Kegg Taxon'!B92), "", (CONCAT(" || Common name: ", 'Kegg Taxon'!B92)))</f>
        <v> || Common name: Mandarin Orange</v>
      </c>
      <c r="E92" s="400" t="str">
        <f>IF(ISBLANK('Kegg Taxon'!C92), "", (CONCAT(" || Scientific name: ", 'Kegg Taxon'!C92)))</f>
        <v> || Scientific name: Citrus clementina</v>
      </c>
      <c r="F92" s="400" t="str">
        <f>IF(ISBLANK('Kegg Taxon'!D92), "", (CONCAT(" || Kingdom: ", 'Kegg Taxon'!D92)))</f>
        <v> || Kingdom: Plantae</v>
      </c>
      <c r="G92" s="400" t="str">
        <f>IF(ISBLANK('Kegg Taxon'!F92), "", (CONCAT(" || Subkingdom: ", 'Kegg Taxon'!F92)))</f>
        <v> || Subkingdom: Viridiplantae</v>
      </c>
      <c r="H92" s="400" t="str">
        <f>IF(ISBLANK('Kegg Taxon'!H92), "", (CONCAT(" || Superdivision: ", 'Kegg Taxon'!H92)))</f>
        <v> || Superdivision: Embryophyta</v>
      </c>
      <c r="I92" s="400" t="str">
        <f>IF(ISBLANK('Kegg Taxon'!I92), "", (CONCAT(" || Phylum: ", 'Kegg Taxon'!I92)))</f>
        <v> || Phylum: Tracheophyta</v>
      </c>
      <c r="J92" s="400" t="str">
        <f>IF(ISBLANK('Kegg Taxon'!J92), "", (CONCAT(" || Subphylum: ", 'Kegg Taxon'!J92)))</f>
        <v> || Subphylum: Spermophytina</v>
      </c>
      <c r="K92" s="400" t="str">
        <f>IF(ISBLANK('Kegg Taxon'!K92), "", (CONCAT(" || Class: ", 'Kegg Taxon'!K92)))</f>
        <v> || Class: Magnoliopsida</v>
      </c>
      <c r="L92" s="400" t="str">
        <f>IF(ISBLANK('Kegg Taxon'!L92), "", (CONCAT(" || Subclass: ", 'Kegg Taxon'!L92)))</f>
        <v> || Subclass: --</v>
      </c>
      <c r="M92" s="400" t="str">
        <f>IF(ISBLANK('Kegg Taxon'!O92), "", (CONCAT(" || Order: ", 'Kegg Taxon'!O92)))</f>
        <v> || Order: Sapindales</v>
      </c>
      <c r="N92" s="400" t="str">
        <f>IF(ISBLANK('Kegg Taxon'!P92), "", (CONCAT(" || Family: ", 'Kegg Taxon'!P92)))</f>
        <v> || Family: Rutaceae</v>
      </c>
      <c r="O92" s="400" t="str">
        <f>IF(ISBLANK('Kegg Taxon'!Q92), "", (CONCAT(" || Subfamily: ", 'Kegg Taxon'!Q92)))</f>
        <v> || Subfamily: --</v>
      </c>
      <c r="P92" s="400" t="str">
        <f>IF(ISBLANK('Kegg Taxon'!R92), "", (CONCAT(" || Tribe: ", 'Kegg Taxon'!R92)))</f>
        <v> || Tribe: --</v>
      </c>
      <c r="Q92" s="400" t="str">
        <f>IF(ISBLANK('Kegg Taxon'!S92), "", (CONCAT(" || Subtribe: ", 'Kegg Taxon'!S92)))</f>
        <v> || Subtribe: --</v>
      </c>
      <c r="R92" s="400" t="str">
        <f>IF(ISBLANK('Kegg Taxon'!T92), "", (CONCAT(" || Genus: ", 'Kegg Taxon'!T92)))</f>
        <v> || Genus: Citrus</v>
      </c>
      <c r="S92" s="400" t="str">
        <f t="shared" si="2"/>
        <v>#REF!</v>
      </c>
      <c r="T92" s="400" t="str">
        <f>IF(ISBLANK('Kegg Taxon'!U92), "", (CONCAT(" || Species: ", 'Kegg Taxon'!U92)))</f>
        <v> || Species: clementina</v>
      </c>
      <c r="U92" s="400" t="str">
        <f>IF(ISBLANK('Kegg Taxon'!V92), "", (CONCAT(" || Var/Subsp: ", 'Kegg Taxon'!V92)))</f>
        <v/>
      </c>
      <c r="V92" s="400"/>
      <c r="W92" s="400"/>
      <c r="X92" s="400"/>
      <c r="Y92" s="400"/>
      <c r="Z92" s="400"/>
    </row>
    <row r="93" ht="14.25" customHeight="1">
      <c r="A93" s="403" t="s">
        <v>3660</v>
      </c>
      <c r="B93" s="399" t="str">
        <f t="shared" si="1"/>
        <v>#REF!</v>
      </c>
      <c r="C93" s="400" t="str">
        <f>IF(ISBLANK('Kegg Taxon'!A93), "", (CONCAT("Kegg code: ", 'Kegg Taxon'!A93)))</f>
        <v>Kegg code: cit</v>
      </c>
      <c r="D93" s="400" t="str">
        <f>IF(ISBLANK('Kegg Taxon'!B93), "", (CONCAT(" || Common name: ", 'Kegg Taxon'!B93)))</f>
        <v> || Common name: Valenica Orange</v>
      </c>
      <c r="E93" s="400" t="str">
        <f>IF(ISBLANK('Kegg Taxon'!C93), "", (CONCAT(" || Scientific name: ", 'Kegg Taxon'!C93)))</f>
        <v> || Scientific name: Citrus sinensis</v>
      </c>
      <c r="F93" s="400" t="str">
        <f>IF(ISBLANK('Kegg Taxon'!D93), "", (CONCAT(" || Kingdom: ", 'Kegg Taxon'!D93)))</f>
        <v> || Kingdom: Plantae</v>
      </c>
      <c r="G93" s="400" t="str">
        <f>IF(ISBLANK('Kegg Taxon'!F93), "", (CONCAT(" || Subkingdom: ", 'Kegg Taxon'!F93)))</f>
        <v> || Subkingdom: Viridiplantae</v>
      </c>
      <c r="H93" s="400" t="str">
        <f>IF(ISBLANK('Kegg Taxon'!H93), "", (CONCAT(" || Superdivision: ", 'Kegg Taxon'!H93)))</f>
        <v> || Superdivision: Embryophyta</v>
      </c>
      <c r="I93" s="400" t="str">
        <f>IF(ISBLANK('Kegg Taxon'!I93), "", (CONCAT(" || Phylum: ", 'Kegg Taxon'!I93)))</f>
        <v> || Phylum: Tracheophyta</v>
      </c>
      <c r="J93" s="400" t="str">
        <f>IF(ISBLANK('Kegg Taxon'!J93), "", (CONCAT(" || Subphylum: ", 'Kegg Taxon'!J93)))</f>
        <v> || Subphylum: Spermophytina</v>
      </c>
      <c r="K93" s="400" t="str">
        <f>IF(ISBLANK('Kegg Taxon'!K93), "", (CONCAT(" || Class: ", 'Kegg Taxon'!K93)))</f>
        <v> || Class: Magnoliopsida</v>
      </c>
      <c r="L93" s="400" t="str">
        <f>IF(ISBLANK('Kegg Taxon'!L93), "", (CONCAT(" || Subclass: ", 'Kegg Taxon'!L93)))</f>
        <v> || Subclass: --</v>
      </c>
      <c r="M93" s="400" t="str">
        <f>IF(ISBLANK('Kegg Taxon'!O93), "", (CONCAT(" || Order: ", 'Kegg Taxon'!O93)))</f>
        <v> || Order: Sapindales</v>
      </c>
      <c r="N93" s="400" t="str">
        <f>IF(ISBLANK('Kegg Taxon'!P93), "", (CONCAT(" || Family: ", 'Kegg Taxon'!P93)))</f>
        <v> || Family: Rutaceae</v>
      </c>
      <c r="O93" s="400" t="str">
        <f>IF(ISBLANK('Kegg Taxon'!Q93), "", (CONCAT(" || Subfamily: ", 'Kegg Taxon'!Q93)))</f>
        <v> || Subfamily: --</v>
      </c>
      <c r="P93" s="400" t="str">
        <f>IF(ISBLANK('Kegg Taxon'!R93), "", (CONCAT(" || Tribe: ", 'Kegg Taxon'!R93)))</f>
        <v> || Tribe: --</v>
      </c>
      <c r="Q93" s="400" t="str">
        <f>IF(ISBLANK('Kegg Taxon'!S93), "", (CONCAT(" || Subtribe: ", 'Kegg Taxon'!S93)))</f>
        <v> || Subtribe: --</v>
      </c>
      <c r="R93" s="400" t="str">
        <f>IF(ISBLANK('Kegg Taxon'!T93), "", (CONCAT(" || Genus: ", 'Kegg Taxon'!T93)))</f>
        <v> || Genus: Citrus</v>
      </c>
      <c r="S93" s="400" t="str">
        <f t="shared" si="2"/>
        <v>#REF!</v>
      </c>
      <c r="T93" s="400" t="str">
        <f>IF(ISBLANK('Kegg Taxon'!U93), "", (CONCAT(" || Species: ", 'Kegg Taxon'!U93)))</f>
        <v> || Species: sinensis</v>
      </c>
      <c r="U93" s="400" t="str">
        <f>IF(ISBLANK('Kegg Taxon'!V93), "", (CONCAT(" || Var/Subsp: ", 'Kegg Taxon'!V93)))</f>
        <v/>
      </c>
      <c r="V93" s="400"/>
      <c r="W93" s="400"/>
      <c r="X93" s="400"/>
      <c r="Y93" s="400"/>
      <c r="Z93" s="400"/>
    </row>
    <row r="94" ht="14.25" customHeight="1">
      <c r="A94" s="401" t="s">
        <v>3661</v>
      </c>
      <c r="B94" s="399" t="str">
        <f t="shared" si="1"/>
        <v>#REF!</v>
      </c>
      <c r="C94" s="400" t="str">
        <f>IF(ISBLANK('Kegg Taxon'!A94), "", (CONCAT("Kegg code: ", 'Kegg Taxon'!A94)))</f>
        <v>Kegg code: peu</v>
      </c>
      <c r="D94" s="400" t="str">
        <f>IF(ISBLANK('Kegg Taxon'!B94), "", (CONCAT(" || Common name: ", 'Kegg Taxon'!B94)))</f>
        <v> || Common name: Euphrates Poplar</v>
      </c>
      <c r="E94" s="400" t="str">
        <f>IF(ISBLANK('Kegg Taxon'!C94), "", (CONCAT(" || Scientific name: ", 'Kegg Taxon'!C94)))</f>
        <v> || Scientific name: Populus euphratica</v>
      </c>
      <c r="F94" s="400" t="str">
        <f>IF(ISBLANK('Kegg Taxon'!D94), "", (CONCAT(" || Kingdom: ", 'Kegg Taxon'!D94)))</f>
        <v> || Kingdom: Plantae</v>
      </c>
      <c r="G94" s="400" t="str">
        <f>IF(ISBLANK('Kegg Taxon'!F94), "", (CONCAT(" || Subkingdom: ", 'Kegg Taxon'!F94)))</f>
        <v> || Subkingdom: Viridiplantae</v>
      </c>
      <c r="H94" s="400" t="str">
        <f>IF(ISBLANK('Kegg Taxon'!H94), "", (CONCAT(" || Superdivision: ", 'Kegg Taxon'!H94)))</f>
        <v> || Superdivision: Embryophyta</v>
      </c>
      <c r="I94" s="400" t="str">
        <f>IF(ISBLANK('Kegg Taxon'!I94), "", (CONCAT(" || Phylum: ", 'Kegg Taxon'!I94)))</f>
        <v> || Phylum: Tracheophyta</v>
      </c>
      <c r="J94" s="400" t="str">
        <f>IF(ISBLANK('Kegg Taxon'!J94), "", (CONCAT(" || Subphylum: ", 'Kegg Taxon'!J94)))</f>
        <v> || Subphylum: Spermophytina</v>
      </c>
      <c r="K94" s="400" t="str">
        <f>IF(ISBLANK('Kegg Taxon'!K94), "", (CONCAT(" || Class: ", 'Kegg Taxon'!K94)))</f>
        <v> || Class: Magnoliopsida</v>
      </c>
      <c r="L94" s="400" t="str">
        <f>IF(ISBLANK('Kegg Taxon'!L94), "", (CONCAT(" || Subclass: ", 'Kegg Taxon'!L94)))</f>
        <v> || Subclass: --</v>
      </c>
      <c r="M94" s="400" t="str">
        <f>IF(ISBLANK('Kegg Taxon'!O94), "", (CONCAT(" || Order: ", 'Kegg Taxon'!O94)))</f>
        <v> || Order: Malpighiales</v>
      </c>
      <c r="N94" s="400" t="str">
        <f>IF(ISBLANK('Kegg Taxon'!P94), "", (CONCAT(" || Family: ", 'Kegg Taxon'!P94)))</f>
        <v> || Family: Salicaceae</v>
      </c>
      <c r="O94" s="400" t="str">
        <f>IF(ISBLANK('Kegg Taxon'!Q94), "", (CONCAT(" || Subfamily: ", 'Kegg Taxon'!Q94)))</f>
        <v> || Subfamily: --</v>
      </c>
      <c r="P94" s="400" t="str">
        <f>IF(ISBLANK('Kegg Taxon'!R94), "", (CONCAT(" || Tribe: ", 'Kegg Taxon'!R94)))</f>
        <v> || Tribe: Saliceae</v>
      </c>
      <c r="Q94" s="400" t="str">
        <f>IF(ISBLANK('Kegg Taxon'!S94), "", (CONCAT(" || Subtribe: ", 'Kegg Taxon'!S94)))</f>
        <v> || Subtribe: --</v>
      </c>
      <c r="R94" s="400" t="str">
        <f>IF(ISBLANK('Kegg Taxon'!T94), "", (CONCAT(" || Genus: ", 'Kegg Taxon'!T94)))</f>
        <v> || Genus: Populus</v>
      </c>
      <c r="S94" s="400" t="str">
        <f t="shared" si="2"/>
        <v>#REF!</v>
      </c>
      <c r="T94" s="400" t="str">
        <f>IF(ISBLANK('Kegg Taxon'!U94), "", (CONCAT(" || Species: ", 'Kegg Taxon'!U94)))</f>
        <v> || Species: euphratica</v>
      </c>
      <c r="U94" s="400" t="str">
        <f>IF(ISBLANK('Kegg Taxon'!V94), "", (CONCAT(" || Var/Subsp: ", 'Kegg Taxon'!V94)))</f>
        <v/>
      </c>
      <c r="V94" s="400"/>
      <c r="W94" s="400"/>
      <c r="X94" s="400"/>
      <c r="Y94" s="400"/>
      <c r="Z94" s="400"/>
    </row>
    <row r="95" ht="14.25" customHeight="1">
      <c r="A95" s="401" t="s">
        <v>3662</v>
      </c>
      <c r="B95" s="399" t="str">
        <f t="shared" si="1"/>
        <v>#REF!</v>
      </c>
      <c r="C95" s="400" t="str">
        <f>IF(ISBLANK('Kegg Taxon'!A95), "", (CONCAT("Kegg code: ", 'Kegg Taxon'!A95)))</f>
        <v>Kegg code: pop</v>
      </c>
      <c r="D95" s="400" t="str">
        <f>IF(ISBLANK('Kegg Taxon'!B95), "", (CONCAT(" || Common name: ", 'Kegg Taxon'!B95)))</f>
        <v> || Common name: Black Cottonwood</v>
      </c>
      <c r="E95" s="400" t="str">
        <f>IF(ISBLANK('Kegg Taxon'!C95), "", (CONCAT(" || Scientific name: ", 'Kegg Taxon'!C95)))</f>
        <v> || Scientific name: Populus trichocarpa</v>
      </c>
      <c r="F95" s="400" t="str">
        <f>IF(ISBLANK('Kegg Taxon'!D95), "", (CONCAT(" || Kingdom: ", 'Kegg Taxon'!D95)))</f>
        <v> || Kingdom: Plantae</v>
      </c>
      <c r="G95" s="400" t="str">
        <f>IF(ISBLANK('Kegg Taxon'!F95), "", (CONCAT(" || Subkingdom: ", 'Kegg Taxon'!F95)))</f>
        <v> || Subkingdom: Viridiplantae</v>
      </c>
      <c r="H95" s="400" t="str">
        <f>IF(ISBLANK('Kegg Taxon'!H95), "", (CONCAT(" || Superdivision: ", 'Kegg Taxon'!H95)))</f>
        <v> || Superdivision: Embryophyta</v>
      </c>
      <c r="I95" s="400" t="str">
        <f>IF(ISBLANK('Kegg Taxon'!I95), "", (CONCAT(" || Phylum: ", 'Kegg Taxon'!I95)))</f>
        <v> || Phylum: Tracheophyta</v>
      </c>
      <c r="J95" s="400" t="str">
        <f>IF(ISBLANK('Kegg Taxon'!J95), "", (CONCAT(" || Subphylum: ", 'Kegg Taxon'!J95)))</f>
        <v> || Subphylum: Spermophytina</v>
      </c>
      <c r="K95" s="400" t="str">
        <f>IF(ISBLANK('Kegg Taxon'!K95), "", (CONCAT(" || Class: ", 'Kegg Taxon'!K95)))</f>
        <v> || Class: Magnoliopsida</v>
      </c>
      <c r="L95" s="400" t="str">
        <f>IF(ISBLANK('Kegg Taxon'!L95), "", (CONCAT(" || Subclass: ", 'Kegg Taxon'!L95)))</f>
        <v> || Subclass: --</v>
      </c>
      <c r="M95" s="400" t="str">
        <f>IF(ISBLANK('Kegg Taxon'!O95), "", (CONCAT(" || Order: ", 'Kegg Taxon'!O95)))</f>
        <v> || Order: Malpighiales</v>
      </c>
      <c r="N95" s="400" t="str">
        <f>IF(ISBLANK('Kegg Taxon'!P95), "", (CONCAT(" || Family: ", 'Kegg Taxon'!P95)))</f>
        <v> || Family: Salicaceae</v>
      </c>
      <c r="O95" s="400" t="str">
        <f>IF(ISBLANK('Kegg Taxon'!Q95), "", (CONCAT(" || Subfamily: ", 'Kegg Taxon'!Q95)))</f>
        <v> || Subfamily: --</v>
      </c>
      <c r="P95" s="400" t="str">
        <f>IF(ISBLANK('Kegg Taxon'!R95), "", (CONCAT(" || Tribe: ", 'Kegg Taxon'!R95)))</f>
        <v> || Tribe: Saliceae</v>
      </c>
      <c r="Q95" s="400" t="str">
        <f>IF(ISBLANK('Kegg Taxon'!S95), "", (CONCAT(" || Subtribe: ", 'Kegg Taxon'!S95)))</f>
        <v> || Subtribe: --</v>
      </c>
      <c r="R95" s="400" t="str">
        <f>IF(ISBLANK('Kegg Taxon'!T95), "", (CONCAT(" || Genus: ", 'Kegg Taxon'!T95)))</f>
        <v> || Genus: Populus</v>
      </c>
      <c r="S95" s="400" t="str">
        <f t="shared" si="2"/>
        <v>#REF!</v>
      </c>
      <c r="T95" s="400" t="str">
        <f>IF(ISBLANK('Kegg Taxon'!U95), "", (CONCAT(" || Species: ", 'Kegg Taxon'!U95)))</f>
        <v> || Species: trichocarpa</v>
      </c>
      <c r="U95" s="400" t="str">
        <f>IF(ISBLANK('Kegg Taxon'!V95), "", (CONCAT(" || Var/Subsp: ", 'Kegg Taxon'!V95)))</f>
        <v/>
      </c>
      <c r="V95" s="400"/>
      <c r="W95" s="400"/>
      <c r="X95" s="400"/>
      <c r="Y95" s="400"/>
      <c r="Z95" s="400"/>
    </row>
    <row r="96" ht="14.25" customHeight="1">
      <c r="A96" s="401" t="s">
        <v>3663</v>
      </c>
      <c r="B96" s="399" t="str">
        <f t="shared" si="1"/>
        <v>#REF!</v>
      </c>
      <c r="C96" s="400" t="str">
        <f>IF(ISBLANK('Kegg Taxon'!A96), "", (CONCAT("Kegg code: ", 'Kegg Taxon'!A96)))</f>
        <v>Kegg code: smo</v>
      </c>
      <c r="D96" s="400" t="str">
        <f>IF(ISBLANK('Kegg Taxon'!B96), "", (CONCAT(" || Common name: ", 'Kegg Taxon'!B96)))</f>
        <v> || Common name: Spikemoss</v>
      </c>
      <c r="E96" s="400" t="str">
        <f>IF(ISBLANK('Kegg Taxon'!C96), "", (CONCAT(" || Scientific name: ", 'Kegg Taxon'!C96)))</f>
        <v> || Scientific name: Selaginella moellendorffii</v>
      </c>
      <c r="F96" s="400" t="str">
        <f>IF(ISBLANK('Kegg Taxon'!D96), "", (CONCAT(" || Kingdom: ", 'Kegg Taxon'!D96)))</f>
        <v> || Kingdom: Plantae</v>
      </c>
      <c r="G96" s="400" t="str">
        <f>IF(ISBLANK('Kegg Taxon'!F96), "", (CONCAT(" || Subkingdom: ", 'Kegg Taxon'!F96)))</f>
        <v> || Subkingdom: Viridiplantae</v>
      </c>
      <c r="H96" s="400" t="str">
        <f>IF(ISBLANK('Kegg Taxon'!H96), "", (CONCAT(" || Superdivision: ", 'Kegg Taxon'!H96)))</f>
        <v> || Superdivision: Embryophyta</v>
      </c>
      <c r="I96" s="400" t="str">
        <f>IF(ISBLANK('Kegg Taxon'!I96), "", (CONCAT(" || Phylum: ", 'Kegg Taxon'!I96)))</f>
        <v> || Phylum: Tracheophyta</v>
      </c>
      <c r="J96" s="400" t="str">
        <f>IF(ISBLANK('Kegg Taxon'!J96), "", (CONCAT(" || Subphylum: ", 'Kegg Taxon'!J96)))</f>
        <v> || Subphylum: Lycopodiophytina</v>
      </c>
      <c r="K96" s="400" t="str">
        <f>IF(ISBLANK('Kegg Taxon'!K96), "", (CONCAT(" || Class: ", 'Kegg Taxon'!K96)))</f>
        <v> || Class: Lycopodiopsida (clubmosses)</v>
      </c>
      <c r="L96" s="400" t="str">
        <f>IF(ISBLANK('Kegg Taxon'!L96), "", (CONCAT(" || Subclass: ", 'Kegg Taxon'!L96)))</f>
        <v> || Subclass: --</v>
      </c>
      <c r="M96" s="400" t="str">
        <f>IF(ISBLANK('Kegg Taxon'!O96), "", (CONCAT(" || Order: ", 'Kegg Taxon'!O96)))</f>
        <v> || Order: Selaginellales</v>
      </c>
      <c r="N96" s="400" t="str">
        <f>IF(ISBLANK('Kegg Taxon'!P96), "", (CONCAT(" || Family: ", 'Kegg Taxon'!P96)))</f>
        <v> || Family: Selaginellaceae</v>
      </c>
      <c r="O96" s="400" t="str">
        <f>IF(ISBLANK('Kegg Taxon'!Q96), "", (CONCAT(" || Subfamily: ", 'Kegg Taxon'!Q96)))</f>
        <v> || Subfamily: --</v>
      </c>
      <c r="P96" s="400" t="str">
        <f>IF(ISBLANK('Kegg Taxon'!R96), "", (CONCAT(" || Tribe: ", 'Kegg Taxon'!R96)))</f>
        <v> || Tribe: --</v>
      </c>
      <c r="Q96" s="400" t="str">
        <f>IF(ISBLANK('Kegg Taxon'!S96), "", (CONCAT(" || Subtribe: ", 'Kegg Taxon'!S96)))</f>
        <v> || Subtribe: --</v>
      </c>
      <c r="R96" s="400" t="str">
        <f>IF(ISBLANK('Kegg Taxon'!T96), "", (CONCAT(" || Genus: ", 'Kegg Taxon'!T96)))</f>
        <v> || Genus: Selaginella</v>
      </c>
      <c r="S96" s="400" t="str">
        <f t="shared" si="2"/>
        <v>#REF!</v>
      </c>
      <c r="T96" s="400" t="str">
        <f>IF(ISBLANK('Kegg Taxon'!U96), "", (CONCAT(" || Species: ", 'Kegg Taxon'!U96)))</f>
        <v> || Species: moellendorffii</v>
      </c>
      <c r="U96" s="400" t="str">
        <f>IF(ISBLANK('Kegg Taxon'!V96), "", (CONCAT(" || Var/Subsp: ", 'Kegg Taxon'!V96)))</f>
        <v/>
      </c>
      <c r="V96" s="400"/>
      <c r="W96" s="400"/>
      <c r="X96" s="400"/>
      <c r="Y96" s="400"/>
      <c r="Z96" s="400"/>
    </row>
    <row r="97" ht="14.25" customHeight="1">
      <c r="A97" s="401" t="s">
        <v>3664</v>
      </c>
      <c r="B97" s="399" t="str">
        <f t="shared" si="1"/>
        <v>#REF!</v>
      </c>
      <c r="C97" s="400" t="str">
        <f>IF(ISBLANK('Kegg Taxon'!A97), "", (CONCAT("Kegg code: ", 'Kegg Taxon'!A97)))</f>
        <v>Kegg code: mng</v>
      </c>
      <c r="D97" s="400" t="str">
        <f>IF(ISBLANK('Kegg Taxon'!B97), "", (CONCAT(" || Common name: ", 'Kegg Taxon'!B97)))</f>
        <v> || Common name: Freshwater Green Algae</v>
      </c>
      <c r="E97" s="400" t="str">
        <f>IF(ISBLANK('Kegg Taxon'!C97), "", (CONCAT(" || Scientific name: ", 'Kegg Taxon'!C97)))</f>
        <v> || Scientific name: Monoraphidium neglectum</v>
      </c>
      <c r="F97" s="400" t="str">
        <f>IF(ISBLANK('Kegg Taxon'!D97), "", (CONCAT(" || Kingdom: ", 'Kegg Taxon'!D97)))</f>
        <v> || Kingdom: Plantae</v>
      </c>
      <c r="G97" s="400" t="str">
        <f>IF(ISBLANK('Kegg Taxon'!F97), "", (CONCAT(" || Subkingdom: ", 'Kegg Taxon'!F97)))</f>
        <v> || Subkingdom: Viridiplantae</v>
      </c>
      <c r="H97" s="400" t="str">
        <f>IF(ISBLANK('Kegg Taxon'!H97), "", (CONCAT(" || Superdivision: ", 'Kegg Taxon'!H97)))</f>
        <v> || Superdivision: --</v>
      </c>
      <c r="I97" s="400" t="str">
        <f>IF(ISBLANK('Kegg Taxon'!I97), "", (CONCAT(" || Phylum: ", 'Kegg Taxon'!I97)))</f>
        <v> || Phylum: Chlorophyta</v>
      </c>
      <c r="J97" s="400" t="str">
        <f>IF(ISBLANK('Kegg Taxon'!J97), "", (CONCAT(" || Subphylum: ", 'Kegg Taxon'!J97)))</f>
        <v> || Subphylum: Chlorophytina</v>
      </c>
      <c r="K97" s="400" t="str">
        <f>IF(ISBLANK('Kegg Taxon'!K97), "", (CONCAT(" || Class: ", 'Kegg Taxon'!K97)))</f>
        <v> || Class: Chlorophyceae</v>
      </c>
      <c r="L97" s="400" t="str">
        <f>IF(ISBLANK('Kegg Taxon'!L97), "", (CONCAT(" || Subclass: ", 'Kegg Taxon'!L97)))</f>
        <v> || Subclass: --</v>
      </c>
      <c r="M97" s="400" t="str">
        <f>IF(ISBLANK('Kegg Taxon'!O97), "", (CONCAT(" || Order: ", 'Kegg Taxon'!O97)))</f>
        <v> || Order: Sphaeropleales</v>
      </c>
      <c r="N97" s="400" t="str">
        <f>IF(ISBLANK('Kegg Taxon'!P97), "", (CONCAT(" || Family: ", 'Kegg Taxon'!P97)))</f>
        <v> || Family: Selenastraceae</v>
      </c>
      <c r="O97" s="400" t="str">
        <f>IF(ISBLANK('Kegg Taxon'!Q97), "", (CONCAT(" || Subfamily: ", 'Kegg Taxon'!Q97)))</f>
        <v> || Subfamily: --</v>
      </c>
      <c r="P97" s="400" t="str">
        <f>IF(ISBLANK('Kegg Taxon'!R97), "", (CONCAT(" || Tribe: ", 'Kegg Taxon'!R97)))</f>
        <v> || Tribe: --</v>
      </c>
      <c r="Q97" s="400" t="str">
        <f>IF(ISBLANK('Kegg Taxon'!S97), "", (CONCAT(" || Subtribe: ", 'Kegg Taxon'!S97)))</f>
        <v> || Subtribe: --</v>
      </c>
      <c r="R97" s="400" t="str">
        <f>IF(ISBLANK('Kegg Taxon'!T97), "", (CONCAT(" || Genus: ", 'Kegg Taxon'!T97)))</f>
        <v> || Genus: Monoraphidium</v>
      </c>
      <c r="S97" s="400" t="str">
        <f t="shared" si="2"/>
        <v>#REF!</v>
      </c>
      <c r="T97" s="400" t="str">
        <f>IF(ISBLANK('Kegg Taxon'!U97), "", (CONCAT(" || Species: ", 'Kegg Taxon'!U97)))</f>
        <v> || Species: neglectum</v>
      </c>
      <c r="U97" s="400" t="str">
        <f>IF(ISBLANK('Kegg Taxon'!V97), "", (CONCAT(" || Var/Subsp: ", 'Kegg Taxon'!V97)))</f>
        <v/>
      </c>
      <c r="V97" s="400"/>
      <c r="W97" s="400"/>
      <c r="X97" s="400"/>
      <c r="Y97" s="400"/>
      <c r="Z97" s="400"/>
    </row>
    <row r="98" ht="14.25" customHeight="1">
      <c r="A98" s="401" t="s">
        <v>3665</v>
      </c>
      <c r="B98" s="399" t="str">
        <f t="shared" si="1"/>
        <v>#REF!</v>
      </c>
      <c r="C98" s="400" t="str">
        <f>IF(ISBLANK('Kegg Taxon'!A98), "", (CONCAT("Kegg code: ", 'Kegg Taxon'!A98)))</f>
        <v>Kegg code: cann</v>
      </c>
      <c r="D98" s="400" t="str">
        <f>IF(ISBLANK('Kegg Taxon'!B98), "", (CONCAT(" || Common name: ", 'Kegg Taxon'!B98)))</f>
        <v> || Common name: Cayanne Peppers</v>
      </c>
      <c r="E98" s="400" t="str">
        <f>IF(ISBLANK('Kegg Taxon'!C98), "", (CONCAT(" || Scientific name: ", 'Kegg Taxon'!C98)))</f>
        <v> || Scientific name: Capsicum annuum</v>
      </c>
      <c r="F98" s="400" t="str">
        <f>IF(ISBLANK('Kegg Taxon'!D98), "", (CONCAT(" || Kingdom: ", 'Kegg Taxon'!D98)))</f>
        <v> || Kingdom: Plantae</v>
      </c>
      <c r="G98" s="400" t="str">
        <f>IF(ISBLANK('Kegg Taxon'!F98), "", (CONCAT(" || Subkingdom: ", 'Kegg Taxon'!F98)))</f>
        <v> || Subkingdom: Viridiplantae</v>
      </c>
      <c r="H98" s="400" t="str">
        <f>IF(ISBLANK('Kegg Taxon'!H98), "", (CONCAT(" || Superdivision: ", 'Kegg Taxon'!H98)))</f>
        <v> || Superdivision: Embryophyta</v>
      </c>
      <c r="I98" s="400" t="str">
        <f>IF(ISBLANK('Kegg Taxon'!I98), "", (CONCAT(" || Phylum: ", 'Kegg Taxon'!I98)))</f>
        <v> || Phylum: Tracheophyta</v>
      </c>
      <c r="J98" s="400" t="str">
        <f>IF(ISBLANK('Kegg Taxon'!J98), "", (CONCAT(" || Subphylum: ", 'Kegg Taxon'!J98)))</f>
        <v> || Subphylum: Spermophytina</v>
      </c>
      <c r="K98" s="400" t="str">
        <f>IF(ISBLANK('Kegg Taxon'!K98), "", (CONCAT(" || Class: ", 'Kegg Taxon'!K98)))</f>
        <v> || Class: Magnoliopsida</v>
      </c>
      <c r="L98" s="400" t="str">
        <f>IF(ISBLANK('Kegg Taxon'!L98), "", (CONCAT(" || Subclass: ", 'Kegg Taxon'!L98)))</f>
        <v> || Subclass: --</v>
      </c>
      <c r="M98" s="400" t="str">
        <f>IF(ISBLANK('Kegg Taxon'!O98), "", (CONCAT(" || Order: ", 'Kegg Taxon'!O98)))</f>
        <v> || Order: Solanales</v>
      </c>
      <c r="N98" s="400" t="str">
        <f>IF(ISBLANK('Kegg Taxon'!P98), "", (CONCAT(" || Family: ", 'Kegg Taxon'!P98)))</f>
        <v> || Family: Solanaceae</v>
      </c>
      <c r="O98" s="400" t="str">
        <f>IF(ISBLANK('Kegg Taxon'!Q98), "", (CONCAT(" || Subfamily: ", 'Kegg Taxon'!Q98)))</f>
        <v> || Subfamily: Solanoideae</v>
      </c>
      <c r="P98" s="400" t="str">
        <f>IF(ISBLANK('Kegg Taxon'!R98), "", (CONCAT(" || Tribe: ", 'Kegg Taxon'!R98)))</f>
        <v> || Tribe: Capsiceae</v>
      </c>
      <c r="Q98" s="400" t="str">
        <f>IF(ISBLANK('Kegg Taxon'!S98), "", (CONCAT(" || Subtribe: ", 'Kegg Taxon'!S98)))</f>
        <v> || Subtribe: --</v>
      </c>
      <c r="R98" s="400" t="str">
        <f>IF(ISBLANK('Kegg Taxon'!T98), "", (CONCAT(" || Genus: ", 'Kegg Taxon'!T98)))</f>
        <v> || Genus: Capsicum</v>
      </c>
      <c r="S98" s="400" t="str">
        <f t="shared" si="2"/>
        <v>#REF!</v>
      </c>
      <c r="T98" s="400" t="str">
        <f>IF(ISBLANK('Kegg Taxon'!U98), "", (CONCAT(" || Species: ", 'Kegg Taxon'!U98)))</f>
        <v> || Species: annuum</v>
      </c>
      <c r="U98" s="400" t="str">
        <f>IF(ISBLANK('Kegg Taxon'!V98), "", (CONCAT(" || Var/Subsp: ", 'Kegg Taxon'!V98)))</f>
        <v/>
      </c>
      <c r="V98" s="400"/>
      <c r="W98" s="400"/>
      <c r="X98" s="400"/>
      <c r="Y98" s="400"/>
      <c r="Z98" s="400"/>
    </row>
    <row r="99" ht="14.25" customHeight="1">
      <c r="A99" s="401" t="s">
        <v>3666</v>
      </c>
      <c r="B99" s="399" t="str">
        <f t="shared" si="1"/>
        <v>#REF!</v>
      </c>
      <c r="C99" s="400" t="str">
        <f>IF(ISBLANK('Kegg Taxon'!A99), "", (CONCAT("Kegg code: ", 'Kegg Taxon'!A99)))</f>
        <v>Kegg code: nau</v>
      </c>
      <c r="D99" s="400" t="str">
        <f>IF(ISBLANK('Kegg Taxon'!B99), "", (CONCAT(" || Common name: ", 'Kegg Taxon'!B99)))</f>
        <v> || Common name: Coyote Tobacco</v>
      </c>
      <c r="E99" s="400" t="str">
        <f>IF(ISBLANK('Kegg Taxon'!C99), "", (CONCAT(" || Scientific name: ", 'Kegg Taxon'!C99)))</f>
        <v> || Scientific name: Nicotiana attenuata</v>
      </c>
      <c r="F99" s="400" t="str">
        <f>IF(ISBLANK('Kegg Taxon'!D99), "", (CONCAT(" || Kingdom: ", 'Kegg Taxon'!D99)))</f>
        <v> || Kingdom: Plantae</v>
      </c>
      <c r="G99" s="400" t="str">
        <f>IF(ISBLANK('Kegg Taxon'!F99), "", (CONCAT(" || Subkingdom: ", 'Kegg Taxon'!F99)))</f>
        <v> || Subkingdom: Viridiplantae</v>
      </c>
      <c r="H99" s="400" t="str">
        <f>IF(ISBLANK('Kegg Taxon'!H99), "", (CONCAT(" || Superdivision: ", 'Kegg Taxon'!H99)))</f>
        <v> || Superdivision: Embryophyta</v>
      </c>
      <c r="I99" s="400" t="str">
        <f>IF(ISBLANK('Kegg Taxon'!I99), "", (CONCAT(" || Phylum: ", 'Kegg Taxon'!I99)))</f>
        <v> || Phylum: Tracheophyta</v>
      </c>
      <c r="J99" s="400" t="str">
        <f>IF(ISBLANK('Kegg Taxon'!J99), "", (CONCAT(" || Subphylum: ", 'Kegg Taxon'!J99)))</f>
        <v> || Subphylum: Spermophytina</v>
      </c>
      <c r="K99" s="400" t="str">
        <f>IF(ISBLANK('Kegg Taxon'!K99), "", (CONCAT(" || Class: ", 'Kegg Taxon'!K99)))</f>
        <v> || Class: Magnoliopsida</v>
      </c>
      <c r="L99" s="400" t="str">
        <f>IF(ISBLANK('Kegg Taxon'!L99), "", (CONCAT(" || Subclass: ", 'Kegg Taxon'!L99)))</f>
        <v> || Subclass: --</v>
      </c>
      <c r="M99" s="400" t="str">
        <f>IF(ISBLANK('Kegg Taxon'!O99), "", (CONCAT(" || Order: ", 'Kegg Taxon'!O99)))</f>
        <v> || Order: Solanales</v>
      </c>
      <c r="N99" s="400" t="str">
        <f>IF(ISBLANK('Kegg Taxon'!P99), "", (CONCAT(" || Family: ", 'Kegg Taxon'!P99)))</f>
        <v> || Family: Solanaceae</v>
      </c>
      <c r="O99" s="400" t="str">
        <f>IF(ISBLANK('Kegg Taxon'!Q99), "", (CONCAT(" || Subfamily: ", 'Kegg Taxon'!Q99)))</f>
        <v> || Subfamily: Nicotianoideae</v>
      </c>
      <c r="P99" s="400" t="str">
        <f>IF(ISBLANK('Kegg Taxon'!R99), "", (CONCAT(" || Tribe: ", 'Kegg Taxon'!R99)))</f>
        <v> || Tribe: Nicotianeae</v>
      </c>
      <c r="Q99" s="400" t="str">
        <f>IF(ISBLANK('Kegg Taxon'!S99), "", (CONCAT(" || Subtribe: ", 'Kegg Taxon'!S99)))</f>
        <v> || Subtribe: --</v>
      </c>
      <c r="R99" s="400" t="str">
        <f>IF(ISBLANK('Kegg Taxon'!T99), "", (CONCAT(" || Genus: ", 'Kegg Taxon'!T99)))</f>
        <v> || Genus: Nicotiana</v>
      </c>
      <c r="S99" s="400" t="str">
        <f t="shared" si="2"/>
        <v>#REF!</v>
      </c>
      <c r="T99" s="400" t="str">
        <f>IF(ISBLANK('Kegg Taxon'!U99), "", (CONCAT(" || Species: ", 'Kegg Taxon'!U99)))</f>
        <v> || Species: attenuata</v>
      </c>
      <c r="U99" s="400" t="str">
        <f>IF(ISBLANK('Kegg Taxon'!V99), "", (CONCAT(" || Var/Subsp: ", 'Kegg Taxon'!V99)))</f>
        <v/>
      </c>
      <c r="V99" s="400"/>
      <c r="W99" s="400"/>
      <c r="X99" s="400"/>
      <c r="Y99" s="400"/>
      <c r="Z99" s="400"/>
    </row>
    <row r="100" ht="14.25" customHeight="1">
      <c r="A100" s="401" t="s">
        <v>3667</v>
      </c>
      <c r="B100" s="399" t="str">
        <f t="shared" si="1"/>
        <v>#REF!</v>
      </c>
      <c r="C100" s="400" t="str">
        <f>IF(ISBLANK('Kegg Taxon'!A100), "", (CONCAT("Kegg code: ", 'Kegg Taxon'!A100)))</f>
        <v>Kegg code: nsy</v>
      </c>
      <c r="D100" s="400" t="str">
        <f>IF(ISBLANK('Kegg Taxon'!B100), "", (CONCAT(" || Common name: ", 'Kegg Taxon'!B100)))</f>
        <v> || Common name: Woodland Tobacco</v>
      </c>
      <c r="E100" s="400" t="str">
        <f>IF(ISBLANK('Kegg Taxon'!C100), "", (CONCAT(" || Scientific name: ", 'Kegg Taxon'!C100)))</f>
        <v> || Scientific name: Nicotiana sylvestris</v>
      </c>
      <c r="F100" s="400" t="str">
        <f>IF(ISBLANK('Kegg Taxon'!D100), "", (CONCAT(" || Kingdom: ", 'Kegg Taxon'!D100)))</f>
        <v> || Kingdom: Plantae</v>
      </c>
      <c r="G100" s="400" t="str">
        <f>IF(ISBLANK('Kegg Taxon'!F100), "", (CONCAT(" || Subkingdom: ", 'Kegg Taxon'!F100)))</f>
        <v> || Subkingdom: Viridiplantae</v>
      </c>
      <c r="H100" s="400" t="str">
        <f>IF(ISBLANK('Kegg Taxon'!H100), "", (CONCAT(" || Superdivision: ", 'Kegg Taxon'!H100)))</f>
        <v> || Superdivision: Embryophyta</v>
      </c>
      <c r="I100" s="400" t="str">
        <f>IF(ISBLANK('Kegg Taxon'!I100), "", (CONCAT(" || Phylum: ", 'Kegg Taxon'!I100)))</f>
        <v> || Phylum: Tracheophyta</v>
      </c>
      <c r="J100" s="400" t="str">
        <f>IF(ISBLANK('Kegg Taxon'!J100), "", (CONCAT(" || Subphylum: ", 'Kegg Taxon'!J100)))</f>
        <v> || Subphylum: Spermophytina</v>
      </c>
      <c r="K100" s="400" t="str">
        <f>IF(ISBLANK('Kegg Taxon'!K100), "", (CONCAT(" || Class: ", 'Kegg Taxon'!K100)))</f>
        <v> || Class: Magnoliopsida</v>
      </c>
      <c r="L100" s="400" t="str">
        <f>IF(ISBLANK('Kegg Taxon'!L100), "", (CONCAT(" || Subclass: ", 'Kegg Taxon'!L100)))</f>
        <v> || Subclass: --</v>
      </c>
      <c r="M100" s="400" t="str">
        <f>IF(ISBLANK('Kegg Taxon'!O100), "", (CONCAT(" || Order: ", 'Kegg Taxon'!O100)))</f>
        <v> || Order: Solanales</v>
      </c>
      <c r="N100" s="400" t="str">
        <f>IF(ISBLANK('Kegg Taxon'!P100), "", (CONCAT(" || Family: ", 'Kegg Taxon'!P100)))</f>
        <v> || Family: Solanaceae</v>
      </c>
      <c r="O100" s="400" t="str">
        <f>IF(ISBLANK('Kegg Taxon'!Q100), "", (CONCAT(" || Subfamily: ", 'Kegg Taxon'!Q100)))</f>
        <v> || Subfamily: Nicotianoideae</v>
      </c>
      <c r="P100" s="400" t="str">
        <f>IF(ISBLANK('Kegg Taxon'!R100), "", (CONCAT(" || Tribe: ", 'Kegg Taxon'!R100)))</f>
        <v> || Tribe: Nicotianeae</v>
      </c>
      <c r="Q100" s="400" t="str">
        <f>IF(ISBLANK('Kegg Taxon'!S100), "", (CONCAT(" || Subtribe: ", 'Kegg Taxon'!S100)))</f>
        <v> || Subtribe: --</v>
      </c>
      <c r="R100" s="400" t="str">
        <f>IF(ISBLANK('Kegg Taxon'!T100), "", (CONCAT(" || Genus: ", 'Kegg Taxon'!T100)))</f>
        <v> || Genus: Nicotiana</v>
      </c>
      <c r="S100" s="400" t="str">
        <f t="shared" si="2"/>
        <v>#REF!</v>
      </c>
      <c r="T100" s="400" t="str">
        <f>IF(ISBLANK('Kegg Taxon'!U100), "", (CONCAT(" || Species: ", 'Kegg Taxon'!U100)))</f>
        <v> || Species: sylvestris</v>
      </c>
      <c r="U100" s="400" t="str">
        <f>IF(ISBLANK('Kegg Taxon'!V100), "", (CONCAT(" || Var/Subsp: ", 'Kegg Taxon'!V100)))</f>
        <v/>
      </c>
      <c r="V100" s="400"/>
      <c r="W100" s="400"/>
      <c r="X100" s="400"/>
      <c r="Y100" s="400"/>
      <c r="Z100" s="400"/>
    </row>
    <row r="101" ht="14.25" customHeight="1">
      <c r="A101" s="401" t="s">
        <v>3668</v>
      </c>
      <c r="B101" s="399" t="str">
        <f t="shared" si="1"/>
        <v>#REF!</v>
      </c>
      <c r="C101" s="400" t="str">
        <f>IF(ISBLANK('Kegg Taxon'!A101), "", (CONCAT("Kegg code: ", 'Kegg Taxon'!A101)))</f>
        <v>Kegg code: nta</v>
      </c>
      <c r="D101" s="400" t="str">
        <f>IF(ISBLANK('Kegg Taxon'!B101), "", (CONCAT(" || Common name: ", 'Kegg Taxon'!B101)))</f>
        <v> || Common name: Cultivated Tobacco</v>
      </c>
      <c r="E101" s="400" t="str">
        <f>IF(ISBLANK('Kegg Taxon'!C101), "", (CONCAT(" || Scientific name: ", 'Kegg Taxon'!C101)))</f>
        <v> || Scientific name: Nicotiana tabacum</v>
      </c>
      <c r="F101" s="400" t="str">
        <f>IF(ISBLANK('Kegg Taxon'!D101), "", (CONCAT(" || Kingdom: ", 'Kegg Taxon'!D101)))</f>
        <v> || Kingdom: Plantae</v>
      </c>
      <c r="G101" s="400" t="str">
        <f>IF(ISBLANK('Kegg Taxon'!F101), "", (CONCAT(" || Subkingdom: ", 'Kegg Taxon'!F101)))</f>
        <v> || Subkingdom: Viridiplantae</v>
      </c>
      <c r="H101" s="400" t="str">
        <f>IF(ISBLANK('Kegg Taxon'!H101), "", (CONCAT(" || Superdivision: ", 'Kegg Taxon'!H101)))</f>
        <v> || Superdivision: Embryophyta</v>
      </c>
      <c r="I101" s="400" t="str">
        <f>IF(ISBLANK('Kegg Taxon'!I101), "", (CONCAT(" || Phylum: ", 'Kegg Taxon'!I101)))</f>
        <v> || Phylum: Tracheophyta</v>
      </c>
      <c r="J101" s="400" t="str">
        <f>IF(ISBLANK('Kegg Taxon'!J101), "", (CONCAT(" || Subphylum: ", 'Kegg Taxon'!J101)))</f>
        <v> || Subphylum: Spermophytina</v>
      </c>
      <c r="K101" s="400" t="str">
        <f>IF(ISBLANK('Kegg Taxon'!K101), "", (CONCAT(" || Class: ", 'Kegg Taxon'!K101)))</f>
        <v> || Class: Magnoliopsida</v>
      </c>
      <c r="L101" s="400" t="str">
        <f>IF(ISBLANK('Kegg Taxon'!L101), "", (CONCAT(" || Subclass: ", 'Kegg Taxon'!L101)))</f>
        <v> || Subclass: --</v>
      </c>
      <c r="M101" s="400" t="str">
        <f>IF(ISBLANK('Kegg Taxon'!O101), "", (CONCAT(" || Order: ", 'Kegg Taxon'!O101)))</f>
        <v> || Order: Solanales</v>
      </c>
      <c r="N101" s="400" t="str">
        <f>IF(ISBLANK('Kegg Taxon'!P101), "", (CONCAT(" || Family: ", 'Kegg Taxon'!P101)))</f>
        <v> || Family: Solanaceae</v>
      </c>
      <c r="O101" s="400" t="str">
        <f>IF(ISBLANK('Kegg Taxon'!Q101), "", (CONCAT(" || Subfamily: ", 'Kegg Taxon'!Q101)))</f>
        <v> || Subfamily: Nicotianoideae</v>
      </c>
      <c r="P101" s="400" t="str">
        <f>IF(ISBLANK('Kegg Taxon'!R101), "", (CONCAT(" || Tribe: ", 'Kegg Taxon'!R101)))</f>
        <v> || Tribe: Nicotianeae</v>
      </c>
      <c r="Q101" s="400" t="str">
        <f>IF(ISBLANK('Kegg Taxon'!S101), "", (CONCAT(" || Subtribe: ", 'Kegg Taxon'!S101)))</f>
        <v> || Subtribe: --</v>
      </c>
      <c r="R101" s="400" t="str">
        <f>IF(ISBLANK('Kegg Taxon'!T101), "", (CONCAT(" || Genus: ", 'Kegg Taxon'!T101)))</f>
        <v> || Genus: Nicotiana</v>
      </c>
      <c r="S101" s="400" t="str">
        <f t="shared" si="2"/>
        <v>#REF!</v>
      </c>
      <c r="T101" s="400" t="str">
        <f>IF(ISBLANK('Kegg Taxon'!U101), "", (CONCAT(" || Species: ", 'Kegg Taxon'!U101)))</f>
        <v> || Species: tabacum</v>
      </c>
      <c r="U101" s="400" t="str">
        <f>IF(ISBLANK('Kegg Taxon'!V101), "", (CONCAT(" || Var/Subsp: ", 'Kegg Taxon'!V101)))</f>
        <v/>
      </c>
      <c r="V101" s="400"/>
      <c r="W101" s="400"/>
      <c r="X101" s="400"/>
      <c r="Y101" s="400"/>
      <c r="Z101" s="400"/>
    </row>
    <row r="102" ht="14.25" customHeight="1">
      <c r="A102" s="401" t="s">
        <v>3669</v>
      </c>
      <c r="B102" s="399" t="str">
        <f t="shared" si="1"/>
        <v>#REF!</v>
      </c>
      <c r="C102" s="400" t="str">
        <f>IF(ISBLANK('Kegg Taxon'!A102), "", (CONCAT("Kegg code: ", 'Kegg Taxon'!A102)))</f>
        <v>Kegg code: nto</v>
      </c>
      <c r="D102" s="400" t="str">
        <f>IF(ISBLANK('Kegg Taxon'!B102), "", (CONCAT(" || Common name: ", 'Kegg Taxon'!B102)))</f>
        <v> || Common name: Yungas Valley Tobacco</v>
      </c>
      <c r="E102" s="400" t="str">
        <f>IF(ISBLANK('Kegg Taxon'!C102), "", (CONCAT(" || Scientific name: ", 'Kegg Taxon'!C102)))</f>
        <v> || Scientific name: Nicotiana tomentosiformis</v>
      </c>
      <c r="F102" s="400" t="str">
        <f>IF(ISBLANK('Kegg Taxon'!D102), "", (CONCAT(" || Kingdom: ", 'Kegg Taxon'!D102)))</f>
        <v> || Kingdom: Plantae</v>
      </c>
      <c r="G102" s="400" t="str">
        <f>IF(ISBLANK('Kegg Taxon'!F102), "", (CONCAT(" || Subkingdom: ", 'Kegg Taxon'!F102)))</f>
        <v> || Subkingdom: Viridiplantae</v>
      </c>
      <c r="H102" s="400" t="str">
        <f>IF(ISBLANK('Kegg Taxon'!H102), "", (CONCAT(" || Superdivision: ", 'Kegg Taxon'!H102)))</f>
        <v> || Superdivision: Embryophyta</v>
      </c>
      <c r="I102" s="400" t="str">
        <f>IF(ISBLANK('Kegg Taxon'!I102), "", (CONCAT(" || Phylum: ", 'Kegg Taxon'!I102)))</f>
        <v> || Phylum: Tracheophyta</v>
      </c>
      <c r="J102" s="400" t="str">
        <f>IF(ISBLANK('Kegg Taxon'!J102), "", (CONCAT(" || Subphylum: ", 'Kegg Taxon'!J102)))</f>
        <v> || Subphylum: Spermophytina</v>
      </c>
      <c r="K102" s="400" t="str">
        <f>IF(ISBLANK('Kegg Taxon'!K102), "", (CONCAT(" || Class: ", 'Kegg Taxon'!K102)))</f>
        <v> || Class: Magnoliopsida</v>
      </c>
      <c r="L102" s="400" t="str">
        <f>IF(ISBLANK('Kegg Taxon'!L102), "", (CONCAT(" || Subclass: ", 'Kegg Taxon'!L102)))</f>
        <v> || Subclass: --</v>
      </c>
      <c r="M102" s="400" t="str">
        <f>IF(ISBLANK('Kegg Taxon'!O102), "", (CONCAT(" || Order: ", 'Kegg Taxon'!O102)))</f>
        <v> || Order: Solanales</v>
      </c>
      <c r="N102" s="400" t="str">
        <f>IF(ISBLANK('Kegg Taxon'!P102), "", (CONCAT(" || Family: ", 'Kegg Taxon'!P102)))</f>
        <v> || Family: Solanaceae</v>
      </c>
      <c r="O102" s="400" t="str">
        <f>IF(ISBLANK('Kegg Taxon'!Q102), "", (CONCAT(" || Subfamily: ", 'Kegg Taxon'!Q102)))</f>
        <v> || Subfamily: Nicotianoideae</v>
      </c>
      <c r="P102" s="400" t="str">
        <f>IF(ISBLANK('Kegg Taxon'!R102), "", (CONCAT(" || Tribe: ", 'Kegg Taxon'!R102)))</f>
        <v> || Tribe: Nicotianeae</v>
      </c>
      <c r="Q102" s="400" t="str">
        <f>IF(ISBLANK('Kegg Taxon'!S102), "", (CONCAT(" || Subtribe: ", 'Kegg Taxon'!S102)))</f>
        <v> || Subtribe: --</v>
      </c>
      <c r="R102" s="400" t="str">
        <f>IF(ISBLANK('Kegg Taxon'!T102), "", (CONCAT(" || Genus: ", 'Kegg Taxon'!T102)))</f>
        <v> || Genus: Nicotiana</v>
      </c>
      <c r="S102" s="400" t="str">
        <f t="shared" si="2"/>
        <v>#REF!</v>
      </c>
      <c r="T102" s="400" t="str">
        <f>IF(ISBLANK('Kegg Taxon'!U102), "", (CONCAT(" || Species: ", 'Kegg Taxon'!U102)))</f>
        <v> || Species: tomentosiformis</v>
      </c>
      <c r="U102" s="400" t="str">
        <f>IF(ISBLANK('Kegg Taxon'!V102), "", (CONCAT(" || Var/Subsp: ", 'Kegg Taxon'!V102)))</f>
        <v/>
      </c>
      <c r="V102" s="400"/>
      <c r="W102" s="400"/>
      <c r="X102" s="400"/>
      <c r="Y102" s="400"/>
      <c r="Z102" s="400"/>
    </row>
    <row r="103" ht="14.25" customHeight="1">
      <c r="A103" s="401" t="s">
        <v>3670</v>
      </c>
      <c r="B103" s="399" t="str">
        <f t="shared" si="1"/>
        <v>#REF!</v>
      </c>
      <c r="C103" s="400" t="str">
        <f>IF(ISBLANK('Kegg Taxon'!A103), "", (CONCAT("Kegg code: ", 'Kegg Taxon'!A103)))</f>
        <v>Kegg code: sly</v>
      </c>
      <c r="D103" s="400" t="str">
        <f>IF(ISBLANK('Kegg Taxon'!B103), "", (CONCAT(" || Common name: ", 'Kegg Taxon'!B103)))</f>
        <v> || Common name: Tomato</v>
      </c>
      <c r="E103" s="400" t="str">
        <f>IF(ISBLANK('Kegg Taxon'!C103), "", (CONCAT(" || Scientific name: ", 'Kegg Taxon'!C103)))</f>
        <v> || Scientific name: Solanum lycopersicum</v>
      </c>
      <c r="F103" s="400" t="str">
        <f>IF(ISBLANK('Kegg Taxon'!D103), "", (CONCAT(" || Kingdom: ", 'Kegg Taxon'!D103)))</f>
        <v> || Kingdom: Plantae</v>
      </c>
      <c r="G103" s="400" t="str">
        <f>IF(ISBLANK('Kegg Taxon'!F103), "", (CONCAT(" || Subkingdom: ", 'Kegg Taxon'!F103)))</f>
        <v> || Subkingdom: Viridiplantae</v>
      </c>
      <c r="H103" s="400" t="str">
        <f>IF(ISBLANK('Kegg Taxon'!H103), "", (CONCAT(" || Superdivision: ", 'Kegg Taxon'!H103)))</f>
        <v> || Superdivision: Embryophyta</v>
      </c>
      <c r="I103" s="400" t="str">
        <f>IF(ISBLANK('Kegg Taxon'!I103), "", (CONCAT(" || Phylum: ", 'Kegg Taxon'!I103)))</f>
        <v> || Phylum: Tracheophyta</v>
      </c>
      <c r="J103" s="400" t="str">
        <f>IF(ISBLANK('Kegg Taxon'!J103), "", (CONCAT(" || Subphylum: ", 'Kegg Taxon'!J103)))</f>
        <v> || Subphylum: Spermophytina</v>
      </c>
      <c r="K103" s="400" t="str">
        <f>IF(ISBLANK('Kegg Taxon'!K103), "", (CONCAT(" || Class: ", 'Kegg Taxon'!K103)))</f>
        <v> || Class: Magnoliopsida</v>
      </c>
      <c r="L103" s="400" t="str">
        <f>IF(ISBLANK('Kegg Taxon'!L103), "", (CONCAT(" || Subclass: ", 'Kegg Taxon'!L103)))</f>
        <v> || Subclass: --</v>
      </c>
      <c r="M103" s="400" t="str">
        <f>IF(ISBLANK('Kegg Taxon'!O103), "", (CONCAT(" || Order: ", 'Kegg Taxon'!O103)))</f>
        <v> || Order: Solanales</v>
      </c>
      <c r="N103" s="400" t="str">
        <f>IF(ISBLANK('Kegg Taxon'!P103), "", (CONCAT(" || Family: ", 'Kegg Taxon'!P103)))</f>
        <v> || Family: Solanaceae</v>
      </c>
      <c r="O103" s="400" t="str">
        <f>IF(ISBLANK('Kegg Taxon'!Q103), "", (CONCAT(" || Subfamily: ", 'Kegg Taxon'!Q103)))</f>
        <v> || Subfamily: Solanoideae</v>
      </c>
      <c r="P103" s="400" t="str">
        <f>IF(ISBLANK('Kegg Taxon'!R103), "", (CONCAT(" || Tribe: ", 'Kegg Taxon'!R103)))</f>
        <v> || Tribe: Solaneae</v>
      </c>
      <c r="Q103" s="400" t="str">
        <f>IF(ISBLANK('Kegg Taxon'!S103), "", (CONCAT(" || Subtribe: ", 'Kegg Taxon'!S103)))</f>
        <v> || Subtribe: --</v>
      </c>
      <c r="R103" s="400" t="str">
        <f>IF(ISBLANK('Kegg Taxon'!T103), "", (CONCAT(" || Genus: ", 'Kegg Taxon'!T103)))</f>
        <v> || Genus: Solanum</v>
      </c>
      <c r="S103" s="400" t="str">
        <f t="shared" si="2"/>
        <v>#REF!</v>
      </c>
      <c r="T103" s="400" t="str">
        <f>IF(ISBLANK('Kegg Taxon'!U103), "", (CONCAT(" || Species: ", 'Kegg Taxon'!U103)))</f>
        <v> || Species: lycopersicum</v>
      </c>
      <c r="U103" s="400" t="str">
        <f>IF(ISBLANK('Kegg Taxon'!V103), "", (CONCAT(" || Var/Subsp: ", 'Kegg Taxon'!V103)))</f>
        <v/>
      </c>
      <c r="V103" s="400"/>
      <c r="W103" s="400"/>
      <c r="X103" s="400"/>
      <c r="Y103" s="400"/>
      <c r="Z103" s="400"/>
    </row>
    <row r="104" ht="14.25" customHeight="1">
      <c r="A104" s="401" t="s">
        <v>3671</v>
      </c>
      <c r="B104" s="399" t="str">
        <f t="shared" si="1"/>
        <v>#REF!</v>
      </c>
      <c r="C104" s="400" t="str">
        <f>IF(ISBLANK('Kegg Taxon'!A104), "", (CONCAT("Kegg code: ", 'Kegg Taxon'!A104)))</f>
        <v>Kegg code: spen</v>
      </c>
      <c r="D104" s="400" t="str">
        <f>IF(ISBLANK('Kegg Taxon'!B104), "", (CONCAT(" || Common name: ", 'Kegg Taxon'!B104)))</f>
        <v> || Common name: Stress-Tolerant Wild Tomato</v>
      </c>
      <c r="E104" s="400" t="str">
        <f>IF(ISBLANK('Kegg Taxon'!C104), "", (CONCAT(" || Scientific name: ", 'Kegg Taxon'!C104)))</f>
        <v> || Scientific name: Solanum pennellii</v>
      </c>
      <c r="F104" s="400" t="str">
        <f>IF(ISBLANK('Kegg Taxon'!D104), "", (CONCAT(" || Kingdom: ", 'Kegg Taxon'!D104)))</f>
        <v> || Kingdom: Plantae</v>
      </c>
      <c r="G104" s="400" t="str">
        <f>IF(ISBLANK('Kegg Taxon'!F104), "", (CONCAT(" || Subkingdom: ", 'Kegg Taxon'!F104)))</f>
        <v> || Subkingdom: Viridiplantae</v>
      </c>
      <c r="H104" s="400" t="str">
        <f>IF(ISBLANK('Kegg Taxon'!H104), "", (CONCAT(" || Superdivision: ", 'Kegg Taxon'!H104)))</f>
        <v> || Superdivision: Embryophyta</v>
      </c>
      <c r="I104" s="400" t="str">
        <f>IF(ISBLANK('Kegg Taxon'!I104), "", (CONCAT(" || Phylum: ", 'Kegg Taxon'!I104)))</f>
        <v> || Phylum: Tracheophyta</v>
      </c>
      <c r="J104" s="400" t="str">
        <f>IF(ISBLANK('Kegg Taxon'!J104), "", (CONCAT(" || Subphylum: ", 'Kegg Taxon'!J104)))</f>
        <v> || Subphylum: Spermophytina</v>
      </c>
      <c r="K104" s="400" t="str">
        <f>IF(ISBLANK('Kegg Taxon'!K104), "", (CONCAT(" || Class: ", 'Kegg Taxon'!K104)))</f>
        <v> || Class: Magnoliopsida</v>
      </c>
      <c r="L104" s="400" t="str">
        <f>IF(ISBLANK('Kegg Taxon'!L104), "", (CONCAT(" || Subclass: ", 'Kegg Taxon'!L104)))</f>
        <v> || Subclass: --</v>
      </c>
      <c r="M104" s="400" t="str">
        <f>IF(ISBLANK('Kegg Taxon'!O104), "", (CONCAT(" || Order: ", 'Kegg Taxon'!O104)))</f>
        <v> || Order: Solanales</v>
      </c>
      <c r="N104" s="400" t="str">
        <f>IF(ISBLANK('Kegg Taxon'!P104), "", (CONCAT(" || Family: ", 'Kegg Taxon'!P104)))</f>
        <v> || Family: Solanaceae</v>
      </c>
      <c r="O104" s="400" t="str">
        <f>IF(ISBLANK('Kegg Taxon'!Q104), "", (CONCAT(" || Subfamily: ", 'Kegg Taxon'!Q104)))</f>
        <v> || Subfamily: Solanoideae</v>
      </c>
      <c r="P104" s="400" t="str">
        <f>IF(ISBLANK('Kegg Taxon'!R104), "", (CONCAT(" || Tribe: ", 'Kegg Taxon'!R104)))</f>
        <v> || Tribe: Solaneae</v>
      </c>
      <c r="Q104" s="400" t="str">
        <f>IF(ISBLANK('Kegg Taxon'!S104), "", (CONCAT(" || Subtribe: ", 'Kegg Taxon'!S104)))</f>
        <v> || Subtribe: --</v>
      </c>
      <c r="R104" s="400" t="str">
        <f>IF(ISBLANK('Kegg Taxon'!T104), "", (CONCAT(" || Genus: ", 'Kegg Taxon'!T104)))</f>
        <v> || Genus: Solanum</v>
      </c>
      <c r="S104" s="400" t="str">
        <f t="shared" si="2"/>
        <v>#REF!</v>
      </c>
      <c r="T104" s="400" t="str">
        <f>IF(ISBLANK('Kegg Taxon'!U104), "", (CONCAT(" || Species: ", 'Kegg Taxon'!U104)))</f>
        <v> || Species: pennellii</v>
      </c>
      <c r="U104" s="400" t="str">
        <f>IF(ISBLANK('Kegg Taxon'!V104), "", (CONCAT(" || Var/Subsp: ", 'Kegg Taxon'!V104)))</f>
        <v/>
      </c>
      <c r="V104" s="400"/>
      <c r="W104" s="400"/>
      <c r="X104" s="400"/>
      <c r="Y104" s="400"/>
      <c r="Z104" s="400"/>
    </row>
    <row r="105" ht="14.25" customHeight="1">
      <c r="A105" s="401" t="s">
        <v>3672</v>
      </c>
      <c r="B105" s="399" t="str">
        <f t="shared" si="1"/>
        <v>#REF!</v>
      </c>
      <c r="C105" s="400" t="str">
        <f>IF(ISBLANK('Kegg Taxon'!A105), "", (CONCAT("Kegg code: ", 'Kegg Taxon'!A105)))</f>
        <v>Kegg code: sot</v>
      </c>
      <c r="D105" s="400" t="str">
        <f>IF(ISBLANK('Kegg Taxon'!B105), "", (CONCAT(" || Common name: ", 'Kegg Taxon'!B105)))</f>
        <v> || Common name: Potato</v>
      </c>
      <c r="E105" s="400" t="str">
        <f>IF(ISBLANK('Kegg Taxon'!C105), "", (CONCAT(" || Scientific name: ", 'Kegg Taxon'!C105)))</f>
        <v> || Scientific name: Solanum tuberosum</v>
      </c>
      <c r="F105" s="400" t="str">
        <f>IF(ISBLANK('Kegg Taxon'!D105), "", (CONCAT(" || Kingdom: ", 'Kegg Taxon'!D105)))</f>
        <v> || Kingdom: Plantae</v>
      </c>
      <c r="G105" s="400" t="str">
        <f>IF(ISBLANK('Kegg Taxon'!F105), "", (CONCAT(" || Subkingdom: ", 'Kegg Taxon'!F105)))</f>
        <v> || Subkingdom: Viridiplantae</v>
      </c>
      <c r="H105" s="400" t="str">
        <f>IF(ISBLANK('Kegg Taxon'!H105), "", (CONCAT(" || Superdivision: ", 'Kegg Taxon'!H105)))</f>
        <v> || Superdivision: Embryophyta</v>
      </c>
      <c r="I105" s="400" t="str">
        <f>IF(ISBLANK('Kegg Taxon'!I105), "", (CONCAT(" || Phylum: ", 'Kegg Taxon'!I105)))</f>
        <v> || Phylum: Tracheophyta</v>
      </c>
      <c r="J105" s="400" t="str">
        <f>IF(ISBLANK('Kegg Taxon'!J105), "", (CONCAT(" || Subphylum: ", 'Kegg Taxon'!J105)))</f>
        <v> || Subphylum: Spermophytina</v>
      </c>
      <c r="K105" s="400" t="str">
        <f>IF(ISBLANK('Kegg Taxon'!K105), "", (CONCAT(" || Class: ", 'Kegg Taxon'!K105)))</f>
        <v> || Class: Magnoliopsida</v>
      </c>
      <c r="L105" s="400" t="str">
        <f>IF(ISBLANK('Kegg Taxon'!L105), "", (CONCAT(" || Subclass: ", 'Kegg Taxon'!L105)))</f>
        <v> || Subclass: --</v>
      </c>
      <c r="M105" s="400" t="str">
        <f>IF(ISBLANK('Kegg Taxon'!O105), "", (CONCAT(" || Order: ", 'Kegg Taxon'!O105)))</f>
        <v> || Order: Solanales</v>
      </c>
      <c r="N105" s="400" t="str">
        <f>IF(ISBLANK('Kegg Taxon'!P105), "", (CONCAT(" || Family: ", 'Kegg Taxon'!P105)))</f>
        <v> || Family: Solanaceae</v>
      </c>
      <c r="O105" s="400" t="str">
        <f>IF(ISBLANK('Kegg Taxon'!Q105), "", (CONCAT(" || Subfamily: ", 'Kegg Taxon'!Q105)))</f>
        <v> || Subfamily: Solanoideae</v>
      </c>
      <c r="P105" s="400" t="str">
        <f>IF(ISBLANK('Kegg Taxon'!R105), "", (CONCAT(" || Tribe: ", 'Kegg Taxon'!R105)))</f>
        <v> || Tribe: Solaneae</v>
      </c>
      <c r="Q105" s="400" t="str">
        <f>IF(ISBLANK('Kegg Taxon'!S105), "", (CONCAT(" || Subtribe: ", 'Kegg Taxon'!S105)))</f>
        <v> || Subtribe: --</v>
      </c>
      <c r="R105" s="400" t="str">
        <f>IF(ISBLANK('Kegg Taxon'!T105), "", (CONCAT(" || Genus: ", 'Kegg Taxon'!T105)))</f>
        <v> || Genus: Solanum</v>
      </c>
      <c r="S105" s="400" t="str">
        <f t="shared" si="2"/>
        <v>#REF!</v>
      </c>
      <c r="T105" s="400" t="str">
        <f>IF(ISBLANK('Kegg Taxon'!U105), "", (CONCAT(" || Species: ", 'Kegg Taxon'!U105)))</f>
        <v> || Species: tuberosum</v>
      </c>
      <c r="U105" s="400" t="str">
        <f>IF(ISBLANK('Kegg Taxon'!V105), "", (CONCAT(" || Var/Subsp: ", 'Kegg Taxon'!V105)))</f>
        <v/>
      </c>
      <c r="V105" s="400"/>
      <c r="W105" s="400"/>
      <c r="X105" s="400"/>
      <c r="Y105" s="400"/>
      <c r="Z105" s="400"/>
    </row>
    <row r="106" ht="14.25" customHeight="1">
      <c r="A106" s="401" t="s">
        <v>3673</v>
      </c>
      <c r="B106" s="399" t="str">
        <f t="shared" si="1"/>
        <v>#REF!</v>
      </c>
      <c r="C106" s="400" t="str">
        <f>IF(ISBLANK('Kegg Taxon'!A106), "", (CONCAT("Kegg code: ", 'Kegg Taxon'!A106)))</f>
        <v>Kegg code: vvi</v>
      </c>
      <c r="D106" s="400" t="str">
        <f>IF(ISBLANK('Kegg Taxon'!B106), "", (CONCAT(" || Common name: ", 'Kegg Taxon'!B106)))</f>
        <v> || Common name: Wine Grape</v>
      </c>
      <c r="E106" s="400" t="str">
        <f>IF(ISBLANK('Kegg Taxon'!C106), "", (CONCAT(" || Scientific name: ", 'Kegg Taxon'!C106)))</f>
        <v> || Scientific name: Vitis vinifera</v>
      </c>
      <c r="F106" s="400" t="str">
        <f>IF(ISBLANK('Kegg Taxon'!D106), "", (CONCAT(" || Kingdom: ", 'Kegg Taxon'!D106)))</f>
        <v> || Kingdom: Plantae</v>
      </c>
      <c r="G106" s="400" t="str">
        <f>IF(ISBLANK('Kegg Taxon'!F106), "", (CONCAT(" || Subkingdom: ", 'Kegg Taxon'!F106)))</f>
        <v> || Subkingdom: Viridiplantae</v>
      </c>
      <c r="H106" s="400" t="str">
        <f>IF(ISBLANK('Kegg Taxon'!H106), "", (CONCAT(" || Superdivision: ", 'Kegg Taxon'!H106)))</f>
        <v> || Superdivision: Embryophyta</v>
      </c>
      <c r="I106" s="400" t="str">
        <f>IF(ISBLANK('Kegg Taxon'!I106), "", (CONCAT(" || Phylum: ", 'Kegg Taxon'!I106)))</f>
        <v> || Phylum: Tracheophyta</v>
      </c>
      <c r="J106" s="400" t="str">
        <f>IF(ISBLANK('Kegg Taxon'!J106), "", (CONCAT(" || Subphylum: ", 'Kegg Taxon'!J106)))</f>
        <v> || Subphylum: Spermophytina</v>
      </c>
      <c r="K106" s="400" t="str">
        <f>IF(ISBLANK('Kegg Taxon'!K106), "", (CONCAT(" || Class: ", 'Kegg Taxon'!K106)))</f>
        <v> || Class: Magnoliopsida</v>
      </c>
      <c r="L106" s="400" t="str">
        <f>IF(ISBLANK('Kegg Taxon'!L106), "", (CONCAT(" || Subclass: ", 'Kegg Taxon'!L106)))</f>
        <v> || Subclass: --</v>
      </c>
      <c r="M106" s="400" t="str">
        <f>IF(ISBLANK('Kegg Taxon'!O106), "", (CONCAT(" || Order: ", 'Kegg Taxon'!O106)))</f>
        <v> || Order: Vitales</v>
      </c>
      <c r="N106" s="400" t="str">
        <f>IF(ISBLANK('Kegg Taxon'!P106), "", (CONCAT(" || Family: ", 'Kegg Taxon'!P106)))</f>
        <v> || Family: Vitaceae</v>
      </c>
      <c r="O106" s="400" t="str">
        <f>IF(ISBLANK('Kegg Taxon'!Q106), "", (CONCAT(" || Subfamily: ", 'Kegg Taxon'!Q106)))</f>
        <v> || Subfamily: --</v>
      </c>
      <c r="P106" s="400" t="str">
        <f>IF(ISBLANK('Kegg Taxon'!R106), "", (CONCAT(" || Tribe: ", 'Kegg Taxon'!R106)))</f>
        <v> || Tribe: Viteae</v>
      </c>
      <c r="Q106" s="400" t="str">
        <f>IF(ISBLANK('Kegg Taxon'!S106), "", (CONCAT(" || Subtribe: ", 'Kegg Taxon'!S106)))</f>
        <v> || Subtribe: --</v>
      </c>
      <c r="R106" s="400" t="str">
        <f>IF(ISBLANK('Kegg Taxon'!T106), "", (CONCAT(" || Genus: ", 'Kegg Taxon'!T106)))</f>
        <v> || Genus: Vitis</v>
      </c>
      <c r="S106" s="400" t="str">
        <f t="shared" si="2"/>
        <v>#REF!</v>
      </c>
      <c r="T106" s="400" t="str">
        <f>IF(ISBLANK('Kegg Taxon'!U106), "", (CONCAT(" || Species: ", 'Kegg Taxon'!U106)))</f>
        <v> || Species: vinifera</v>
      </c>
      <c r="U106" s="400" t="str">
        <f>IF(ISBLANK('Kegg Taxon'!V106), "", (CONCAT(" || Var/Subsp: ", 'Kegg Taxon'!V106)))</f>
        <v/>
      </c>
      <c r="V106" s="400"/>
      <c r="W106" s="400"/>
      <c r="X106" s="400"/>
      <c r="Y106" s="400"/>
      <c r="Z106" s="400"/>
    </row>
    <row r="107" ht="14.25" customHeight="1">
      <c r="A107" s="401" t="s">
        <v>3674</v>
      </c>
      <c r="B107" s="399" t="str">
        <f t="shared" si="1"/>
        <v>#REF!</v>
      </c>
      <c r="C107" s="400" t="str">
        <f>IF(ISBLANK('Kegg Taxon'!A107), "", (CONCAT("Kegg code: ", 'Kegg Taxon'!A107)))</f>
        <v>Kegg code: vcn</v>
      </c>
      <c r="D107" s="400" t="str">
        <f>IF(ISBLANK('Kegg Taxon'!B107), "", (CONCAT(" || Common name: ", 'Kegg Taxon'!B107)))</f>
        <v> || Common name: Fierce Roller</v>
      </c>
      <c r="E107" s="400" t="str">
        <f>IF(ISBLANK('Kegg Taxon'!C107), "", (CONCAT(" || Scientific name: ", 'Kegg Taxon'!C107)))</f>
        <v> || Scientific name: Volvox carteri</v>
      </c>
      <c r="F107" s="400" t="str">
        <f>IF(ISBLANK('Kegg Taxon'!D107), "", (CONCAT(" || Kingdom: ", 'Kegg Taxon'!D107)))</f>
        <v> || Kingdom: Plantae</v>
      </c>
      <c r="G107" s="400" t="str">
        <f>IF(ISBLANK('Kegg Taxon'!F107), "", (CONCAT(" || Subkingdom: ", 'Kegg Taxon'!F107)))</f>
        <v> || Subkingdom: Viridiplantae</v>
      </c>
      <c r="H107" s="400" t="str">
        <f>IF(ISBLANK('Kegg Taxon'!H107), "", (CONCAT(" || Superdivision: ", 'Kegg Taxon'!H107)))</f>
        <v> || Superdivision: --</v>
      </c>
      <c r="I107" s="400" t="str">
        <f>IF(ISBLANK('Kegg Taxon'!I107), "", (CONCAT(" || Phylum: ", 'Kegg Taxon'!I107)))</f>
        <v> || Phylum: Chlorophyta</v>
      </c>
      <c r="J107" s="400" t="str">
        <f>IF(ISBLANK('Kegg Taxon'!J107), "", (CONCAT(" || Subphylum: ", 'Kegg Taxon'!J107)))</f>
        <v> || Subphylum: Chlorophytina</v>
      </c>
      <c r="K107" s="400" t="str">
        <f>IF(ISBLANK('Kegg Taxon'!K107), "", (CONCAT(" || Class: ", 'Kegg Taxon'!K107)))</f>
        <v> || Class: Chlorophyceae</v>
      </c>
      <c r="L107" s="400" t="str">
        <f>IF(ISBLANK('Kegg Taxon'!L107), "", (CONCAT(" || Subclass: ", 'Kegg Taxon'!L107)))</f>
        <v> || Subclass: --</v>
      </c>
      <c r="M107" s="400" t="str">
        <f>IF(ISBLANK('Kegg Taxon'!O107), "", (CONCAT(" || Order: ", 'Kegg Taxon'!O107)))</f>
        <v> || Order: Chlamydomonadales</v>
      </c>
      <c r="N107" s="400" t="str">
        <f>IF(ISBLANK('Kegg Taxon'!P107), "", (CONCAT(" || Family: ", 'Kegg Taxon'!P107)))</f>
        <v> || Family: Volvocaceae</v>
      </c>
      <c r="O107" s="400" t="str">
        <f>IF(ISBLANK('Kegg Taxon'!Q107), "", (CONCAT(" || Subfamily: ", 'Kegg Taxon'!Q107)))</f>
        <v> || Subfamily: --</v>
      </c>
      <c r="P107" s="400" t="str">
        <f>IF(ISBLANK('Kegg Taxon'!R107), "", (CONCAT(" || Tribe: ", 'Kegg Taxon'!R107)))</f>
        <v> || Tribe: --</v>
      </c>
      <c r="Q107" s="400" t="str">
        <f>IF(ISBLANK('Kegg Taxon'!S107), "", (CONCAT(" || Subtribe: ", 'Kegg Taxon'!S107)))</f>
        <v> || Subtribe: --</v>
      </c>
      <c r="R107" s="400" t="str">
        <f>IF(ISBLANK('Kegg Taxon'!T107), "", (CONCAT(" || Genus: ", 'Kegg Taxon'!T107)))</f>
        <v> || Genus: Volvox</v>
      </c>
      <c r="S107" s="400" t="str">
        <f t="shared" si="2"/>
        <v>#REF!</v>
      </c>
      <c r="T107" s="400" t="str">
        <f>IF(ISBLANK('Kegg Taxon'!U107), "", (CONCAT(" || Species: ", 'Kegg Taxon'!U107)))</f>
        <v> || Species: carteri</v>
      </c>
      <c r="U107" s="400" t="str">
        <f>IF(ISBLANK('Kegg Taxon'!V107), "", (CONCAT(" || Var/Subsp: ", 'Kegg Taxon'!V107)))</f>
        <v> || Var/Subsp: nagariensis</v>
      </c>
      <c r="V107" s="400"/>
      <c r="W107" s="400"/>
      <c r="X107" s="400"/>
      <c r="Y107" s="400"/>
      <c r="Z107" s="400"/>
    </row>
    <row r="108" ht="14.25" customHeight="1">
      <c r="A108" s="401"/>
      <c r="B108" s="399"/>
      <c r="C108" s="400"/>
      <c r="D108" s="400"/>
      <c r="E108" s="400"/>
      <c r="F108" s="400"/>
      <c r="G108" s="400"/>
      <c r="H108" s="400"/>
      <c r="I108" s="400"/>
      <c r="J108" s="400"/>
      <c r="K108" s="400"/>
      <c r="L108" s="400"/>
      <c r="M108" s="400"/>
      <c r="N108" s="400"/>
      <c r="O108" s="400"/>
      <c r="P108" s="400"/>
      <c r="Q108" s="400"/>
      <c r="R108" s="400"/>
      <c r="S108" s="400"/>
      <c r="T108" s="400"/>
      <c r="U108" s="400"/>
      <c r="V108" s="400"/>
      <c r="W108" s="400"/>
      <c r="X108" s="400"/>
      <c r="Y108" s="400"/>
      <c r="Z108" s="400"/>
    </row>
    <row r="109" ht="14.25" customHeight="1">
      <c r="A109" s="401"/>
      <c r="B109" s="399"/>
      <c r="C109" s="40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row>
    <row r="110" ht="14.25" customHeight="1">
      <c r="A110" s="401"/>
      <c r="B110" s="399"/>
      <c r="C110" s="400"/>
      <c r="D110" s="400"/>
      <c r="E110" s="400"/>
      <c r="F110" s="400"/>
      <c r="G110" s="400"/>
      <c r="H110" s="400"/>
      <c r="I110" s="400"/>
      <c r="J110" s="400"/>
      <c r="K110" s="400"/>
      <c r="L110" s="400"/>
      <c r="M110" s="400"/>
      <c r="N110" s="400"/>
      <c r="O110" s="400"/>
      <c r="P110" s="400"/>
      <c r="Q110" s="400"/>
      <c r="R110" s="400"/>
      <c r="S110" s="400"/>
      <c r="T110" s="400"/>
      <c r="U110" s="400"/>
      <c r="V110" s="400"/>
      <c r="W110" s="400"/>
      <c r="X110" s="400"/>
      <c r="Y110" s="400"/>
      <c r="Z110" s="400"/>
    </row>
    <row r="111" ht="14.25" customHeight="1">
      <c r="A111" s="401"/>
      <c r="B111" s="399"/>
      <c r="C111" s="400"/>
      <c r="D111" s="400"/>
      <c r="E111" s="400"/>
      <c r="F111" s="400"/>
      <c r="G111" s="400"/>
      <c r="H111" s="400"/>
      <c r="I111" s="400"/>
      <c r="J111" s="400"/>
      <c r="K111" s="400"/>
      <c r="L111" s="400"/>
      <c r="M111" s="400"/>
      <c r="N111" s="400"/>
      <c r="O111" s="400"/>
      <c r="P111" s="400"/>
      <c r="Q111" s="400"/>
      <c r="R111" s="400"/>
      <c r="S111" s="400"/>
      <c r="T111" s="400"/>
      <c r="U111" s="400"/>
      <c r="V111" s="400"/>
      <c r="W111" s="400"/>
      <c r="X111" s="400"/>
      <c r="Y111" s="400"/>
      <c r="Z111" s="400"/>
    </row>
    <row r="112" ht="14.25" customHeight="1">
      <c r="A112" s="401"/>
      <c r="B112" s="399"/>
      <c r="C112" s="400"/>
      <c r="D112" s="400"/>
      <c r="E112" s="400"/>
      <c r="F112" s="400"/>
      <c r="G112" s="400"/>
      <c r="H112" s="400"/>
      <c r="I112" s="400"/>
      <c r="J112" s="400"/>
      <c r="K112" s="400"/>
      <c r="L112" s="400"/>
      <c r="M112" s="400"/>
      <c r="N112" s="400"/>
      <c r="O112" s="400"/>
      <c r="P112" s="400"/>
      <c r="Q112" s="400"/>
      <c r="R112" s="400"/>
      <c r="S112" s="400"/>
      <c r="T112" s="400"/>
      <c r="U112" s="400"/>
      <c r="V112" s="400"/>
      <c r="W112" s="400"/>
      <c r="X112" s="400"/>
      <c r="Y112" s="400"/>
      <c r="Z112" s="400"/>
    </row>
    <row r="113" ht="14.25" customHeight="1">
      <c r="A113" s="401"/>
      <c r="B113" s="399"/>
      <c r="C113" s="400"/>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400"/>
      <c r="Z113" s="400"/>
    </row>
    <row r="114" ht="14.25" customHeight="1">
      <c r="A114" s="401"/>
      <c r="B114" s="399"/>
      <c r="C114" s="400"/>
      <c r="D114" s="400"/>
      <c r="E114" s="400"/>
      <c r="F114" s="400"/>
      <c r="G114" s="400"/>
      <c r="H114" s="400"/>
      <c r="I114" s="400"/>
      <c r="J114" s="400"/>
      <c r="K114" s="400"/>
      <c r="L114" s="400"/>
      <c r="M114" s="400"/>
      <c r="N114" s="400"/>
      <c r="O114" s="400"/>
      <c r="P114" s="400"/>
      <c r="Q114" s="400"/>
      <c r="R114" s="400"/>
      <c r="S114" s="400"/>
      <c r="T114" s="400"/>
      <c r="U114" s="400"/>
      <c r="V114" s="400"/>
      <c r="W114" s="400"/>
      <c r="X114" s="400"/>
      <c r="Y114" s="400"/>
      <c r="Z114" s="400"/>
    </row>
    <row r="115" ht="14.25" customHeight="1">
      <c r="A115" s="401"/>
      <c r="B115" s="399"/>
      <c r="C115" s="400"/>
      <c r="D115" s="400"/>
      <c r="E115" s="400"/>
      <c r="F115" s="400"/>
      <c r="G115" s="400"/>
      <c r="H115" s="400"/>
      <c r="I115" s="400"/>
      <c r="J115" s="400"/>
      <c r="K115" s="400"/>
      <c r="L115" s="400"/>
      <c r="M115" s="400"/>
      <c r="N115" s="400"/>
      <c r="O115" s="400"/>
      <c r="P115" s="400"/>
      <c r="Q115" s="400"/>
      <c r="R115" s="400"/>
      <c r="S115" s="400"/>
      <c r="T115" s="400"/>
      <c r="U115" s="400"/>
      <c r="V115" s="400"/>
      <c r="W115" s="400"/>
      <c r="X115" s="400"/>
      <c r="Y115" s="400"/>
      <c r="Z115" s="400"/>
    </row>
    <row r="116" ht="14.25" customHeight="1">
      <c r="A116" s="401"/>
      <c r="B116" s="399"/>
      <c r="C116" s="400"/>
      <c r="D116" s="400"/>
      <c r="E116" s="400"/>
      <c r="F116" s="400"/>
      <c r="G116" s="400"/>
      <c r="H116" s="400"/>
      <c r="I116" s="400"/>
      <c r="J116" s="400"/>
      <c r="K116" s="400"/>
      <c r="L116" s="400"/>
      <c r="M116" s="400"/>
      <c r="N116" s="400"/>
      <c r="O116" s="400"/>
      <c r="P116" s="400"/>
      <c r="Q116" s="400"/>
      <c r="R116" s="400"/>
      <c r="S116" s="400"/>
      <c r="T116" s="400"/>
      <c r="U116" s="400"/>
      <c r="V116" s="400"/>
      <c r="W116" s="400"/>
      <c r="X116" s="400"/>
      <c r="Y116" s="400"/>
      <c r="Z116" s="400"/>
    </row>
    <row r="117" ht="14.25" customHeight="1">
      <c r="A117" s="401"/>
      <c r="B117" s="399"/>
      <c r="C117" s="400"/>
      <c r="D117" s="400"/>
      <c r="E117" s="400"/>
      <c r="F117" s="400"/>
      <c r="G117" s="400"/>
      <c r="H117" s="400"/>
      <c r="I117" s="400"/>
      <c r="J117" s="400"/>
      <c r="K117" s="400"/>
      <c r="L117" s="400"/>
      <c r="M117" s="400"/>
      <c r="N117" s="400"/>
      <c r="O117" s="400"/>
      <c r="P117" s="400"/>
      <c r="Q117" s="400"/>
      <c r="R117" s="400"/>
      <c r="S117" s="400"/>
      <c r="T117" s="400"/>
      <c r="U117" s="400"/>
      <c r="V117" s="400"/>
      <c r="W117" s="400"/>
      <c r="X117" s="400"/>
      <c r="Y117" s="400"/>
      <c r="Z117" s="400"/>
    </row>
    <row r="118" ht="14.25" customHeight="1">
      <c r="A118" s="401"/>
      <c r="B118" s="399"/>
      <c r="C118" s="400"/>
      <c r="D118" s="400"/>
      <c r="E118" s="400"/>
      <c r="F118" s="400"/>
      <c r="G118" s="400"/>
      <c r="H118" s="400"/>
      <c r="I118" s="400"/>
      <c r="J118" s="400"/>
      <c r="K118" s="400"/>
      <c r="L118" s="400"/>
      <c r="M118" s="400"/>
      <c r="N118" s="400"/>
      <c r="O118" s="400"/>
      <c r="P118" s="400"/>
      <c r="Q118" s="400"/>
      <c r="R118" s="400"/>
      <c r="S118" s="400"/>
      <c r="T118" s="400"/>
      <c r="U118" s="400"/>
      <c r="V118" s="400"/>
      <c r="W118" s="400"/>
      <c r="X118" s="400"/>
      <c r="Y118" s="400"/>
      <c r="Z118" s="400"/>
    </row>
    <row r="119" ht="14.25" customHeight="1">
      <c r="A119" s="401"/>
      <c r="B119" s="399"/>
      <c r="C119" s="400"/>
      <c r="D119" s="400"/>
      <c r="E119" s="400"/>
      <c r="F119" s="400"/>
      <c r="G119" s="400"/>
      <c r="H119" s="400"/>
      <c r="I119" s="400"/>
      <c r="J119" s="400"/>
      <c r="K119" s="400"/>
      <c r="L119" s="400"/>
      <c r="M119" s="400"/>
      <c r="N119" s="400"/>
      <c r="O119" s="400"/>
      <c r="P119" s="400"/>
      <c r="Q119" s="400"/>
      <c r="R119" s="400"/>
      <c r="S119" s="400"/>
      <c r="T119" s="400"/>
      <c r="U119" s="400"/>
      <c r="V119" s="400"/>
      <c r="W119" s="400"/>
      <c r="X119" s="400"/>
      <c r="Y119" s="400"/>
      <c r="Z119" s="400"/>
    </row>
    <row r="120" ht="14.25" customHeight="1">
      <c r="A120" s="401"/>
      <c r="B120" s="399"/>
      <c r="C120" s="400"/>
      <c r="D120" s="400"/>
      <c r="E120" s="400"/>
      <c r="F120" s="400"/>
      <c r="G120" s="400"/>
      <c r="H120" s="400"/>
      <c r="I120" s="400"/>
      <c r="J120" s="400"/>
      <c r="K120" s="400"/>
      <c r="L120" s="400"/>
      <c r="M120" s="400"/>
      <c r="N120" s="400"/>
      <c r="O120" s="400"/>
      <c r="P120" s="400"/>
      <c r="Q120" s="400"/>
      <c r="R120" s="400"/>
      <c r="S120" s="400"/>
      <c r="T120" s="400"/>
      <c r="U120" s="400"/>
      <c r="V120" s="400"/>
      <c r="W120" s="400"/>
      <c r="X120" s="400"/>
      <c r="Y120" s="400"/>
      <c r="Z120" s="400"/>
    </row>
    <row r="121" ht="14.25" customHeight="1">
      <c r="A121" s="401"/>
      <c r="B121" s="399"/>
      <c r="C121" s="400"/>
      <c r="D121" s="400"/>
      <c r="E121" s="400"/>
      <c r="F121" s="400"/>
      <c r="G121" s="400"/>
      <c r="H121" s="400"/>
      <c r="I121" s="400"/>
      <c r="J121" s="400"/>
      <c r="K121" s="400"/>
      <c r="L121" s="400"/>
      <c r="M121" s="400"/>
      <c r="N121" s="400"/>
      <c r="O121" s="400"/>
      <c r="P121" s="400"/>
      <c r="Q121" s="400"/>
      <c r="R121" s="400"/>
      <c r="S121" s="400"/>
      <c r="T121" s="400"/>
      <c r="U121" s="400"/>
      <c r="V121" s="400"/>
      <c r="W121" s="400"/>
      <c r="X121" s="400"/>
      <c r="Y121" s="400"/>
      <c r="Z121" s="400"/>
    </row>
    <row r="122" ht="14.25" customHeight="1">
      <c r="A122" s="401"/>
      <c r="B122" s="399"/>
      <c r="C122" s="400"/>
      <c r="D122" s="400"/>
      <c r="E122" s="400"/>
      <c r="F122" s="400"/>
      <c r="G122" s="400"/>
      <c r="H122" s="400"/>
      <c r="I122" s="400"/>
      <c r="J122" s="400"/>
      <c r="K122" s="400"/>
      <c r="L122" s="400"/>
      <c r="M122" s="400"/>
      <c r="N122" s="400"/>
      <c r="O122" s="400"/>
      <c r="P122" s="400"/>
      <c r="Q122" s="400"/>
      <c r="R122" s="400"/>
      <c r="S122" s="400"/>
      <c r="T122" s="400"/>
      <c r="U122" s="400"/>
      <c r="V122" s="400"/>
      <c r="W122" s="400"/>
      <c r="X122" s="400"/>
      <c r="Y122" s="400"/>
      <c r="Z122" s="400"/>
    </row>
    <row r="123" ht="14.25" customHeight="1">
      <c r="A123" s="401"/>
      <c r="B123" s="399"/>
      <c r="C123" s="400"/>
      <c r="D123" s="400"/>
      <c r="E123" s="400"/>
      <c r="F123" s="400"/>
      <c r="G123" s="400"/>
      <c r="H123" s="400"/>
      <c r="I123" s="400"/>
      <c r="J123" s="400"/>
      <c r="K123" s="400"/>
      <c r="L123" s="400"/>
      <c r="M123" s="400"/>
      <c r="N123" s="400"/>
      <c r="O123" s="400"/>
      <c r="P123" s="400"/>
      <c r="Q123" s="400"/>
      <c r="R123" s="400"/>
      <c r="S123" s="400"/>
      <c r="T123" s="400"/>
      <c r="U123" s="400"/>
      <c r="V123" s="400"/>
      <c r="W123" s="400"/>
      <c r="X123" s="400"/>
      <c r="Y123" s="400"/>
      <c r="Z123" s="400"/>
    </row>
    <row r="124" ht="14.25" customHeight="1">
      <c r="A124" s="401"/>
      <c r="B124" s="399"/>
      <c r="C124" s="400"/>
      <c r="D124" s="400"/>
      <c r="E124" s="400"/>
      <c r="F124" s="400"/>
      <c r="G124" s="400"/>
      <c r="H124" s="400"/>
      <c r="I124" s="400"/>
      <c r="J124" s="400"/>
      <c r="K124" s="400"/>
      <c r="L124" s="400"/>
      <c r="M124" s="400"/>
      <c r="N124" s="400"/>
      <c r="O124" s="400"/>
      <c r="P124" s="400"/>
      <c r="Q124" s="400"/>
      <c r="R124" s="400"/>
      <c r="S124" s="400"/>
      <c r="T124" s="400"/>
      <c r="U124" s="400"/>
      <c r="V124" s="400"/>
      <c r="W124" s="400"/>
      <c r="X124" s="400"/>
      <c r="Y124" s="400"/>
      <c r="Z124" s="400"/>
    </row>
    <row r="125" ht="14.25" customHeight="1">
      <c r="A125" s="401"/>
      <c r="B125" s="399"/>
      <c r="C125" s="400"/>
      <c r="D125" s="400"/>
      <c r="E125" s="400"/>
      <c r="F125" s="400"/>
      <c r="G125" s="400"/>
      <c r="H125" s="400"/>
      <c r="I125" s="400"/>
      <c r="J125" s="400"/>
      <c r="K125" s="400"/>
      <c r="L125" s="400"/>
      <c r="M125" s="400"/>
      <c r="N125" s="400"/>
      <c r="O125" s="400"/>
      <c r="P125" s="400"/>
      <c r="Q125" s="400"/>
      <c r="R125" s="400"/>
      <c r="S125" s="400"/>
      <c r="T125" s="400"/>
      <c r="U125" s="400"/>
      <c r="V125" s="400"/>
      <c r="W125" s="400"/>
      <c r="X125" s="400"/>
      <c r="Y125" s="400"/>
      <c r="Z125" s="400"/>
    </row>
    <row r="126" ht="14.25" customHeight="1">
      <c r="A126" s="401"/>
      <c r="B126" s="399"/>
      <c r="C126" s="400"/>
      <c r="D126" s="400"/>
      <c r="E126" s="400"/>
      <c r="F126" s="400"/>
      <c r="G126" s="400"/>
      <c r="H126" s="400"/>
      <c r="I126" s="400"/>
      <c r="J126" s="400"/>
      <c r="K126" s="400"/>
      <c r="L126" s="400"/>
      <c r="M126" s="400"/>
      <c r="N126" s="400"/>
      <c r="O126" s="400"/>
      <c r="P126" s="400"/>
      <c r="Q126" s="400"/>
      <c r="R126" s="400"/>
      <c r="S126" s="400"/>
      <c r="T126" s="400"/>
      <c r="U126" s="400"/>
      <c r="V126" s="400"/>
      <c r="W126" s="400"/>
      <c r="X126" s="400"/>
      <c r="Y126" s="400"/>
      <c r="Z126" s="400"/>
    </row>
    <row r="127" ht="14.25" customHeight="1">
      <c r="A127" s="401"/>
      <c r="B127" s="399"/>
      <c r="C127" s="400"/>
      <c r="D127" s="400"/>
      <c r="E127" s="400"/>
      <c r="F127" s="400"/>
      <c r="G127" s="400"/>
      <c r="H127" s="400"/>
      <c r="I127" s="400"/>
      <c r="J127" s="400"/>
      <c r="K127" s="400"/>
      <c r="L127" s="400"/>
      <c r="M127" s="400"/>
      <c r="N127" s="400"/>
      <c r="O127" s="400"/>
      <c r="P127" s="400"/>
      <c r="Q127" s="400"/>
      <c r="R127" s="400"/>
      <c r="S127" s="400"/>
      <c r="T127" s="400"/>
      <c r="U127" s="400"/>
      <c r="V127" s="400"/>
      <c r="W127" s="400"/>
      <c r="X127" s="400"/>
      <c r="Y127" s="400"/>
      <c r="Z127" s="400"/>
    </row>
    <row r="128" ht="14.25" customHeight="1">
      <c r="A128" s="401"/>
      <c r="B128" s="399"/>
      <c r="C128" s="400"/>
      <c r="D128" s="400"/>
      <c r="E128" s="400"/>
      <c r="F128" s="400"/>
      <c r="G128" s="400"/>
      <c r="H128" s="400"/>
      <c r="I128" s="400"/>
      <c r="J128" s="400"/>
      <c r="K128" s="400"/>
      <c r="L128" s="400"/>
      <c r="M128" s="400"/>
      <c r="N128" s="400"/>
      <c r="O128" s="400"/>
      <c r="P128" s="400"/>
      <c r="Q128" s="400"/>
      <c r="R128" s="400"/>
      <c r="S128" s="400"/>
      <c r="T128" s="400"/>
      <c r="U128" s="400"/>
      <c r="V128" s="400"/>
      <c r="W128" s="400"/>
      <c r="X128" s="400"/>
      <c r="Y128" s="400"/>
      <c r="Z128" s="400"/>
    </row>
    <row r="129" ht="14.25" customHeight="1">
      <c r="A129" s="401"/>
      <c r="B129" s="399"/>
      <c r="C129" s="400"/>
      <c r="D129" s="400"/>
      <c r="E129" s="400"/>
      <c r="F129" s="400"/>
      <c r="G129" s="400"/>
      <c r="H129" s="400"/>
      <c r="I129" s="400"/>
      <c r="J129" s="400"/>
      <c r="K129" s="400"/>
      <c r="L129" s="400"/>
      <c r="M129" s="400"/>
      <c r="N129" s="400"/>
      <c r="O129" s="400"/>
      <c r="P129" s="400"/>
      <c r="Q129" s="400"/>
      <c r="R129" s="400"/>
      <c r="S129" s="400"/>
      <c r="T129" s="400"/>
      <c r="U129" s="400"/>
      <c r="V129" s="400"/>
      <c r="W129" s="400"/>
      <c r="X129" s="400"/>
      <c r="Y129" s="400"/>
      <c r="Z129" s="400"/>
    </row>
    <row r="130" ht="14.25" customHeight="1">
      <c r="A130" s="401"/>
      <c r="B130" s="399"/>
      <c r="C130" s="400"/>
      <c r="D130" s="400"/>
      <c r="E130" s="400"/>
      <c r="F130" s="400"/>
      <c r="G130" s="400"/>
      <c r="H130" s="400"/>
      <c r="I130" s="400"/>
      <c r="J130" s="400"/>
      <c r="K130" s="400"/>
      <c r="L130" s="400"/>
      <c r="M130" s="400"/>
      <c r="N130" s="400"/>
      <c r="O130" s="400"/>
      <c r="P130" s="400"/>
      <c r="Q130" s="400"/>
      <c r="R130" s="400"/>
      <c r="S130" s="400"/>
      <c r="T130" s="400"/>
      <c r="U130" s="400"/>
      <c r="V130" s="400"/>
      <c r="W130" s="400"/>
      <c r="X130" s="400"/>
      <c r="Y130" s="400"/>
      <c r="Z130" s="400"/>
    </row>
    <row r="131" ht="14.25" customHeight="1">
      <c r="A131" s="401"/>
      <c r="B131" s="399"/>
      <c r="C131" s="400"/>
      <c r="D131" s="400"/>
      <c r="E131" s="400"/>
      <c r="F131" s="400"/>
      <c r="G131" s="400"/>
      <c r="H131" s="400"/>
      <c r="I131" s="400"/>
      <c r="J131" s="400"/>
      <c r="K131" s="400"/>
      <c r="L131" s="400"/>
      <c r="M131" s="400"/>
      <c r="N131" s="400"/>
      <c r="O131" s="400"/>
      <c r="P131" s="400"/>
      <c r="Q131" s="400"/>
      <c r="R131" s="400"/>
      <c r="S131" s="400"/>
      <c r="T131" s="400"/>
      <c r="U131" s="400"/>
      <c r="V131" s="400"/>
      <c r="W131" s="400"/>
      <c r="X131" s="400"/>
      <c r="Y131" s="400"/>
      <c r="Z131" s="400"/>
    </row>
    <row r="132" ht="14.25" customHeight="1">
      <c r="A132" s="401"/>
      <c r="B132" s="399"/>
      <c r="C132" s="400"/>
      <c r="D132" s="400"/>
      <c r="E132" s="400"/>
      <c r="F132" s="400"/>
      <c r="G132" s="400"/>
      <c r="H132" s="400"/>
      <c r="I132" s="400"/>
      <c r="J132" s="400"/>
      <c r="K132" s="400"/>
      <c r="L132" s="400"/>
      <c r="M132" s="400"/>
      <c r="N132" s="400"/>
      <c r="O132" s="400"/>
      <c r="P132" s="400"/>
      <c r="Q132" s="400"/>
      <c r="R132" s="400"/>
      <c r="S132" s="400"/>
      <c r="T132" s="400"/>
      <c r="U132" s="400"/>
      <c r="V132" s="400"/>
      <c r="W132" s="400"/>
      <c r="X132" s="400"/>
      <c r="Y132" s="400"/>
      <c r="Z132" s="400"/>
    </row>
    <row r="133" ht="14.25" customHeight="1">
      <c r="A133" s="401"/>
      <c r="B133" s="399"/>
      <c r="C133" s="400"/>
      <c r="D133" s="400"/>
      <c r="E133" s="400"/>
      <c r="F133" s="400"/>
      <c r="G133" s="400"/>
      <c r="H133" s="400"/>
      <c r="I133" s="400"/>
      <c r="J133" s="400"/>
      <c r="K133" s="400"/>
      <c r="L133" s="400"/>
      <c r="M133" s="400"/>
      <c r="N133" s="400"/>
      <c r="O133" s="400"/>
      <c r="P133" s="400"/>
      <c r="Q133" s="400"/>
      <c r="R133" s="400"/>
      <c r="S133" s="400"/>
      <c r="T133" s="400"/>
      <c r="U133" s="400"/>
      <c r="V133" s="400"/>
      <c r="W133" s="400"/>
      <c r="X133" s="400"/>
      <c r="Y133" s="400"/>
      <c r="Z133" s="400"/>
    </row>
    <row r="134" ht="14.25" customHeight="1">
      <c r="A134" s="401"/>
      <c r="B134" s="399"/>
      <c r="C134" s="400"/>
      <c r="D134" s="400"/>
      <c r="E134" s="400"/>
      <c r="F134" s="400"/>
      <c r="G134" s="400"/>
      <c r="H134" s="400"/>
      <c r="I134" s="400"/>
      <c r="J134" s="400"/>
      <c r="K134" s="400"/>
      <c r="L134" s="400"/>
      <c r="M134" s="400"/>
      <c r="N134" s="400"/>
      <c r="O134" s="400"/>
      <c r="P134" s="400"/>
      <c r="Q134" s="400"/>
      <c r="R134" s="400"/>
      <c r="S134" s="400"/>
      <c r="T134" s="400"/>
      <c r="U134" s="400"/>
      <c r="V134" s="400"/>
      <c r="W134" s="400"/>
      <c r="X134" s="400"/>
      <c r="Y134" s="400"/>
      <c r="Z134" s="400"/>
    </row>
    <row r="135" ht="14.25" customHeight="1">
      <c r="A135" s="401"/>
      <c r="B135" s="399"/>
      <c r="C135" s="400"/>
      <c r="D135" s="400"/>
      <c r="E135" s="400"/>
      <c r="F135" s="400"/>
      <c r="G135" s="400"/>
      <c r="H135" s="400"/>
      <c r="I135" s="400"/>
      <c r="J135" s="400"/>
      <c r="K135" s="400"/>
      <c r="L135" s="400"/>
      <c r="M135" s="400"/>
      <c r="N135" s="400"/>
      <c r="O135" s="400"/>
      <c r="P135" s="400"/>
      <c r="Q135" s="400"/>
      <c r="R135" s="400"/>
      <c r="S135" s="400"/>
      <c r="T135" s="400"/>
      <c r="U135" s="400"/>
      <c r="V135" s="400"/>
      <c r="W135" s="400"/>
      <c r="X135" s="400"/>
      <c r="Y135" s="400"/>
      <c r="Z135" s="400"/>
    </row>
    <row r="136" ht="14.25" customHeight="1">
      <c r="A136" s="401"/>
      <c r="B136" s="399"/>
      <c r="C136" s="400"/>
      <c r="D136" s="400"/>
      <c r="E136" s="400"/>
      <c r="F136" s="400"/>
      <c r="G136" s="400"/>
      <c r="H136" s="400"/>
      <c r="I136" s="400"/>
      <c r="J136" s="400"/>
      <c r="K136" s="400"/>
      <c r="L136" s="400"/>
      <c r="M136" s="400"/>
      <c r="N136" s="400"/>
      <c r="O136" s="400"/>
      <c r="P136" s="400"/>
      <c r="Q136" s="400"/>
      <c r="R136" s="400"/>
      <c r="S136" s="400"/>
      <c r="T136" s="400"/>
      <c r="U136" s="400"/>
      <c r="V136" s="400"/>
      <c r="W136" s="400"/>
      <c r="X136" s="400"/>
      <c r="Y136" s="400"/>
      <c r="Z136" s="400"/>
    </row>
    <row r="137" ht="14.25" customHeight="1">
      <c r="A137" s="401"/>
      <c r="B137" s="399"/>
      <c r="C137" s="400"/>
      <c r="D137" s="400"/>
      <c r="E137" s="400"/>
      <c r="F137" s="400"/>
      <c r="G137" s="400"/>
      <c r="H137" s="400"/>
      <c r="I137" s="400"/>
      <c r="J137" s="400"/>
      <c r="K137" s="400"/>
      <c r="L137" s="400"/>
      <c r="M137" s="400"/>
      <c r="N137" s="400"/>
      <c r="O137" s="400"/>
      <c r="P137" s="400"/>
      <c r="Q137" s="400"/>
      <c r="R137" s="400"/>
      <c r="S137" s="400"/>
      <c r="T137" s="400"/>
      <c r="U137" s="400"/>
      <c r="V137" s="400"/>
      <c r="W137" s="400"/>
      <c r="X137" s="400"/>
      <c r="Y137" s="400"/>
      <c r="Z137" s="400"/>
    </row>
    <row r="138" ht="14.25" customHeight="1">
      <c r="A138" s="401"/>
      <c r="B138" s="399"/>
      <c r="C138" s="400"/>
      <c r="D138" s="400"/>
      <c r="E138" s="400"/>
      <c r="F138" s="400"/>
      <c r="G138" s="400"/>
      <c r="H138" s="400"/>
      <c r="I138" s="400"/>
      <c r="J138" s="400"/>
      <c r="K138" s="400"/>
      <c r="L138" s="400"/>
      <c r="M138" s="400"/>
      <c r="N138" s="400"/>
      <c r="O138" s="400"/>
      <c r="P138" s="400"/>
      <c r="Q138" s="400"/>
      <c r="R138" s="400"/>
      <c r="S138" s="400"/>
      <c r="T138" s="400"/>
      <c r="U138" s="400"/>
      <c r="V138" s="400"/>
      <c r="W138" s="400"/>
      <c r="X138" s="400"/>
      <c r="Y138" s="400"/>
      <c r="Z138" s="400"/>
    </row>
    <row r="139" ht="14.25" customHeight="1">
      <c r="A139" s="401"/>
      <c r="B139" s="399"/>
      <c r="C139" s="400"/>
      <c r="D139" s="400"/>
      <c r="E139" s="400"/>
      <c r="F139" s="400"/>
      <c r="G139" s="400"/>
      <c r="H139" s="400"/>
      <c r="I139" s="400"/>
      <c r="J139" s="400"/>
      <c r="K139" s="400"/>
      <c r="L139" s="400"/>
      <c r="M139" s="400"/>
      <c r="N139" s="400"/>
      <c r="O139" s="400"/>
      <c r="P139" s="400"/>
      <c r="Q139" s="400"/>
      <c r="R139" s="400"/>
      <c r="S139" s="400"/>
      <c r="T139" s="400"/>
      <c r="U139" s="400"/>
      <c r="V139" s="400"/>
      <c r="W139" s="400"/>
      <c r="X139" s="400"/>
      <c r="Y139" s="400"/>
      <c r="Z139" s="400"/>
    </row>
    <row r="140" ht="14.25" customHeight="1">
      <c r="A140" s="401"/>
      <c r="B140" s="399"/>
      <c r="C140" s="400"/>
      <c r="D140" s="400"/>
      <c r="E140" s="400"/>
      <c r="F140" s="400"/>
      <c r="G140" s="400"/>
      <c r="H140" s="400"/>
      <c r="I140" s="400"/>
      <c r="J140" s="400"/>
      <c r="K140" s="400"/>
      <c r="L140" s="400"/>
      <c r="M140" s="400"/>
      <c r="N140" s="400"/>
      <c r="O140" s="400"/>
      <c r="P140" s="400"/>
      <c r="Q140" s="400"/>
      <c r="R140" s="400"/>
      <c r="S140" s="400"/>
      <c r="T140" s="400"/>
      <c r="U140" s="400"/>
      <c r="V140" s="400"/>
      <c r="W140" s="400"/>
      <c r="X140" s="400"/>
      <c r="Y140" s="400"/>
      <c r="Z140" s="400"/>
    </row>
    <row r="141" ht="14.25" customHeight="1">
      <c r="A141" s="401"/>
      <c r="B141" s="399"/>
      <c r="C141" s="400"/>
      <c r="D141" s="400"/>
      <c r="E141" s="400"/>
      <c r="F141" s="400"/>
      <c r="G141" s="400"/>
      <c r="H141" s="400"/>
      <c r="I141" s="400"/>
      <c r="J141" s="400"/>
      <c r="K141" s="400"/>
      <c r="L141" s="400"/>
      <c r="M141" s="400"/>
      <c r="N141" s="400"/>
      <c r="O141" s="400"/>
      <c r="P141" s="400"/>
      <c r="Q141" s="400"/>
      <c r="R141" s="400"/>
      <c r="S141" s="400"/>
      <c r="T141" s="400"/>
      <c r="U141" s="400"/>
      <c r="V141" s="400"/>
      <c r="W141" s="400"/>
      <c r="X141" s="400"/>
      <c r="Y141" s="400"/>
      <c r="Z141" s="400"/>
    </row>
    <row r="142" ht="14.25" customHeight="1">
      <c r="A142" s="401"/>
      <c r="B142" s="399"/>
      <c r="C142" s="400"/>
      <c r="D142" s="400"/>
      <c r="E142" s="400"/>
      <c r="F142" s="400"/>
      <c r="G142" s="400"/>
      <c r="H142" s="400"/>
      <c r="I142" s="400"/>
      <c r="J142" s="400"/>
      <c r="K142" s="400"/>
      <c r="L142" s="400"/>
      <c r="M142" s="400"/>
      <c r="N142" s="400"/>
      <c r="O142" s="400"/>
      <c r="P142" s="400"/>
      <c r="Q142" s="400"/>
      <c r="R142" s="400"/>
      <c r="S142" s="400"/>
      <c r="T142" s="400"/>
      <c r="U142" s="400"/>
      <c r="V142" s="400"/>
      <c r="W142" s="400"/>
      <c r="X142" s="400"/>
      <c r="Y142" s="400"/>
      <c r="Z142" s="400"/>
    </row>
    <row r="143" ht="14.25" customHeight="1">
      <c r="A143" s="401"/>
      <c r="B143" s="399"/>
      <c r="C143" s="400"/>
      <c r="D143" s="400"/>
      <c r="E143" s="400"/>
      <c r="F143" s="400"/>
      <c r="G143" s="400"/>
      <c r="H143" s="400"/>
      <c r="I143" s="400"/>
      <c r="J143" s="400"/>
      <c r="K143" s="400"/>
      <c r="L143" s="400"/>
      <c r="M143" s="400"/>
      <c r="N143" s="400"/>
      <c r="O143" s="400"/>
      <c r="P143" s="400"/>
      <c r="Q143" s="400"/>
      <c r="R143" s="400"/>
      <c r="S143" s="400"/>
      <c r="T143" s="400"/>
      <c r="U143" s="400"/>
      <c r="V143" s="400"/>
      <c r="W143" s="400"/>
      <c r="X143" s="400"/>
      <c r="Y143" s="400"/>
      <c r="Z143" s="400"/>
    </row>
    <row r="144" ht="14.25" customHeight="1">
      <c r="A144" s="401"/>
      <c r="B144" s="399"/>
      <c r="C144" s="400"/>
      <c r="D144" s="400"/>
      <c r="E144" s="400"/>
      <c r="F144" s="400"/>
      <c r="G144" s="400"/>
      <c r="H144" s="400"/>
      <c r="I144" s="400"/>
      <c r="J144" s="400"/>
      <c r="K144" s="400"/>
      <c r="L144" s="400"/>
      <c r="M144" s="400"/>
      <c r="N144" s="400"/>
      <c r="O144" s="400"/>
      <c r="P144" s="400"/>
      <c r="Q144" s="400"/>
      <c r="R144" s="400"/>
      <c r="S144" s="400"/>
      <c r="T144" s="400"/>
      <c r="U144" s="400"/>
      <c r="V144" s="400"/>
      <c r="W144" s="400"/>
      <c r="X144" s="400"/>
      <c r="Y144" s="400"/>
      <c r="Z144" s="400"/>
    </row>
    <row r="145" ht="14.25" customHeight="1">
      <c r="A145" s="401"/>
      <c r="B145" s="399"/>
      <c r="C145" s="400"/>
      <c r="D145" s="400"/>
      <c r="E145" s="400"/>
      <c r="F145" s="400"/>
      <c r="G145" s="400"/>
      <c r="H145" s="400"/>
      <c r="I145" s="400"/>
      <c r="J145" s="400"/>
      <c r="K145" s="400"/>
      <c r="L145" s="400"/>
      <c r="M145" s="400"/>
      <c r="N145" s="400"/>
      <c r="O145" s="400"/>
      <c r="P145" s="400"/>
      <c r="Q145" s="400"/>
      <c r="R145" s="400"/>
      <c r="S145" s="400"/>
      <c r="T145" s="400"/>
      <c r="U145" s="400"/>
      <c r="V145" s="400"/>
      <c r="W145" s="400"/>
      <c r="X145" s="400"/>
      <c r="Y145" s="400"/>
      <c r="Z145" s="400"/>
    </row>
    <row r="146" ht="14.25" customHeight="1">
      <c r="A146" s="401"/>
      <c r="B146" s="399"/>
      <c r="C146" s="400"/>
      <c r="D146" s="400"/>
      <c r="E146" s="400"/>
      <c r="F146" s="400"/>
      <c r="G146" s="400"/>
      <c r="H146" s="400"/>
      <c r="I146" s="400"/>
      <c r="J146" s="400"/>
      <c r="K146" s="400"/>
      <c r="L146" s="400"/>
      <c r="M146" s="400"/>
      <c r="N146" s="400"/>
      <c r="O146" s="400"/>
      <c r="P146" s="400"/>
      <c r="Q146" s="400"/>
      <c r="R146" s="400"/>
      <c r="S146" s="400"/>
      <c r="T146" s="400"/>
      <c r="U146" s="400"/>
      <c r="V146" s="400"/>
      <c r="W146" s="400"/>
      <c r="X146" s="400"/>
      <c r="Y146" s="400"/>
      <c r="Z146" s="400"/>
    </row>
    <row r="147" ht="14.25" customHeight="1">
      <c r="A147" s="401"/>
      <c r="B147" s="399"/>
      <c r="C147" s="400"/>
      <c r="D147" s="400"/>
      <c r="E147" s="400"/>
      <c r="F147" s="400"/>
      <c r="G147" s="400"/>
      <c r="H147" s="400"/>
      <c r="I147" s="400"/>
      <c r="J147" s="400"/>
      <c r="K147" s="400"/>
      <c r="L147" s="400"/>
      <c r="M147" s="400"/>
      <c r="N147" s="400"/>
      <c r="O147" s="400"/>
      <c r="P147" s="400"/>
      <c r="Q147" s="400"/>
      <c r="R147" s="400"/>
      <c r="S147" s="400"/>
      <c r="T147" s="400"/>
      <c r="U147" s="400"/>
      <c r="V147" s="400"/>
      <c r="W147" s="400"/>
      <c r="X147" s="400"/>
      <c r="Y147" s="400"/>
      <c r="Z147" s="400"/>
    </row>
    <row r="148" ht="14.25" customHeight="1">
      <c r="A148" s="401"/>
      <c r="B148" s="399"/>
      <c r="C148" s="400"/>
      <c r="D148" s="400"/>
      <c r="E148" s="400"/>
      <c r="F148" s="400"/>
      <c r="G148" s="400"/>
      <c r="H148" s="400"/>
      <c r="I148" s="400"/>
      <c r="J148" s="400"/>
      <c r="K148" s="400"/>
      <c r="L148" s="400"/>
      <c r="M148" s="400"/>
      <c r="N148" s="400"/>
      <c r="O148" s="400"/>
      <c r="P148" s="400"/>
      <c r="Q148" s="400"/>
      <c r="R148" s="400"/>
      <c r="S148" s="400"/>
      <c r="T148" s="400"/>
      <c r="U148" s="400"/>
      <c r="V148" s="400"/>
      <c r="W148" s="400"/>
      <c r="X148" s="400"/>
      <c r="Y148" s="400"/>
      <c r="Z148" s="400"/>
    </row>
    <row r="149" ht="14.25" customHeight="1">
      <c r="A149" s="401"/>
      <c r="B149" s="399"/>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0"/>
      <c r="Y149" s="400"/>
      <c r="Z149" s="400"/>
    </row>
    <row r="150" ht="14.25" customHeight="1">
      <c r="A150" s="401"/>
      <c r="B150" s="399"/>
      <c r="C150" s="400"/>
      <c r="D150" s="400"/>
      <c r="E150" s="400"/>
      <c r="F150" s="400"/>
      <c r="G150" s="400"/>
      <c r="H150" s="400"/>
      <c r="I150" s="400"/>
      <c r="J150" s="400"/>
      <c r="K150" s="400"/>
      <c r="L150" s="400"/>
      <c r="M150" s="400"/>
      <c r="N150" s="400"/>
      <c r="O150" s="400"/>
      <c r="P150" s="400"/>
      <c r="Q150" s="400"/>
      <c r="R150" s="400"/>
      <c r="S150" s="400"/>
      <c r="T150" s="400"/>
      <c r="U150" s="400"/>
      <c r="V150" s="400"/>
      <c r="W150" s="400"/>
      <c r="X150" s="400"/>
      <c r="Y150" s="400"/>
      <c r="Z150" s="400"/>
    </row>
    <row r="151" ht="14.25" customHeight="1">
      <c r="A151" s="401"/>
      <c r="B151" s="399"/>
      <c r="C151" s="400"/>
      <c r="D151" s="400"/>
      <c r="E151" s="400"/>
      <c r="F151" s="400"/>
      <c r="G151" s="400"/>
      <c r="H151" s="400"/>
      <c r="I151" s="400"/>
      <c r="J151" s="400"/>
      <c r="K151" s="400"/>
      <c r="L151" s="400"/>
      <c r="M151" s="400"/>
      <c r="N151" s="400"/>
      <c r="O151" s="400"/>
      <c r="P151" s="400"/>
      <c r="Q151" s="400"/>
      <c r="R151" s="400"/>
      <c r="S151" s="400"/>
      <c r="T151" s="400"/>
      <c r="U151" s="400"/>
      <c r="V151" s="400"/>
      <c r="W151" s="400"/>
      <c r="X151" s="400"/>
      <c r="Y151" s="400"/>
      <c r="Z151" s="400"/>
    </row>
    <row r="152" ht="14.25" customHeight="1">
      <c r="A152" s="401"/>
      <c r="B152" s="399"/>
      <c r="C152" s="400"/>
      <c r="D152" s="400"/>
      <c r="E152" s="400"/>
      <c r="F152" s="400"/>
      <c r="G152" s="400"/>
      <c r="H152" s="400"/>
      <c r="I152" s="400"/>
      <c r="J152" s="400"/>
      <c r="K152" s="400"/>
      <c r="L152" s="400"/>
      <c r="M152" s="400"/>
      <c r="N152" s="400"/>
      <c r="O152" s="400"/>
      <c r="P152" s="400"/>
      <c r="Q152" s="400"/>
      <c r="R152" s="400"/>
      <c r="S152" s="400"/>
      <c r="T152" s="400"/>
      <c r="U152" s="400"/>
      <c r="V152" s="400"/>
      <c r="W152" s="400"/>
      <c r="X152" s="400"/>
      <c r="Y152" s="400"/>
      <c r="Z152" s="400"/>
    </row>
    <row r="153" ht="14.25" customHeight="1">
      <c r="A153" s="401"/>
      <c r="B153" s="399"/>
      <c r="C153" s="400"/>
      <c r="D153" s="400"/>
      <c r="E153" s="400"/>
      <c r="F153" s="400"/>
      <c r="G153" s="400"/>
      <c r="H153" s="400"/>
      <c r="I153" s="400"/>
      <c r="J153" s="400"/>
      <c r="K153" s="400"/>
      <c r="L153" s="400"/>
      <c r="M153" s="400"/>
      <c r="N153" s="400"/>
      <c r="O153" s="400"/>
      <c r="P153" s="400"/>
      <c r="Q153" s="400"/>
      <c r="R153" s="400"/>
      <c r="S153" s="400"/>
      <c r="T153" s="400"/>
      <c r="U153" s="400"/>
      <c r="V153" s="400"/>
      <c r="W153" s="400"/>
      <c r="X153" s="400"/>
      <c r="Y153" s="400"/>
      <c r="Z153" s="400"/>
    </row>
    <row r="154" ht="14.25" customHeight="1">
      <c r="A154" s="401"/>
      <c r="B154" s="399"/>
      <c r="C154" s="400"/>
      <c r="D154" s="400"/>
      <c r="E154" s="400"/>
      <c r="F154" s="400"/>
      <c r="G154" s="400"/>
      <c r="H154" s="400"/>
      <c r="I154" s="400"/>
      <c r="J154" s="400"/>
      <c r="K154" s="400"/>
      <c r="L154" s="400"/>
      <c r="M154" s="400"/>
      <c r="N154" s="400"/>
      <c r="O154" s="400"/>
      <c r="P154" s="400"/>
      <c r="Q154" s="400"/>
      <c r="R154" s="400"/>
      <c r="S154" s="400"/>
      <c r="T154" s="400"/>
      <c r="U154" s="400"/>
      <c r="V154" s="400"/>
      <c r="W154" s="400"/>
      <c r="X154" s="400"/>
      <c r="Y154" s="400"/>
      <c r="Z154" s="400"/>
    </row>
    <row r="155" ht="14.25" customHeight="1">
      <c r="A155" s="401"/>
      <c r="B155" s="399"/>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row>
    <row r="156" ht="14.25" customHeight="1">
      <c r="A156" s="401"/>
      <c r="B156" s="399"/>
      <c r="C156" s="400"/>
      <c r="D156" s="400"/>
      <c r="E156" s="400"/>
      <c r="F156" s="400"/>
      <c r="G156" s="400"/>
      <c r="H156" s="400"/>
      <c r="I156" s="400"/>
      <c r="J156" s="400"/>
      <c r="K156" s="400"/>
      <c r="L156" s="400"/>
      <c r="M156" s="400"/>
      <c r="N156" s="400"/>
      <c r="O156" s="400"/>
      <c r="P156" s="400"/>
      <c r="Q156" s="400"/>
      <c r="R156" s="400"/>
      <c r="S156" s="400"/>
      <c r="T156" s="400"/>
      <c r="U156" s="400"/>
      <c r="V156" s="400"/>
      <c r="W156" s="400"/>
      <c r="X156" s="400"/>
      <c r="Y156" s="400"/>
      <c r="Z156" s="400"/>
    </row>
    <row r="157" ht="14.25" customHeight="1">
      <c r="A157" s="401"/>
      <c r="B157" s="399"/>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0"/>
      <c r="Y157" s="400"/>
      <c r="Z157" s="400"/>
    </row>
    <row r="158" ht="14.25" customHeight="1">
      <c r="A158" s="401"/>
      <c r="B158" s="399"/>
      <c r="C158" s="400"/>
      <c r="D158" s="400"/>
      <c r="E158" s="400"/>
      <c r="F158" s="400"/>
      <c r="G158" s="400"/>
      <c r="H158" s="400"/>
      <c r="I158" s="400"/>
      <c r="J158" s="400"/>
      <c r="K158" s="400"/>
      <c r="L158" s="400"/>
      <c r="M158" s="400"/>
      <c r="N158" s="400"/>
      <c r="O158" s="400"/>
      <c r="P158" s="400"/>
      <c r="Q158" s="400"/>
      <c r="R158" s="400"/>
      <c r="S158" s="400"/>
      <c r="T158" s="400"/>
      <c r="U158" s="400"/>
      <c r="V158" s="400"/>
      <c r="W158" s="400"/>
      <c r="X158" s="400"/>
      <c r="Y158" s="400"/>
      <c r="Z158" s="400"/>
    </row>
    <row r="159" ht="14.25" customHeight="1">
      <c r="A159" s="401"/>
      <c r="B159" s="399"/>
      <c r="C159" s="40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row>
    <row r="160" ht="14.25" customHeight="1">
      <c r="A160" s="401"/>
      <c r="B160" s="399"/>
      <c r="C160" s="400"/>
      <c r="D160" s="400"/>
      <c r="E160" s="400"/>
      <c r="F160" s="400"/>
      <c r="G160" s="400"/>
      <c r="H160" s="400"/>
      <c r="I160" s="400"/>
      <c r="J160" s="400"/>
      <c r="K160" s="400"/>
      <c r="L160" s="400"/>
      <c r="M160" s="400"/>
      <c r="N160" s="400"/>
      <c r="O160" s="400"/>
      <c r="P160" s="400"/>
      <c r="Q160" s="400"/>
      <c r="R160" s="400"/>
      <c r="S160" s="400"/>
      <c r="T160" s="400"/>
      <c r="U160" s="400"/>
      <c r="V160" s="400"/>
      <c r="W160" s="400"/>
      <c r="X160" s="400"/>
      <c r="Y160" s="400"/>
      <c r="Z160" s="400"/>
    </row>
    <row r="161" ht="14.25" customHeight="1">
      <c r="A161" s="401"/>
      <c r="B161" s="399"/>
      <c r="C161" s="400"/>
      <c r="D161" s="400"/>
      <c r="E161" s="400"/>
      <c r="F161" s="400"/>
      <c r="G161" s="400"/>
      <c r="H161" s="400"/>
      <c r="I161" s="400"/>
      <c r="J161" s="400"/>
      <c r="K161" s="400"/>
      <c r="L161" s="400"/>
      <c r="M161" s="400"/>
      <c r="N161" s="400"/>
      <c r="O161" s="400"/>
      <c r="P161" s="400"/>
      <c r="Q161" s="400"/>
      <c r="R161" s="400"/>
      <c r="S161" s="400"/>
      <c r="T161" s="400"/>
      <c r="U161" s="400"/>
      <c r="V161" s="400"/>
      <c r="W161" s="400"/>
      <c r="X161" s="400"/>
      <c r="Y161" s="400"/>
      <c r="Z161" s="400"/>
    </row>
    <row r="162" ht="14.25" customHeight="1">
      <c r="A162" s="401"/>
      <c r="B162" s="399"/>
      <c r="C162" s="40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row>
    <row r="163" ht="14.25" customHeight="1">
      <c r="A163" s="401"/>
      <c r="B163" s="399"/>
      <c r="C163" s="400"/>
      <c r="D163" s="400"/>
      <c r="E163" s="400"/>
      <c r="F163" s="400"/>
      <c r="G163" s="400"/>
      <c r="H163" s="400"/>
      <c r="I163" s="400"/>
      <c r="J163" s="400"/>
      <c r="K163" s="400"/>
      <c r="L163" s="400"/>
      <c r="M163" s="400"/>
      <c r="N163" s="400"/>
      <c r="O163" s="400"/>
      <c r="P163" s="400"/>
      <c r="Q163" s="400"/>
      <c r="R163" s="400"/>
      <c r="S163" s="400"/>
      <c r="T163" s="400"/>
      <c r="U163" s="400"/>
      <c r="V163" s="400"/>
      <c r="W163" s="400"/>
      <c r="X163" s="400"/>
      <c r="Y163" s="400"/>
      <c r="Z163" s="400"/>
    </row>
    <row r="164" ht="14.25" customHeight="1">
      <c r="A164" s="401"/>
      <c r="B164" s="399"/>
      <c r="C164" s="400"/>
      <c r="D164" s="400"/>
      <c r="E164" s="400"/>
      <c r="F164" s="400"/>
      <c r="G164" s="400"/>
      <c r="H164" s="400"/>
      <c r="I164" s="400"/>
      <c r="J164" s="400"/>
      <c r="K164" s="400"/>
      <c r="L164" s="400"/>
      <c r="M164" s="400"/>
      <c r="N164" s="400"/>
      <c r="O164" s="400"/>
      <c r="P164" s="400"/>
      <c r="Q164" s="400"/>
      <c r="R164" s="400"/>
      <c r="S164" s="400"/>
      <c r="T164" s="400"/>
      <c r="U164" s="400"/>
      <c r="V164" s="400"/>
      <c r="W164" s="400"/>
      <c r="X164" s="400"/>
      <c r="Y164" s="400"/>
      <c r="Z164" s="400"/>
    </row>
    <row r="165" ht="14.25" customHeight="1">
      <c r="A165" s="401"/>
      <c r="B165" s="399"/>
      <c r="C165" s="400"/>
      <c r="D165" s="400"/>
      <c r="E165" s="400"/>
      <c r="F165" s="400"/>
      <c r="G165" s="400"/>
      <c r="H165" s="400"/>
      <c r="I165" s="400"/>
      <c r="J165" s="400"/>
      <c r="K165" s="400"/>
      <c r="L165" s="400"/>
      <c r="M165" s="400"/>
      <c r="N165" s="400"/>
      <c r="O165" s="400"/>
      <c r="P165" s="400"/>
      <c r="Q165" s="400"/>
      <c r="R165" s="400"/>
      <c r="S165" s="400"/>
      <c r="T165" s="400"/>
      <c r="U165" s="400"/>
      <c r="V165" s="400"/>
      <c r="W165" s="400"/>
      <c r="X165" s="400"/>
      <c r="Y165" s="400"/>
      <c r="Z165" s="400"/>
    </row>
    <row r="166" ht="14.25" customHeight="1">
      <c r="A166" s="401"/>
      <c r="B166" s="399"/>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row>
    <row r="167" ht="14.25" customHeight="1">
      <c r="A167" s="401"/>
      <c r="B167" s="399"/>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row>
    <row r="168" ht="14.25" customHeight="1">
      <c r="A168" s="401"/>
      <c r="B168" s="399"/>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row>
    <row r="169" ht="14.25" customHeight="1">
      <c r="A169" s="401"/>
      <c r="B169" s="399"/>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row>
    <row r="170" ht="14.25" customHeight="1">
      <c r="A170" s="401"/>
      <c r="B170" s="399"/>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row>
    <row r="171" ht="14.25" customHeight="1">
      <c r="A171" s="401"/>
      <c r="B171" s="399"/>
      <c r="C171" s="400"/>
      <c r="D171" s="400"/>
      <c r="E171" s="400"/>
      <c r="F171" s="400"/>
      <c r="G171" s="400"/>
      <c r="H171" s="400"/>
      <c r="I171" s="400"/>
      <c r="J171" s="400"/>
      <c r="K171" s="400"/>
      <c r="L171" s="400"/>
      <c r="M171" s="400"/>
      <c r="N171" s="400"/>
      <c r="O171" s="400"/>
      <c r="P171" s="400"/>
      <c r="Q171" s="400"/>
      <c r="R171" s="400"/>
      <c r="S171" s="400"/>
      <c r="T171" s="400"/>
      <c r="U171" s="400"/>
      <c r="V171" s="400"/>
      <c r="W171" s="400"/>
      <c r="X171" s="400"/>
      <c r="Y171" s="400"/>
      <c r="Z171" s="400"/>
    </row>
    <row r="172" ht="14.25" customHeight="1">
      <c r="A172" s="401"/>
      <c r="B172" s="399"/>
      <c r="C172" s="400"/>
      <c r="D172" s="400"/>
      <c r="E172" s="400"/>
      <c r="F172" s="400"/>
      <c r="G172" s="400"/>
      <c r="H172" s="400"/>
      <c r="I172" s="400"/>
      <c r="J172" s="400"/>
      <c r="K172" s="400"/>
      <c r="L172" s="400"/>
      <c r="M172" s="400"/>
      <c r="N172" s="400"/>
      <c r="O172" s="400"/>
      <c r="P172" s="400"/>
      <c r="Q172" s="400"/>
      <c r="R172" s="400"/>
      <c r="S172" s="400"/>
      <c r="T172" s="400"/>
      <c r="U172" s="400"/>
      <c r="V172" s="400"/>
      <c r="W172" s="400"/>
      <c r="X172" s="400"/>
      <c r="Y172" s="400"/>
      <c r="Z172" s="400"/>
    </row>
    <row r="173" ht="14.25" customHeight="1">
      <c r="A173" s="401"/>
      <c r="B173" s="399"/>
      <c r="C173" s="400"/>
      <c r="D173" s="400"/>
      <c r="E173" s="400"/>
      <c r="F173" s="400"/>
      <c r="G173" s="400"/>
      <c r="H173" s="400"/>
      <c r="I173" s="400"/>
      <c r="J173" s="400"/>
      <c r="K173" s="400"/>
      <c r="L173" s="400"/>
      <c r="M173" s="400"/>
      <c r="N173" s="400"/>
      <c r="O173" s="400"/>
      <c r="P173" s="400"/>
      <c r="Q173" s="400"/>
      <c r="R173" s="400"/>
      <c r="S173" s="400"/>
      <c r="T173" s="400"/>
      <c r="U173" s="400"/>
      <c r="V173" s="400"/>
      <c r="W173" s="400"/>
      <c r="X173" s="400"/>
      <c r="Y173" s="400"/>
      <c r="Z173" s="400"/>
    </row>
    <row r="174" ht="14.25" customHeight="1">
      <c r="A174" s="401"/>
      <c r="B174" s="399"/>
      <c r="C174" s="400"/>
      <c r="D174" s="400"/>
      <c r="E174" s="400"/>
      <c r="F174" s="400"/>
      <c r="G174" s="400"/>
      <c r="H174" s="400"/>
      <c r="I174" s="400"/>
      <c r="J174" s="400"/>
      <c r="K174" s="400"/>
      <c r="L174" s="400"/>
      <c r="M174" s="400"/>
      <c r="N174" s="400"/>
      <c r="O174" s="400"/>
      <c r="P174" s="400"/>
      <c r="Q174" s="400"/>
      <c r="R174" s="400"/>
      <c r="S174" s="400"/>
      <c r="T174" s="400"/>
      <c r="U174" s="400"/>
      <c r="V174" s="400"/>
      <c r="W174" s="400"/>
      <c r="X174" s="400"/>
      <c r="Y174" s="400"/>
      <c r="Z174" s="400"/>
    </row>
    <row r="175" ht="14.25" customHeight="1">
      <c r="A175" s="401"/>
      <c r="B175" s="399"/>
      <c r="C175" s="400"/>
      <c r="D175" s="400"/>
      <c r="E175" s="400"/>
      <c r="F175" s="400"/>
      <c r="G175" s="400"/>
      <c r="H175" s="400"/>
      <c r="I175" s="400"/>
      <c r="J175" s="400"/>
      <c r="K175" s="400"/>
      <c r="L175" s="400"/>
      <c r="M175" s="400"/>
      <c r="N175" s="400"/>
      <c r="O175" s="400"/>
      <c r="P175" s="400"/>
      <c r="Q175" s="400"/>
      <c r="R175" s="400"/>
      <c r="S175" s="400"/>
      <c r="T175" s="400"/>
      <c r="U175" s="400"/>
      <c r="V175" s="400"/>
      <c r="W175" s="400"/>
      <c r="X175" s="400"/>
      <c r="Y175" s="400"/>
      <c r="Z175" s="400"/>
    </row>
    <row r="176" ht="14.25" customHeight="1">
      <c r="A176" s="401"/>
      <c r="B176" s="399"/>
      <c r="C176" s="400"/>
      <c r="D176" s="400"/>
      <c r="E176" s="400"/>
      <c r="F176" s="400"/>
      <c r="G176" s="400"/>
      <c r="H176" s="400"/>
      <c r="I176" s="400"/>
      <c r="J176" s="400"/>
      <c r="K176" s="400"/>
      <c r="L176" s="400"/>
      <c r="M176" s="400"/>
      <c r="N176" s="400"/>
      <c r="O176" s="400"/>
      <c r="P176" s="400"/>
      <c r="Q176" s="400"/>
      <c r="R176" s="400"/>
      <c r="S176" s="400"/>
      <c r="T176" s="400"/>
      <c r="U176" s="400"/>
      <c r="V176" s="400"/>
      <c r="W176" s="400"/>
      <c r="X176" s="400"/>
      <c r="Y176" s="400"/>
      <c r="Z176" s="400"/>
    </row>
    <row r="177" ht="14.25" customHeight="1">
      <c r="A177" s="401"/>
      <c r="B177" s="399"/>
      <c r="C177" s="400"/>
      <c r="D177" s="400"/>
      <c r="E177" s="400"/>
      <c r="F177" s="400"/>
      <c r="G177" s="400"/>
      <c r="H177" s="400"/>
      <c r="I177" s="400"/>
      <c r="J177" s="400"/>
      <c r="K177" s="400"/>
      <c r="L177" s="400"/>
      <c r="M177" s="400"/>
      <c r="N177" s="400"/>
      <c r="O177" s="400"/>
      <c r="P177" s="400"/>
      <c r="Q177" s="400"/>
      <c r="R177" s="400"/>
      <c r="S177" s="400"/>
      <c r="T177" s="400"/>
      <c r="U177" s="400"/>
      <c r="V177" s="400"/>
      <c r="W177" s="400"/>
      <c r="X177" s="400"/>
      <c r="Y177" s="400"/>
      <c r="Z177" s="400"/>
    </row>
    <row r="178" ht="14.25" customHeight="1">
      <c r="A178" s="401"/>
      <c r="B178" s="399"/>
      <c r="C178" s="400"/>
      <c r="D178" s="400"/>
      <c r="E178" s="400"/>
      <c r="F178" s="400"/>
      <c r="G178" s="400"/>
      <c r="H178" s="400"/>
      <c r="I178" s="400"/>
      <c r="J178" s="400"/>
      <c r="K178" s="400"/>
      <c r="L178" s="400"/>
      <c r="M178" s="400"/>
      <c r="N178" s="400"/>
      <c r="O178" s="400"/>
      <c r="P178" s="400"/>
      <c r="Q178" s="400"/>
      <c r="R178" s="400"/>
      <c r="S178" s="400"/>
      <c r="T178" s="400"/>
      <c r="U178" s="400"/>
      <c r="V178" s="400"/>
      <c r="W178" s="400"/>
      <c r="X178" s="400"/>
      <c r="Y178" s="400"/>
      <c r="Z178" s="400"/>
    </row>
    <row r="179" ht="14.25" customHeight="1">
      <c r="A179" s="401"/>
      <c r="B179" s="399"/>
      <c r="C179" s="400"/>
      <c r="D179" s="400"/>
      <c r="E179" s="400"/>
      <c r="F179" s="400"/>
      <c r="G179" s="400"/>
      <c r="H179" s="400"/>
      <c r="I179" s="400"/>
      <c r="J179" s="400"/>
      <c r="K179" s="400"/>
      <c r="L179" s="400"/>
      <c r="M179" s="400"/>
      <c r="N179" s="400"/>
      <c r="O179" s="400"/>
      <c r="P179" s="400"/>
      <c r="Q179" s="400"/>
      <c r="R179" s="400"/>
      <c r="S179" s="400"/>
      <c r="T179" s="400"/>
      <c r="U179" s="400"/>
      <c r="V179" s="400"/>
      <c r="W179" s="400"/>
      <c r="X179" s="400"/>
      <c r="Y179" s="400"/>
      <c r="Z179" s="400"/>
    </row>
    <row r="180" ht="14.25" customHeight="1">
      <c r="A180" s="401"/>
      <c r="B180" s="399"/>
      <c r="C180" s="400"/>
      <c r="D180" s="400"/>
      <c r="E180" s="400"/>
      <c r="F180" s="400"/>
      <c r="G180" s="400"/>
      <c r="H180" s="400"/>
      <c r="I180" s="400"/>
      <c r="J180" s="400"/>
      <c r="K180" s="400"/>
      <c r="L180" s="400"/>
      <c r="M180" s="400"/>
      <c r="N180" s="400"/>
      <c r="O180" s="400"/>
      <c r="P180" s="400"/>
      <c r="Q180" s="400"/>
      <c r="R180" s="400"/>
      <c r="S180" s="400"/>
      <c r="T180" s="400"/>
      <c r="U180" s="400"/>
      <c r="V180" s="400"/>
      <c r="W180" s="400"/>
      <c r="X180" s="400"/>
      <c r="Y180" s="400"/>
      <c r="Z180" s="400"/>
    </row>
    <row r="181" ht="14.25" customHeight="1">
      <c r="A181" s="401"/>
      <c r="B181" s="399"/>
      <c r="C181" s="400"/>
      <c r="D181" s="400"/>
      <c r="E181" s="400"/>
      <c r="F181" s="400"/>
      <c r="G181" s="400"/>
      <c r="H181" s="400"/>
      <c r="I181" s="400"/>
      <c r="J181" s="400"/>
      <c r="K181" s="400"/>
      <c r="L181" s="400"/>
      <c r="M181" s="400"/>
      <c r="N181" s="400"/>
      <c r="O181" s="400"/>
      <c r="P181" s="400"/>
      <c r="Q181" s="400"/>
      <c r="R181" s="400"/>
      <c r="S181" s="400"/>
      <c r="T181" s="400"/>
      <c r="U181" s="400"/>
      <c r="V181" s="400"/>
      <c r="W181" s="400"/>
      <c r="X181" s="400"/>
      <c r="Y181" s="400"/>
      <c r="Z181" s="400"/>
    </row>
    <row r="182" ht="14.25" customHeight="1">
      <c r="A182" s="401"/>
      <c r="B182" s="399"/>
      <c r="C182" s="400"/>
      <c r="D182" s="400"/>
      <c r="E182" s="400"/>
      <c r="F182" s="400"/>
      <c r="G182" s="400"/>
      <c r="H182" s="400"/>
      <c r="I182" s="400"/>
      <c r="J182" s="400"/>
      <c r="K182" s="400"/>
      <c r="L182" s="400"/>
      <c r="M182" s="400"/>
      <c r="N182" s="400"/>
      <c r="O182" s="400"/>
      <c r="P182" s="400"/>
      <c r="Q182" s="400"/>
      <c r="R182" s="400"/>
      <c r="S182" s="400"/>
      <c r="T182" s="400"/>
      <c r="U182" s="400"/>
      <c r="V182" s="400"/>
      <c r="W182" s="400"/>
      <c r="X182" s="400"/>
      <c r="Y182" s="400"/>
      <c r="Z182" s="400"/>
    </row>
    <row r="183" ht="14.25" customHeight="1">
      <c r="A183" s="401"/>
      <c r="B183" s="399"/>
      <c r="C183" s="400"/>
      <c r="D183" s="400"/>
      <c r="E183" s="400"/>
      <c r="F183" s="400"/>
      <c r="G183" s="400"/>
      <c r="H183" s="400"/>
      <c r="I183" s="400"/>
      <c r="J183" s="400"/>
      <c r="K183" s="400"/>
      <c r="L183" s="400"/>
      <c r="M183" s="400"/>
      <c r="N183" s="400"/>
      <c r="O183" s="400"/>
      <c r="P183" s="400"/>
      <c r="Q183" s="400"/>
      <c r="R183" s="400"/>
      <c r="S183" s="400"/>
      <c r="T183" s="400"/>
      <c r="U183" s="400"/>
      <c r="V183" s="400"/>
      <c r="W183" s="400"/>
      <c r="X183" s="400"/>
      <c r="Y183" s="400"/>
      <c r="Z183" s="400"/>
    </row>
    <row r="184" ht="14.25" customHeight="1">
      <c r="A184" s="401"/>
      <c r="B184" s="399"/>
      <c r="C184" s="40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row>
    <row r="185" ht="14.25" customHeight="1">
      <c r="A185" s="401"/>
      <c r="B185" s="399"/>
      <c r="C185" s="40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row>
    <row r="186" ht="14.25" customHeight="1">
      <c r="A186" s="401"/>
      <c r="B186" s="399"/>
      <c r="C186" s="400"/>
      <c r="D186" s="400"/>
      <c r="E186" s="400"/>
      <c r="F186" s="400"/>
      <c r="G186" s="400"/>
      <c r="H186" s="400"/>
      <c r="I186" s="400"/>
      <c r="J186" s="400"/>
      <c r="K186" s="400"/>
      <c r="L186" s="400"/>
      <c r="M186" s="400"/>
      <c r="N186" s="400"/>
      <c r="O186" s="400"/>
      <c r="P186" s="400"/>
      <c r="Q186" s="400"/>
      <c r="R186" s="400"/>
      <c r="S186" s="400"/>
      <c r="T186" s="400"/>
      <c r="U186" s="400"/>
      <c r="V186" s="400"/>
      <c r="W186" s="400"/>
      <c r="X186" s="400"/>
      <c r="Y186" s="400"/>
      <c r="Z186" s="400"/>
    </row>
    <row r="187" ht="14.25" customHeight="1">
      <c r="A187" s="401"/>
      <c r="B187" s="399"/>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row>
    <row r="188" ht="14.25" customHeight="1">
      <c r="A188" s="401"/>
      <c r="B188" s="399"/>
      <c r="C188" s="40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row>
    <row r="189" ht="14.25" customHeight="1">
      <c r="A189" s="401"/>
      <c r="B189" s="399"/>
      <c r="C189" s="40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row>
    <row r="190" ht="14.25" customHeight="1">
      <c r="A190" s="401"/>
      <c r="B190" s="399"/>
      <c r="C190" s="400"/>
      <c r="D190" s="400"/>
      <c r="E190" s="400"/>
      <c r="F190" s="400"/>
      <c r="G190" s="400"/>
      <c r="H190" s="400"/>
      <c r="I190" s="400"/>
      <c r="J190" s="400"/>
      <c r="K190" s="400"/>
      <c r="L190" s="400"/>
      <c r="M190" s="400"/>
      <c r="N190" s="400"/>
      <c r="O190" s="400"/>
      <c r="P190" s="400"/>
      <c r="Q190" s="400"/>
      <c r="R190" s="400"/>
      <c r="S190" s="400"/>
      <c r="T190" s="400"/>
      <c r="U190" s="400"/>
      <c r="V190" s="400"/>
      <c r="W190" s="400"/>
      <c r="X190" s="400"/>
      <c r="Y190" s="400"/>
      <c r="Z190" s="400"/>
    </row>
    <row r="191" ht="14.25" customHeight="1">
      <c r="A191" s="401"/>
      <c r="B191" s="399"/>
      <c r="C191" s="40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row>
    <row r="192" ht="14.25" customHeight="1">
      <c r="A192" s="401"/>
      <c r="B192" s="399"/>
      <c r="C192" s="400"/>
      <c r="D192" s="400"/>
      <c r="E192" s="400"/>
      <c r="F192" s="400"/>
      <c r="G192" s="400"/>
      <c r="H192" s="400"/>
      <c r="I192" s="400"/>
      <c r="J192" s="400"/>
      <c r="K192" s="400"/>
      <c r="L192" s="400"/>
      <c r="M192" s="400"/>
      <c r="N192" s="400"/>
      <c r="O192" s="400"/>
      <c r="P192" s="400"/>
      <c r="Q192" s="400"/>
      <c r="R192" s="400"/>
      <c r="S192" s="400"/>
      <c r="T192" s="400"/>
      <c r="U192" s="400"/>
      <c r="V192" s="400"/>
      <c r="W192" s="400"/>
      <c r="X192" s="400"/>
      <c r="Y192" s="400"/>
      <c r="Z192" s="400"/>
    </row>
    <row r="193" ht="14.25" customHeight="1">
      <c r="A193" s="401"/>
      <c r="B193" s="399"/>
      <c r="C193" s="400"/>
      <c r="D193" s="400"/>
      <c r="E193" s="400"/>
      <c r="F193" s="400"/>
      <c r="G193" s="400"/>
      <c r="H193" s="400"/>
      <c r="I193" s="400"/>
      <c r="J193" s="400"/>
      <c r="K193" s="400"/>
      <c r="L193" s="400"/>
      <c r="M193" s="400"/>
      <c r="N193" s="400"/>
      <c r="O193" s="400"/>
      <c r="P193" s="400"/>
      <c r="Q193" s="400"/>
      <c r="R193" s="400"/>
      <c r="S193" s="400"/>
      <c r="T193" s="400"/>
      <c r="U193" s="400"/>
      <c r="V193" s="400"/>
      <c r="W193" s="400"/>
      <c r="X193" s="400"/>
      <c r="Y193" s="400"/>
      <c r="Z193" s="400"/>
    </row>
    <row r="194" ht="14.25" customHeight="1">
      <c r="A194" s="401"/>
      <c r="B194" s="399"/>
      <c r="C194" s="400"/>
      <c r="D194" s="400"/>
      <c r="E194" s="400"/>
      <c r="F194" s="400"/>
      <c r="G194" s="400"/>
      <c r="H194" s="400"/>
      <c r="I194" s="400"/>
      <c r="J194" s="400"/>
      <c r="K194" s="400"/>
      <c r="L194" s="400"/>
      <c r="M194" s="400"/>
      <c r="N194" s="400"/>
      <c r="O194" s="400"/>
      <c r="P194" s="400"/>
      <c r="Q194" s="400"/>
      <c r="R194" s="400"/>
      <c r="S194" s="400"/>
      <c r="T194" s="400"/>
      <c r="U194" s="400"/>
      <c r="V194" s="400"/>
      <c r="W194" s="400"/>
      <c r="X194" s="400"/>
      <c r="Y194" s="400"/>
      <c r="Z194" s="400"/>
    </row>
    <row r="195" ht="14.25" customHeight="1">
      <c r="A195" s="401"/>
      <c r="B195" s="399"/>
      <c r="C195" s="400"/>
      <c r="D195" s="400"/>
      <c r="E195" s="400"/>
      <c r="F195" s="400"/>
      <c r="G195" s="400"/>
      <c r="H195" s="400"/>
      <c r="I195" s="400"/>
      <c r="J195" s="400"/>
      <c r="K195" s="400"/>
      <c r="L195" s="400"/>
      <c r="M195" s="400"/>
      <c r="N195" s="400"/>
      <c r="O195" s="400"/>
      <c r="P195" s="400"/>
      <c r="Q195" s="400"/>
      <c r="R195" s="400"/>
      <c r="S195" s="400"/>
      <c r="T195" s="400"/>
      <c r="U195" s="400"/>
      <c r="V195" s="400"/>
      <c r="W195" s="400"/>
      <c r="X195" s="400"/>
      <c r="Y195" s="400"/>
      <c r="Z195" s="400"/>
    </row>
    <row r="196" ht="14.25" customHeight="1">
      <c r="A196" s="401"/>
      <c r="B196" s="399"/>
      <c r="C196" s="400"/>
      <c r="D196" s="400"/>
      <c r="E196" s="400"/>
      <c r="F196" s="400"/>
      <c r="G196" s="400"/>
      <c r="H196" s="400"/>
      <c r="I196" s="400"/>
      <c r="J196" s="400"/>
      <c r="K196" s="400"/>
      <c r="L196" s="400"/>
      <c r="M196" s="400"/>
      <c r="N196" s="400"/>
      <c r="O196" s="400"/>
      <c r="P196" s="400"/>
      <c r="Q196" s="400"/>
      <c r="R196" s="400"/>
      <c r="S196" s="400"/>
      <c r="T196" s="400"/>
      <c r="U196" s="400"/>
      <c r="V196" s="400"/>
      <c r="W196" s="400"/>
      <c r="X196" s="400"/>
      <c r="Y196" s="400"/>
      <c r="Z196" s="400"/>
    </row>
    <row r="197" ht="14.25" customHeight="1">
      <c r="A197" s="401"/>
      <c r="B197" s="399"/>
      <c r="C197" s="400"/>
      <c r="D197" s="400"/>
      <c r="E197" s="400"/>
      <c r="F197" s="400"/>
      <c r="G197" s="400"/>
      <c r="H197" s="400"/>
      <c r="I197" s="400"/>
      <c r="J197" s="400"/>
      <c r="K197" s="400"/>
      <c r="L197" s="400"/>
      <c r="M197" s="400"/>
      <c r="N197" s="400"/>
      <c r="O197" s="400"/>
      <c r="P197" s="400"/>
      <c r="Q197" s="400"/>
      <c r="R197" s="400"/>
      <c r="S197" s="400"/>
      <c r="T197" s="400"/>
      <c r="U197" s="400"/>
      <c r="V197" s="400"/>
      <c r="W197" s="400"/>
      <c r="X197" s="400"/>
      <c r="Y197" s="400"/>
      <c r="Z197" s="400"/>
    </row>
    <row r="198" ht="14.25" customHeight="1">
      <c r="A198" s="401"/>
      <c r="B198" s="399"/>
      <c r="C198" s="400"/>
      <c r="D198" s="400"/>
      <c r="E198" s="400"/>
      <c r="F198" s="400"/>
      <c r="G198" s="400"/>
      <c r="H198" s="400"/>
      <c r="I198" s="400"/>
      <c r="J198" s="400"/>
      <c r="K198" s="400"/>
      <c r="L198" s="400"/>
      <c r="M198" s="400"/>
      <c r="N198" s="400"/>
      <c r="O198" s="400"/>
      <c r="P198" s="400"/>
      <c r="Q198" s="400"/>
      <c r="R198" s="400"/>
      <c r="S198" s="400"/>
      <c r="T198" s="400"/>
      <c r="U198" s="400"/>
      <c r="V198" s="400"/>
      <c r="W198" s="400"/>
      <c r="X198" s="400"/>
      <c r="Y198" s="400"/>
      <c r="Z198" s="400"/>
    </row>
    <row r="199" ht="14.25" customHeight="1">
      <c r="A199" s="401"/>
      <c r="B199" s="399"/>
      <c r="C199" s="400"/>
      <c r="D199" s="400"/>
      <c r="E199" s="400"/>
      <c r="F199" s="400"/>
      <c r="G199" s="400"/>
      <c r="H199" s="400"/>
      <c r="I199" s="400"/>
      <c r="J199" s="400"/>
      <c r="K199" s="400"/>
      <c r="L199" s="400"/>
      <c r="M199" s="400"/>
      <c r="N199" s="400"/>
      <c r="O199" s="400"/>
      <c r="P199" s="400"/>
      <c r="Q199" s="400"/>
      <c r="R199" s="400"/>
      <c r="S199" s="400"/>
      <c r="T199" s="400"/>
      <c r="U199" s="400"/>
      <c r="V199" s="400"/>
      <c r="W199" s="400"/>
      <c r="X199" s="400"/>
      <c r="Y199" s="400"/>
      <c r="Z199" s="400"/>
    </row>
    <row r="200" ht="14.25" customHeight="1">
      <c r="A200" s="401"/>
      <c r="B200" s="399"/>
      <c r="C200" s="400"/>
      <c r="D200" s="400"/>
      <c r="E200" s="400"/>
      <c r="F200" s="400"/>
      <c r="G200" s="400"/>
      <c r="H200" s="400"/>
      <c r="I200" s="400"/>
      <c r="J200" s="400"/>
      <c r="K200" s="400"/>
      <c r="L200" s="400"/>
      <c r="M200" s="400"/>
      <c r="N200" s="400"/>
      <c r="O200" s="400"/>
      <c r="P200" s="400"/>
      <c r="Q200" s="400"/>
      <c r="R200" s="400"/>
      <c r="S200" s="400"/>
      <c r="T200" s="400"/>
      <c r="U200" s="400"/>
      <c r="V200" s="400"/>
      <c r="W200" s="400"/>
      <c r="X200" s="400"/>
      <c r="Y200" s="400"/>
      <c r="Z200" s="400"/>
    </row>
    <row r="201" ht="14.25" customHeight="1">
      <c r="A201" s="401"/>
      <c r="B201" s="399"/>
      <c r="C201" s="400"/>
      <c r="D201" s="400"/>
      <c r="E201" s="400"/>
      <c r="F201" s="400"/>
      <c r="G201" s="400"/>
      <c r="H201" s="400"/>
      <c r="I201" s="400"/>
      <c r="J201" s="400"/>
      <c r="K201" s="400"/>
      <c r="L201" s="400"/>
      <c r="M201" s="400"/>
      <c r="N201" s="400"/>
      <c r="O201" s="400"/>
      <c r="P201" s="400"/>
      <c r="Q201" s="400"/>
      <c r="R201" s="400"/>
      <c r="S201" s="400"/>
      <c r="T201" s="400"/>
      <c r="U201" s="400"/>
      <c r="V201" s="400"/>
      <c r="W201" s="400"/>
      <c r="X201" s="400"/>
      <c r="Y201" s="400"/>
      <c r="Z201" s="400"/>
    </row>
    <row r="202" ht="14.25" customHeight="1">
      <c r="A202" s="401"/>
      <c r="B202" s="399"/>
      <c r="C202" s="400"/>
      <c r="D202" s="400"/>
      <c r="E202" s="400"/>
      <c r="F202" s="400"/>
      <c r="G202" s="400"/>
      <c r="H202" s="400"/>
      <c r="I202" s="400"/>
      <c r="J202" s="400"/>
      <c r="K202" s="400"/>
      <c r="L202" s="400"/>
      <c r="M202" s="400"/>
      <c r="N202" s="400"/>
      <c r="O202" s="400"/>
      <c r="P202" s="400"/>
      <c r="Q202" s="400"/>
      <c r="R202" s="400"/>
      <c r="S202" s="400"/>
      <c r="T202" s="400"/>
      <c r="U202" s="400"/>
      <c r="V202" s="400"/>
      <c r="W202" s="400"/>
      <c r="X202" s="400"/>
      <c r="Y202" s="400"/>
      <c r="Z202" s="400"/>
    </row>
    <row r="203" ht="14.25" customHeight="1">
      <c r="A203" s="401"/>
      <c r="B203" s="399"/>
      <c r="C203" s="400"/>
      <c r="D203" s="400"/>
      <c r="E203" s="400"/>
      <c r="F203" s="400"/>
      <c r="G203" s="400"/>
      <c r="H203" s="400"/>
      <c r="I203" s="400"/>
      <c r="J203" s="400"/>
      <c r="K203" s="400"/>
      <c r="L203" s="400"/>
      <c r="M203" s="400"/>
      <c r="N203" s="400"/>
      <c r="O203" s="400"/>
      <c r="P203" s="400"/>
      <c r="Q203" s="400"/>
      <c r="R203" s="400"/>
      <c r="S203" s="400"/>
      <c r="T203" s="400"/>
      <c r="U203" s="400"/>
      <c r="V203" s="400"/>
      <c r="W203" s="400"/>
      <c r="X203" s="400"/>
      <c r="Y203" s="400"/>
      <c r="Z203" s="400"/>
    </row>
    <row r="204" ht="14.25" customHeight="1">
      <c r="A204" s="401"/>
      <c r="B204" s="399"/>
      <c r="C204" s="400"/>
      <c r="D204" s="400"/>
      <c r="E204" s="400"/>
      <c r="F204" s="400"/>
      <c r="G204" s="400"/>
      <c r="H204" s="400"/>
      <c r="I204" s="400"/>
      <c r="J204" s="400"/>
      <c r="K204" s="400"/>
      <c r="L204" s="400"/>
      <c r="M204" s="400"/>
      <c r="N204" s="400"/>
      <c r="O204" s="400"/>
      <c r="P204" s="400"/>
      <c r="Q204" s="400"/>
      <c r="R204" s="400"/>
      <c r="S204" s="400"/>
      <c r="T204" s="400"/>
      <c r="U204" s="400"/>
      <c r="V204" s="400"/>
      <c r="W204" s="400"/>
      <c r="X204" s="400"/>
      <c r="Y204" s="400"/>
      <c r="Z204" s="400"/>
    </row>
    <row r="205" ht="14.25" customHeight="1">
      <c r="A205" s="401"/>
      <c r="B205" s="399"/>
      <c r="C205" s="400"/>
      <c r="D205" s="400"/>
      <c r="E205" s="400"/>
      <c r="F205" s="400"/>
      <c r="G205" s="400"/>
      <c r="H205" s="400"/>
      <c r="I205" s="400"/>
      <c r="J205" s="400"/>
      <c r="K205" s="400"/>
      <c r="L205" s="400"/>
      <c r="M205" s="400"/>
      <c r="N205" s="400"/>
      <c r="O205" s="400"/>
      <c r="P205" s="400"/>
      <c r="Q205" s="400"/>
      <c r="R205" s="400"/>
      <c r="S205" s="400"/>
      <c r="T205" s="400"/>
      <c r="U205" s="400"/>
      <c r="V205" s="400"/>
      <c r="W205" s="400"/>
      <c r="X205" s="400"/>
      <c r="Y205" s="400"/>
      <c r="Z205" s="400"/>
    </row>
    <row r="206" ht="14.25" customHeight="1">
      <c r="A206" s="401"/>
      <c r="B206" s="399"/>
      <c r="C206" s="400"/>
      <c r="D206" s="400"/>
      <c r="E206" s="400"/>
      <c r="F206" s="400"/>
      <c r="G206" s="400"/>
      <c r="H206" s="400"/>
      <c r="I206" s="400"/>
      <c r="J206" s="400"/>
      <c r="K206" s="400"/>
      <c r="L206" s="400"/>
      <c r="M206" s="400"/>
      <c r="N206" s="400"/>
      <c r="O206" s="400"/>
      <c r="P206" s="400"/>
      <c r="Q206" s="400"/>
      <c r="R206" s="400"/>
      <c r="S206" s="400"/>
      <c r="T206" s="400"/>
      <c r="U206" s="400"/>
      <c r="V206" s="400"/>
      <c r="W206" s="400"/>
      <c r="X206" s="400"/>
      <c r="Y206" s="400"/>
      <c r="Z206" s="400"/>
    </row>
    <row r="207" ht="14.25" customHeight="1">
      <c r="A207" s="401"/>
      <c r="B207" s="399"/>
      <c r="C207" s="400"/>
      <c r="D207" s="400"/>
      <c r="E207" s="400"/>
      <c r="F207" s="400"/>
      <c r="G207" s="400"/>
      <c r="H207" s="400"/>
      <c r="I207" s="400"/>
      <c r="J207" s="400"/>
      <c r="K207" s="400"/>
      <c r="L207" s="400"/>
      <c r="M207" s="400"/>
      <c r="N207" s="400"/>
      <c r="O207" s="400"/>
      <c r="P207" s="400"/>
      <c r="Q207" s="400"/>
      <c r="R207" s="400"/>
      <c r="S207" s="400"/>
      <c r="T207" s="400"/>
      <c r="U207" s="400"/>
      <c r="V207" s="400"/>
      <c r="W207" s="400"/>
      <c r="X207" s="400"/>
      <c r="Y207" s="400"/>
      <c r="Z207" s="400"/>
    </row>
    <row r="208" ht="14.25" customHeight="1">
      <c r="A208" s="401"/>
      <c r="B208" s="399"/>
      <c r="C208" s="400"/>
      <c r="D208" s="400"/>
      <c r="E208" s="400"/>
      <c r="F208" s="400"/>
      <c r="G208" s="400"/>
      <c r="H208" s="400"/>
      <c r="I208" s="400"/>
      <c r="J208" s="400"/>
      <c r="K208" s="400"/>
      <c r="L208" s="400"/>
      <c r="M208" s="400"/>
      <c r="N208" s="400"/>
      <c r="O208" s="400"/>
      <c r="P208" s="400"/>
      <c r="Q208" s="400"/>
      <c r="R208" s="400"/>
      <c r="S208" s="400"/>
      <c r="T208" s="400"/>
      <c r="U208" s="400"/>
      <c r="V208" s="400"/>
      <c r="W208" s="400"/>
      <c r="X208" s="400"/>
      <c r="Y208" s="400"/>
      <c r="Z208" s="400"/>
    </row>
    <row r="209" ht="14.25" customHeight="1">
      <c r="A209" s="401"/>
      <c r="B209" s="399"/>
      <c r="C209" s="400"/>
      <c r="D209" s="400"/>
      <c r="E209" s="400"/>
      <c r="F209" s="400"/>
      <c r="G209" s="400"/>
      <c r="H209" s="400"/>
      <c r="I209" s="400"/>
      <c r="J209" s="400"/>
      <c r="K209" s="400"/>
      <c r="L209" s="400"/>
      <c r="M209" s="400"/>
      <c r="N209" s="400"/>
      <c r="O209" s="400"/>
      <c r="P209" s="400"/>
      <c r="Q209" s="400"/>
      <c r="R209" s="400"/>
      <c r="S209" s="400"/>
      <c r="T209" s="400"/>
      <c r="U209" s="400"/>
      <c r="V209" s="400"/>
      <c r="W209" s="400"/>
      <c r="X209" s="400"/>
      <c r="Y209" s="400"/>
      <c r="Z209" s="400"/>
    </row>
    <row r="210" ht="14.25" customHeight="1">
      <c r="A210" s="401"/>
      <c r="B210" s="399"/>
      <c r="C210" s="400"/>
      <c r="D210" s="400"/>
      <c r="E210" s="400"/>
      <c r="F210" s="400"/>
      <c r="G210" s="400"/>
      <c r="H210" s="400"/>
      <c r="I210" s="400"/>
      <c r="J210" s="400"/>
      <c r="K210" s="400"/>
      <c r="L210" s="400"/>
      <c r="M210" s="400"/>
      <c r="N210" s="400"/>
      <c r="O210" s="400"/>
      <c r="P210" s="400"/>
      <c r="Q210" s="400"/>
      <c r="R210" s="400"/>
      <c r="S210" s="400"/>
      <c r="T210" s="400"/>
      <c r="U210" s="400"/>
      <c r="V210" s="400"/>
      <c r="W210" s="400"/>
      <c r="X210" s="400"/>
      <c r="Y210" s="400"/>
      <c r="Z210" s="400"/>
    </row>
    <row r="211" ht="14.25" customHeight="1">
      <c r="A211" s="401"/>
      <c r="B211" s="399"/>
      <c r="C211" s="400"/>
      <c r="D211" s="400"/>
      <c r="E211" s="400"/>
      <c r="F211" s="400"/>
      <c r="G211" s="400"/>
      <c r="H211" s="400"/>
      <c r="I211" s="400"/>
      <c r="J211" s="400"/>
      <c r="K211" s="400"/>
      <c r="L211" s="400"/>
      <c r="M211" s="400"/>
      <c r="N211" s="400"/>
      <c r="O211" s="400"/>
      <c r="P211" s="400"/>
      <c r="Q211" s="400"/>
      <c r="R211" s="400"/>
      <c r="S211" s="400"/>
      <c r="T211" s="400"/>
      <c r="U211" s="400"/>
      <c r="V211" s="400"/>
      <c r="W211" s="400"/>
      <c r="X211" s="400"/>
      <c r="Y211" s="400"/>
      <c r="Z211" s="400"/>
    </row>
    <row r="212" ht="14.25" customHeight="1">
      <c r="A212" s="401"/>
      <c r="B212" s="399"/>
      <c r="C212" s="400"/>
      <c r="D212" s="400"/>
      <c r="E212" s="400"/>
      <c r="F212" s="400"/>
      <c r="G212" s="400"/>
      <c r="H212" s="400"/>
      <c r="I212" s="400"/>
      <c r="J212" s="400"/>
      <c r="K212" s="400"/>
      <c r="L212" s="400"/>
      <c r="M212" s="400"/>
      <c r="N212" s="400"/>
      <c r="O212" s="400"/>
      <c r="P212" s="400"/>
      <c r="Q212" s="400"/>
      <c r="R212" s="400"/>
      <c r="S212" s="400"/>
      <c r="T212" s="400"/>
      <c r="U212" s="400"/>
      <c r="V212" s="400"/>
      <c r="W212" s="400"/>
      <c r="X212" s="400"/>
      <c r="Y212" s="400"/>
      <c r="Z212" s="400"/>
    </row>
    <row r="213" ht="14.25" customHeight="1">
      <c r="A213" s="401"/>
      <c r="B213" s="399"/>
      <c r="C213" s="400"/>
      <c r="D213" s="400"/>
      <c r="E213" s="400"/>
      <c r="F213" s="400"/>
      <c r="G213" s="400"/>
      <c r="H213" s="400"/>
      <c r="I213" s="400"/>
      <c r="J213" s="400"/>
      <c r="K213" s="400"/>
      <c r="L213" s="400"/>
      <c r="M213" s="400"/>
      <c r="N213" s="400"/>
      <c r="O213" s="400"/>
      <c r="P213" s="400"/>
      <c r="Q213" s="400"/>
      <c r="R213" s="400"/>
      <c r="S213" s="400"/>
      <c r="T213" s="400"/>
      <c r="U213" s="400"/>
      <c r="V213" s="400"/>
      <c r="W213" s="400"/>
      <c r="X213" s="400"/>
      <c r="Y213" s="400"/>
      <c r="Z213" s="400"/>
    </row>
    <row r="214" ht="14.25" customHeight="1">
      <c r="A214" s="401"/>
      <c r="B214" s="399"/>
      <c r="C214" s="400"/>
      <c r="D214" s="400"/>
      <c r="E214" s="400"/>
      <c r="F214" s="400"/>
      <c r="G214" s="400"/>
      <c r="H214" s="400"/>
      <c r="I214" s="400"/>
      <c r="J214" s="400"/>
      <c r="K214" s="400"/>
      <c r="L214" s="400"/>
      <c r="M214" s="400"/>
      <c r="N214" s="400"/>
      <c r="O214" s="400"/>
      <c r="P214" s="400"/>
      <c r="Q214" s="400"/>
      <c r="R214" s="400"/>
      <c r="S214" s="400"/>
      <c r="T214" s="400"/>
      <c r="U214" s="400"/>
      <c r="V214" s="400"/>
      <c r="W214" s="400"/>
      <c r="X214" s="400"/>
      <c r="Y214" s="400"/>
      <c r="Z214" s="400"/>
    </row>
    <row r="215" ht="14.25" customHeight="1">
      <c r="A215" s="401"/>
      <c r="B215" s="399"/>
      <c r="C215" s="400"/>
      <c r="D215" s="400"/>
      <c r="E215" s="400"/>
      <c r="F215" s="400"/>
      <c r="G215" s="400"/>
      <c r="H215" s="400"/>
      <c r="I215" s="400"/>
      <c r="J215" s="400"/>
      <c r="K215" s="400"/>
      <c r="L215" s="400"/>
      <c r="M215" s="400"/>
      <c r="N215" s="400"/>
      <c r="O215" s="400"/>
      <c r="P215" s="400"/>
      <c r="Q215" s="400"/>
      <c r="R215" s="400"/>
      <c r="S215" s="400"/>
      <c r="T215" s="400"/>
      <c r="U215" s="400"/>
      <c r="V215" s="400"/>
      <c r="W215" s="400"/>
      <c r="X215" s="400"/>
      <c r="Y215" s="400"/>
      <c r="Z215" s="400"/>
    </row>
    <row r="216" ht="14.25" customHeight="1">
      <c r="A216" s="401"/>
      <c r="B216" s="399"/>
      <c r="C216" s="400"/>
      <c r="D216" s="400"/>
      <c r="E216" s="400"/>
      <c r="F216" s="400"/>
      <c r="G216" s="400"/>
      <c r="H216" s="400"/>
      <c r="I216" s="400"/>
      <c r="J216" s="400"/>
      <c r="K216" s="400"/>
      <c r="L216" s="400"/>
      <c r="M216" s="400"/>
      <c r="N216" s="400"/>
      <c r="O216" s="400"/>
      <c r="P216" s="400"/>
      <c r="Q216" s="400"/>
      <c r="R216" s="400"/>
      <c r="S216" s="400"/>
      <c r="T216" s="400"/>
      <c r="U216" s="400"/>
      <c r="V216" s="400"/>
      <c r="W216" s="400"/>
      <c r="X216" s="400"/>
      <c r="Y216" s="400"/>
      <c r="Z216" s="400"/>
    </row>
    <row r="217" ht="14.25" customHeight="1">
      <c r="A217" s="401"/>
      <c r="B217" s="399"/>
      <c r="C217" s="400"/>
      <c r="D217" s="400"/>
      <c r="E217" s="400"/>
      <c r="F217" s="400"/>
      <c r="G217" s="400"/>
      <c r="H217" s="400"/>
      <c r="I217" s="400"/>
      <c r="J217" s="400"/>
      <c r="K217" s="400"/>
      <c r="L217" s="400"/>
      <c r="M217" s="400"/>
      <c r="N217" s="400"/>
      <c r="O217" s="400"/>
      <c r="P217" s="400"/>
      <c r="Q217" s="400"/>
      <c r="R217" s="400"/>
      <c r="S217" s="400"/>
      <c r="T217" s="400"/>
      <c r="U217" s="400"/>
      <c r="V217" s="400"/>
      <c r="W217" s="400"/>
      <c r="X217" s="400"/>
      <c r="Y217" s="400"/>
      <c r="Z217" s="400"/>
    </row>
    <row r="218" ht="14.25" customHeight="1">
      <c r="A218" s="401"/>
      <c r="B218" s="399"/>
      <c r="C218" s="400"/>
      <c r="D218" s="400"/>
      <c r="E218" s="400"/>
      <c r="F218" s="400"/>
      <c r="G218" s="400"/>
      <c r="H218" s="400"/>
      <c r="I218" s="400"/>
      <c r="J218" s="400"/>
      <c r="K218" s="400"/>
      <c r="L218" s="400"/>
      <c r="M218" s="400"/>
      <c r="N218" s="400"/>
      <c r="O218" s="400"/>
      <c r="P218" s="400"/>
      <c r="Q218" s="400"/>
      <c r="R218" s="400"/>
      <c r="S218" s="400"/>
      <c r="T218" s="400"/>
      <c r="U218" s="400"/>
      <c r="V218" s="400"/>
      <c r="W218" s="400"/>
      <c r="X218" s="400"/>
      <c r="Y218" s="400"/>
      <c r="Z218" s="400"/>
    </row>
    <row r="219" ht="14.25" customHeight="1">
      <c r="A219" s="401"/>
      <c r="B219" s="399"/>
      <c r="C219" s="400"/>
      <c r="D219" s="400"/>
      <c r="E219" s="400"/>
      <c r="F219" s="400"/>
      <c r="G219" s="400"/>
      <c r="H219" s="400"/>
      <c r="I219" s="400"/>
      <c r="J219" s="400"/>
      <c r="K219" s="400"/>
      <c r="L219" s="400"/>
      <c r="M219" s="400"/>
      <c r="N219" s="400"/>
      <c r="O219" s="400"/>
      <c r="P219" s="400"/>
      <c r="Q219" s="400"/>
      <c r="R219" s="400"/>
      <c r="S219" s="400"/>
      <c r="T219" s="400"/>
      <c r="U219" s="400"/>
      <c r="V219" s="400"/>
      <c r="W219" s="400"/>
      <c r="X219" s="400"/>
      <c r="Y219" s="400"/>
      <c r="Z219" s="400"/>
    </row>
    <row r="220" ht="14.25" customHeight="1">
      <c r="A220" s="401"/>
      <c r="B220" s="399"/>
      <c r="C220" s="400"/>
      <c r="D220" s="400"/>
      <c r="E220" s="400"/>
      <c r="F220" s="400"/>
      <c r="G220" s="400"/>
      <c r="H220" s="400"/>
      <c r="I220" s="400"/>
      <c r="J220" s="400"/>
      <c r="K220" s="400"/>
      <c r="L220" s="400"/>
      <c r="M220" s="400"/>
      <c r="N220" s="400"/>
      <c r="O220" s="400"/>
      <c r="P220" s="400"/>
      <c r="Q220" s="400"/>
      <c r="R220" s="400"/>
      <c r="S220" s="400"/>
      <c r="T220" s="400"/>
      <c r="U220" s="400"/>
      <c r="V220" s="400"/>
      <c r="W220" s="400"/>
      <c r="X220" s="400"/>
      <c r="Y220" s="400"/>
      <c r="Z220" s="400"/>
    </row>
    <row r="221" ht="14.25" customHeight="1">
      <c r="A221" s="401"/>
      <c r="B221" s="399"/>
      <c r="C221" s="400"/>
      <c r="D221" s="400"/>
      <c r="E221" s="400"/>
      <c r="F221" s="400"/>
      <c r="G221" s="400"/>
      <c r="H221" s="400"/>
      <c r="I221" s="400"/>
      <c r="J221" s="400"/>
      <c r="K221" s="400"/>
      <c r="L221" s="400"/>
      <c r="M221" s="400"/>
      <c r="N221" s="400"/>
      <c r="O221" s="400"/>
      <c r="P221" s="400"/>
      <c r="Q221" s="400"/>
      <c r="R221" s="400"/>
      <c r="S221" s="400"/>
      <c r="T221" s="400"/>
      <c r="U221" s="400"/>
      <c r="V221" s="400"/>
      <c r="W221" s="400"/>
      <c r="X221" s="400"/>
      <c r="Y221" s="400"/>
      <c r="Z221" s="400"/>
    </row>
    <row r="222" ht="14.25" customHeight="1">
      <c r="A222" s="401"/>
      <c r="B222" s="399"/>
      <c r="C222" s="40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row>
    <row r="223" ht="14.25" customHeight="1">
      <c r="A223" s="401"/>
      <c r="B223" s="399"/>
      <c r="C223" s="400"/>
      <c r="D223" s="400"/>
      <c r="E223" s="400"/>
      <c r="F223" s="400"/>
      <c r="G223" s="400"/>
      <c r="H223" s="400"/>
      <c r="I223" s="400"/>
      <c r="J223" s="400"/>
      <c r="K223" s="400"/>
      <c r="L223" s="400"/>
      <c r="M223" s="400"/>
      <c r="N223" s="400"/>
      <c r="O223" s="400"/>
      <c r="P223" s="400"/>
      <c r="Q223" s="400"/>
      <c r="R223" s="400"/>
      <c r="S223" s="400"/>
      <c r="T223" s="400"/>
      <c r="U223" s="400"/>
      <c r="V223" s="400"/>
      <c r="W223" s="400"/>
      <c r="X223" s="400"/>
      <c r="Y223" s="400"/>
      <c r="Z223" s="400"/>
    </row>
    <row r="224" ht="14.25" customHeight="1">
      <c r="A224" s="401"/>
      <c r="B224" s="399"/>
      <c r="C224" s="400"/>
      <c r="D224" s="400"/>
      <c r="E224" s="400"/>
      <c r="F224" s="400"/>
      <c r="G224" s="400"/>
      <c r="H224" s="400"/>
      <c r="I224" s="400"/>
      <c r="J224" s="400"/>
      <c r="K224" s="400"/>
      <c r="L224" s="400"/>
      <c r="M224" s="400"/>
      <c r="N224" s="400"/>
      <c r="O224" s="400"/>
      <c r="P224" s="400"/>
      <c r="Q224" s="400"/>
      <c r="R224" s="400"/>
      <c r="S224" s="400"/>
      <c r="T224" s="400"/>
      <c r="U224" s="400"/>
      <c r="V224" s="400"/>
      <c r="W224" s="400"/>
      <c r="X224" s="400"/>
      <c r="Y224" s="400"/>
      <c r="Z224" s="400"/>
    </row>
    <row r="225" ht="14.25" customHeight="1">
      <c r="A225" s="401"/>
      <c r="B225" s="399"/>
      <c r="C225" s="400"/>
      <c r="D225" s="400"/>
      <c r="E225" s="400"/>
      <c r="F225" s="400"/>
      <c r="G225" s="400"/>
      <c r="H225" s="400"/>
      <c r="I225" s="400"/>
      <c r="J225" s="400"/>
      <c r="K225" s="400"/>
      <c r="L225" s="400"/>
      <c r="M225" s="400"/>
      <c r="N225" s="400"/>
      <c r="O225" s="400"/>
      <c r="P225" s="400"/>
      <c r="Q225" s="400"/>
      <c r="R225" s="400"/>
      <c r="S225" s="400"/>
      <c r="T225" s="400"/>
      <c r="U225" s="400"/>
      <c r="V225" s="400"/>
      <c r="W225" s="400"/>
      <c r="X225" s="400"/>
      <c r="Y225" s="400"/>
      <c r="Z225" s="400"/>
    </row>
    <row r="226" ht="14.25" customHeight="1">
      <c r="A226" s="401"/>
      <c r="B226" s="399"/>
      <c r="C226" s="400"/>
      <c r="D226" s="400"/>
      <c r="E226" s="400"/>
      <c r="F226" s="400"/>
      <c r="G226" s="400"/>
      <c r="H226" s="400"/>
      <c r="I226" s="400"/>
      <c r="J226" s="400"/>
      <c r="K226" s="400"/>
      <c r="L226" s="400"/>
      <c r="M226" s="400"/>
      <c r="N226" s="400"/>
      <c r="O226" s="400"/>
      <c r="P226" s="400"/>
      <c r="Q226" s="400"/>
      <c r="R226" s="400"/>
      <c r="S226" s="400"/>
      <c r="T226" s="400"/>
      <c r="U226" s="400"/>
      <c r="V226" s="400"/>
      <c r="W226" s="400"/>
      <c r="X226" s="400"/>
      <c r="Y226" s="400"/>
      <c r="Z226" s="400"/>
    </row>
    <row r="227" ht="14.25" customHeight="1">
      <c r="A227" s="401"/>
      <c r="B227" s="399"/>
      <c r="C227" s="400"/>
      <c r="D227" s="400"/>
      <c r="E227" s="400"/>
      <c r="F227" s="400"/>
      <c r="G227" s="400"/>
      <c r="H227" s="400"/>
      <c r="I227" s="400"/>
      <c r="J227" s="400"/>
      <c r="K227" s="400"/>
      <c r="L227" s="400"/>
      <c r="M227" s="400"/>
      <c r="N227" s="400"/>
      <c r="O227" s="400"/>
      <c r="P227" s="400"/>
      <c r="Q227" s="400"/>
      <c r="R227" s="400"/>
      <c r="S227" s="400"/>
      <c r="T227" s="400"/>
      <c r="U227" s="400"/>
      <c r="V227" s="400"/>
      <c r="W227" s="400"/>
      <c r="X227" s="400"/>
      <c r="Y227" s="400"/>
      <c r="Z227" s="400"/>
    </row>
    <row r="228" ht="14.25" customHeight="1">
      <c r="A228" s="401"/>
      <c r="B228" s="399"/>
      <c r="C228" s="400"/>
      <c r="D228" s="400"/>
      <c r="E228" s="400"/>
      <c r="F228" s="400"/>
      <c r="G228" s="400"/>
      <c r="H228" s="400"/>
      <c r="I228" s="400"/>
      <c r="J228" s="400"/>
      <c r="K228" s="400"/>
      <c r="L228" s="400"/>
      <c r="M228" s="400"/>
      <c r="N228" s="400"/>
      <c r="O228" s="400"/>
      <c r="P228" s="400"/>
      <c r="Q228" s="400"/>
      <c r="R228" s="400"/>
      <c r="S228" s="400"/>
      <c r="T228" s="400"/>
      <c r="U228" s="400"/>
      <c r="V228" s="400"/>
      <c r="W228" s="400"/>
      <c r="X228" s="400"/>
      <c r="Y228" s="400"/>
      <c r="Z228" s="400"/>
    </row>
    <row r="229" ht="14.25" customHeight="1">
      <c r="A229" s="401"/>
      <c r="B229" s="399"/>
      <c r="C229" s="400"/>
      <c r="D229" s="400"/>
      <c r="E229" s="400"/>
      <c r="F229" s="400"/>
      <c r="G229" s="400"/>
      <c r="H229" s="400"/>
      <c r="I229" s="400"/>
      <c r="J229" s="400"/>
      <c r="K229" s="400"/>
      <c r="L229" s="400"/>
      <c r="M229" s="400"/>
      <c r="N229" s="400"/>
      <c r="O229" s="400"/>
      <c r="P229" s="400"/>
      <c r="Q229" s="400"/>
      <c r="R229" s="400"/>
      <c r="S229" s="400"/>
      <c r="T229" s="400"/>
      <c r="U229" s="400"/>
      <c r="V229" s="400"/>
      <c r="W229" s="400"/>
      <c r="X229" s="400"/>
      <c r="Y229" s="400"/>
      <c r="Z229" s="400"/>
    </row>
    <row r="230" ht="14.25" customHeight="1">
      <c r="A230" s="401"/>
      <c r="B230" s="399"/>
      <c r="C230" s="400"/>
      <c r="D230" s="400"/>
      <c r="E230" s="400"/>
      <c r="F230" s="400"/>
      <c r="G230" s="400"/>
      <c r="H230" s="400"/>
      <c r="I230" s="400"/>
      <c r="J230" s="400"/>
      <c r="K230" s="400"/>
      <c r="L230" s="400"/>
      <c r="M230" s="400"/>
      <c r="N230" s="400"/>
      <c r="O230" s="400"/>
      <c r="P230" s="400"/>
      <c r="Q230" s="400"/>
      <c r="R230" s="400"/>
      <c r="S230" s="400"/>
      <c r="T230" s="400"/>
      <c r="U230" s="400"/>
      <c r="V230" s="400"/>
      <c r="W230" s="400"/>
      <c r="X230" s="400"/>
      <c r="Y230" s="400"/>
      <c r="Z230" s="400"/>
    </row>
    <row r="231" ht="14.25" customHeight="1">
      <c r="A231" s="401"/>
      <c r="B231" s="399"/>
      <c r="C231" s="400"/>
      <c r="D231" s="400"/>
      <c r="E231" s="400"/>
      <c r="F231" s="400"/>
      <c r="G231" s="400"/>
      <c r="H231" s="400"/>
      <c r="I231" s="400"/>
      <c r="J231" s="400"/>
      <c r="K231" s="400"/>
      <c r="L231" s="400"/>
      <c r="M231" s="400"/>
      <c r="N231" s="400"/>
      <c r="O231" s="400"/>
      <c r="P231" s="400"/>
      <c r="Q231" s="400"/>
      <c r="R231" s="400"/>
      <c r="S231" s="400"/>
      <c r="T231" s="400"/>
      <c r="U231" s="400"/>
      <c r="V231" s="400"/>
      <c r="W231" s="400"/>
      <c r="X231" s="400"/>
      <c r="Y231" s="400"/>
      <c r="Z231" s="400"/>
    </row>
    <row r="232" ht="14.25" customHeight="1">
      <c r="A232" s="401"/>
      <c r="B232" s="399"/>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row>
    <row r="233" ht="14.25" customHeight="1">
      <c r="A233" s="401"/>
      <c r="B233" s="399"/>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row>
    <row r="234" ht="14.25" customHeight="1">
      <c r="A234" s="401"/>
      <c r="B234" s="399"/>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row>
    <row r="235" ht="14.25" customHeight="1">
      <c r="A235" s="401"/>
      <c r="B235" s="399"/>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row>
    <row r="236" ht="14.25" customHeight="1">
      <c r="A236" s="401"/>
      <c r="B236" s="399"/>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row>
    <row r="237" ht="14.25" customHeight="1">
      <c r="A237" s="401"/>
      <c r="B237" s="399"/>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row>
    <row r="238" ht="14.25" customHeight="1">
      <c r="A238" s="401"/>
      <c r="B238" s="399"/>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row>
    <row r="239" ht="14.25" customHeight="1">
      <c r="A239" s="401"/>
      <c r="B239" s="399"/>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row>
    <row r="240" ht="14.25" customHeight="1">
      <c r="A240" s="401"/>
      <c r="B240" s="399"/>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row>
    <row r="241" ht="14.25" customHeight="1">
      <c r="A241" s="401"/>
      <c r="B241" s="399"/>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row>
    <row r="242" ht="14.25" customHeight="1">
      <c r="A242" s="401"/>
      <c r="B242" s="399"/>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row>
    <row r="243" ht="14.25" customHeight="1">
      <c r="A243" s="401"/>
      <c r="B243" s="399"/>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row>
    <row r="244" ht="14.25" customHeight="1">
      <c r="A244" s="401"/>
      <c r="B244" s="399"/>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row>
    <row r="245" ht="14.25" customHeight="1">
      <c r="A245" s="401"/>
      <c r="B245" s="399"/>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row>
    <row r="246" ht="14.25" customHeight="1">
      <c r="A246" s="401"/>
      <c r="B246" s="399"/>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row>
    <row r="247" ht="14.25" customHeight="1">
      <c r="A247" s="401"/>
      <c r="B247" s="399"/>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row>
    <row r="248" ht="14.25" customHeight="1">
      <c r="A248" s="401"/>
      <c r="B248" s="399"/>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row>
    <row r="249" ht="14.25" customHeight="1">
      <c r="A249" s="401"/>
      <c r="B249" s="399"/>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row>
    <row r="250" ht="14.25" customHeight="1">
      <c r="A250" s="401"/>
      <c r="B250" s="399"/>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row>
    <row r="251" ht="14.25" customHeight="1">
      <c r="A251" s="401"/>
      <c r="B251" s="399"/>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row>
    <row r="252" ht="14.25" customHeight="1">
      <c r="A252" s="401"/>
      <c r="B252" s="399"/>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row>
    <row r="253" ht="14.25" customHeight="1">
      <c r="A253" s="401"/>
      <c r="B253" s="399"/>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row>
    <row r="254" ht="14.25" customHeight="1">
      <c r="A254" s="401"/>
      <c r="B254" s="399"/>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row>
    <row r="255" ht="14.25" customHeight="1">
      <c r="A255" s="401"/>
      <c r="B255" s="399"/>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row>
    <row r="256" ht="14.25" customHeight="1">
      <c r="A256" s="401"/>
      <c r="B256" s="399"/>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row>
    <row r="257" ht="14.25" customHeight="1">
      <c r="A257" s="401"/>
      <c r="B257" s="399"/>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row>
    <row r="258" ht="14.25" customHeight="1">
      <c r="A258" s="401"/>
      <c r="B258" s="399"/>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row>
    <row r="259" ht="14.25" customHeight="1">
      <c r="A259" s="401"/>
      <c r="B259" s="399"/>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row>
    <row r="260" ht="14.25" customHeight="1">
      <c r="A260" s="401"/>
      <c r="B260" s="399"/>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row>
    <row r="261" ht="14.25" customHeight="1">
      <c r="A261" s="401"/>
      <c r="B261" s="399"/>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row>
    <row r="262" ht="14.25" customHeight="1">
      <c r="A262" s="401"/>
      <c r="B262" s="399"/>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row>
    <row r="263" ht="14.25" customHeight="1">
      <c r="A263" s="401"/>
      <c r="B263" s="399"/>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row>
    <row r="264" ht="14.25" customHeight="1">
      <c r="A264" s="401"/>
      <c r="B264" s="399"/>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row>
    <row r="265" ht="14.25" customHeight="1">
      <c r="A265" s="401"/>
      <c r="B265" s="399"/>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row>
    <row r="266" ht="14.25" customHeight="1">
      <c r="A266" s="401"/>
      <c r="B266" s="399"/>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row>
    <row r="267" ht="14.25" customHeight="1">
      <c r="A267" s="401"/>
      <c r="B267" s="399"/>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row>
    <row r="268" ht="14.25" customHeight="1">
      <c r="A268" s="401"/>
      <c r="B268" s="399"/>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row>
    <row r="269" ht="14.25" customHeight="1">
      <c r="A269" s="401"/>
      <c r="B269" s="399"/>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row>
    <row r="270" ht="14.25" customHeight="1">
      <c r="A270" s="401"/>
      <c r="B270" s="399"/>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row>
    <row r="271" ht="14.25" customHeight="1">
      <c r="A271" s="401"/>
      <c r="B271" s="399"/>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row>
    <row r="272" ht="14.25" customHeight="1">
      <c r="A272" s="401"/>
      <c r="B272" s="399"/>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row>
    <row r="273" ht="14.25" customHeight="1">
      <c r="A273" s="401"/>
      <c r="B273" s="399"/>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row>
    <row r="274" ht="14.25" customHeight="1">
      <c r="A274" s="401"/>
      <c r="B274" s="399"/>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row>
    <row r="275" ht="14.25" customHeight="1">
      <c r="A275" s="401"/>
      <c r="B275" s="399"/>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row>
    <row r="276" ht="14.25" customHeight="1">
      <c r="A276" s="401"/>
      <c r="B276" s="399"/>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row>
    <row r="277" ht="14.25" customHeight="1">
      <c r="A277" s="401"/>
      <c r="B277" s="399"/>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row>
    <row r="278" ht="14.25" customHeight="1">
      <c r="A278" s="401"/>
      <c r="B278" s="399"/>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row>
    <row r="279" ht="14.25" customHeight="1">
      <c r="A279" s="401"/>
      <c r="B279" s="399"/>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row>
    <row r="280" ht="14.25" customHeight="1">
      <c r="A280" s="401"/>
      <c r="B280" s="399"/>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row>
    <row r="281" ht="14.25" customHeight="1">
      <c r="A281" s="401"/>
      <c r="B281" s="399"/>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row>
    <row r="282" ht="14.25" customHeight="1">
      <c r="A282" s="401"/>
      <c r="B282" s="399"/>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row>
    <row r="283" ht="14.25" customHeight="1">
      <c r="A283" s="401"/>
      <c r="B283" s="399"/>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row>
    <row r="284" ht="14.25" customHeight="1">
      <c r="A284" s="401"/>
      <c r="B284" s="399"/>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row>
    <row r="285" ht="14.25" customHeight="1">
      <c r="A285" s="401"/>
      <c r="B285" s="399"/>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row>
    <row r="286" ht="14.25" customHeight="1">
      <c r="A286" s="401"/>
      <c r="B286" s="399"/>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row>
    <row r="287" ht="14.25" customHeight="1">
      <c r="A287" s="401"/>
      <c r="B287" s="399"/>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row>
    <row r="288" ht="14.25" customHeight="1">
      <c r="A288" s="401"/>
      <c r="B288" s="399"/>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row>
    <row r="289" ht="14.25" customHeight="1">
      <c r="A289" s="401"/>
      <c r="B289" s="399"/>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row>
    <row r="290" ht="14.25" customHeight="1">
      <c r="A290" s="401"/>
      <c r="B290" s="399"/>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row>
    <row r="291" ht="14.25" customHeight="1">
      <c r="A291" s="401"/>
      <c r="B291" s="399"/>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row>
    <row r="292" ht="14.25" customHeight="1">
      <c r="A292" s="401"/>
      <c r="B292" s="399"/>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row>
    <row r="293" ht="14.25" customHeight="1">
      <c r="A293" s="401"/>
      <c r="B293" s="399"/>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row>
    <row r="294" ht="14.25" customHeight="1">
      <c r="A294" s="401"/>
      <c r="B294" s="399"/>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row>
    <row r="295" ht="14.25" customHeight="1">
      <c r="A295" s="401"/>
      <c r="B295" s="399"/>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row>
    <row r="296" ht="14.25" customHeight="1">
      <c r="A296" s="401"/>
      <c r="B296" s="399"/>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row>
    <row r="297" ht="14.25" customHeight="1">
      <c r="A297" s="401"/>
      <c r="B297" s="399"/>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row>
    <row r="298" ht="14.25" customHeight="1">
      <c r="A298" s="401"/>
      <c r="B298" s="399"/>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row>
    <row r="299" ht="14.25" customHeight="1">
      <c r="A299" s="401"/>
      <c r="B299" s="399"/>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row>
    <row r="300" ht="14.25" customHeight="1">
      <c r="A300" s="401"/>
      <c r="B300" s="399"/>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row>
    <row r="301" ht="14.25" customHeight="1">
      <c r="A301" s="401"/>
      <c r="B301" s="399"/>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row>
    <row r="302" ht="14.25" customHeight="1">
      <c r="A302" s="401"/>
      <c r="B302" s="399"/>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row>
    <row r="303" ht="14.25" customHeight="1">
      <c r="A303" s="401"/>
      <c r="B303" s="399"/>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row>
    <row r="304" ht="14.25" customHeight="1">
      <c r="A304" s="401"/>
      <c r="B304" s="399"/>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row>
    <row r="305" ht="14.25" customHeight="1">
      <c r="A305" s="401"/>
      <c r="B305" s="399"/>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row>
    <row r="306" ht="14.25" customHeight="1">
      <c r="A306" s="401"/>
      <c r="B306" s="399"/>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row>
    <row r="307" ht="14.25" customHeight="1">
      <c r="A307" s="401"/>
      <c r="B307" s="399"/>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row>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0"/>
    <col customWidth="1" min="2" max="2" width="25.0"/>
    <col customWidth="1" min="3" max="3" width="21.25"/>
    <col customWidth="1" min="4" max="6" width="12.63"/>
  </cols>
  <sheetData>
    <row r="1">
      <c r="A1" s="404" t="s">
        <v>3675</v>
      </c>
      <c r="B1" s="405" t="s">
        <v>3676</v>
      </c>
      <c r="C1" s="405" t="s">
        <v>3677</v>
      </c>
      <c r="D1" s="406"/>
      <c r="E1" s="406"/>
      <c r="F1" s="406"/>
      <c r="G1" s="406"/>
      <c r="H1" s="406"/>
      <c r="I1" s="406"/>
      <c r="J1" s="406"/>
      <c r="K1" s="406"/>
      <c r="L1" s="406"/>
      <c r="M1" s="406"/>
      <c r="N1" s="406"/>
      <c r="O1" s="406"/>
      <c r="P1" s="406"/>
      <c r="Q1" s="406"/>
      <c r="R1" s="406"/>
      <c r="S1" s="406"/>
      <c r="T1" s="406"/>
      <c r="U1" s="406"/>
      <c r="V1" s="406"/>
      <c r="W1" s="406"/>
    </row>
    <row r="2">
      <c r="A2" s="407" t="s">
        <v>3678</v>
      </c>
      <c r="B2" s="406" t="s">
        <v>1635</v>
      </c>
      <c r="C2" s="406" t="s">
        <v>1634</v>
      </c>
      <c r="D2" s="406"/>
      <c r="E2" s="406"/>
      <c r="F2" s="406"/>
      <c r="G2" s="406"/>
      <c r="H2" s="406"/>
      <c r="I2" s="406"/>
      <c r="J2" s="406"/>
      <c r="K2" s="406"/>
      <c r="L2" s="406"/>
      <c r="M2" s="406"/>
      <c r="N2" s="406"/>
      <c r="O2" s="406"/>
      <c r="P2" s="406"/>
      <c r="Q2" s="406"/>
      <c r="R2" s="406"/>
      <c r="S2" s="406"/>
      <c r="T2" s="406"/>
      <c r="U2" s="406"/>
      <c r="V2" s="406"/>
      <c r="W2" s="406"/>
    </row>
    <row r="3">
      <c r="A3" s="407" t="s">
        <v>3678</v>
      </c>
      <c r="B3" s="406" t="s">
        <v>3679</v>
      </c>
      <c r="C3" s="408" t="s">
        <v>2800</v>
      </c>
      <c r="D3" s="406"/>
      <c r="E3" s="406"/>
      <c r="F3" s="406"/>
      <c r="G3" s="406"/>
      <c r="H3" s="406"/>
      <c r="I3" s="406"/>
      <c r="J3" s="406"/>
      <c r="K3" s="406"/>
      <c r="L3" s="406"/>
      <c r="M3" s="406"/>
      <c r="N3" s="406"/>
      <c r="O3" s="406"/>
      <c r="P3" s="406"/>
      <c r="Q3" s="406"/>
      <c r="R3" s="406"/>
      <c r="S3" s="406"/>
      <c r="T3" s="406"/>
      <c r="U3" s="406"/>
      <c r="V3" s="406"/>
      <c r="W3" s="406"/>
    </row>
    <row r="4">
      <c r="A4" s="407" t="s">
        <v>3678</v>
      </c>
      <c r="B4" s="406" t="s">
        <v>3680</v>
      </c>
      <c r="C4" s="407" t="s">
        <v>688</v>
      </c>
      <c r="D4" s="406"/>
      <c r="E4" s="406"/>
      <c r="F4" s="406"/>
      <c r="G4" s="406"/>
      <c r="H4" s="406"/>
      <c r="I4" s="406"/>
      <c r="J4" s="406"/>
      <c r="K4" s="406"/>
      <c r="L4" s="406"/>
      <c r="M4" s="406"/>
      <c r="N4" s="406"/>
      <c r="O4" s="406"/>
      <c r="P4" s="406"/>
      <c r="Q4" s="406"/>
      <c r="R4" s="406"/>
      <c r="S4" s="406"/>
      <c r="T4" s="406"/>
      <c r="U4" s="406"/>
      <c r="V4" s="406"/>
      <c r="W4" s="406"/>
    </row>
    <row r="5">
      <c r="A5" s="407" t="s">
        <v>3678</v>
      </c>
      <c r="B5" s="406" t="s">
        <v>3679</v>
      </c>
      <c r="C5" s="406" t="s">
        <v>3681</v>
      </c>
      <c r="D5" s="406"/>
      <c r="E5" s="406"/>
      <c r="F5" s="406"/>
      <c r="G5" s="406"/>
      <c r="H5" s="406"/>
      <c r="I5" s="406"/>
      <c r="J5" s="406"/>
      <c r="K5" s="406"/>
      <c r="L5" s="406"/>
      <c r="M5" s="406"/>
      <c r="N5" s="406"/>
      <c r="O5" s="406"/>
      <c r="P5" s="406"/>
      <c r="Q5" s="406"/>
      <c r="R5" s="406"/>
      <c r="S5" s="406"/>
      <c r="T5" s="406"/>
      <c r="U5" s="406"/>
      <c r="V5" s="406"/>
      <c r="W5" s="406"/>
    </row>
    <row r="6">
      <c r="A6" s="407" t="s">
        <v>3678</v>
      </c>
      <c r="B6" s="406" t="s">
        <v>3681</v>
      </c>
      <c r="C6" s="406" t="s">
        <v>3682</v>
      </c>
      <c r="D6" s="406"/>
      <c r="E6" s="406"/>
      <c r="F6" s="406"/>
      <c r="G6" s="406"/>
      <c r="H6" s="406"/>
      <c r="I6" s="406"/>
      <c r="J6" s="406"/>
      <c r="K6" s="406"/>
      <c r="L6" s="406"/>
      <c r="M6" s="406"/>
      <c r="N6" s="406"/>
      <c r="O6" s="406"/>
      <c r="P6" s="406"/>
      <c r="Q6" s="406"/>
      <c r="R6" s="406"/>
      <c r="S6" s="406"/>
      <c r="T6" s="406"/>
      <c r="U6" s="406"/>
      <c r="V6" s="406"/>
      <c r="W6" s="406"/>
    </row>
    <row r="7">
      <c r="A7" s="406"/>
      <c r="B7" s="406"/>
      <c r="C7" s="406"/>
      <c r="D7" s="406"/>
      <c r="E7" s="406"/>
      <c r="F7" s="406"/>
      <c r="G7" s="406"/>
      <c r="H7" s="406"/>
      <c r="I7" s="406"/>
      <c r="J7" s="406"/>
      <c r="K7" s="406"/>
      <c r="L7" s="406"/>
      <c r="M7" s="406"/>
      <c r="N7" s="406"/>
      <c r="O7" s="406"/>
      <c r="P7" s="406"/>
      <c r="Q7" s="406"/>
      <c r="R7" s="406"/>
      <c r="S7" s="406"/>
      <c r="T7" s="406"/>
      <c r="U7" s="406"/>
      <c r="V7" s="406"/>
      <c r="W7" s="406"/>
    </row>
    <row r="8">
      <c r="A8" s="406"/>
      <c r="B8" s="406"/>
      <c r="C8" s="406"/>
      <c r="D8" s="406"/>
      <c r="E8" s="406"/>
      <c r="F8" s="406"/>
      <c r="G8" s="406"/>
      <c r="H8" s="406"/>
      <c r="I8" s="406"/>
      <c r="J8" s="406"/>
      <c r="K8" s="406"/>
      <c r="L8" s="406"/>
      <c r="M8" s="406"/>
      <c r="N8" s="406"/>
      <c r="O8" s="406"/>
      <c r="P8" s="406"/>
      <c r="Q8" s="406"/>
      <c r="R8" s="406"/>
      <c r="S8" s="406"/>
      <c r="T8" s="406"/>
      <c r="U8" s="406"/>
      <c r="V8" s="406"/>
      <c r="W8" s="406"/>
    </row>
    <row r="9">
      <c r="A9" s="406"/>
      <c r="B9" s="406"/>
      <c r="C9" s="406"/>
      <c r="D9" s="406"/>
      <c r="E9" s="406"/>
      <c r="F9" s="406"/>
      <c r="G9" s="406"/>
      <c r="H9" s="406"/>
      <c r="I9" s="406"/>
      <c r="J9" s="406"/>
      <c r="K9" s="406"/>
      <c r="L9" s="406"/>
      <c r="M9" s="406"/>
      <c r="N9" s="406"/>
      <c r="O9" s="406"/>
      <c r="P9" s="406"/>
      <c r="Q9" s="406"/>
      <c r="R9" s="406"/>
      <c r="S9" s="406"/>
      <c r="T9" s="406"/>
      <c r="U9" s="406"/>
      <c r="V9" s="406"/>
      <c r="W9" s="406"/>
    </row>
    <row r="10">
      <c r="A10" s="406"/>
      <c r="B10" s="406"/>
      <c r="C10" s="406"/>
      <c r="D10" s="406"/>
      <c r="E10" s="406"/>
      <c r="F10" s="406"/>
      <c r="G10" s="406"/>
      <c r="H10" s="406"/>
      <c r="I10" s="406"/>
      <c r="J10" s="406"/>
      <c r="K10" s="406"/>
      <c r="L10" s="406"/>
      <c r="M10" s="406"/>
      <c r="N10" s="406"/>
      <c r="O10" s="406"/>
      <c r="P10" s="406"/>
      <c r="Q10" s="406"/>
      <c r="R10" s="406"/>
      <c r="S10" s="406"/>
      <c r="T10" s="406"/>
      <c r="U10" s="406"/>
      <c r="V10" s="406"/>
      <c r="W10" s="406"/>
    </row>
    <row r="11">
      <c r="A11" s="406"/>
      <c r="B11" s="406"/>
      <c r="C11" s="406"/>
      <c r="D11" s="406"/>
      <c r="E11" s="406"/>
      <c r="F11" s="406"/>
      <c r="G11" s="406"/>
      <c r="H11" s="406"/>
      <c r="I11" s="406"/>
      <c r="J11" s="406"/>
      <c r="K11" s="406"/>
      <c r="L11" s="406"/>
      <c r="M11" s="406"/>
      <c r="N11" s="406"/>
      <c r="O11" s="406"/>
      <c r="P11" s="406"/>
      <c r="Q11" s="406"/>
      <c r="R11" s="406"/>
      <c r="S11" s="406"/>
      <c r="T11" s="406"/>
      <c r="U11" s="406"/>
      <c r="V11" s="406"/>
      <c r="W11" s="406"/>
    </row>
    <row r="12">
      <c r="A12" s="406"/>
      <c r="B12" s="406"/>
      <c r="C12" s="406"/>
      <c r="D12" s="406"/>
      <c r="E12" s="406"/>
      <c r="F12" s="406"/>
      <c r="G12" s="406"/>
      <c r="H12" s="406"/>
      <c r="I12" s="406"/>
      <c r="J12" s="406"/>
      <c r="K12" s="406"/>
      <c r="L12" s="406"/>
      <c r="M12" s="406"/>
      <c r="N12" s="406"/>
      <c r="O12" s="406"/>
      <c r="P12" s="406"/>
      <c r="Q12" s="406"/>
      <c r="R12" s="406"/>
      <c r="S12" s="406"/>
      <c r="T12" s="406"/>
      <c r="U12" s="406"/>
      <c r="V12" s="406"/>
      <c r="W12" s="406"/>
    </row>
    <row r="13">
      <c r="A13" s="406"/>
      <c r="B13" s="406"/>
      <c r="C13" s="406"/>
      <c r="D13" s="406"/>
      <c r="E13" s="406"/>
      <c r="F13" s="406"/>
      <c r="G13" s="406"/>
      <c r="H13" s="406"/>
      <c r="I13" s="406"/>
      <c r="J13" s="406"/>
      <c r="K13" s="406"/>
      <c r="L13" s="406"/>
      <c r="M13" s="406"/>
      <c r="N13" s="406"/>
      <c r="O13" s="406"/>
      <c r="P13" s="406"/>
      <c r="Q13" s="406"/>
      <c r="R13" s="406"/>
      <c r="S13" s="406"/>
      <c r="T13" s="406"/>
      <c r="U13" s="406"/>
      <c r="V13" s="406"/>
      <c r="W13" s="406"/>
    </row>
    <row r="14">
      <c r="A14" s="406"/>
      <c r="B14" s="406"/>
      <c r="C14" s="406"/>
      <c r="D14" s="406"/>
      <c r="E14" s="406"/>
      <c r="F14" s="406"/>
      <c r="G14" s="406"/>
      <c r="H14" s="406"/>
      <c r="I14" s="406"/>
      <c r="J14" s="406"/>
      <c r="K14" s="406"/>
      <c r="L14" s="406"/>
      <c r="M14" s="406"/>
      <c r="N14" s="406"/>
      <c r="O14" s="406"/>
      <c r="P14" s="406"/>
      <c r="Q14" s="406"/>
      <c r="R14" s="406"/>
      <c r="S14" s="406"/>
      <c r="T14" s="406"/>
      <c r="U14" s="406"/>
      <c r="V14" s="406"/>
      <c r="W14" s="406"/>
    </row>
    <row r="15">
      <c r="A15" s="406"/>
      <c r="B15" s="406"/>
      <c r="C15" s="406"/>
      <c r="D15" s="406"/>
      <c r="E15" s="406"/>
      <c r="F15" s="406"/>
      <c r="G15" s="406"/>
      <c r="H15" s="406"/>
      <c r="I15" s="406"/>
      <c r="J15" s="406"/>
      <c r="K15" s="406"/>
      <c r="L15" s="406"/>
      <c r="M15" s="406"/>
      <c r="N15" s="406"/>
      <c r="O15" s="406"/>
      <c r="P15" s="406"/>
      <c r="Q15" s="406"/>
      <c r="R15" s="406"/>
      <c r="S15" s="406"/>
      <c r="T15" s="406"/>
      <c r="U15" s="406"/>
      <c r="V15" s="406"/>
      <c r="W15" s="406"/>
    </row>
    <row r="16">
      <c r="A16" s="406"/>
      <c r="B16" s="406"/>
      <c r="C16" s="406"/>
      <c r="D16" s="406"/>
      <c r="E16" s="406"/>
      <c r="F16" s="406"/>
      <c r="G16" s="406"/>
      <c r="H16" s="406"/>
      <c r="I16" s="406"/>
      <c r="J16" s="406"/>
      <c r="K16" s="406"/>
      <c r="L16" s="406"/>
      <c r="M16" s="406"/>
      <c r="N16" s="406"/>
      <c r="O16" s="406"/>
      <c r="P16" s="406"/>
      <c r="Q16" s="406"/>
      <c r="R16" s="406"/>
      <c r="S16" s="406"/>
      <c r="T16" s="406"/>
      <c r="U16" s="406"/>
      <c r="V16" s="406"/>
      <c r="W16" s="406"/>
    </row>
    <row r="17">
      <c r="A17" s="406"/>
      <c r="B17" s="406"/>
      <c r="C17" s="406"/>
      <c r="D17" s="406"/>
      <c r="E17" s="406"/>
      <c r="F17" s="406"/>
      <c r="G17" s="406"/>
      <c r="H17" s="406"/>
      <c r="I17" s="406"/>
      <c r="J17" s="406"/>
      <c r="K17" s="406"/>
      <c r="L17" s="406"/>
      <c r="M17" s="406"/>
      <c r="N17" s="406"/>
      <c r="O17" s="406"/>
      <c r="P17" s="406"/>
      <c r="Q17" s="406"/>
      <c r="R17" s="406"/>
      <c r="S17" s="406"/>
      <c r="T17" s="406"/>
      <c r="U17" s="406"/>
      <c r="V17" s="406"/>
      <c r="W17" s="406"/>
    </row>
    <row r="18">
      <c r="A18" s="406"/>
      <c r="B18" s="406"/>
      <c r="C18" s="406"/>
      <c r="D18" s="406"/>
      <c r="E18" s="406"/>
      <c r="F18" s="406"/>
      <c r="G18" s="406"/>
      <c r="H18" s="406"/>
      <c r="I18" s="406"/>
      <c r="J18" s="406"/>
      <c r="K18" s="406"/>
      <c r="L18" s="406"/>
      <c r="M18" s="406"/>
      <c r="N18" s="406"/>
      <c r="O18" s="406"/>
      <c r="P18" s="406"/>
      <c r="Q18" s="406"/>
      <c r="R18" s="406"/>
      <c r="S18" s="406"/>
      <c r="T18" s="406"/>
      <c r="U18" s="406"/>
      <c r="V18" s="406"/>
      <c r="W18" s="406"/>
    </row>
    <row r="19">
      <c r="A19" s="406"/>
      <c r="B19" s="406"/>
      <c r="C19" s="406"/>
      <c r="D19" s="406"/>
      <c r="E19" s="406"/>
      <c r="F19" s="406"/>
      <c r="G19" s="406"/>
      <c r="H19" s="406"/>
      <c r="I19" s="406"/>
      <c r="J19" s="406"/>
      <c r="K19" s="406"/>
      <c r="L19" s="406"/>
      <c r="M19" s="406"/>
      <c r="N19" s="406"/>
      <c r="O19" s="406"/>
      <c r="P19" s="406"/>
      <c r="Q19" s="406"/>
      <c r="R19" s="406"/>
      <c r="S19" s="406"/>
      <c r="T19" s="406"/>
      <c r="U19" s="406"/>
      <c r="V19" s="406"/>
      <c r="W19" s="406"/>
    </row>
    <row r="20">
      <c r="A20" s="406"/>
      <c r="B20" s="406"/>
      <c r="C20" s="406"/>
      <c r="D20" s="406"/>
      <c r="E20" s="406"/>
      <c r="F20" s="406"/>
      <c r="G20" s="406"/>
      <c r="H20" s="406"/>
      <c r="I20" s="406"/>
      <c r="J20" s="406"/>
      <c r="K20" s="406"/>
      <c r="L20" s="406"/>
      <c r="M20" s="406"/>
      <c r="N20" s="406"/>
      <c r="O20" s="406"/>
      <c r="P20" s="406"/>
      <c r="Q20" s="406"/>
      <c r="R20" s="406"/>
      <c r="S20" s="406"/>
      <c r="T20" s="406"/>
      <c r="U20" s="406"/>
      <c r="V20" s="406"/>
      <c r="W20" s="406"/>
    </row>
    <row r="21" ht="15.75" customHeight="1">
      <c r="A21" s="406"/>
      <c r="B21" s="406"/>
      <c r="C21" s="406"/>
      <c r="D21" s="406"/>
      <c r="E21" s="406"/>
      <c r="F21" s="406"/>
      <c r="G21" s="406"/>
      <c r="H21" s="406"/>
      <c r="I21" s="406"/>
      <c r="J21" s="406"/>
      <c r="K21" s="406"/>
      <c r="L21" s="406"/>
      <c r="M21" s="406"/>
      <c r="N21" s="406"/>
      <c r="O21" s="406"/>
      <c r="P21" s="406"/>
      <c r="Q21" s="406"/>
      <c r="R21" s="406"/>
      <c r="S21" s="406"/>
      <c r="T21" s="406"/>
      <c r="U21" s="406"/>
      <c r="V21" s="406"/>
      <c r="W21" s="406"/>
    </row>
    <row r="22" ht="15.75" customHeight="1">
      <c r="A22" s="406"/>
      <c r="B22" s="406"/>
      <c r="C22" s="406"/>
      <c r="D22" s="406"/>
      <c r="E22" s="406"/>
      <c r="F22" s="406"/>
      <c r="G22" s="406"/>
      <c r="H22" s="406"/>
      <c r="I22" s="406"/>
      <c r="J22" s="406"/>
      <c r="K22" s="406"/>
      <c r="L22" s="406"/>
      <c r="M22" s="406"/>
      <c r="N22" s="406"/>
      <c r="O22" s="406"/>
      <c r="P22" s="406"/>
      <c r="Q22" s="406"/>
      <c r="R22" s="406"/>
      <c r="S22" s="406"/>
      <c r="T22" s="406"/>
      <c r="U22" s="406"/>
      <c r="V22" s="406"/>
      <c r="W22" s="406"/>
    </row>
    <row r="23" ht="15.75" customHeight="1">
      <c r="A23" s="406"/>
      <c r="B23" s="406"/>
      <c r="C23" s="406"/>
      <c r="D23" s="406"/>
      <c r="E23" s="406"/>
      <c r="F23" s="406"/>
      <c r="G23" s="406"/>
      <c r="H23" s="406"/>
      <c r="I23" s="406"/>
      <c r="J23" s="406"/>
      <c r="K23" s="406"/>
      <c r="L23" s="406"/>
      <c r="M23" s="406"/>
      <c r="N23" s="406"/>
      <c r="O23" s="406"/>
      <c r="P23" s="406"/>
      <c r="Q23" s="406"/>
      <c r="R23" s="406"/>
      <c r="S23" s="406"/>
      <c r="T23" s="406"/>
      <c r="U23" s="406"/>
      <c r="V23" s="406"/>
      <c r="W23" s="406"/>
    </row>
    <row r="24" ht="15.75" customHeight="1">
      <c r="A24" s="406"/>
      <c r="B24" s="406"/>
      <c r="C24" s="406"/>
      <c r="D24" s="406"/>
      <c r="E24" s="406"/>
      <c r="F24" s="406"/>
      <c r="G24" s="406"/>
      <c r="H24" s="406"/>
      <c r="I24" s="406"/>
      <c r="J24" s="406"/>
      <c r="K24" s="406"/>
      <c r="L24" s="406"/>
      <c r="M24" s="406"/>
      <c r="N24" s="406"/>
      <c r="O24" s="406"/>
      <c r="P24" s="406"/>
      <c r="Q24" s="406"/>
      <c r="R24" s="406"/>
      <c r="S24" s="406"/>
      <c r="T24" s="406"/>
      <c r="U24" s="406"/>
      <c r="V24" s="406"/>
      <c r="W24" s="406"/>
    </row>
    <row r="25" ht="15.75" customHeight="1">
      <c r="A25" s="406"/>
      <c r="B25" s="406"/>
      <c r="C25" s="406"/>
      <c r="D25" s="406"/>
      <c r="E25" s="406"/>
      <c r="F25" s="406"/>
      <c r="G25" s="406"/>
      <c r="H25" s="406"/>
      <c r="I25" s="406"/>
      <c r="J25" s="406"/>
      <c r="K25" s="406"/>
      <c r="L25" s="406"/>
      <c r="M25" s="406"/>
      <c r="N25" s="406"/>
      <c r="O25" s="406"/>
      <c r="P25" s="406"/>
      <c r="Q25" s="406"/>
      <c r="R25" s="406"/>
      <c r="S25" s="406"/>
      <c r="T25" s="406"/>
      <c r="U25" s="406"/>
      <c r="V25" s="406"/>
      <c r="W25" s="406"/>
    </row>
    <row r="26" ht="15.75" customHeight="1">
      <c r="A26" s="406"/>
      <c r="B26" s="406"/>
      <c r="C26" s="406"/>
      <c r="D26" s="406"/>
      <c r="E26" s="406"/>
      <c r="F26" s="406"/>
      <c r="G26" s="406"/>
      <c r="H26" s="406"/>
      <c r="I26" s="406"/>
      <c r="J26" s="406"/>
      <c r="K26" s="406"/>
      <c r="L26" s="406"/>
      <c r="M26" s="406"/>
      <c r="N26" s="406"/>
      <c r="O26" s="406"/>
      <c r="P26" s="406"/>
      <c r="Q26" s="406"/>
      <c r="R26" s="406"/>
      <c r="S26" s="406"/>
      <c r="T26" s="406"/>
      <c r="U26" s="406"/>
      <c r="V26" s="406"/>
      <c r="W26" s="406"/>
    </row>
    <row r="27" ht="15.75" customHeight="1">
      <c r="A27" s="406"/>
      <c r="B27" s="406"/>
      <c r="C27" s="406"/>
      <c r="D27" s="406"/>
      <c r="E27" s="406"/>
      <c r="F27" s="406"/>
      <c r="G27" s="406"/>
      <c r="H27" s="406"/>
      <c r="I27" s="406"/>
      <c r="J27" s="406"/>
      <c r="K27" s="406"/>
      <c r="L27" s="406"/>
      <c r="M27" s="406"/>
      <c r="N27" s="406"/>
      <c r="O27" s="406"/>
      <c r="P27" s="406"/>
      <c r="Q27" s="406"/>
      <c r="R27" s="406"/>
      <c r="S27" s="406"/>
      <c r="T27" s="406"/>
      <c r="U27" s="406"/>
      <c r="V27" s="406"/>
      <c r="W27" s="406"/>
    </row>
    <row r="28" ht="15.75" customHeight="1">
      <c r="A28" s="406"/>
      <c r="B28" s="406"/>
      <c r="C28" s="406"/>
      <c r="D28" s="406"/>
      <c r="E28" s="406"/>
      <c r="F28" s="406"/>
      <c r="G28" s="406"/>
      <c r="H28" s="406"/>
      <c r="I28" s="406"/>
      <c r="J28" s="406"/>
      <c r="K28" s="406"/>
      <c r="L28" s="406"/>
      <c r="M28" s="406"/>
      <c r="N28" s="406"/>
      <c r="O28" s="406"/>
      <c r="P28" s="406"/>
      <c r="Q28" s="406"/>
      <c r="R28" s="406"/>
      <c r="S28" s="406"/>
      <c r="T28" s="406"/>
      <c r="U28" s="406"/>
      <c r="V28" s="406"/>
      <c r="W28" s="406"/>
    </row>
    <row r="29" ht="15.75" customHeight="1">
      <c r="A29" s="406"/>
      <c r="B29" s="406"/>
      <c r="C29" s="406"/>
      <c r="D29" s="406"/>
      <c r="E29" s="406"/>
      <c r="F29" s="406"/>
      <c r="G29" s="406"/>
      <c r="H29" s="406"/>
      <c r="I29" s="406"/>
      <c r="J29" s="406"/>
      <c r="K29" s="406"/>
      <c r="L29" s="406"/>
      <c r="M29" s="406"/>
      <c r="N29" s="406"/>
      <c r="O29" s="406"/>
      <c r="P29" s="406"/>
      <c r="Q29" s="406"/>
      <c r="R29" s="406"/>
      <c r="S29" s="406"/>
      <c r="T29" s="406"/>
      <c r="U29" s="406"/>
      <c r="V29" s="406"/>
      <c r="W29" s="406"/>
    </row>
    <row r="30" ht="15.75" customHeight="1">
      <c r="A30" s="406"/>
      <c r="B30" s="406"/>
      <c r="C30" s="406"/>
      <c r="D30" s="406"/>
      <c r="E30" s="406"/>
      <c r="F30" s="406"/>
      <c r="G30" s="406"/>
      <c r="H30" s="406"/>
      <c r="I30" s="406"/>
      <c r="J30" s="406"/>
      <c r="K30" s="406"/>
      <c r="L30" s="406"/>
      <c r="M30" s="406"/>
      <c r="N30" s="406"/>
      <c r="O30" s="406"/>
      <c r="P30" s="406"/>
      <c r="Q30" s="406"/>
      <c r="R30" s="406"/>
      <c r="S30" s="406"/>
      <c r="T30" s="406"/>
      <c r="U30" s="406"/>
      <c r="V30" s="406"/>
      <c r="W30" s="406"/>
    </row>
    <row r="31" ht="15.75" customHeight="1">
      <c r="A31" s="406"/>
      <c r="B31" s="406"/>
      <c r="C31" s="406"/>
      <c r="D31" s="406"/>
      <c r="E31" s="406"/>
      <c r="F31" s="406"/>
      <c r="G31" s="406"/>
      <c r="H31" s="406"/>
      <c r="I31" s="406"/>
      <c r="J31" s="406"/>
      <c r="K31" s="406"/>
      <c r="L31" s="406"/>
      <c r="M31" s="406"/>
      <c r="N31" s="406"/>
      <c r="O31" s="406"/>
      <c r="P31" s="406"/>
      <c r="Q31" s="406"/>
      <c r="R31" s="406"/>
      <c r="S31" s="406"/>
      <c r="T31" s="406"/>
      <c r="U31" s="406"/>
      <c r="V31" s="406"/>
      <c r="W31" s="406"/>
    </row>
    <row r="32" ht="15.75" customHeight="1">
      <c r="A32" s="406"/>
      <c r="B32" s="406"/>
      <c r="C32" s="406"/>
      <c r="D32" s="406"/>
      <c r="E32" s="406"/>
      <c r="F32" s="406"/>
      <c r="G32" s="406"/>
      <c r="H32" s="406"/>
      <c r="I32" s="406"/>
      <c r="J32" s="406"/>
      <c r="K32" s="406"/>
      <c r="L32" s="406"/>
      <c r="M32" s="406"/>
      <c r="N32" s="406"/>
      <c r="O32" s="406"/>
      <c r="P32" s="406"/>
      <c r="Q32" s="406"/>
      <c r="R32" s="406"/>
      <c r="S32" s="406"/>
      <c r="T32" s="406"/>
      <c r="U32" s="406"/>
      <c r="V32" s="406"/>
      <c r="W32" s="406"/>
    </row>
    <row r="33" ht="15.75" customHeight="1">
      <c r="A33" s="406"/>
      <c r="B33" s="406"/>
      <c r="C33" s="406"/>
      <c r="D33" s="406"/>
      <c r="E33" s="406"/>
      <c r="F33" s="406"/>
      <c r="G33" s="406"/>
      <c r="H33" s="406"/>
      <c r="I33" s="406"/>
      <c r="J33" s="406"/>
      <c r="K33" s="406"/>
      <c r="L33" s="406"/>
      <c r="M33" s="406"/>
      <c r="N33" s="406"/>
      <c r="O33" s="406"/>
      <c r="P33" s="406"/>
      <c r="Q33" s="406"/>
      <c r="R33" s="406"/>
      <c r="S33" s="406"/>
      <c r="T33" s="406"/>
      <c r="U33" s="406"/>
      <c r="V33" s="406"/>
      <c r="W33" s="406"/>
    </row>
    <row r="34" ht="15.75" customHeight="1">
      <c r="A34" s="406"/>
      <c r="B34" s="406"/>
      <c r="C34" s="406"/>
      <c r="D34" s="406"/>
      <c r="E34" s="406"/>
      <c r="F34" s="406"/>
      <c r="G34" s="406"/>
      <c r="H34" s="406"/>
      <c r="I34" s="406"/>
      <c r="J34" s="406"/>
      <c r="K34" s="406"/>
      <c r="L34" s="406"/>
      <c r="M34" s="406"/>
      <c r="N34" s="406"/>
      <c r="O34" s="406"/>
      <c r="P34" s="406"/>
      <c r="Q34" s="406"/>
      <c r="R34" s="406"/>
      <c r="S34" s="406"/>
      <c r="T34" s="406"/>
      <c r="U34" s="406"/>
      <c r="V34" s="406"/>
      <c r="W34" s="406"/>
    </row>
    <row r="35" ht="15.75" customHeight="1">
      <c r="A35" s="406"/>
      <c r="B35" s="406"/>
      <c r="C35" s="406"/>
      <c r="D35" s="406"/>
      <c r="E35" s="406"/>
      <c r="F35" s="406"/>
      <c r="G35" s="406"/>
      <c r="H35" s="406"/>
      <c r="I35" s="406"/>
      <c r="J35" s="406"/>
      <c r="K35" s="406"/>
      <c r="L35" s="406"/>
      <c r="M35" s="406"/>
      <c r="N35" s="406"/>
      <c r="O35" s="406"/>
      <c r="P35" s="406"/>
      <c r="Q35" s="406"/>
      <c r="R35" s="406"/>
      <c r="S35" s="406"/>
      <c r="T35" s="406"/>
      <c r="U35" s="406"/>
      <c r="V35" s="406"/>
      <c r="W35" s="406"/>
    </row>
    <row r="36" ht="15.75" customHeight="1">
      <c r="A36" s="406"/>
      <c r="B36" s="406"/>
      <c r="C36" s="406"/>
      <c r="D36" s="406"/>
      <c r="E36" s="406"/>
      <c r="F36" s="406"/>
      <c r="G36" s="406"/>
      <c r="H36" s="406"/>
      <c r="I36" s="406"/>
      <c r="J36" s="406"/>
      <c r="K36" s="406"/>
      <c r="L36" s="406"/>
      <c r="M36" s="406"/>
      <c r="N36" s="406"/>
      <c r="O36" s="406"/>
      <c r="P36" s="406"/>
      <c r="Q36" s="406"/>
      <c r="R36" s="406"/>
      <c r="S36" s="406"/>
      <c r="T36" s="406"/>
      <c r="U36" s="406"/>
      <c r="V36" s="406"/>
      <c r="W36" s="406"/>
    </row>
    <row r="37" ht="15.75" customHeight="1">
      <c r="A37" s="406"/>
      <c r="B37" s="406"/>
      <c r="C37" s="406"/>
      <c r="D37" s="406"/>
      <c r="E37" s="406"/>
      <c r="F37" s="406"/>
      <c r="G37" s="406"/>
      <c r="H37" s="406"/>
      <c r="I37" s="406"/>
      <c r="J37" s="406"/>
      <c r="K37" s="406"/>
      <c r="L37" s="406"/>
      <c r="M37" s="406"/>
      <c r="N37" s="406"/>
      <c r="O37" s="406"/>
      <c r="P37" s="406"/>
      <c r="Q37" s="406"/>
      <c r="R37" s="406"/>
      <c r="S37" s="406"/>
      <c r="T37" s="406"/>
      <c r="U37" s="406"/>
      <c r="V37" s="406"/>
      <c r="W37" s="406"/>
    </row>
    <row r="38" ht="15.75" customHeight="1">
      <c r="A38" s="406"/>
      <c r="B38" s="406"/>
      <c r="C38" s="406"/>
      <c r="D38" s="406"/>
      <c r="E38" s="406"/>
      <c r="F38" s="406"/>
      <c r="G38" s="406"/>
      <c r="H38" s="406"/>
      <c r="I38" s="406"/>
      <c r="J38" s="406"/>
      <c r="K38" s="406"/>
      <c r="L38" s="406"/>
      <c r="M38" s="406"/>
      <c r="N38" s="406"/>
      <c r="O38" s="406"/>
      <c r="P38" s="406"/>
      <c r="Q38" s="406"/>
      <c r="R38" s="406"/>
      <c r="S38" s="406"/>
      <c r="T38" s="406"/>
      <c r="U38" s="406"/>
      <c r="V38" s="406"/>
      <c r="W38" s="406"/>
    </row>
    <row r="39" ht="15.75" customHeight="1">
      <c r="A39" s="406"/>
      <c r="B39" s="406"/>
      <c r="C39" s="406"/>
      <c r="D39" s="406"/>
      <c r="E39" s="406"/>
      <c r="F39" s="406"/>
      <c r="G39" s="406"/>
      <c r="H39" s="406"/>
      <c r="I39" s="406"/>
      <c r="J39" s="406"/>
      <c r="K39" s="406"/>
      <c r="L39" s="406"/>
      <c r="M39" s="406"/>
      <c r="N39" s="406"/>
      <c r="O39" s="406"/>
      <c r="P39" s="406"/>
      <c r="Q39" s="406"/>
      <c r="R39" s="406"/>
      <c r="S39" s="406"/>
      <c r="T39" s="406"/>
      <c r="U39" s="406"/>
      <c r="V39" s="406"/>
      <c r="W39" s="406"/>
    </row>
    <row r="40" ht="15.75" customHeight="1">
      <c r="A40" s="406"/>
      <c r="B40" s="406"/>
      <c r="C40" s="406"/>
      <c r="D40" s="406"/>
      <c r="E40" s="406"/>
      <c r="F40" s="406"/>
      <c r="G40" s="406"/>
      <c r="H40" s="406"/>
      <c r="I40" s="406"/>
      <c r="J40" s="406"/>
      <c r="K40" s="406"/>
      <c r="L40" s="406"/>
      <c r="M40" s="406"/>
      <c r="N40" s="406"/>
      <c r="O40" s="406"/>
      <c r="P40" s="406"/>
      <c r="Q40" s="406"/>
      <c r="R40" s="406"/>
      <c r="S40" s="406"/>
      <c r="T40" s="406"/>
      <c r="U40" s="406"/>
      <c r="V40" s="406"/>
      <c r="W40" s="406"/>
    </row>
    <row r="41" ht="15.75" customHeight="1">
      <c r="A41" s="406"/>
      <c r="B41" s="406"/>
      <c r="C41" s="406"/>
      <c r="D41" s="406"/>
      <c r="E41" s="406"/>
      <c r="F41" s="406"/>
      <c r="G41" s="406"/>
      <c r="H41" s="406"/>
      <c r="I41" s="406"/>
      <c r="J41" s="406"/>
      <c r="K41" s="406"/>
      <c r="L41" s="406"/>
      <c r="M41" s="406"/>
      <c r="N41" s="406"/>
      <c r="O41" s="406"/>
      <c r="P41" s="406"/>
      <c r="Q41" s="406"/>
      <c r="R41" s="406"/>
      <c r="S41" s="406"/>
      <c r="T41" s="406"/>
      <c r="U41" s="406"/>
      <c r="V41" s="406"/>
      <c r="W41" s="406"/>
    </row>
    <row r="42" ht="15.75" customHeight="1">
      <c r="A42" s="406"/>
      <c r="B42" s="406"/>
      <c r="C42" s="406"/>
      <c r="D42" s="406"/>
      <c r="E42" s="406"/>
      <c r="F42" s="406"/>
      <c r="G42" s="406"/>
      <c r="H42" s="406"/>
      <c r="I42" s="406"/>
      <c r="J42" s="406"/>
      <c r="K42" s="406"/>
      <c r="L42" s="406"/>
      <c r="M42" s="406"/>
      <c r="N42" s="406"/>
      <c r="O42" s="406"/>
      <c r="P42" s="406"/>
      <c r="Q42" s="406"/>
      <c r="R42" s="406"/>
      <c r="S42" s="406"/>
      <c r="T42" s="406"/>
      <c r="U42" s="406"/>
      <c r="V42" s="406"/>
      <c r="W42" s="406"/>
    </row>
    <row r="43" ht="15.75" customHeight="1">
      <c r="A43" s="406"/>
      <c r="B43" s="406"/>
      <c r="C43" s="406"/>
      <c r="D43" s="406"/>
      <c r="E43" s="406"/>
      <c r="F43" s="406"/>
      <c r="G43" s="406"/>
      <c r="H43" s="406"/>
      <c r="I43" s="406"/>
      <c r="J43" s="406"/>
      <c r="K43" s="406"/>
      <c r="L43" s="406"/>
      <c r="M43" s="406"/>
      <c r="N43" s="406"/>
      <c r="O43" s="406"/>
      <c r="P43" s="406"/>
      <c r="Q43" s="406"/>
      <c r="R43" s="406"/>
      <c r="S43" s="406"/>
      <c r="T43" s="406"/>
      <c r="U43" s="406"/>
      <c r="V43" s="406"/>
      <c r="W43" s="406"/>
    </row>
    <row r="44" ht="15.75" customHeight="1">
      <c r="A44" s="406"/>
      <c r="B44" s="406"/>
      <c r="C44" s="406"/>
      <c r="D44" s="406"/>
      <c r="E44" s="406"/>
      <c r="F44" s="406"/>
      <c r="G44" s="406"/>
      <c r="H44" s="406"/>
      <c r="I44" s="406"/>
      <c r="J44" s="406"/>
      <c r="K44" s="406"/>
      <c r="L44" s="406"/>
      <c r="M44" s="406"/>
      <c r="N44" s="406"/>
      <c r="O44" s="406"/>
      <c r="P44" s="406"/>
      <c r="Q44" s="406"/>
      <c r="R44" s="406"/>
      <c r="S44" s="406"/>
      <c r="T44" s="406"/>
      <c r="U44" s="406"/>
      <c r="V44" s="406"/>
      <c r="W44" s="406"/>
    </row>
    <row r="45" ht="15.75" customHeight="1">
      <c r="A45" s="406"/>
      <c r="B45" s="406"/>
      <c r="C45" s="406"/>
      <c r="D45" s="406"/>
      <c r="E45" s="406"/>
      <c r="F45" s="406"/>
      <c r="G45" s="406"/>
      <c r="H45" s="406"/>
      <c r="I45" s="406"/>
      <c r="J45" s="406"/>
      <c r="K45" s="406"/>
      <c r="L45" s="406"/>
      <c r="M45" s="406"/>
      <c r="N45" s="406"/>
      <c r="O45" s="406"/>
      <c r="P45" s="406"/>
      <c r="Q45" s="406"/>
      <c r="R45" s="406"/>
      <c r="S45" s="406"/>
      <c r="T45" s="406"/>
      <c r="U45" s="406"/>
      <c r="V45" s="406"/>
      <c r="W45" s="406"/>
    </row>
    <row r="46" ht="15.75" customHeight="1">
      <c r="A46" s="406"/>
      <c r="B46" s="406"/>
      <c r="C46" s="406"/>
      <c r="D46" s="406"/>
      <c r="E46" s="406"/>
      <c r="F46" s="406"/>
      <c r="G46" s="406"/>
      <c r="H46" s="406"/>
      <c r="I46" s="406"/>
      <c r="J46" s="406"/>
      <c r="K46" s="406"/>
      <c r="L46" s="406"/>
      <c r="M46" s="406"/>
      <c r="N46" s="406"/>
      <c r="O46" s="406"/>
      <c r="P46" s="406"/>
      <c r="Q46" s="406"/>
      <c r="R46" s="406"/>
      <c r="S46" s="406"/>
      <c r="T46" s="406"/>
      <c r="U46" s="406"/>
      <c r="V46" s="406"/>
      <c r="W46" s="406"/>
    </row>
    <row r="47" ht="15.75" customHeight="1">
      <c r="A47" s="406"/>
      <c r="B47" s="406"/>
      <c r="C47" s="406"/>
      <c r="D47" s="406"/>
      <c r="E47" s="406"/>
      <c r="F47" s="406"/>
      <c r="G47" s="406"/>
      <c r="H47" s="406"/>
      <c r="I47" s="406"/>
      <c r="J47" s="406"/>
      <c r="K47" s="406"/>
      <c r="L47" s="406"/>
      <c r="M47" s="406"/>
      <c r="N47" s="406"/>
      <c r="O47" s="406"/>
      <c r="P47" s="406"/>
      <c r="Q47" s="406"/>
      <c r="R47" s="406"/>
      <c r="S47" s="406"/>
      <c r="T47" s="406"/>
      <c r="U47" s="406"/>
      <c r="V47" s="406"/>
      <c r="W47" s="406"/>
    </row>
    <row r="48" ht="15.75" customHeight="1">
      <c r="A48" s="406"/>
      <c r="B48" s="406"/>
      <c r="C48" s="406"/>
      <c r="D48" s="406"/>
      <c r="E48" s="406"/>
      <c r="F48" s="406"/>
      <c r="G48" s="406"/>
      <c r="H48" s="406"/>
      <c r="I48" s="406"/>
      <c r="J48" s="406"/>
      <c r="K48" s="406"/>
      <c r="L48" s="406"/>
      <c r="M48" s="406"/>
      <c r="N48" s="406"/>
      <c r="O48" s="406"/>
      <c r="P48" s="406"/>
      <c r="Q48" s="406"/>
      <c r="R48" s="406"/>
      <c r="S48" s="406"/>
      <c r="T48" s="406"/>
      <c r="U48" s="406"/>
      <c r="V48" s="406"/>
      <c r="W48" s="406"/>
    </row>
    <row r="49" ht="15.75" customHeight="1">
      <c r="A49" s="406"/>
      <c r="B49" s="406"/>
      <c r="C49" s="406"/>
      <c r="D49" s="406"/>
      <c r="E49" s="406"/>
      <c r="F49" s="406"/>
      <c r="G49" s="406"/>
      <c r="H49" s="406"/>
      <c r="I49" s="406"/>
      <c r="J49" s="406"/>
      <c r="K49" s="406"/>
      <c r="L49" s="406"/>
      <c r="M49" s="406"/>
      <c r="N49" s="406"/>
      <c r="O49" s="406"/>
      <c r="P49" s="406"/>
      <c r="Q49" s="406"/>
      <c r="R49" s="406"/>
      <c r="S49" s="406"/>
      <c r="T49" s="406"/>
      <c r="U49" s="406"/>
      <c r="V49" s="406"/>
      <c r="W49" s="406"/>
    </row>
    <row r="50" ht="15.75" customHeight="1">
      <c r="A50" s="406"/>
      <c r="B50" s="406"/>
      <c r="C50" s="406"/>
      <c r="D50" s="406"/>
      <c r="E50" s="406"/>
      <c r="F50" s="406"/>
      <c r="G50" s="406"/>
      <c r="H50" s="406"/>
      <c r="I50" s="406"/>
      <c r="J50" s="406"/>
      <c r="K50" s="406"/>
      <c r="L50" s="406"/>
      <c r="M50" s="406"/>
      <c r="N50" s="406"/>
      <c r="O50" s="406"/>
      <c r="P50" s="406"/>
      <c r="Q50" s="406"/>
      <c r="R50" s="406"/>
      <c r="S50" s="406"/>
      <c r="T50" s="406"/>
      <c r="U50" s="406"/>
      <c r="V50" s="406"/>
      <c r="W50" s="406"/>
    </row>
    <row r="51" ht="15.75" customHeight="1">
      <c r="A51" s="406"/>
      <c r="B51" s="406"/>
      <c r="C51" s="406"/>
      <c r="D51" s="406"/>
      <c r="E51" s="406"/>
      <c r="F51" s="406"/>
      <c r="G51" s="406"/>
      <c r="H51" s="406"/>
      <c r="I51" s="406"/>
      <c r="J51" s="406"/>
      <c r="K51" s="406"/>
      <c r="L51" s="406"/>
      <c r="M51" s="406"/>
      <c r="N51" s="406"/>
      <c r="O51" s="406"/>
      <c r="P51" s="406"/>
      <c r="Q51" s="406"/>
      <c r="R51" s="406"/>
      <c r="S51" s="406"/>
      <c r="T51" s="406"/>
      <c r="U51" s="406"/>
      <c r="V51" s="406"/>
      <c r="W51" s="406"/>
    </row>
    <row r="52" ht="15.75" customHeight="1">
      <c r="A52" s="406"/>
      <c r="B52" s="406"/>
      <c r="C52" s="406"/>
      <c r="D52" s="406"/>
      <c r="E52" s="406"/>
      <c r="F52" s="406"/>
      <c r="G52" s="406"/>
      <c r="H52" s="406"/>
      <c r="I52" s="406"/>
      <c r="J52" s="406"/>
      <c r="K52" s="406"/>
      <c r="L52" s="406"/>
      <c r="M52" s="406"/>
      <c r="N52" s="406"/>
      <c r="O52" s="406"/>
      <c r="P52" s="406"/>
      <c r="Q52" s="406"/>
      <c r="R52" s="406"/>
      <c r="S52" s="406"/>
      <c r="T52" s="406"/>
      <c r="U52" s="406"/>
      <c r="V52" s="406"/>
      <c r="W52" s="406"/>
    </row>
    <row r="53" ht="15.75" customHeight="1">
      <c r="A53" s="406"/>
      <c r="B53" s="406"/>
      <c r="C53" s="406"/>
      <c r="D53" s="406"/>
      <c r="E53" s="406"/>
      <c r="F53" s="406"/>
      <c r="G53" s="406"/>
      <c r="H53" s="406"/>
      <c r="I53" s="406"/>
      <c r="J53" s="406"/>
      <c r="K53" s="406"/>
      <c r="L53" s="406"/>
      <c r="M53" s="406"/>
      <c r="N53" s="406"/>
      <c r="O53" s="406"/>
      <c r="P53" s="406"/>
      <c r="Q53" s="406"/>
      <c r="R53" s="406"/>
      <c r="S53" s="406"/>
      <c r="T53" s="406"/>
      <c r="U53" s="406"/>
      <c r="V53" s="406"/>
      <c r="W53" s="406"/>
    </row>
    <row r="54" ht="15.75" customHeight="1">
      <c r="A54" s="406"/>
      <c r="B54" s="406"/>
      <c r="C54" s="406"/>
      <c r="D54" s="406"/>
      <c r="E54" s="406"/>
      <c r="F54" s="406"/>
      <c r="G54" s="406"/>
      <c r="H54" s="406"/>
      <c r="I54" s="406"/>
      <c r="J54" s="406"/>
      <c r="K54" s="406"/>
      <c r="L54" s="406"/>
      <c r="M54" s="406"/>
      <c r="N54" s="406"/>
      <c r="O54" s="406"/>
      <c r="P54" s="406"/>
      <c r="Q54" s="406"/>
      <c r="R54" s="406"/>
      <c r="S54" s="406"/>
      <c r="T54" s="406"/>
      <c r="U54" s="406"/>
      <c r="V54" s="406"/>
      <c r="W54" s="406"/>
    </row>
    <row r="55" ht="15.75" customHeight="1">
      <c r="A55" s="406"/>
      <c r="B55" s="406"/>
      <c r="C55" s="406"/>
      <c r="D55" s="406"/>
      <c r="E55" s="406"/>
      <c r="F55" s="406"/>
      <c r="G55" s="406"/>
      <c r="H55" s="406"/>
      <c r="I55" s="406"/>
      <c r="J55" s="406"/>
      <c r="K55" s="406"/>
      <c r="L55" s="406"/>
      <c r="M55" s="406"/>
      <c r="N55" s="406"/>
      <c r="O55" s="406"/>
      <c r="P55" s="406"/>
      <c r="Q55" s="406"/>
      <c r="R55" s="406"/>
      <c r="S55" s="406"/>
      <c r="T55" s="406"/>
      <c r="U55" s="406"/>
      <c r="V55" s="406"/>
      <c r="W55" s="406"/>
    </row>
    <row r="56" ht="15.75" customHeight="1">
      <c r="A56" s="406"/>
      <c r="B56" s="406"/>
      <c r="C56" s="406"/>
      <c r="D56" s="406"/>
      <c r="E56" s="406"/>
      <c r="F56" s="406"/>
      <c r="G56" s="406"/>
      <c r="H56" s="406"/>
      <c r="I56" s="406"/>
      <c r="J56" s="406"/>
      <c r="K56" s="406"/>
      <c r="L56" s="406"/>
      <c r="M56" s="406"/>
      <c r="N56" s="406"/>
      <c r="O56" s="406"/>
      <c r="P56" s="406"/>
      <c r="Q56" s="406"/>
      <c r="R56" s="406"/>
      <c r="S56" s="406"/>
      <c r="T56" s="406"/>
      <c r="U56" s="406"/>
      <c r="V56" s="406"/>
      <c r="W56" s="406"/>
    </row>
    <row r="57" ht="15.75" customHeight="1">
      <c r="A57" s="406"/>
      <c r="B57" s="406"/>
      <c r="C57" s="406"/>
      <c r="D57" s="406"/>
      <c r="E57" s="406"/>
      <c r="F57" s="406"/>
      <c r="G57" s="406"/>
      <c r="H57" s="406"/>
      <c r="I57" s="406"/>
      <c r="J57" s="406"/>
      <c r="K57" s="406"/>
      <c r="L57" s="406"/>
      <c r="M57" s="406"/>
      <c r="N57" s="406"/>
      <c r="O57" s="406"/>
      <c r="P57" s="406"/>
      <c r="Q57" s="406"/>
      <c r="R57" s="406"/>
      <c r="S57" s="406"/>
      <c r="T57" s="406"/>
      <c r="U57" s="406"/>
      <c r="V57" s="406"/>
      <c r="W57" s="406"/>
    </row>
    <row r="58" ht="15.75" customHeight="1">
      <c r="A58" s="406"/>
      <c r="B58" s="406"/>
      <c r="C58" s="406"/>
      <c r="D58" s="406"/>
      <c r="E58" s="406"/>
      <c r="F58" s="406"/>
      <c r="G58" s="406"/>
      <c r="H58" s="406"/>
      <c r="I58" s="406"/>
      <c r="J58" s="406"/>
      <c r="K58" s="406"/>
      <c r="L58" s="406"/>
      <c r="M58" s="406"/>
      <c r="N58" s="406"/>
      <c r="O58" s="406"/>
      <c r="P58" s="406"/>
      <c r="Q58" s="406"/>
      <c r="R58" s="406"/>
      <c r="S58" s="406"/>
      <c r="T58" s="406"/>
      <c r="U58" s="406"/>
      <c r="V58" s="406"/>
      <c r="W58" s="406"/>
    </row>
    <row r="59" ht="15.75" customHeight="1">
      <c r="A59" s="406"/>
      <c r="B59" s="406"/>
      <c r="C59" s="406"/>
      <c r="D59" s="406"/>
      <c r="E59" s="406"/>
      <c r="F59" s="406"/>
      <c r="G59" s="406"/>
      <c r="H59" s="406"/>
      <c r="I59" s="406"/>
      <c r="J59" s="406"/>
      <c r="K59" s="406"/>
      <c r="L59" s="406"/>
      <c r="M59" s="406"/>
      <c r="N59" s="406"/>
      <c r="O59" s="406"/>
      <c r="P59" s="406"/>
      <c r="Q59" s="406"/>
      <c r="R59" s="406"/>
      <c r="S59" s="406"/>
      <c r="T59" s="406"/>
      <c r="U59" s="406"/>
      <c r="V59" s="406"/>
      <c r="W59" s="406"/>
    </row>
    <row r="60" ht="15.75" customHeight="1">
      <c r="A60" s="406"/>
      <c r="B60" s="406"/>
      <c r="C60" s="406"/>
      <c r="D60" s="406"/>
      <c r="E60" s="406"/>
      <c r="F60" s="406"/>
      <c r="G60" s="406"/>
      <c r="H60" s="406"/>
      <c r="I60" s="406"/>
      <c r="J60" s="406"/>
      <c r="K60" s="406"/>
      <c r="L60" s="406"/>
      <c r="M60" s="406"/>
      <c r="N60" s="406"/>
      <c r="O60" s="406"/>
      <c r="P60" s="406"/>
      <c r="Q60" s="406"/>
      <c r="R60" s="406"/>
      <c r="S60" s="406"/>
      <c r="T60" s="406"/>
      <c r="U60" s="406"/>
      <c r="V60" s="406"/>
      <c r="W60" s="406"/>
    </row>
    <row r="61" ht="15.75" customHeight="1">
      <c r="A61" s="406"/>
      <c r="B61" s="406"/>
      <c r="C61" s="406"/>
      <c r="D61" s="406"/>
      <c r="E61" s="406"/>
      <c r="F61" s="406"/>
      <c r="G61" s="406"/>
      <c r="H61" s="406"/>
      <c r="I61" s="406"/>
      <c r="J61" s="406"/>
      <c r="K61" s="406"/>
      <c r="L61" s="406"/>
      <c r="M61" s="406"/>
      <c r="N61" s="406"/>
      <c r="O61" s="406"/>
      <c r="P61" s="406"/>
      <c r="Q61" s="406"/>
      <c r="R61" s="406"/>
      <c r="S61" s="406"/>
      <c r="T61" s="406"/>
      <c r="U61" s="406"/>
      <c r="V61" s="406"/>
      <c r="W61" s="406"/>
    </row>
    <row r="62" ht="15.75" customHeight="1">
      <c r="A62" s="406"/>
      <c r="B62" s="406"/>
      <c r="C62" s="406"/>
      <c r="D62" s="406"/>
      <c r="E62" s="406"/>
      <c r="F62" s="406"/>
      <c r="G62" s="406"/>
      <c r="H62" s="406"/>
      <c r="I62" s="406"/>
      <c r="J62" s="406"/>
      <c r="K62" s="406"/>
      <c r="L62" s="406"/>
      <c r="M62" s="406"/>
      <c r="N62" s="406"/>
      <c r="O62" s="406"/>
      <c r="P62" s="406"/>
      <c r="Q62" s="406"/>
      <c r="R62" s="406"/>
      <c r="S62" s="406"/>
      <c r="T62" s="406"/>
      <c r="U62" s="406"/>
      <c r="V62" s="406"/>
      <c r="W62" s="406"/>
    </row>
    <row r="63" ht="15.75" customHeight="1">
      <c r="A63" s="406"/>
      <c r="B63" s="406"/>
      <c r="C63" s="406"/>
      <c r="D63" s="406"/>
      <c r="E63" s="406"/>
      <c r="F63" s="406"/>
      <c r="G63" s="406"/>
      <c r="H63" s="406"/>
      <c r="I63" s="406"/>
      <c r="J63" s="406"/>
      <c r="K63" s="406"/>
      <c r="L63" s="406"/>
      <c r="M63" s="406"/>
      <c r="N63" s="406"/>
      <c r="O63" s="406"/>
      <c r="P63" s="406"/>
      <c r="Q63" s="406"/>
      <c r="R63" s="406"/>
      <c r="S63" s="406"/>
      <c r="T63" s="406"/>
      <c r="U63" s="406"/>
      <c r="V63" s="406"/>
      <c r="W63" s="406"/>
    </row>
    <row r="64" ht="15.75" customHeight="1">
      <c r="A64" s="406"/>
      <c r="B64" s="406"/>
      <c r="C64" s="406"/>
      <c r="D64" s="406"/>
      <c r="E64" s="406"/>
      <c r="F64" s="406"/>
      <c r="G64" s="406"/>
      <c r="H64" s="406"/>
      <c r="I64" s="406"/>
      <c r="J64" s="406"/>
      <c r="K64" s="406"/>
      <c r="L64" s="406"/>
      <c r="M64" s="406"/>
      <c r="N64" s="406"/>
      <c r="O64" s="406"/>
      <c r="P64" s="406"/>
      <c r="Q64" s="406"/>
      <c r="R64" s="406"/>
      <c r="S64" s="406"/>
      <c r="T64" s="406"/>
      <c r="U64" s="406"/>
      <c r="V64" s="406"/>
      <c r="W64" s="406"/>
    </row>
    <row r="65" ht="15.75" customHeight="1">
      <c r="A65" s="406"/>
      <c r="B65" s="406"/>
      <c r="C65" s="406"/>
      <c r="D65" s="406"/>
      <c r="E65" s="406"/>
      <c r="F65" s="406"/>
      <c r="G65" s="406"/>
      <c r="H65" s="406"/>
      <c r="I65" s="406"/>
      <c r="J65" s="406"/>
      <c r="K65" s="406"/>
      <c r="L65" s="406"/>
      <c r="M65" s="406"/>
      <c r="N65" s="406"/>
      <c r="O65" s="406"/>
      <c r="P65" s="406"/>
      <c r="Q65" s="406"/>
      <c r="R65" s="406"/>
      <c r="S65" s="406"/>
      <c r="T65" s="406"/>
      <c r="U65" s="406"/>
      <c r="V65" s="406"/>
      <c r="W65" s="406"/>
    </row>
    <row r="66" ht="15.75" customHeight="1">
      <c r="A66" s="406"/>
      <c r="B66" s="406"/>
      <c r="C66" s="406"/>
      <c r="D66" s="406"/>
      <c r="E66" s="406"/>
      <c r="F66" s="406"/>
      <c r="G66" s="406"/>
      <c r="H66" s="406"/>
      <c r="I66" s="406"/>
      <c r="J66" s="406"/>
      <c r="K66" s="406"/>
      <c r="L66" s="406"/>
      <c r="M66" s="406"/>
      <c r="N66" s="406"/>
      <c r="O66" s="406"/>
      <c r="P66" s="406"/>
      <c r="Q66" s="406"/>
      <c r="R66" s="406"/>
      <c r="S66" s="406"/>
      <c r="T66" s="406"/>
      <c r="U66" s="406"/>
      <c r="V66" s="406"/>
      <c r="W66" s="406"/>
    </row>
    <row r="67" ht="15.75" customHeight="1">
      <c r="A67" s="406"/>
      <c r="B67" s="406"/>
      <c r="C67" s="406"/>
      <c r="D67" s="406"/>
      <c r="E67" s="406"/>
      <c r="F67" s="406"/>
      <c r="G67" s="406"/>
      <c r="H67" s="406"/>
      <c r="I67" s="406"/>
      <c r="J67" s="406"/>
      <c r="K67" s="406"/>
      <c r="L67" s="406"/>
      <c r="M67" s="406"/>
      <c r="N67" s="406"/>
      <c r="O67" s="406"/>
      <c r="P67" s="406"/>
      <c r="Q67" s="406"/>
      <c r="R67" s="406"/>
      <c r="S67" s="406"/>
      <c r="T67" s="406"/>
      <c r="U67" s="406"/>
      <c r="V67" s="406"/>
      <c r="W67" s="406"/>
    </row>
    <row r="68" ht="15.75" customHeight="1">
      <c r="A68" s="406"/>
      <c r="B68" s="406"/>
      <c r="C68" s="406"/>
      <c r="D68" s="406"/>
      <c r="E68" s="406"/>
      <c r="F68" s="406"/>
      <c r="G68" s="406"/>
      <c r="H68" s="406"/>
      <c r="I68" s="406"/>
      <c r="J68" s="406"/>
      <c r="K68" s="406"/>
      <c r="L68" s="406"/>
      <c r="M68" s="406"/>
      <c r="N68" s="406"/>
      <c r="O68" s="406"/>
      <c r="P68" s="406"/>
      <c r="Q68" s="406"/>
      <c r="R68" s="406"/>
      <c r="S68" s="406"/>
      <c r="T68" s="406"/>
      <c r="U68" s="406"/>
      <c r="V68" s="406"/>
      <c r="W68" s="406"/>
    </row>
    <row r="69" ht="15.75" customHeight="1">
      <c r="A69" s="406"/>
      <c r="B69" s="406"/>
      <c r="C69" s="406"/>
      <c r="D69" s="406"/>
      <c r="E69" s="406"/>
      <c r="F69" s="406"/>
      <c r="G69" s="406"/>
      <c r="H69" s="406"/>
      <c r="I69" s="406"/>
      <c r="J69" s="406"/>
      <c r="K69" s="406"/>
      <c r="L69" s="406"/>
      <c r="M69" s="406"/>
      <c r="N69" s="406"/>
      <c r="O69" s="406"/>
      <c r="P69" s="406"/>
      <c r="Q69" s="406"/>
      <c r="R69" s="406"/>
      <c r="S69" s="406"/>
      <c r="T69" s="406"/>
      <c r="U69" s="406"/>
      <c r="V69" s="406"/>
      <c r="W69" s="406"/>
    </row>
    <row r="70" ht="15.75" customHeight="1">
      <c r="A70" s="406"/>
      <c r="B70" s="406"/>
      <c r="C70" s="406"/>
      <c r="D70" s="406"/>
      <c r="E70" s="406"/>
      <c r="F70" s="406"/>
      <c r="G70" s="406"/>
      <c r="H70" s="406"/>
      <c r="I70" s="406"/>
      <c r="J70" s="406"/>
      <c r="K70" s="406"/>
      <c r="L70" s="406"/>
      <c r="M70" s="406"/>
      <c r="N70" s="406"/>
      <c r="O70" s="406"/>
      <c r="P70" s="406"/>
      <c r="Q70" s="406"/>
      <c r="R70" s="406"/>
      <c r="S70" s="406"/>
      <c r="T70" s="406"/>
      <c r="U70" s="406"/>
      <c r="V70" s="406"/>
      <c r="W70" s="406"/>
    </row>
    <row r="71" ht="15.75" customHeight="1">
      <c r="A71" s="406"/>
      <c r="B71" s="406"/>
      <c r="C71" s="406"/>
      <c r="D71" s="406"/>
      <c r="E71" s="406"/>
      <c r="F71" s="406"/>
      <c r="G71" s="406"/>
      <c r="H71" s="406"/>
      <c r="I71" s="406"/>
      <c r="J71" s="406"/>
      <c r="K71" s="406"/>
      <c r="L71" s="406"/>
      <c r="M71" s="406"/>
      <c r="N71" s="406"/>
      <c r="O71" s="406"/>
      <c r="P71" s="406"/>
      <c r="Q71" s="406"/>
      <c r="R71" s="406"/>
      <c r="S71" s="406"/>
      <c r="T71" s="406"/>
      <c r="U71" s="406"/>
      <c r="V71" s="406"/>
      <c r="W71" s="406"/>
    </row>
    <row r="72" ht="15.75" customHeight="1">
      <c r="A72" s="406"/>
      <c r="B72" s="406"/>
      <c r="C72" s="406"/>
      <c r="D72" s="406"/>
      <c r="E72" s="406"/>
      <c r="F72" s="406"/>
      <c r="G72" s="406"/>
      <c r="H72" s="406"/>
      <c r="I72" s="406"/>
      <c r="J72" s="406"/>
      <c r="K72" s="406"/>
      <c r="L72" s="406"/>
      <c r="M72" s="406"/>
      <c r="N72" s="406"/>
      <c r="O72" s="406"/>
      <c r="P72" s="406"/>
      <c r="Q72" s="406"/>
      <c r="R72" s="406"/>
      <c r="S72" s="406"/>
      <c r="T72" s="406"/>
      <c r="U72" s="406"/>
      <c r="V72" s="406"/>
      <c r="W72" s="406"/>
    </row>
    <row r="73" ht="15.75" customHeight="1">
      <c r="A73" s="406"/>
      <c r="B73" s="406"/>
      <c r="C73" s="406"/>
      <c r="D73" s="406"/>
      <c r="E73" s="406"/>
      <c r="F73" s="406"/>
      <c r="G73" s="406"/>
      <c r="H73" s="406"/>
      <c r="I73" s="406"/>
      <c r="J73" s="406"/>
      <c r="K73" s="406"/>
      <c r="L73" s="406"/>
      <c r="M73" s="406"/>
      <c r="N73" s="406"/>
      <c r="O73" s="406"/>
      <c r="P73" s="406"/>
      <c r="Q73" s="406"/>
      <c r="R73" s="406"/>
      <c r="S73" s="406"/>
      <c r="T73" s="406"/>
      <c r="U73" s="406"/>
      <c r="V73" s="406"/>
      <c r="W73" s="406"/>
    </row>
    <row r="74" ht="15.75" customHeight="1">
      <c r="A74" s="406"/>
      <c r="B74" s="406"/>
      <c r="C74" s="406"/>
      <c r="D74" s="406"/>
      <c r="E74" s="406"/>
      <c r="F74" s="406"/>
      <c r="G74" s="406"/>
      <c r="H74" s="406"/>
      <c r="I74" s="406"/>
      <c r="J74" s="406"/>
      <c r="K74" s="406"/>
      <c r="L74" s="406"/>
      <c r="M74" s="406"/>
      <c r="N74" s="406"/>
      <c r="O74" s="406"/>
      <c r="P74" s="406"/>
      <c r="Q74" s="406"/>
      <c r="R74" s="406"/>
      <c r="S74" s="406"/>
      <c r="T74" s="406"/>
      <c r="U74" s="406"/>
      <c r="V74" s="406"/>
      <c r="W74" s="406"/>
    </row>
    <row r="75" ht="15.75" customHeight="1">
      <c r="A75" s="406"/>
      <c r="B75" s="406"/>
      <c r="C75" s="406"/>
      <c r="D75" s="406"/>
      <c r="E75" s="406"/>
      <c r="F75" s="406"/>
      <c r="G75" s="406"/>
      <c r="H75" s="406"/>
      <c r="I75" s="406"/>
      <c r="J75" s="406"/>
      <c r="K75" s="406"/>
      <c r="L75" s="406"/>
      <c r="M75" s="406"/>
      <c r="N75" s="406"/>
      <c r="O75" s="406"/>
      <c r="P75" s="406"/>
      <c r="Q75" s="406"/>
      <c r="R75" s="406"/>
      <c r="S75" s="406"/>
      <c r="T75" s="406"/>
      <c r="U75" s="406"/>
      <c r="V75" s="406"/>
      <c r="W75" s="406"/>
    </row>
    <row r="76" ht="15.75" customHeight="1">
      <c r="A76" s="406"/>
      <c r="B76" s="406"/>
      <c r="C76" s="406"/>
      <c r="D76" s="406"/>
      <c r="E76" s="406"/>
      <c r="F76" s="406"/>
      <c r="G76" s="406"/>
      <c r="H76" s="406"/>
      <c r="I76" s="406"/>
      <c r="J76" s="406"/>
      <c r="K76" s="406"/>
      <c r="L76" s="406"/>
      <c r="M76" s="406"/>
      <c r="N76" s="406"/>
      <c r="O76" s="406"/>
      <c r="P76" s="406"/>
      <c r="Q76" s="406"/>
      <c r="R76" s="406"/>
      <c r="S76" s="406"/>
      <c r="T76" s="406"/>
      <c r="U76" s="406"/>
      <c r="V76" s="406"/>
      <c r="W76" s="406"/>
    </row>
    <row r="77" ht="15.75" customHeight="1">
      <c r="A77" s="406"/>
      <c r="B77" s="406"/>
      <c r="C77" s="406"/>
      <c r="D77" s="406"/>
      <c r="E77" s="406"/>
      <c r="F77" s="406"/>
      <c r="G77" s="406"/>
      <c r="H77" s="406"/>
      <c r="I77" s="406"/>
      <c r="J77" s="406"/>
      <c r="K77" s="406"/>
      <c r="L77" s="406"/>
      <c r="M77" s="406"/>
      <c r="N77" s="406"/>
      <c r="O77" s="406"/>
      <c r="P77" s="406"/>
      <c r="Q77" s="406"/>
      <c r="R77" s="406"/>
      <c r="S77" s="406"/>
      <c r="T77" s="406"/>
      <c r="U77" s="406"/>
      <c r="V77" s="406"/>
      <c r="W77" s="406"/>
    </row>
    <row r="78" ht="15.75" customHeight="1">
      <c r="A78" s="406"/>
      <c r="B78" s="406"/>
      <c r="C78" s="406"/>
      <c r="D78" s="406"/>
      <c r="E78" s="406"/>
      <c r="F78" s="406"/>
      <c r="G78" s="406"/>
      <c r="H78" s="406"/>
      <c r="I78" s="406"/>
      <c r="J78" s="406"/>
      <c r="K78" s="406"/>
      <c r="L78" s="406"/>
      <c r="M78" s="406"/>
      <c r="N78" s="406"/>
      <c r="O78" s="406"/>
      <c r="P78" s="406"/>
      <c r="Q78" s="406"/>
      <c r="R78" s="406"/>
      <c r="S78" s="406"/>
      <c r="T78" s="406"/>
      <c r="U78" s="406"/>
      <c r="V78" s="406"/>
      <c r="W78" s="406"/>
    </row>
    <row r="79" ht="15.75" customHeight="1">
      <c r="A79" s="406"/>
      <c r="B79" s="406"/>
      <c r="C79" s="406"/>
      <c r="D79" s="406"/>
      <c r="E79" s="406"/>
      <c r="F79" s="406"/>
      <c r="G79" s="406"/>
      <c r="H79" s="406"/>
      <c r="I79" s="406"/>
      <c r="J79" s="406"/>
      <c r="K79" s="406"/>
      <c r="L79" s="406"/>
      <c r="M79" s="406"/>
      <c r="N79" s="406"/>
      <c r="O79" s="406"/>
      <c r="P79" s="406"/>
      <c r="Q79" s="406"/>
      <c r="R79" s="406"/>
      <c r="S79" s="406"/>
      <c r="T79" s="406"/>
      <c r="U79" s="406"/>
      <c r="V79" s="406"/>
      <c r="W79" s="406"/>
    </row>
    <row r="80" ht="15.75" customHeight="1">
      <c r="A80" s="406"/>
      <c r="B80" s="406"/>
      <c r="C80" s="406"/>
      <c r="D80" s="406"/>
      <c r="E80" s="406"/>
      <c r="F80" s="406"/>
      <c r="G80" s="406"/>
      <c r="H80" s="406"/>
      <c r="I80" s="406"/>
      <c r="J80" s="406"/>
      <c r="K80" s="406"/>
      <c r="L80" s="406"/>
      <c r="M80" s="406"/>
      <c r="N80" s="406"/>
      <c r="O80" s="406"/>
      <c r="P80" s="406"/>
      <c r="Q80" s="406"/>
      <c r="R80" s="406"/>
      <c r="S80" s="406"/>
      <c r="T80" s="406"/>
      <c r="U80" s="406"/>
      <c r="V80" s="406"/>
      <c r="W80" s="406"/>
    </row>
    <row r="81" ht="15.7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row>
    <row r="82" ht="15.7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row>
    <row r="83" ht="15.7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row>
    <row r="84" ht="15.7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row>
    <row r="85" ht="15.7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row>
    <row r="86" ht="15.75" customHeight="1">
      <c r="A86" s="406"/>
      <c r="B86" s="406"/>
      <c r="C86" s="406"/>
      <c r="D86" s="406"/>
      <c r="E86" s="406"/>
      <c r="F86" s="406"/>
      <c r="G86" s="406"/>
      <c r="H86" s="406"/>
      <c r="I86" s="406"/>
      <c r="J86" s="406"/>
      <c r="K86" s="406"/>
      <c r="L86" s="406"/>
      <c r="M86" s="406"/>
      <c r="N86" s="406"/>
      <c r="O86" s="406"/>
      <c r="P86" s="406"/>
      <c r="Q86" s="406"/>
      <c r="R86" s="406"/>
      <c r="S86" s="406"/>
      <c r="T86" s="406"/>
      <c r="U86" s="406"/>
      <c r="V86" s="406"/>
      <c r="W86" s="406"/>
    </row>
    <row r="87" ht="15.75" customHeight="1">
      <c r="A87" s="406"/>
      <c r="B87" s="406"/>
      <c r="C87" s="406"/>
      <c r="D87" s="406"/>
      <c r="E87" s="406"/>
      <c r="F87" s="406"/>
      <c r="G87" s="406"/>
      <c r="H87" s="406"/>
      <c r="I87" s="406"/>
      <c r="J87" s="406"/>
      <c r="K87" s="406"/>
      <c r="L87" s="406"/>
      <c r="M87" s="406"/>
      <c r="N87" s="406"/>
      <c r="O87" s="406"/>
      <c r="P87" s="406"/>
      <c r="Q87" s="406"/>
      <c r="R87" s="406"/>
      <c r="S87" s="406"/>
      <c r="T87" s="406"/>
      <c r="U87" s="406"/>
      <c r="V87" s="406"/>
      <c r="W87" s="406"/>
    </row>
    <row r="88" ht="15.75" customHeight="1">
      <c r="A88" s="406"/>
      <c r="B88" s="406"/>
      <c r="C88" s="406"/>
      <c r="D88" s="406"/>
      <c r="E88" s="406"/>
      <c r="F88" s="406"/>
      <c r="G88" s="406"/>
      <c r="H88" s="406"/>
      <c r="I88" s="406"/>
      <c r="J88" s="406"/>
      <c r="K88" s="406"/>
      <c r="L88" s="406"/>
      <c r="M88" s="406"/>
      <c r="N88" s="406"/>
      <c r="O88" s="406"/>
      <c r="P88" s="406"/>
      <c r="Q88" s="406"/>
      <c r="R88" s="406"/>
      <c r="S88" s="406"/>
      <c r="T88" s="406"/>
      <c r="U88" s="406"/>
      <c r="V88" s="406"/>
      <c r="W88" s="406"/>
    </row>
    <row r="89" ht="15.75" customHeight="1">
      <c r="A89" s="406"/>
      <c r="B89" s="406"/>
      <c r="C89" s="406"/>
      <c r="D89" s="406"/>
      <c r="E89" s="406"/>
      <c r="F89" s="406"/>
      <c r="G89" s="406"/>
      <c r="H89" s="406"/>
      <c r="I89" s="406"/>
      <c r="J89" s="406"/>
      <c r="K89" s="406"/>
      <c r="L89" s="406"/>
      <c r="M89" s="406"/>
      <c r="N89" s="406"/>
      <c r="O89" s="406"/>
      <c r="P89" s="406"/>
      <c r="Q89" s="406"/>
      <c r="R89" s="406"/>
      <c r="S89" s="406"/>
      <c r="T89" s="406"/>
      <c r="U89" s="406"/>
      <c r="V89" s="406"/>
      <c r="W89" s="406"/>
    </row>
    <row r="90" ht="15.75" customHeight="1">
      <c r="A90" s="406"/>
      <c r="B90" s="406"/>
      <c r="C90" s="406"/>
      <c r="D90" s="406"/>
      <c r="E90" s="406"/>
      <c r="F90" s="406"/>
      <c r="G90" s="406"/>
      <c r="H90" s="406"/>
      <c r="I90" s="406"/>
      <c r="J90" s="406"/>
      <c r="K90" s="406"/>
      <c r="L90" s="406"/>
      <c r="M90" s="406"/>
      <c r="N90" s="406"/>
      <c r="O90" s="406"/>
      <c r="P90" s="406"/>
      <c r="Q90" s="406"/>
      <c r="R90" s="406"/>
      <c r="S90" s="406"/>
      <c r="T90" s="406"/>
      <c r="U90" s="406"/>
      <c r="V90" s="406"/>
      <c r="W90" s="406"/>
    </row>
    <row r="91" ht="15.75" customHeight="1">
      <c r="A91" s="406"/>
      <c r="B91" s="406"/>
      <c r="C91" s="406"/>
      <c r="D91" s="406"/>
      <c r="E91" s="406"/>
      <c r="F91" s="406"/>
      <c r="G91" s="406"/>
      <c r="H91" s="406"/>
      <c r="I91" s="406"/>
      <c r="J91" s="406"/>
      <c r="K91" s="406"/>
      <c r="L91" s="406"/>
      <c r="M91" s="406"/>
      <c r="N91" s="406"/>
      <c r="O91" s="406"/>
      <c r="P91" s="406"/>
      <c r="Q91" s="406"/>
      <c r="R91" s="406"/>
      <c r="S91" s="406"/>
      <c r="T91" s="406"/>
      <c r="U91" s="406"/>
      <c r="V91" s="406"/>
      <c r="W91" s="406"/>
    </row>
    <row r="92" ht="15.75" customHeight="1">
      <c r="A92" s="406"/>
      <c r="B92" s="406"/>
      <c r="C92" s="406"/>
      <c r="D92" s="406"/>
      <c r="E92" s="406"/>
      <c r="F92" s="406"/>
      <c r="G92" s="406"/>
      <c r="H92" s="406"/>
      <c r="I92" s="406"/>
      <c r="J92" s="406"/>
      <c r="K92" s="406"/>
      <c r="L92" s="406"/>
      <c r="M92" s="406"/>
      <c r="N92" s="406"/>
      <c r="O92" s="406"/>
      <c r="P92" s="406"/>
      <c r="Q92" s="406"/>
      <c r="R92" s="406"/>
      <c r="S92" s="406"/>
      <c r="T92" s="406"/>
      <c r="U92" s="406"/>
      <c r="V92" s="406"/>
      <c r="W92" s="406"/>
    </row>
    <row r="93" ht="15.75" customHeight="1">
      <c r="A93" s="406"/>
      <c r="B93" s="406"/>
      <c r="C93" s="406"/>
      <c r="D93" s="406"/>
      <c r="E93" s="406"/>
      <c r="F93" s="406"/>
      <c r="G93" s="406"/>
      <c r="H93" s="406"/>
      <c r="I93" s="406"/>
      <c r="J93" s="406"/>
      <c r="K93" s="406"/>
      <c r="L93" s="406"/>
      <c r="M93" s="406"/>
      <c r="N93" s="406"/>
      <c r="O93" s="406"/>
      <c r="P93" s="406"/>
      <c r="Q93" s="406"/>
      <c r="R93" s="406"/>
      <c r="S93" s="406"/>
      <c r="T93" s="406"/>
      <c r="U93" s="406"/>
      <c r="V93" s="406"/>
      <c r="W93" s="406"/>
    </row>
    <row r="94" ht="15.75" customHeight="1">
      <c r="A94" s="406"/>
      <c r="B94" s="406"/>
      <c r="C94" s="406"/>
      <c r="D94" s="406"/>
      <c r="E94" s="406"/>
      <c r="F94" s="406"/>
      <c r="G94" s="406"/>
      <c r="H94" s="406"/>
      <c r="I94" s="406"/>
      <c r="J94" s="406"/>
      <c r="K94" s="406"/>
      <c r="L94" s="406"/>
      <c r="M94" s="406"/>
      <c r="N94" s="406"/>
      <c r="O94" s="406"/>
      <c r="P94" s="406"/>
      <c r="Q94" s="406"/>
      <c r="R94" s="406"/>
      <c r="S94" s="406"/>
      <c r="T94" s="406"/>
      <c r="U94" s="406"/>
      <c r="V94" s="406"/>
      <c r="W94" s="406"/>
    </row>
    <row r="95" ht="15.75" customHeight="1">
      <c r="A95" s="406"/>
      <c r="B95" s="406"/>
      <c r="C95" s="406"/>
      <c r="D95" s="406"/>
      <c r="E95" s="406"/>
      <c r="F95" s="406"/>
      <c r="G95" s="406"/>
      <c r="H95" s="406"/>
      <c r="I95" s="406"/>
      <c r="J95" s="406"/>
      <c r="K95" s="406"/>
      <c r="L95" s="406"/>
      <c r="M95" s="406"/>
      <c r="N95" s="406"/>
      <c r="O95" s="406"/>
      <c r="P95" s="406"/>
      <c r="Q95" s="406"/>
      <c r="R95" s="406"/>
      <c r="S95" s="406"/>
      <c r="T95" s="406"/>
      <c r="U95" s="406"/>
      <c r="V95" s="406"/>
      <c r="W95" s="406"/>
    </row>
    <row r="96" ht="15.75" customHeight="1">
      <c r="A96" s="406"/>
      <c r="B96" s="406"/>
      <c r="C96" s="406"/>
      <c r="D96" s="406"/>
      <c r="E96" s="406"/>
      <c r="F96" s="406"/>
      <c r="G96" s="406"/>
      <c r="H96" s="406"/>
      <c r="I96" s="406"/>
      <c r="J96" s="406"/>
      <c r="K96" s="406"/>
      <c r="L96" s="406"/>
      <c r="M96" s="406"/>
      <c r="N96" s="406"/>
      <c r="O96" s="406"/>
      <c r="P96" s="406"/>
      <c r="Q96" s="406"/>
      <c r="R96" s="406"/>
      <c r="S96" s="406"/>
      <c r="T96" s="406"/>
      <c r="U96" s="406"/>
      <c r="V96" s="406"/>
      <c r="W96" s="406"/>
    </row>
    <row r="97" ht="15.75" customHeight="1">
      <c r="A97" s="406"/>
      <c r="B97" s="406"/>
      <c r="C97" s="406"/>
      <c r="D97" s="406"/>
      <c r="E97" s="406"/>
      <c r="F97" s="406"/>
      <c r="G97" s="406"/>
      <c r="H97" s="406"/>
      <c r="I97" s="406"/>
      <c r="J97" s="406"/>
      <c r="K97" s="406"/>
      <c r="L97" s="406"/>
      <c r="M97" s="406"/>
      <c r="N97" s="406"/>
      <c r="O97" s="406"/>
      <c r="P97" s="406"/>
      <c r="Q97" s="406"/>
      <c r="R97" s="406"/>
      <c r="S97" s="406"/>
      <c r="T97" s="406"/>
      <c r="U97" s="406"/>
      <c r="V97" s="406"/>
      <c r="W97" s="406"/>
    </row>
    <row r="98" ht="15.75" customHeight="1">
      <c r="A98" s="406"/>
      <c r="B98" s="406"/>
      <c r="C98" s="406"/>
      <c r="D98" s="406"/>
      <c r="E98" s="406"/>
      <c r="F98" s="406"/>
      <c r="G98" s="406"/>
      <c r="H98" s="406"/>
      <c r="I98" s="406"/>
      <c r="J98" s="406"/>
      <c r="K98" s="406"/>
      <c r="L98" s="406"/>
      <c r="M98" s="406"/>
      <c r="N98" s="406"/>
      <c r="O98" s="406"/>
      <c r="P98" s="406"/>
      <c r="Q98" s="406"/>
      <c r="R98" s="406"/>
      <c r="S98" s="406"/>
      <c r="T98" s="406"/>
      <c r="U98" s="406"/>
      <c r="V98" s="406"/>
      <c r="W98" s="406"/>
    </row>
    <row r="99" ht="15.75" customHeight="1">
      <c r="A99" s="406"/>
      <c r="B99" s="406"/>
      <c r="C99" s="406"/>
      <c r="D99" s="406"/>
      <c r="E99" s="406"/>
      <c r="F99" s="406"/>
      <c r="G99" s="406"/>
      <c r="H99" s="406"/>
      <c r="I99" s="406"/>
      <c r="J99" s="406"/>
      <c r="K99" s="406"/>
      <c r="L99" s="406"/>
      <c r="M99" s="406"/>
      <c r="N99" s="406"/>
      <c r="O99" s="406"/>
      <c r="P99" s="406"/>
      <c r="Q99" s="406"/>
      <c r="R99" s="406"/>
      <c r="S99" s="406"/>
      <c r="T99" s="406"/>
      <c r="U99" s="406"/>
      <c r="V99" s="406"/>
      <c r="W99" s="406"/>
    </row>
    <row r="100" ht="15.75" customHeight="1">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row>
    <row r="101" ht="15.75" customHeight="1">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row>
    <row r="102" ht="15.75" customHeight="1">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row>
    <row r="103" ht="15.75" customHeight="1">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row>
    <row r="104" ht="15.75" customHeight="1">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row>
    <row r="105" ht="15.75" customHeight="1">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row>
    <row r="106" ht="15.75" customHeight="1">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row>
    <row r="107" ht="15.75" customHeight="1">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row>
    <row r="108" ht="15.75" customHeight="1">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row>
    <row r="109" ht="15.75" customHeight="1">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row>
    <row r="110" ht="15.75" customHeight="1">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row>
    <row r="111" ht="15.75" customHeight="1">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row>
    <row r="112" ht="15.75" customHeight="1">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row>
    <row r="113" ht="15.75" customHeight="1">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row>
    <row r="114" ht="15.75" customHeight="1">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row>
    <row r="115" ht="15.75" customHeight="1">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row>
    <row r="116" ht="15.75" customHeight="1">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row>
    <row r="117" ht="15.75" customHeight="1">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row>
    <row r="118" ht="15.75" customHeight="1">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row>
    <row r="119" ht="15.75" customHeight="1">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row>
    <row r="120" ht="15.75" customHeight="1">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row>
    <row r="121" ht="15.75" customHeight="1">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row>
    <row r="122" ht="15.75" customHeight="1">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row>
    <row r="123" ht="15.75" customHeight="1">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row>
    <row r="124" ht="15.75" customHeight="1">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row>
    <row r="125" ht="15.75" customHeight="1">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row>
    <row r="126" ht="15.75" customHeight="1">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row>
    <row r="127" ht="15.75" customHeight="1">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row>
    <row r="128" ht="15.75" customHeight="1">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row>
    <row r="129" ht="15.75" customHeight="1">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row>
    <row r="130" ht="15.75" customHeight="1">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row>
    <row r="131" ht="15.75" customHeight="1">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row>
    <row r="132" ht="15.75" customHeight="1">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row>
    <row r="133" ht="15.75" customHeight="1">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row>
    <row r="134" ht="15.75" customHeight="1">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row>
    <row r="135" ht="15.75" customHeight="1">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row>
    <row r="136" ht="15.75" customHeight="1">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row>
    <row r="137" ht="15.75" customHeight="1">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row>
    <row r="138" ht="15.75" customHeight="1">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row>
    <row r="139" ht="15.75" customHeight="1">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row>
    <row r="140" ht="15.75" customHeight="1">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row>
    <row r="141" ht="15.75" customHeight="1">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row>
    <row r="142" ht="15.75" customHeight="1">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row>
    <row r="143" ht="15.75" customHeight="1">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row>
    <row r="144" ht="15.75" customHeight="1">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row>
    <row r="145" ht="15.75" customHeight="1">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row>
    <row r="146" ht="15.75" customHeight="1">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row>
    <row r="147" ht="15.75" customHeight="1">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row>
    <row r="148" ht="15.75" customHeight="1">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row>
    <row r="149" ht="15.75" customHeight="1">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row>
    <row r="150" ht="15.75" customHeight="1">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row>
    <row r="151" ht="15.75" customHeight="1">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row>
    <row r="152" ht="15.75" customHeight="1">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row>
    <row r="153" ht="15.75" customHeight="1">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row>
    <row r="154" ht="15.75" customHeight="1">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row>
    <row r="155" ht="15.75" customHeight="1">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row>
    <row r="156" ht="15.75" customHeight="1">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row>
    <row r="157" ht="15.75" customHeight="1">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row>
    <row r="158" ht="15.75" customHeight="1">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row>
    <row r="159" ht="15.75" customHeight="1">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row>
    <row r="160" ht="15.75" customHeight="1">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row>
    <row r="161" ht="15.75" customHeight="1">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row>
    <row r="162" ht="15.75" customHeight="1">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row>
    <row r="163" ht="15.75" customHeight="1">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row>
    <row r="164" ht="15.75" customHeight="1">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row>
    <row r="165" ht="15.75" customHeight="1">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row>
    <row r="166" ht="15.7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row>
    <row r="167" ht="15.7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row>
    <row r="168" ht="15.7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row>
    <row r="169" ht="15.7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row>
    <row r="170" ht="15.7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row>
    <row r="171" ht="15.75" customHeight="1">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row>
    <row r="172" ht="15.75" customHeight="1">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row>
    <row r="173" ht="15.75" customHeight="1">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row>
    <row r="174" ht="15.75" customHeight="1">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row>
    <row r="175" ht="15.75" customHeight="1">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row>
    <row r="176" ht="15.75" customHeight="1">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row>
    <row r="177" ht="15.75" customHeight="1">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row>
    <row r="178" ht="15.75" customHeight="1">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row>
    <row r="179" ht="15.75" customHeight="1">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row>
    <row r="180" ht="15.75" customHeight="1">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row>
    <row r="181" ht="15.75" customHeight="1">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row>
    <row r="182" ht="15.75" customHeight="1">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row>
    <row r="183" ht="15.75" customHeight="1">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row>
    <row r="184" ht="15.75" customHeight="1">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row>
    <row r="185" ht="15.75" customHeight="1">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row>
    <row r="186" ht="15.75" customHeight="1">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row>
    <row r="187" ht="15.75" customHeight="1">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row>
    <row r="188" ht="15.75" customHeight="1">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row>
    <row r="189" ht="15.75" customHeight="1">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row>
    <row r="190" ht="15.75" customHeight="1">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row>
    <row r="191" ht="15.75" customHeight="1">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row>
    <row r="192" ht="15.75" customHeight="1">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row>
    <row r="193" ht="15.75" customHeight="1">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row>
    <row r="194" ht="15.75" customHeight="1">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row>
    <row r="195" ht="15.75" customHeight="1">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row>
    <row r="196" ht="15.75" customHeight="1">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row>
    <row r="197" ht="15.75" customHeight="1">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row>
    <row r="198" ht="15.75" customHeight="1">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row>
    <row r="199" ht="15.75" customHeight="1">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row>
    <row r="200" ht="15.75" customHeight="1">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row>
    <row r="201" ht="15.75" customHeight="1">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row>
    <row r="202" ht="15.75" customHeight="1">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row>
    <row r="203" ht="15.75" customHeight="1">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row>
    <row r="204" ht="15.75" customHeight="1">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row>
    <row r="205" ht="15.75" customHeight="1">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row>
    <row r="206" ht="15.75" customHeight="1">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row>
    <row r="207" ht="15.75" customHeight="1">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row>
    <row r="208" ht="15.75" customHeight="1">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row>
    <row r="209" ht="15.75" customHeight="1">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row>
    <row r="210" ht="15.75" customHeight="1">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row>
    <row r="211" ht="15.75" customHeight="1">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row>
    <row r="212" ht="15.75" customHeight="1">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row>
    <row r="213" ht="15.75" customHeight="1">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row>
    <row r="214" ht="15.75" customHeight="1">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row>
    <row r="215" ht="15.75" customHeight="1">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row>
    <row r="216" ht="15.75" customHeight="1">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row>
    <row r="217" ht="15.75" customHeight="1">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row>
    <row r="218" ht="15.75" customHeight="1">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row>
    <row r="219" ht="15.75" customHeight="1">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row>
    <row r="220" ht="15.75" customHeight="1">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0.25"/>
    <col customWidth="1" min="2" max="2" width="19.75"/>
    <col customWidth="1" hidden="1" min="3" max="3" width="16.75"/>
    <col customWidth="1" hidden="1" min="4" max="4" width="23.13"/>
    <col customWidth="1" hidden="1" min="5" max="5" width="24.63"/>
    <col customWidth="1" hidden="1" min="6" max="6" width="14.75"/>
    <col customWidth="1" hidden="1" min="7" max="7" width="20.75"/>
    <col customWidth="1" hidden="1" min="8" max="8" width="20.63"/>
    <col customWidth="1" hidden="1" min="9" max="9" width="16.75"/>
    <col customWidth="1" hidden="1" min="10" max="10" width="12.38"/>
    <col customWidth="1" hidden="1" min="11" max="11" width="9.0"/>
    <col customWidth="1" hidden="1" min="12" max="12" width="14.88"/>
    <col customWidth="1" hidden="1" min="13" max="13" width="9.0"/>
    <col customWidth="1" hidden="1" min="14" max="14" width="14.25"/>
    <col customWidth="1" hidden="1" min="15" max="15" width="11.25"/>
    <col customWidth="1" hidden="1" min="16" max="16" width="9.0"/>
    <col customWidth="1" hidden="1" min="17" max="17" width="12.38"/>
    <col customWidth="1" hidden="1" min="18" max="18" width="14.63"/>
    <col customWidth="1" hidden="1" min="19" max="21" width="9.0"/>
    <col customWidth="1" min="22" max="26" width="9.0"/>
  </cols>
  <sheetData>
    <row r="1" ht="14.25" customHeight="1">
      <c r="A1" s="409" t="s">
        <v>3683</v>
      </c>
      <c r="B1" s="410" t="str">
        <f>CONCAT(C1,D1,E1,F1,G1,H1,I1,J1,K1,L1,M1,N1,O1,P1,Q1,R1,S1,T1,U1)</f>
        <v>#N/A</v>
      </c>
      <c r="C1" s="411" t="str">
        <f>'Kegg Taxon'!A1</f>
        <v>KEGG code</v>
      </c>
      <c r="D1" s="411" t="str">
        <f>'Kegg Taxon'!B1</f>
        <v>Common name</v>
      </c>
      <c r="E1" s="411" t="str">
        <f>'Kegg Taxon'!C1</f>
        <v>Scientific name</v>
      </c>
      <c r="F1" s="411" t="str">
        <f>'Kegg Taxon'!D1</f>
        <v>Kingdom</v>
      </c>
      <c r="G1" s="411" t="str">
        <f>'Kegg Taxon'!F1</f>
        <v>Subkingdom</v>
      </c>
      <c r="H1" s="411" t="str">
        <f>'Kegg Taxon'!H1</f>
        <v>Superdivision</v>
      </c>
      <c r="I1" s="411" t="str">
        <f>'Kegg Taxon'!I1</f>
        <v>Division</v>
      </c>
      <c r="J1" s="411" t="str">
        <f>'Kegg Taxon'!J1</f>
        <v>Subdivision</v>
      </c>
      <c r="K1" s="411" t="str">
        <f>'Kegg Taxon'!K1</f>
        <v>Class</v>
      </c>
      <c r="L1" s="411" t="str">
        <f>'Kegg Taxon'!L1</f>
        <v>Subclass</v>
      </c>
      <c r="M1" s="411" t="str">
        <f>'Kegg Taxon'!O1</f>
        <v>Order</v>
      </c>
      <c r="N1" s="411" t="str">
        <f>'Kegg Taxon'!P1</f>
        <v>Family</v>
      </c>
      <c r="O1" s="411" t="str">
        <f>'Kegg Taxon'!Q1</f>
        <v>Subfamily</v>
      </c>
      <c r="P1" s="411" t="str">
        <f>'Kegg Taxon'!R1</f>
        <v>Tribe</v>
      </c>
      <c r="Q1" s="411" t="str">
        <f>'Kegg Taxon'!S1</f>
        <v>Subtribe</v>
      </c>
      <c r="R1" s="411" t="str">
        <f>'Kegg Taxon'!T1</f>
        <v>Genus</v>
      </c>
      <c r="S1" s="411" t="str">
        <f>#REF!</f>
        <v>#REF!</v>
      </c>
      <c r="T1" s="411" t="str">
        <f>'Kegg Taxon'!U1</f>
        <v>Species</v>
      </c>
      <c r="U1" s="411" t="str">
        <f>'Kegg Taxon'!V1</f>
        <v>Variety or subspecies</v>
      </c>
      <c r="V1" s="412"/>
      <c r="W1" s="412"/>
      <c r="X1" s="412"/>
      <c r="Y1" s="412"/>
      <c r="Z1" s="412"/>
    </row>
    <row r="2" ht="14.25" customHeight="1">
      <c r="A2" s="409" t="s">
        <v>3684</v>
      </c>
      <c r="B2" s="410" t="str">
        <f t="shared" ref="B2:B106" si="1">CONCAT("{",C2,D2,E2,F2,G2,H2,I2,J2,K2,L2,M2,N2,O2,P2,Q2,R2,S2,T2,U2,"},")</f>
        <v>#N/A</v>
      </c>
      <c r="C2" s="411" t="str">
        <f>(CONCAT("""","KeggCode", """:","""",'Kegg Taxon'!A2,""","))</f>
        <v>#N/A</v>
      </c>
      <c r="D2" s="411" t="str">
        <f> (CONCAT("""","CommonName",""":", """",'Kegg Taxon'!B2,""","))</f>
        <v>#N/A</v>
      </c>
      <c r="E2" s="411" t="str">
        <f> (CONCAT("""","ScientificName",""":", """",'Kegg Taxon'!C2,""","))</f>
        <v>#N/A</v>
      </c>
      <c r="F2" s="411" t="str">
        <f>CONCAT("""","Kingdom", """:","""",'Kegg Taxon'!D2,""",")</f>
        <v>#N/A</v>
      </c>
      <c r="G2" s="411" t="str">
        <f>CONCAT("""","Subkingdom",""":", """",'Kegg Taxon'!F2,""",")</f>
        <v>#N/A</v>
      </c>
      <c r="H2" s="411" t="str">
        <f>CONCAT("""","Superdivision",""":", """",'Kegg Taxon'!H2,""",")</f>
        <v>#N/A</v>
      </c>
      <c r="I2" s="411" t="str">
        <f>CONCAT("""","Phylum", """:","""",'Kegg Taxon'!I2,""",")</f>
        <v>#N/A</v>
      </c>
      <c r="J2" s="411" t="str">
        <f>CONCAT("""","Subphylum", """:","""",'Kegg Taxon'!J2,""",")</f>
        <v>#N/A</v>
      </c>
      <c r="K2" s="411" t="str">
        <f>CONCAT("""","Class", """:","""",'Kegg Taxon'!K2,""",")</f>
        <v>#N/A</v>
      </c>
      <c r="L2" s="411" t="str">
        <f>CONCAT("""","Subclass", """:","""",'Kegg Taxon'!L2,""",")</f>
        <v>#N/A</v>
      </c>
      <c r="M2" s="411" t="str">
        <f>CONCAT("""","Order",""":","""", 'Kegg Taxon'!O2,""",")</f>
        <v>#N/A</v>
      </c>
      <c r="N2" s="411" t="str">
        <f>CONCAT("""","Family",""":","""", 'Kegg Taxon'!P2,""",")</f>
        <v>#N/A</v>
      </c>
      <c r="O2" s="411" t="str">
        <f>CONCAT("""","Subfamily",""":","""", 'Kegg Taxon'!Q2,""",")</f>
        <v>#N/A</v>
      </c>
      <c r="P2" s="411" t="str">
        <f>CONCAT("""","Tribe",""":","""", 'Kegg Taxon'!R2,""",")</f>
        <v>#N/A</v>
      </c>
      <c r="Q2" s="411" t="str">
        <f>CONCAT("""","Subtribe",""":","""", 'Kegg Taxon'!S2,""",")</f>
        <v>#N/A</v>
      </c>
      <c r="R2" s="411" t="str">
        <f>CONCAT("""","Genus",""":","""", 'Kegg Taxon'!T2,""",")</f>
        <v>#N/A</v>
      </c>
      <c r="S2" s="411" t="str">
        <f t="shared" ref="S2:S107" si="2">CONCAT("""","Subgenus",""":","""", #REF!,""",")</f>
        <v>#N/A</v>
      </c>
      <c r="T2" s="411" t="str">
        <f>CONCAT("""","Species",""":","""", 'Kegg Taxon'!U2,""",")</f>
        <v>#N/A</v>
      </c>
      <c r="U2" s="411" t="str">
        <f>CONCAT("""","VarSubsp",""":","""", 'Kegg Taxon'!V2,"""")</f>
        <v>#N/A</v>
      </c>
      <c r="V2" s="412"/>
      <c r="W2" s="412"/>
      <c r="X2" s="412"/>
      <c r="Y2" s="412"/>
      <c r="Z2" s="412"/>
    </row>
    <row r="3" ht="14.25" customHeight="1">
      <c r="A3" s="409" t="s">
        <v>3685</v>
      </c>
      <c r="B3" s="410" t="str">
        <f t="shared" si="1"/>
        <v>#N/A</v>
      </c>
      <c r="C3" s="411" t="str">
        <f>(CONCAT("""","KeggCode", """:","""",'Kegg Taxon'!A3,""","))</f>
        <v>#N/A</v>
      </c>
      <c r="D3" s="411" t="str">
        <f> (CONCAT("""","CommonName",""":", """",'Kegg Taxon'!B3,""","))</f>
        <v>#N/A</v>
      </c>
      <c r="E3" s="411" t="str">
        <f> (CONCAT("""","ScientificName",""":", """",'Kegg Taxon'!C3,""","))</f>
        <v>#N/A</v>
      </c>
      <c r="F3" s="411" t="str">
        <f>CONCAT("""","Kingdom", """:","""",'Kegg Taxon'!D3,""",")</f>
        <v>#N/A</v>
      </c>
      <c r="G3" s="411" t="str">
        <f>CONCAT("""","Subkingdom",""":", """",'Kegg Taxon'!F3,""",")</f>
        <v>#N/A</v>
      </c>
      <c r="H3" s="411" t="str">
        <f>CONCAT("""","Superdivision",""":", """",'Kegg Taxon'!H3,""",")</f>
        <v>#N/A</v>
      </c>
      <c r="I3" s="411" t="str">
        <f>CONCAT("""","Phylum", """:","""",'Kegg Taxon'!I3,""",")</f>
        <v>#N/A</v>
      </c>
      <c r="J3" s="411" t="str">
        <f>CONCAT("""","Subphylum", """:","""",'Kegg Taxon'!J3,""",")</f>
        <v>#N/A</v>
      </c>
      <c r="K3" s="411" t="str">
        <f>CONCAT("""","Class", """:","""",'Kegg Taxon'!K3,""",")</f>
        <v>#N/A</v>
      </c>
      <c r="L3" s="411" t="str">
        <f>CONCAT("""","Subclass", """:","""",'Kegg Taxon'!L3,""",")</f>
        <v>#N/A</v>
      </c>
      <c r="M3" s="411" t="str">
        <f>CONCAT("""","Order",""":","""", 'Kegg Taxon'!O3,""",")</f>
        <v>#N/A</v>
      </c>
      <c r="N3" s="411" t="str">
        <f>CONCAT("""","Family",""":","""", 'Kegg Taxon'!P3,""",")</f>
        <v>#N/A</v>
      </c>
      <c r="O3" s="411" t="str">
        <f>CONCAT("""","Subfamily",""":","""", 'Kegg Taxon'!Q3,""",")</f>
        <v>#N/A</v>
      </c>
      <c r="P3" s="411" t="str">
        <f>CONCAT("""","Tribe",""":","""", 'Kegg Taxon'!R3,""",")</f>
        <v>#N/A</v>
      </c>
      <c r="Q3" s="411" t="str">
        <f>CONCAT("""","Subtribe",""":","""", 'Kegg Taxon'!S3,""",")</f>
        <v>#N/A</v>
      </c>
      <c r="R3" s="411" t="str">
        <f>CONCAT("""","Genus",""":","""", 'Kegg Taxon'!T3,""",")</f>
        <v>#N/A</v>
      </c>
      <c r="S3" s="411" t="str">
        <f t="shared" si="2"/>
        <v>#N/A</v>
      </c>
      <c r="T3" s="411" t="str">
        <f>CONCAT("""","Species",""":","""", 'Kegg Taxon'!U3,""",")</f>
        <v>#N/A</v>
      </c>
      <c r="U3" s="411" t="str">
        <f>CONCAT("""","VarSubsp",""":","""", 'Kegg Taxon'!V3,"""")</f>
        <v>#N/A</v>
      </c>
      <c r="V3" s="412"/>
      <c r="W3" s="412"/>
      <c r="X3" s="412"/>
      <c r="Y3" s="412"/>
      <c r="Z3" s="412"/>
    </row>
    <row r="4" ht="14.25" customHeight="1">
      <c r="A4" s="409" t="s">
        <v>3686</v>
      </c>
      <c r="B4" s="410" t="str">
        <f t="shared" si="1"/>
        <v>#N/A</v>
      </c>
      <c r="C4" s="411" t="str">
        <f>(CONCAT("""","KeggCode", """:","""",'Kegg Taxon'!A4,""","))</f>
        <v>#N/A</v>
      </c>
      <c r="D4" s="411" t="str">
        <f> (CONCAT("""","CommonName",""":", """",'Kegg Taxon'!B4,""","))</f>
        <v>#N/A</v>
      </c>
      <c r="E4" s="411" t="str">
        <f> (CONCAT("""","ScientificName",""":", """",'Kegg Taxon'!C4,""","))</f>
        <v>#N/A</v>
      </c>
      <c r="F4" s="411" t="str">
        <f>CONCAT("""","Kingdom", """:","""",'Kegg Taxon'!D4,""",")</f>
        <v>#N/A</v>
      </c>
      <c r="G4" s="411" t="str">
        <f>CONCAT("""","Subkingdom",""":", """",'Kegg Taxon'!F4,""",")</f>
        <v>#N/A</v>
      </c>
      <c r="H4" s="411" t="str">
        <f>CONCAT("""","Superdivision",""":", """",'Kegg Taxon'!H4,""",")</f>
        <v>#N/A</v>
      </c>
      <c r="I4" s="411" t="str">
        <f>CONCAT("""","Phylum", """:","""",'Kegg Taxon'!I4,""",")</f>
        <v>#N/A</v>
      </c>
      <c r="J4" s="411" t="str">
        <f>CONCAT("""","Subphylum", """:","""",'Kegg Taxon'!J4,""",")</f>
        <v>#N/A</v>
      </c>
      <c r="K4" s="411" t="str">
        <f>CONCAT("""","Class", """:","""",'Kegg Taxon'!K4,""",")</f>
        <v>#N/A</v>
      </c>
      <c r="L4" s="411" t="str">
        <f>CONCAT("""","Subclass", """:","""",'Kegg Taxon'!L4,""",")</f>
        <v>#N/A</v>
      </c>
      <c r="M4" s="411" t="str">
        <f>CONCAT("""","Order",""":","""", 'Kegg Taxon'!O4,""",")</f>
        <v>#N/A</v>
      </c>
      <c r="N4" s="411" t="str">
        <f>CONCAT("""","Family",""":","""", 'Kegg Taxon'!P4,""",")</f>
        <v>#N/A</v>
      </c>
      <c r="O4" s="411" t="str">
        <f>CONCAT("""","Subfamily",""":","""", 'Kegg Taxon'!Q4,""",")</f>
        <v>#N/A</v>
      </c>
      <c r="P4" s="411" t="str">
        <f>CONCAT("""","Tribe",""":","""", 'Kegg Taxon'!R4,""",")</f>
        <v>#N/A</v>
      </c>
      <c r="Q4" s="411" t="str">
        <f>CONCAT("""","Subtribe",""":","""", 'Kegg Taxon'!S4,""",")</f>
        <v>#N/A</v>
      </c>
      <c r="R4" s="411" t="str">
        <f>CONCAT("""","Genus",""":","""", 'Kegg Taxon'!T4,""",")</f>
        <v>#N/A</v>
      </c>
      <c r="S4" s="411" t="str">
        <f t="shared" si="2"/>
        <v>#N/A</v>
      </c>
      <c r="T4" s="411" t="str">
        <f>CONCAT("""","Species",""":","""", 'Kegg Taxon'!U4,""",")</f>
        <v>#N/A</v>
      </c>
      <c r="U4" s="411" t="str">
        <f>CONCAT("""","VarSubsp",""":","""", 'Kegg Taxon'!V4,"""")</f>
        <v>#N/A</v>
      </c>
      <c r="V4" s="412"/>
      <c r="W4" s="412"/>
      <c r="X4" s="412"/>
      <c r="Y4" s="412"/>
      <c r="Z4" s="412"/>
    </row>
    <row r="5" ht="14.25" customHeight="1">
      <c r="A5" s="409" t="s">
        <v>3687</v>
      </c>
      <c r="B5" s="410" t="str">
        <f t="shared" si="1"/>
        <v>#N/A</v>
      </c>
      <c r="C5" s="411" t="str">
        <f>(CONCAT("""","KeggCode", """:","""",'Kegg Taxon'!A5,""","))</f>
        <v>#N/A</v>
      </c>
      <c r="D5" s="411" t="str">
        <f> (CONCAT("""","CommonName",""":", """",'Kegg Taxon'!B5,""","))</f>
        <v>#N/A</v>
      </c>
      <c r="E5" s="411" t="str">
        <f> (CONCAT("""","ScientificName",""":", """",'Kegg Taxon'!C5,""","))</f>
        <v>#N/A</v>
      </c>
      <c r="F5" s="411" t="str">
        <f>CONCAT("""","Kingdom", """:","""",'Kegg Taxon'!D5,""",")</f>
        <v>#N/A</v>
      </c>
      <c r="G5" s="411" t="str">
        <f>CONCAT("""","Subkingdom",""":", """",'Kegg Taxon'!F5,""",")</f>
        <v>#N/A</v>
      </c>
      <c r="H5" s="411" t="str">
        <f>CONCAT("""","Superdivision",""":", """",'Kegg Taxon'!H5,""",")</f>
        <v>#N/A</v>
      </c>
      <c r="I5" s="411" t="str">
        <f>CONCAT("""","Phylum", """:","""",'Kegg Taxon'!I5,""",")</f>
        <v>#N/A</v>
      </c>
      <c r="J5" s="411" t="str">
        <f>CONCAT("""","Subphylum", """:","""",'Kegg Taxon'!J5,""",")</f>
        <v>#N/A</v>
      </c>
      <c r="K5" s="411" t="str">
        <f>CONCAT("""","Class", """:","""",'Kegg Taxon'!K5,""",")</f>
        <v>#N/A</v>
      </c>
      <c r="L5" s="411" t="str">
        <f>CONCAT("""","Subclass", """:","""",'Kegg Taxon'!L5,""",")</f>
        <v>#N/A</v>
      </c>
      <c r="M5" s="411" t="str">
        <f>CONCAT("""","Order",""":","""", 'Kegg Taxon'!O5,""",")</f>
        <v>#N/A</v>
      </c>
      <c r="N5" s="411" t="str">
        <f>CONCAT("""","Family",""":","""", 'Kegg Taxon'!P5,""",")</f>
        <v>#N/A</v>
      </c>
      <c r="O5" s="411" t="str">
        <f>CONCAT("""","Subfamily",""":","""", 'Kegg Taxon'!Q5,""",")</f>
        <v>#N/A</v>
      </c>
      <c r="P5" s="411" t="str">
        <f>CONCAT("""","Tribe",""":","""", 'Kegg Taxon'!R5,""",")</f>
        <v>#N/A</v>
      </c>
      <c r="Q5" s="411" t="str">
        <f>CONCAT("""","Subtribe",""":","""", 'Kegg Taxon'!S5,""",")</f>
        <v>#N/A</v>
      </c>
      <c r="R5" s="411" t="str">
        <f>CONCAT("""","Genus",""":","""", 'Kegg Taxon'!T5,""",")</f>
        <v>#N/A</v>
      </c>
      <c r="S5" s="411" t="str">
        <f t="shared" si="2"/>
        <v>#N/A</v>
      </c>
      <c r="T5" s="411" t="str">
        <f>CONCAT("""","Species",""":","""", 'Kegg Taxon'!U5,""",")</f>
        <v>#N/A</v>
      </c>
      <c r="U5" s="411" t="str">
        <f>CONCAT("""","VarSubsp",""":","""", 'Kegg Taxon'!V5,"""")</f>
        <v>#N/A</v>
      </c>
      <c r="V5" s="412"/>
      <c r="W5" s="412"/>
      <c r="X5" s="412"/>
      <c r="Y5" s="412"/>
      <c r="Z5" s="412"/>
    </row>
    <row r="6" ht="14.25" customHeight="1">
      <c r="A6" s="409" t="s">
        <v>3688</v>
      </c>
      <c r="B6" s="410" t="str">
        <f t="shared" si="1"/>
        <v>#N/A</v>
      </c>
      <c r="C6" s="411" t="str">
        <f>(CONCAT("""","KeggCode", """:","""",'Kegg Taxon'!A6,""","))</f>
        <v>#N/A</v>
      </c>
      <c r="D6" s="411" t="str">
        <f> (CONCAT("""","CommonName",""":", """",'Kegg Taxon'!B6,""","))</f>
        <v>#N/A</v>
      </c>
      <c r="E6" s="411" t="str">
        <f> (CONCAT("""","ScientificName",""":", """",'Kegg Taxon'!C6,""","))</f>
        <v>#N/A</v>
      </c>
      <c r="F6" s="411" t="str">
        <f>CONCAT("""","Kingdom", """:","""",'Kegg Taxon'!D6,""",")</f>
        <v>#N/A</v>
      </c>
      <c r="G6" s="411" t="str">
        <f>CONCAT("""","Subkingdom",""":", """",'Kegg Taxon'!F6,""",")</f>
        <v>#N/A</v>
      </c>
      <c r="H6" s="411" t="str">
        <f>CONCAT("""","Superdivision",""":", """",'Kegg Taxon'!H6,""",")</f>
        <v>#N/A</v>
      </c>
      <c r="I6" s="411" t="str">
        <f>CONCAT("""","Phylum", """:","""",'Kegg Taxon'!I6,""",")</f>
        <v>#N/A</v>
      </c>
      <c r="J6" s="411" t="str">
        <f>CONCAT("""","Subphylum", """:","""",'Kegg Taxon'!J6,""",")</f>
        <v>#N/A</v>
      </c>
      <c r="K6" s="411" t="str">
        <f>CONCAT("""","Class", """:","""",'Kegg Taxon'!K6,""",")</f>
        <v>#N/A</v>
      </c>
      <c r="L6" s="411" t="str">
        <f>CONCAT("""","Subclass", """:","""",'Kegg Taxon'!L6,""",")</f>
        <v>#N/A</v>
      </c>
      <c r="M6" s="411" t="str">
        <f>CONCAT("""","Order",""":","""", 'Kegg Taxon'!O6,""",")</f>
        <v>#N/A</v>
      </c>
      <c r="N6" s="411" t="str">
        <f>CONCAT("""","Family",""":","""", 'Kegg Taxon'!P6,""",")</f>
        <v>#N/A</v>
      </c>
      <c r="O6" s="411" t="str">
        <f>CONCAT("""","Subfamily",""":","""", 'Kegg Taxon'!Q6,""",")</f>
        <v>#N/A</v>
      </c>
      <c r="P6" s="411" t="str">
        <f>CONCAT("""","Tribe",""":","""", 'Kegg Taxon'!R6,""",")</f>
        <v>#N/A</v>
      </c>
      <c r="Q6" s="411" t="str">
        <f>CONCAT("""","Subtribe",""":","""", 'Kegg Taxon'!S6,""",")</f>
        <v>#N/A</v>
      </c>
      <c r="R6" s="411" t="str">
        <f>CONCAT("""","Genus",""":","""", 'Kegg Taxon'!T6,""",")</f>
        <v>#N/A</v>
      </c>
      <c r="S6" s="411" t="str">
        <f t="shared" si="2"/>
        <v>#N/A</v>
      </c>
      <c r="T6" s="411" t="str">
        <f>CONCAT("""","Species",""":","""", 'Kegg Taxon'!U6,""",")</f>
        <v>#N/A</v>
      </c>
      <c r="U6" s="411" t="str">
        <f>CONCAT("""","VarSubsp",""":","""", 'Kegg Taxon'!V6,"""")</f>
        <v>#N/A</v>
      </c>
      <c r="V6" s="412"/>
      <c r="W6" s="412"/>
      <c r="X6" s="412"/>
      <c r="Y6" s="412"/>
      <c r="Z6" s="412"/>
    </row>
    <row r="7" ht="14.25" customHeight="1">
      <c r="A7" s="409" t="s">
        <v>3689</v>
      </c>
      <c r="B7" s="410" t="str">
        <f t="shared" si="1"/>
        <v>#N/A</v>
      </c>
      <c r="C7" s="411" t="str">
        <f>(CONCAT("""","KeggCode", """:","""",'Kegg Taxon'!A7,""","))</f>
        <v>#N/A</v>
      </c>
      <c r="D7" s="411" t="str">
        <f> (CONCAT("""","CommonName",""":", """",'Kegg Taxon'!B7,""","))</f>
        <v>#N/A</v>
      </c>
      <c r="E7" s="411" t="str">
        <f> (CONCAT("""","ScientificName",""":", """",'Kegg Taxon'!C7,""","))</f>
        <v>#N/A</v>
      </c>
      <c r="F7" s="411" t="str">
        <f>CONCAT("""","Kingdom", """:","""",'Kegg Taxon'!D7,""",")</f>
        <v>#N/A</v>
      </c>
      <c r="G7" s="411" t="str">
        <f>CONCAT("""","Subkingdom",""":", """",'Kegg Taxon'!F7,""",")</f>
        <v>#N/A</v>
      </c>
      <c r="H7" s="411" t="str">
        <f>CONCAT("""","Superdivision",""":", """",'Kegg Taxon'!H7,""",")</f>
        <v>#N/A</v>
      </c>
      <c r="I7" s="411" t="str">
        <f>CONCAT("""","Phylum", """:","""",'Kegg Taxon'!I7,""",")</f>
        <v>#N/A</v>
      </c>
      <c r="J7" s="411" t="str">
        <f>CONCAT("""","Subphylum", """:","""",'Kegg Taxon'!J7,""",")</f>
        <v>#N/A</v>
      </c>
      <c r="K7" s="411" t="str">
        <f>CONCAT("""","Class", """:","""",'Kegg Taxon'!K7,""",")</f>
        <v>#N/A</v>
      </c>
      <c r="L7" s="411" t="str">
        <f>CONCAT("""","Subclass", """:","""",'Kegg Taxon'!L7,""",")</f>
        <v>#N/A</v>
      </c>
      <c r="M7" s="411" t="str">
        <f>CONCAT("""","Order",""":","""", 'Kegg Taxon'!O7,""",")</f>
        <v>#N/A</v>
      </c>
      <c r="N7" s="411" t="str">
        <f>CONCAT("""","Family",""":","""", 'Kegg Taxon'!P7,""",")</f>
        <v>#N/A</v>
      </c>
      <c r="O7" s="411" t="str">
        <f>CONCAT("""","Subfamily",""":","""", 'Kegg Taxon'!Q7,""",")</f>
        <v>#N/A</v>
      </c>
      <c r="P7" s="411" t="str">
        <f>CONCAT("""","Tribe",""":","""", 'Kegg Taxon'!R7,""",")</f>
        <v>#N/A</v>
      </c>
      <c r="Q7" s="411" t="str">
        <f>CONCAT("""","Subtribe",""":","""", 'Kegg Taxon'!S7,""",")</f>
        <v>#N/A</v>
      </c>
      <c r="R7" s="411" t="str">
        <f>CONCAT("""","Genus",""":","""", 'Kegg Taxon'!T7,""",")</f>
        <v>#N/A</v>
      </c>
      <c r="S7" s="411" t="str">
        <f t="shared" si="2"/>
        <v>#N/A</v>
      </c>
      <c r="T7" s="411" t="str">
        <f>CONCAT("""","Species",""":","""", 'Kegg Taxon'!U7,""",")</f>
        <v>#N/A</v>
      </c>
      <c r="U7" s="411" t="str">
        <f>CONCAT("""","VarSubsp",""":","""", 'Kegg Taxon'!V7,"""")</f>
        <v>#N/A</v>
      </c>
      <c r="V7" s="412"/>
      <c r="W7" s="412"/>
      <c r="X7" s="412"/>
      <c r="Y7" s="412"/>
      <c r="Z7" s="412"/>
    </row>
    <row r="8" ht="14.25" customHeight="1">
      <c r="A8" s="409" t="s">
        <v>3690</v>
      </c>
      <c r="B8" s="410" t="str">
        <f t="shared" si="1"/>
        <v>#N/A</v>
      </c>
      <c r="C8" s="411" t="str">
        <f>(CONCAT("""","KeggCode", """:","""",'Kegg Taxon'!A8,""","))</f>
        <v>#N/A</v>
      </c>
      <c r="D8" s="411" t="str">
        <f> (CONCAT("""","CommonName",""":", """",'Kegg Taxon'!B8,""","))</f>
        <v>#N/A</v>
      </c>
      <c r="E8" s="411" t="str">
        <f> (CONCAT("""","ScientificName",""":", """",'Kegg Taxon'!C8,""","))</f>
        <v>#N/A</v>
      </c>
      <c r="F8" s="411" t="str">
        <f>CONCAT("""","Kingdom", """:","""",'Kegg Taxon'!D8,""",")</f>
        <v>#N/A</v>
      </c>
      <c r="G8" s="411" t="str">
        <f>CONCAT("""","Subkingdom",""":", """",'Kegg Taxon'!F8,""",")</f>
        <v>#N/A</v>
      </c>
      <c r="H8" s="411" t="str">
        <f>CONCAT("""","Superdivision",""":", """",'Kegg Taxon'!H8,""",")</f>
        <v>#N/A</v>
      </c>
      <c r="I8" s="411" t="str">
        <f>CONCAT("""","Phylum", """:","""",'Kegg Taxon'!I8,""",")</f>
        <v>#N/A</v>
      </c>
      <c r="J8" s="411" t="str">
        <f>CONCAT("""","Subphylum", """:","""",'Kegg Taxon'!J8,""",")</f>
        <v>#N/A</v>
      </c>
      <c r="K8" s="411" t="str">
        <f>CONCAT("""","Class", """:","""",'Kegg Taxon'!K8,""",")</f>
        <v>#N/A</v>
      </c>
      <c r="L8" s="411" t="str">
        <f>CONCAT("""","Subclass", """:","""",'Kegg Taxon'!L8,""",")</f>
        <v>#N/A</v>
      </c>
      <c r="M8" s="411" t="str">
        <f>CONCAT("""","Order",""":","""", 'Kegg Taxon'!O8,""",")</f>
        <v>#N/A</v>
      </c>
      <c r="N8" s="411" t="str">
        <f>CONCAT("""","Family",""":","""", 'Kegg Taxon'!P8,""",")</f>
        <v>#N/A</v>
      </c>
      <c r="O8" s="411" t="str">
        <f>CONCAT("""","Subfamily",""":","""", 'Kegg Taxon'!Q8,""",")</f>
        <v>#N/A</v>
      </c>
      <c r="P8" s="411" t="str">
        <f>CONCAT("""","Tribe",""":","""", 'Kegg Taxon'!R8,""",")</f>
        <v>#N/A</v>
      </c>
      <c r="Q8" s="411" t="str">
        <f>CONCAT("""","Subtribe",""":","""", 'Kegg Taxon'!S8,""",")</f>
        <v>#N/A</v>
      </c>
      <c r="R8" s="411" t="str">
        <f>CONCAT("""","Genus",""":","""", 'Kegg Taxon'!T8,""",")</f>
        <v>#N/A</v>
      </c>
      <c r="S8" s="411" t="str">
        <f t="shared" si="2"/>
        <v>#N/A</v>
      </c>
      <c r="T8" s="411" t="str">
        <f>CONCAT("""","Species",""":","""", 'Kegg Taxon'!U8,""",")</f>
        <v>#N/A</v>
      </c>
      <c r="U8" s="411" t="str">
        <f>CONCAT("""","VarSubsp",""":","""", 'Kegg Taxon'!V8,"""")</f>
        <v>#N/A</v>
      </c>
      <c r="V8" s="412"/>
      <c r="W8" s="412"/>
      <c r="X8" s="412"/>
      <c r="Y8" s="412"/>
      <c r="Z8" s="412"/>
    </row>
    <row r="9" ht="14.25" customHeight="1">
      <c r="A9" s="409" t="s">
        <v>3691</v>
      </c>
      <c r="B9" s="410" t="str">
        <f t="shared" si="1"/>
        <v>#N/A</v>
      </c>
      <c r="C9" s="411" t="str">
        <f>(CONCAT("""","KeggCode", """:","""",'Kegg Taxon'!A9,""","))</f>
        <v>#N/A</v>
      </c>
      <c r="D9" s="411" t="str">
        <f> (CONCAT("""","CommonName",""":", """",'Kegg Taxon'!B9,""","))</f>
        <v>#N/A</v>
      </c>
      <c r="E9" s="411" t="str">
        <f> (CONCAT("""","ScientificName",""":", """",'Kegg Taxon'!C9,""","))</f>
        <v>#N/A</v>
      </c>
      <c r="F9" s="411" t="str">
        <f>CONCAT("""","Kingdom", """:","""",'Kegg Taxon'!D9,""",")</f>
        <v>#N/A</v>
      </c>
      <c r="G9" s="411" t="str">
        <f>CONCAT("""","Subkingdom",""":", """",'Kegg Taxon'!F9,""",")</f>
        <v>#N/A</v>
      </c>
      <c r="H9" s="411" t="str">
        <f>CONCAT("""","Superdivision",""":", """",'Kegg Taxon'!H9,""",")</f>
        <v>#N/A</v>
      </c>
      <c r="I9" s="411" t="str">
        <f>CONCAT("""","Phylum", """:","""",'Kegg Taxon'!I9,""",")</f>
        <v>#N/A</v>
      </c>
      <c r="J9" s="411" t="str">
        <f>CONCAT("""","Subphylum", """:","""",'Kegg Taxon'!J9,""",")</f>
        <v>#N/A</v>
      </c>
      <c r="K9" s="411" t="str">
        <f>CONCAT("""","Class", """:","""",'Kegg Taxon'!K9,""",")</f>
        <v>#N/A</v>
      </c>
      <c r="L9" s="411" t="str">
        <f>CONCAT("""","Subclass", """:","""",'Kegg Taxon'!L9,""",")</f>
        <v>#N/A</v>
      </c>
      <c r="M9" s="411" t="str">
        <f>CONCAT("""","Order",""":","""", 'Kegg Taxon'!O9,""",")</f>
        <v>#N/A</v>
      </c>
      <c r="N9" s="411" t="str">
        <f>CONCAT("""","Family",""":","""", 'Kegg Taxon'!P9,""",")</f>
        <v>#N/A</v>
      </c>
      <c r="O9" s="411" t="str">
        <f>CONCAT("""","Subfamily",""":","""", 'Kegg Taxon'!Q9,""",")</f>
        <v>#N/A</v>
      </c>
      <c r="P9" s="411" t="str">
        <f>CONCAT("""","Tribe",""":","""", 'Kegg Taxon'!R9,""",")</f>
        <v>#N/A</v>
      </c>
      <c r="Q9" s="411" t="str">
        <f>CONCAT("""","Subtribe",""":","""", 'Kegg Taxon'!S9,""",")</f>
        <v>#N/A</v>
      </c>
      <c r="R9" s="411" t="str">
        <f>CONCAT("""","Genus",""":","""", 'Kegg Taxon'!T9,""",")</f>
        <v>#N/A</v>
      </c>
      <c r="S9" s="411" t="str">
        <f t="shared" si="2"/>
        <v>#N/A</v>
      </c>
      <c r="T9" s="411" t="str">
        <f>CONCAT("""","Species",""":","""", 'Kegg Taxon'!U9,""",")</f>
        <v>#N/A</v>
      </c>
      <c r="U9" s="411" t="str">
        <f>CONCAT("""","VarSubsp",""":","""", 'Kegg Taxon'!V9,"""")</f>
        <v>#N/A</v>
      </c>
      <c r="V9" s="412"/>
      <c r="W9" s="412"/>
      <c r="X9" s="412"/>
      <c r="Y9" s="412"/>
      <c r="Z9" s="412"/>
    </row>
    <row r="10" ht="14.25" customHeight="1">
      <c r="A10" s="409" t="s">
        <v>3692</v>
      </c>
      <c r="B10" s="410" t="str">
        <f t="shared" si="1"/>
        <v>#N/A</v>
      </c>
      <c r="C10" s="411" t="str">
        <f>(CONCAT("""","KeggCode", """:","""",'Kegg Taxon'!A10,""","))</f>
        <v>#N/A</v>
      </c>
      <c r="D10" s="411" t="str">
        <f> (CONCAT("""","CommonName",""":", """",'Kegg Taxon'!B10,""","))</f>
        <v>#N/A</v>
      </c>
      <c r="E10" s="411" t="str">
        <f> (CONCAT("""","ScientificName",""":", """",'Kegg Taxon'!C10,""","))</f>
        <v>#N/A</v>
      </c>
      <c r="F10" s="411" t="str">
        <f>CONCAT("""","Kingdom", """:","""",'Kegg Taxon'!D10,""",")</f>
        <v>#N/A</v>
      </c>
      <c r="G10" s="411" t="str">
        <f>CONCAT("""","Subkingdom",""":", """",'Kegg Taxon'!F10,""",")</f>
        <v>#N/A</v>
      </c>
      <c r="H10" s="411" t="str">
        <f>CONCAT("""","Superdivision",""":", """",'Kegg Taxon'!H10,""",")</f>
        <v>#N/A</v>
      </c>
      <c r="I10" s="411" t="str">
        <f>CONCAT("""","Phylum", """:","""",'Kegg Taxon'!I10,""",")</f>
        <v>#N/A</v>
      </c>
      <c r="J10" s="411" t="str">
        <f>CONCAT("""","Subphylum", """:","""",'Kegg Taxon'!J10,""",")</f>
        <v>#N/A</v>
      </c>
      <c r="K10" s="411" t="str">
        <f>CONCAT("""","Class", """:","""",'Kegg Taxon'!K10,""",")</f>
        <v>#N/A</v>
      </c>
      <c r="L10" s="411" t="str">
        <f>CONCAT("""","Subclass", """:","""",'Kegg Taxon'!L10,""",")</f>
        <v>#N/A</v>
      </c>
      <c r="M10" s="411" t="str">
        <f>CONCAT("""","Order",""":","""", 'Kegg Taxon'!O10,""",")</f>
        <v>#N/A</v>
      </c>
      <c r="N10" s="411" t="str">
        <f>CONCAT("""","Family",""":","""", 'Kegg Taxon'!P10,""",")</f>
        <v>#N/A</v>
      </c>
      <c r="O10" s="411" t="str">
        <f>CONCAT("""","Subfamily",""":","""", 'Kegg Taxon'!Q10,""",")</f>
        <v>#N/A</v>
      </c>
      <c r="P10" s="411" t="str">
        <f>CONCAT("""","Tribe",""":","""", 'Kegg Taxon'!R10,""",")</f>
        <v>#N/A</v>
      </c>
      <c r="Q10" s="411" t="str">
        <f>CONCAT("""","Subtribe",""":","""", 'Kegg Taxon'!S10,""",")</f>
        <v>#N/A</v>
      </c>
      <c r="R10" s="411" t="str">
        <f>CONCAT("""","Genus",""":","""", 'Kegg Taxon'!T10,""",")</f>
        <v>#N/A</v>
      </c>
      <c r="S10" s="411" t="str">
        <f t="shared" si="2"/>
        <v>#N/A</v>
      </c>
      <c r="T10" s="411" t="str">
        <f>CONCAT("""","Species",""":","""", 'Kegg Taxon'!U10,""",")</f>
        <v>#N/A</v>
      </c>
      <c r="U10" s="411" t="str">
        <f>CONCAT("""","VarSubsp",""":","""", 'Kegg Taxon'!V10,"""")</f>
        <v>#N/A</v>
      </c>
      <c r="V10" s="412"/>
      <c r="W10" s="412"/>
      <c r="X10" s="412"/>
      <c r="Y10" s="412"/>
      <c r="Z10" s="412"/>
    </row>
    <row r="11" ht="14.25" customHeight="1">
      <c r="A11" s="409" t="s">
        <v>3693</v>
      </c>
      <c r="B11" s="410" t="str">
        <f t="shared" si="1"/>
        <v>#N/A</v>
      </c>
      <c r="C11" s="411" t="str">
        <f>(CONCAT("""","KeggCode", """:","""",'Kegg Taxon'!A11,""","))</f>
        <v>#N/A</v>
      </c>
      <c r="D11" s="411" t="str">
        <f> (CONCAT("""","CommonName",""":", """",'Kegg Taxon'!B11,""","))</f>
        <v>#N/A</v>
      </c>
      <c r="E11" s="411" t="str">
        <f> (CONCAT("""","ScientificName",""":", """",'Kegg Taxon'!C11,""","))</f>
        <v>#N/A</v>
      </c>
      <c r="F11" s="411" t="str">
        <f>CONCAT("""","Kingdom", """:","""",'Kegg Taxon'!D11,""",")</f>
        <v>#N/A</v>
      </c>
      <c r="G11" s="411" t="str">
        <f>CONCAT("""","Subkingdom",""":", """",'Kegg Taxon'!F11,""",")</f>
        <v>#N/A</v>
      </c>
      <c r="H11" s="411" t="str">
        <f>CONCAT("""","Superdivision",""":", """",'Kegg Taxon'!H11,""",")</f>
        <v>#N/A</v>
      </c>
      <c r="I11" s="411" t="str">
        <f>CONCAT("""","Phylum", """:","""",'Kegg Taxon'!I11,""",")</f>
        <v>#N/A</v>
      </c>
      <c r="J11" s="411" t="str">
        <f>CONCAT("""","Subphylum", """:","""",'Kegg Taxon'!J11,""",")</f>
        <v>#N/A</v>
      </c>
      <c r="K11" s="411" t="str">
        <f>CONCAT("""","Class", """:","""",'Kegg Taxon'!K11,""",")</f>
        <v>#N/A</v>
      </c>
      <c r="L11" s="411" t="str">
        <f>CONCAT("""","Subclass", """:","""",'Kegg Taxon'!L11,""",")</f>
        <v>#N/A</v>
      </c>
      <c r="M11" s="411" t="str">
        <f>CONCAT("""","Order",""":","""", 'Kegg Taxon'!O11,""",")</f>
        <v>#N/A</v>
      </c>
      <c r="N11" s="411" t="str">
        <f>CONCAT("""","Family",""":","""", 'Kegg Taxon'!P11,""",")</f>
        <v>#N/A</v>
      </c>
      <c r="O11" s="411" t="str">
        <f>CONCAT("""","Subfamily",""":","""", 'Kegg Taxon'!Q11,""",")</f>
        <v>#N/A</v>
      </c>
      <c r="P11" s="411" t="str">
        <f>CONCAT("""","Tribe",""":","""", 'Kegg Taxon'!R11,""",")</f>
        <v>#N/A</v>
      </c>
      <c r="Q11" s="411" t="str">
        <f>CONCAT("""","Subtribe",""":","""", 'Kegg Taxon'!S11,""",")</f>
        <v>#N/A</v>
      </c>
      <c r="R11" s="411" t="str">
        <f>CONCAT("""","Genus",""":","""", 'Kegg Taxon'!T11,""",")</f>
        <v>#N/A</v>
      </c>
      <c r="S11" s="411" t="str">
        <f t="shared" si="2"/>
        <v>#N/A</v>
      </c>
      <c r="T11" s="411" t="str">
        <f>CONCAT("""","Species",""":","""", 'Kegg Taxon'!U11,""",")</f>
        <v>#N/A</v>
      </c>
      <c r="U11" s="411" t="str">
        <f>CONCAT("""","VarSubsp",""":","""", 'Kegg Taxon'!V11,"""")</f>
        <v>#N/A</v>
      </c>
      <c r="V11" s="412"/>
      <c r="W11" s="412"/>
      <c r="X11" s="412"/>
      <c r="Y11" s="412"/>
      <c r="Z11" s="412"/>
    </row>
    <row r="12" ht="14.25" customHeight="1">
      <c r="A12" s="409" t="s">
        <v>3694</v>
      </c>
      <c r="B12" s="410" t="str">
        <f t="shared" si="1"/>
        <v>#N/A</v>
      </c>
      <c r="C12" s="411" t="str">
        <f>(CONCAT("""","KeggCode", """:","""",'Kegg Taxon'!A12,""","))</f>
        <v>#N/A</v>
      </c>
      <c r="D12" s="411" t="str">
        <f> (CONCAT("""","CommonName",""":", """",'Kegg Taxon'!B12,""","))</f>
        <v>#N/A</v>
      </c>
      <c r="E12" s="411" t="str">
        <f> (CONCAT("""","ScientificName",""":", """",'Kegg Taxon'!C12,""","))</f>
        <v>#N/A</v>
      </c>
      <c r="F12" s="411" t="str">
        <f>CONCAT("""","Kingdom", """:","""",'Kegg Taxon'!D12,""",")</f>
        <v>#N/A</v>
      </c>
      <c r="G12" s="411" t="str">
        <f>CONCAT("""","Subkingdom",""":", """",'Kegg Taxon'!F12,""",")</f>
        <v>#N/A</v>
      </c>
      <c r="H12" s="411" t="str">
        <f>CONCAT("""","Superdivision",""":", """",'Kegg Taxon'!H12,""",")</f>
        <v>#N/A</v>
      </c>
      <c r="I12" s="411" t="str">
        <f>CONCAT("""","Phylum", """:","""",'Kegg Taxon'!I12,""",")</f>
        <v>#N/A</v>
      </c>
      <c r="J12" s="411" t="str">
        <f>CONCAT("""","Subphylum", """:","""",'Kegg Taxon'!J12,""",")</f>
        <v>#N/A</v>
      </c>
      <c r="K12" s="411" t="str">
        <f>CONCAT("""","Class", """:","""",'Kegg Taxon'!K12,""",")</f>
        <v>#N/A</v>
      </c>
      <c r="L12" s="411" t="str">
        <f>CONCAT("""","Subclass", """:","""",'Kegg Taxon'!L12,""",")</f>
        <v>#N/A</v>
      </c>
      <c r="M12" s="411" t="str">
        <f>CONCAT("""","Order",""":","""", 'Kegg Taxon'!O12,""",")</f>
        <v>#N/A</v>
      </c>
      <c r="N12" s="411" t="str">
        <f>CONCAT("""","Family",""":","""", 'Kegg Taxon'!P12,""",")</f>
        <v>#N/A</v>
      </c>
      <c r="O12" s="411" t="str">
        <f>CONCAT("""","Subfamily",""":","""", 'Kegg Taxon'!Q12,""",")</f>
        <v>#N/A</v>
      </c>
      <c r="P12" s="411" t="str">
        <f>CONCAT("""","Tribe",""":","""", 'Kegg Taxon'!R12,""",")</f>
        <v>#N/A</v>
      </c>
      <c r="Q12" s="411" t="str">
        <f>CONCAT("""","Subtribe",""":","""", 'Kegg Taxon'!S12,""",")</f>
        <v>#N/A</v>
      </c>
      <c r="R12" s="411" t="str">
        <f>CONCAT("""","Genus",""":","""", 'Kegg Taxon'!T12,""",")</f>
        <v>#N/A</v>
      </c>
      <c r="S12" s="411" t="str">
        <f t="shared" si="2"/>
        <v>#N/A</v>
      </c>
      <c r="T12" s="411" t="str">
        <f>CONCAT("""","Species",""":","""", 'Kegg Taxon'!U12,""",")</f>
        <v>#N/A</v>
      </c>
      <c r="U12" s="411" t="str">
        <f>CONCAT("""","VarSubsp",""":","""", 'Kegg Taxon'!V12,"""")</f>
        <v>#N/A</v>
      </c>
      <c r="V12" s="412"/>
      <c r="W12" s="412"/>
      <c r="X12" s="412"/>
      <c r="Y12" s="412"/>
      <c r="Z12" s="412"/>
    </row>
    <row r="13" ht="14.25" customHeight="1">
      <c r="A13" s="409" t="s">
        <v>3695</v>
      </c>
      <c r="B13" s="410" t="str">
        <f t="shared" si="1"/>
        <v>#N/A</v>
      </c>
      <c r="C13" s="411" t="str">
        <f>(CONCAT("""","KeggCode", """:","""",'Kegg Taxon'!A13,""","))</f>
        <v>#N/A</v>
      </c>
      <c r="D13" s="411" t="str">
        <f> (CONCAT("""","CommonName",""":", """",'Kegg Taxon'!B13,""","))</f>
        <v>#N/A</v>
      </c>
      <c r="E13" s="411" t="str">
        <f> (CONCAT("""","ScientificName",""":", """",'Kegg Taxon'!C13,""","))</f>
        <v>#N/A</v>
      </c>
      <c r="F13" s="411" t="str">
        <f>CONCAT("""","Kingdom", """:","""",'Kegg Taxon'!D13,""",")</f>
        <v>#N/A</v>
      </c>
      <c r="G13" s="411" t="str">
        <f>CONCAT("""","Subkingdom",""":", """",'Kegg Taxon'!F13,""",")</f>
        <v>#N/A</v>
      </c>
      <c r="H13" s="411" t="str">
        <f>CONCAT("""","Superdivision",""":", """",'Kegg Taxon'!H13,""",")</f>
        <v>#N/A</v>
      </c>
      <c r="I13" s="411" t="str">
        <f>CONCAT("""","Phylum", """:","""",'Kegg Taxon'!I13,""",")</f>
        <v>#N/A</v>
      </c>
      <c r="J13" s="411" t="str">
        <f>CONCAT("""","Subphylum", """:","""",'Kegg Taxon'!J13,""",")</f>
        <v>#N/A</v>
      </c>
      <c r="K13" s="411" t="str">
        <f>CONCAT("""","Class", """:","""",'Kegg Taxon'!K13,""",")</f>
        <v>#N/A</v>
      </c>
      <c r="L13" s="411" t="str">
        <f>CONCAT("""","Subclass", """:","""",'Kegg Taxon'!L13,""",")</f>
        <v>#N/A</v>
      </c>
      <c r="M13" s="411" t="str">
        <f>CONCAT("""","Order",""":","""", 'Kegg Taxon'!O13,""",")</f>
        <v>#N/A</v>
      </c>
      <c r="N13" s="411" t="str">
        <f>CONCAT("""","Family",""":","""", 'Kegg Taxon'!P13,""",")</f>
        <v>#N/A</v>
      </c>
      <c r="O13" s="411" t="str">
        <f>CONCAT("""","Subfamily",""":","""", 'Kegg Taxon'!Q13,""",")</f>
        <v>#N/A</v>
      </c>
      <c r="P13" s="411" t="str">
        <f>CONCAT("""","Tribe",""":","""", 'Kegg Taxon'!R13,""",")</f>
        <v>#N/A</v>
      </c>
      <c r="Q13" s="411" t="str">
        <f>CONCAT("""","Subtribe",""":","""", 'Kegg Taxon'!S13,""",")</f>
        <v>#N/A</v>
      </c>
      <c r="R13" s="411" t="str">
        <f>CONCAT("""","Genus",""":","""", 'Kegg Taxon'!T13,""",")</f>
        <v>#N/A</v>
      </c>
      <c r="S13" s="411" t="str">
        <f t="shared" si="2"/>
        <v>#N/A</v>
      </c>
      <c r="T13" s="411" t="str">
        <f>CONCAT("""","Species",""":","""", 'Kegg Taxon'!U13,""",")</f>
        <v>#N/A</v>
      </c>
      <c r="U13" s="411" t="str">
        <f>CONCAT("""","VarSubsp",""":","""", 'Kegg Taxon'!V13,"""")</f>
        <v>#N/A</v>
      </c>
      <c r="V13" s="412"/>
      <c r="W13" s="412"/>
      <c r="X13" s="412"/>
      <c r="Y13" s="412"/>
      <c r="Z13" s="412"/>
    </row>
    <row r="14" ht="14.25" customHeight="1">
      <c r="A14" s="409" t="s">
        <v>3696</v>
      </c>
      <c r="B14" s="410" t="str">
        <f t="shared" si="1"/>
        <v>#N/A</v>
      </c>
      <c r="C14" s="411" t="str">
        <f>(CONCAT("""","KeggCode", """:","""",'Kegg Taxon'!A14,""","))</f>
        <v>#N/A</v>
      </c>
      <c r="D14" s="411" t="str">
        <f> (CONCAT("""","CommonName",""":", """",'Kegg Taxon'!B14,""","))</f>
        <v>#N/A</v>
      </c>
      <c r="E14" s="411" t="str">
        <f> (CONCAT("""","ScientificName",""":", """",'Kegg Taxon'!C14,""","))</f>
        <v>#N/A</v>
      </c>
      <c r="F14" s="411" t="str">
        <f>CONCAT("""","Kingdom", """:","""",'Kegg Taxon'!D14,""",")</f>
        <v>#N/A</v>
      </c>
      <c r="G14" s="411" t="str">
        <f>CONCAT("""","Subkingdom",""":", """",'Kegg Taxon'!F14,""",")</f>
        <v>#N/A</v>
      </c>
      <c r="H14" s="411" t="str">
        <f>CONCAT("""","Superdivision",""":", """",'Kegg Taxon'!H14,""",")</f>
        <v>#N/A</v>
      </c>
      <c r="I14" s="411" t="str">
        <f>CONCAT("""","Phylum", """:","""",'Kegg Taxon'!I14,""",")</f>
        <v>#N/A</v>
      </c>
      <c r="J14" s="411" t="str">
        <f>CONCAT("""","Subphylum", """:","""",'Kegg Taxon'!J14,""",")</f>
        <v>#N/A</v>
      </c>
      <c r="K14" s="411" t="str">
        <f>CONCAT("""","Class", """:","""",'Kegg Taxon'!K14,""",")</f>
        <v>#N/A</v>
      </c>
      <c r="L14" s="411" t="str">
        <f>CONCAT("""","Subclass", """:","""",'Kegg Taxon'!L14,""",")</f>
        <v>#N/A</v>
      </c>
      <c r="M14" s="411" t="str">
        <f>CONCAT("""","Order",""":","""", 'Kegg Taxon'!O14,""",")</f>
        <v>#N/A</v>
      </c>
      <c r="N14" s="411" t="str">
        <f>CONCAT("""","Family",""":","""", 'Kegg Taxon'!P14,""",")</f>
        <v>#N/A</v>
      </c>
      <c r="O14" s="411" t="str">
        <f>CONCAT("""","Subfamily",""":","""", 'Kegg Taxon'!Q14,""",")</f>
        <v>#N/A</v>
      </c>
      <c r="P14" s="411" t="str">
        <f>CONCAT("""","Tribe",""":","""", 'Kegg Taxon'!R14,""",")</f>
        <v>#N/A</v>
      </c>
      <c r="Q14" s="411" t="str">
        <f>CONCAT("""","Subtribe",""":","""", 'Kegg Taxon'!S14,""",")</f>
        <v>#N/A</v>
      </c>
      <c r="R14" s="411" t="str">
        <f>CONCAT("""","Genus",""":","""", 'Kegg Taxon'!T14,""",")</f>
        <v>#N/A</v>
      </c>
      <c r="S14" s="411" t="str">
        <f t="shared" si="2"/>
        <v>#N/A</v>
      </c>
      <c r="T14" s="411" t="str">
        <f>CONCAT("""","Species",""":","""", 'Kegg Taxon'!U14,""",")</f>
        <v>#N/A</v>
      </c>
      <c r="U14" s="411" t="str">
        <f>CONCAT("""","VarSubsp",""":","""", 'Kegg Taxon'!V14,"""")</f>
        <v>#N/A</v>
      </c>
      <c r="V14" s="412"/>
      <c r="W14" s="412"/>
      <c r="X14" s="412"/>
      <c r="Y14" s="412"/>
      <c r="Z14" s="412"/>
    </row>
    <row r="15" ht="14.25" customHeight="1">
      <c r="A15" s="409" t="s">
        <v>3697</v>
      </c>
      <c r="B15" s="410" t="str">
        <f t="shared" si="1"/>
        <v>#N/A</v>
      </c>
      <c r="C15" s="411" t="str">
        <f>(CONCAT("""","KeggCode", """:","""",'Kegg Taxon'!A15,""","))</f>
        <v>#N/A</v>
      </c>
      <c r="D15" s="411" t="str">
        <f> (CONCAT("""","CommonName",""":", """",'Kegg Taxon'!B15,""","))</f>
        <v>#N/A</v>
      </c>
      <c r="E15" s="411" t="str">
        <f> (CONCAT("""","ScientificName",""":", """",'Kegg Taxon'!C15,""","))</f>
        <v>#N/A</v>
      </c>
      <c r="F15" s="411" t="str">
        <f>CONCAT("""","Kingdom", """:","""",'Kegg Taxon'!D15,""",")</f>
        <v>#N/A</v>
      </c>
      <c r="G15" s="411" t="str">
        <f>CONCAT("""","Subkingdom",""":", """",'Kegg Taxon'!F15,""",")</f>
        <v>#N/A</v>
      </c>
      <c r="H15" s="411" t="str">
        <f>CONCAT("""","Superdivision",""":", """",'Kegg Taxon'!H15,""",")</f>
        <v>#N/A</v>
      </c>
      <c r="I15" s="411" t="str">
        <f>CONCAT("""","Phylum", """:","""",'Kegg Taxon'!I15,""",")</f>
        <v>#N/A</v>
      </c>
      <c r="J15" s="411" t="str">
        <f>CONCAT("""","Subphylum", """:","""",'Kegg Taxon'!J15,""",")</f>
        <v>#N/A</v>
      </c>
      <c r="K15" s="411" t="str">
        <f>CONCAT("""","Class", """:","""",'Kegg Taxon'!K15,""",")</f>
        <v>#N/A</v>
      </c>
      <c r="L15" s="411" t="str">
        <f>CONCAT("""","Subclass", """:","""",'Kegg Taxon'!L15,""",")</f>
        <v>#N/A</v>
      </c>
      <c r="M15" s="411" t="str">
        <f>CONCAT("""","Order",""":","""", 'Kegg Taxon'!O15,""",")</f>
        <v>#N/A</v>
      </c>
      <c r="N15" s="411" t="str">
        <f>CONCAT("""","Family",""":","""", 'Kegg Taxon'!P15,""",")</f>
        <v>#N/A</v>
      </c>
      <c r="O15" s="411" t="str">
        <f>CONCAT("""","Subfamily",""":","""", 'Kegg Taxon'!Q15,""",")</f>
        <v>#N/A</v>
      </c>
      <c r="P15" s="411" t="str">
        <f>CONCAT("""","Tribe",""":","""", 'Kegg Taxon'!R15,""",")</f>
        <v>#N/A</v>
      </c>
      <c r="Q15" s="411" t="str">
        <f>CONCAT("""","Subtribe",""":","""", 'Kegg Taxon'!S15,""",")</f>
        <v>#N/A</v>
      </c>
      <c r="R15" s="411" t="str">
        <f>CONCAT("""","Genus",""":","""", 'Kegg Taxon'!T15,""",")</f>
        <v>#N/A</v>
      </c>
      <c r="S15" s="411" t="str">
        <f t="shared" si="2"/>
        <v>#N/A</v>
      </c>
      <c r="T15" s="411" t="str">
        <f>CONCAT("""","Species",""":","""", 'Kegg Taxon'!U15,""",")</f>
        <v>#N/A</v>
      </c>
      <c r="U15" s="411" t="str">
        <f>CONCAT("""","VarSubsp",""":","""", 'Kegg Taxon'!V15,"""")</f>
        <v>#N/A</v>
      </c>
      <c r="V15" s="412"/>
      <c r="W15" s="412"/>
      <c r="X15" s="412"/>
      <c r="Y15" s="412"/>
      <c r="Z15" s="412"/>
    </row>
    <row r="16" ht="14.25" customHeight="1">
      <c r="A16" s="409" t="s">
        <v>3698</v>
      </c>
      <c r="B16" s="410" t="str">
        <f t="shared" si="1"/>
        <v>#N/A</v>
      </c>
      <c r="C16" s="411" t="str">
        <f>(CONCAT("""","KeggCode", """:","""",'Kegg Taxon'!A16,""","))</f>
        <v>#N/A</v>
      </c>
      <c r="D16" s="411" t="str">
        <f> (CONCAT("""","CommonName",""":", """",'Kegg Taxon'!B16,""","))</f>
        <v>#N/A</v>
      </c>
      <c r="E16" s="411" t="str">
        <f> (CONCAT("""","ScientificName",""":", """",'Kegg Taxon'!C16,""","))</f>
        <v>#N/A</v>
      </c>
      <c r="F16" s="411" t="str">
        <f>CONCAT("""","Kingdom", """:","""",'Kegg Taxon'!D16,""",")</f>
        <v>#N/A</v>
      </c>
      <c r="G16" s="411" t="str">
        <f>CONCAT("""","Subkingdom",""":", """",'Kegg Taxon'!F16,""",")</f>
        <v>#N/A</v>
      </c>
      <c r="H16" s="411" t="str">
        <f>CONCAT("""","Superdivision",""":", """",'Kegg Taxon'!H16,""",")</f>
        <v>#N/A</v>
      </c>
      <c r="I16" s="411" t="str">
        <f>CONCAT("""","Phylum", """:","""",'Kegg Taxon'!I16,""",")</f>
        <v>#N/A</v>
      </c>
      <c r="J16" s="411" t="str">
        <f>CONCAT("""","Subphylum", """:","""",'Kegg Taxon'!J16,""",")</f>
        <v>#N/A</v>
      </c>
      <c r="K16" s="411" t="str">
        <f>CONCAT("""","Class", """:","""",'Kegg Taxon'!K16,""",")</f>
        <v>#N/A</v>
      </c>
      <c r="L16" s="411" t="str">
        <f>CONCAT("""","Subclass", """:","""",'Kegg Taxon'!L16,""",")</f>
        <v>#N/A</v>
      </c>
      <c r="M16" s="411" t="str">
        <f>CONCAT("""","Order",""":","""", 'Kegg Taxon'!O16,""",")</f>
        <v>#N/A</v>
      </c>
      <c r="N16" s="411" t="str">
        <f>CONCAT("""","Family",""":","""", 'Kegg Taxon'!P16,""",")</f>
        <v>#N/A</v>
      </c>
      <c r="O16" s="411" t="str">
        <f>CONCAT("""","Subfamily",""":","""", 'Kegg Taxon'!Q16,""",")</f>
        <v>#N/A</v>
      </c>
      <c r="P16" s="411" t="str">
        <f>CONCAT("""","Tribe",""":","""", 'Kegg Taxon'!R16,""",")</f>
        <v>#N/A</v>
      </c>
      <c r="Q16" s="411" t="str">
        <f>CONCAT("""","Subtribe",""":","""", 'Kegg Taxon'!S16,""",")</f>
        <v>#N/A</v>
      </c>
      <c r="R16" s="411" t="str">
        <f>CONCAT("""","Genus",""":","""", 'Kegg Taxon'!T16,""",")</f>
        <v>#N/A</v>
      </c>
      <c r="S16" s="411" t="str">
        <f t="shared" si="2"/>
        <v>#N/A</v>
      </c>
      <c r="T16" s="411" t="str">
        <f>CONCAT("""","Species",""":","""", 'Kegg Taxon'!U16,""",")</f>
        <v>#N/A</v>
      </c>
      <c r="U16" s="411" t="str">
        <f>CONCAT("""","VarSubsp",""":","""", 'Kegg Taxon'!V16,"""")</f>
        <v>#N/A</v>
      </c>
      <c r="V16" s="412"/>
      <c r="W16" s="412"/>
      <c r="X16" s="412"/>
      <c r="Y16" s="412"/>
      <c r="Z16" s="412"/>
    </row>
    <row r="17" ht="14.25" customHeight="1">
      <c r="A17" s="409" t="s">
        <v>3699</v>
      </c>
      <c r="B17" s="410" t="str">
        <f t="shared" si="1"/>
        <v>#N/A</v>
      </c>
      <c r="C17" s="411" t="str">
        <f>(CONCAT("""","KeggCode", """:","""",'Kegg Taxon'!A17,""","))</f>
        <v>#N/A</v>
      </c>
      <c r="D17" s="411" t="str">
        <f> (CONCAT("""","CommonName",""":", """",'Kegg Taxon'!B17,""","))</f>
        <v>#N/A</v>
      </c>
      <c r="E17" s="411" t="str">
        <f> (CONCAT("""","ScientificName",""":", """",'Kegg Taxon'!C17,""","))</f>
        <v>#N/A</v>
      </c>
      <c r="F17" s="411" t="str">
        <f>CONCAT("""","Kingdom", """:","""",'Kegg Taxon'!D17,""",")</f>
        <v>#N/A</v>
      </c>
      <c r="G17" s="411" t="str">
        <f>CONCAT("""","Subkingdom",""":", """",'Kegg Taxon'!F17,""",")</f>
        <v>#N/A</v>
      </c>
      <c r="H17" s="411" t="str">
        <f>CONCAT("""","Superdivision",""":", """",'Kegg Taxon'!H17,""",")</f>
        <v>#N/A</v>
      </c>
      <c r="I17" s="411" t="str">
        <f>CONCAT("""","Phylum", """:","""",'Kegg Taxon'!I17,""",")</f>
        <v>#N/A</v>
      </c>
      <c r="J17" s="411" t="str">
        <f>CONCAT("""","Subphylum", """:","""",'Kegg Taxon'!J17,""",")</f>
        <v>#N/A</v>
      </c>
      <c r="K17" s="411" t="str">
        <f>CONCAT("""","Class", """:","""",'Kegg Taxon'!K17,""",")</f>
        <v>#N/A</v>
      </c>
      <c r="L17" s="411" t="str">
        <f>CONCAT("""","Subclass", """:","""",'Kegg Taxon'!L17,""",")</f>
        <v>#N/A</v>
      </c>
      <c r="M17" s="411" t="str">
        <f>CONCAT("""","Order",""":","""", 'Kegg Taxon'!O17,""",")</f>
        <v>#N/A</v>
      </c>
      <c r="N17" s="411" t="str">
        <f>CONCAT("""","Family",""":","""", 'Kegg Taxon'!P17,""",")</f>
        <v>#N/A</v>
      </c>
      <c r="O17" s="411" t="str">
        <f>CONCAT("""","Subfamily",""":","""", 'Kegg Taxon'!Q17,""",")</f>
        <v>#N/A</v>
      </c>
      <c r="P17" s="411" t="str">
        <f>CONCAT("""","Tribe",""":","""", 'Kegg Taxon'!R17,""",")</f>
        <v>#N/A</v>
      </c>
      <c r="Q17" s="411" t="str">
        <f>CONCAT("""","Subtribe",""":","""", 'Kegg Taxon'!S17,""",")</f>
        <v>#N/A</v>
      </c>
      <c r="R17" s="411" t="str">
        <f>CONCAT("""","Genus",""":","""", 'Kegg Taxon'!T17,""",")</f>
        <v>#N/A</v>
      </c>
      <c r="S17" s="411" t="str">
        <f t="shared" si="2"/>
        <v>#N/A</v>
      </c>
      <c r="T17" s="411" t="str">
        <f>CONCAT("""","Species",""":","""", 'Kegg Taxon'!U17,""",")</f>
        <v>#N/A</v>
      </c>
      <c r="U17" s="411" t="str">
        <f>CONCAT("""","VarSubsp",""":","""", 'Kegg Taxon'!V17,"""")</f>
        <v>#N/A</v>
      </c>
      <c r="V17" s="412"/>
      <c r="W17" s="412"/>
      <c r="X17" s="412"/>
      <c r="Y17" s="412"/>
      <c r="Z17" s="412"/>
    </row>
    <row r="18" ht="14.25" customHeight="1">
      <c r="A18" s="409" t="s">
        <v>3700</v>
      </c>
      <c r="B18" s="410" t="str">
        <f t="shared" si="1"/>
        <v>#N/A</v>
      </c>
      <c r="C18" s="411" t="str">
        <f>(CONCAT("""","KeggCode", """:","""",'Kegg Taxon'!A18,""","))</f>
        <v>#N/A</v>
      </c>
      <c r="D18" s="411" t="str">
        <f> (CONCAT("""","CommonName",""":", """",'Kegg Taxon'!B18,""","))</f>
        <v>#N/A</v>
      </c>
      <c r="E18" s="411" t="str">
        <f> (CONCAT("""","ScientificName",""":", """",'Kegg Taxon'!C18,""","))</f>
        <v>#N/A</v>
      </c>
      <c r="F18" s="411" t="str">
        <f>CONCAT("""","Kingdom", """:","""",'Kegg Taxon'!D18,""",")</f>
        <v>#N/A</v>
      </c>
      <c r="G18" s="411" t="str">
        <f>CONCAT("""","Subkingdom",""":", """",'Kegg Taxon'!F18,""",")</f>
        <v>#N/A</v>
      </c>
      <c r="H18" s="411" t="str">
        <f>CONCAT("""","Superdivision",""":", """",'Kegg Taxon'!H18,""",")</f>
        <v>#N/A</v>
      </c>
      <c r="I18" s="411" t="str">
        <f>CONCAT("""","Phylum", """:","""",'Kegg Taxon'!I18,""",")</f>
        <v>#N/A</v>
      </c>
      <c r="J18" s="411" t="str">
        <f>CONCAT("""","Subphylum", """:","""",'Kegg Taxon'!J18,""",")</f>
        <v>#N/A</v>
      </c>
      <c r="K18" s="411" t="str">
        <f>CONCAT("""","Class", """:","""",'Kegg Taxon'!K18,""",")</f>
        <v>#N/A</v>
      </c>
      <c r="L18" s="411" t="str">
        <f>CONCAT("""","Subclass", """:","""",'Kegg Taxon'!L18,""",")</f>
        <v>#N/A</v>
      </c>
      <c r="M18" s="411" t="str">
        <f>CONCAT("""","Order",""":","""", 'Kegg Taxon'!O18,""",")</f>
        <v>#N/A</v>
      </c>
      <c r="N18" s="411" t="str">
        <f>CONCAT("""","Family",""":","""", 'Kegg Taxon'!P18,""",")</f>
        <v>#N/A</v>
      </c>
      <c r="O18" s="411" t="str">
        <f>CONCAT("""","Subfamily",""":","""", 'Kegg Taxon'!Q18,""",")</f>
        <v>#N/A</v>
      </c>
      <c r="P18" s="411" t="str">
        <f>CONCAT("""","Tribe",""":","""", 'Kegg Taxon'!R18,""",")</f>
        <v>#N/A</v>
      </c>
      <c r="Q18" s="411" t="str">
        <f>CONCAT("""","Subtribe",""":","""", 'Kegg Taxon'!S18,""",")</f>
        <v>#N/A</v>
      </c>
      <c r="R18" s="411" t="str">
        <f>CONCAT("""","Genus",""":","""", 'Kegg Taxon'!T18,""",")</f>
        <v>#N/A</v>
      </c>
      <c r="S18" s="411" t="str">
        <f t="shared" si="2"/>
        <v>#N/A</v>
      </c>
      <c r="T18" s="411" t="str">
        <f>CONCAT("""","Species",""":","""", 'Kegg Taxon'!U18,""",")</f>
        <v>#N/A</v>
      </c>
      <c r="U18" s="411" t="str">
        <f>CONCAT("""","VarSubsp",""":","""", 'Kegg Taxon'!V18,"""")</f>
        <v>#N/A</v>
      </c>
      <c r="V18" s="412"/>
      <c r="W18" s="412"/>
      <c r="X18" s="412"/>
      <c r="Y18" s="412"/>
      <c r="Z18" s="412"/>
    </row>
    <row r="19" ht="14.25" customHeight="1">
      <c r="A19" s="409" t="s">
        <v>3701</v>
      </c>
      <c r="B19" s="410" t="str">
        <f t="shared" si="1"/>
        <v>#N/A</v>
      </c>
      <c r="C19" s="411" t="str">
        <f>(CONCAT("""","KeggCode", """:","""",'Kegg Taxon'!A19,""","))</f>
        <v>#N/A</v>
      </c>
      <c r="D19" s="411" t="str">
        <f> (CONCAT("""","CommonName",""":", """",'Kegg Taxon'!B19,""","))</f>
        <v>#N/A</v>
      </c>
      <c r="E19" s="411" t="str">
        <f> (CONCAT("""","ScientificName",""":", """",'Kegg Taxon'!C19,""","))</f>
        <v>#N/A</v>
      </c>
      <c r="F19" s="411" t="str">
        <f>CONCAT("""","Kingdom", """:","""",'Kegg Taxon'!D19,""",")</f>
        <v>#N/A</v>
      </c>
      <c r="G19" s="411" t="str">
        <f>CONCAT("""","Subkingdom",""":", """",'Kegg Taxon'!F19,""",")</f>
        <v>#N/A</v>
      </c>
      <c r="H19" s="411" t="str">
        <f>CONCAT("""","Superdivision",""":", """",'Kegg Taxon'!H19,""",")</f>
        <v>#N/A</v>
      </c>
      <c r="I19" s="411" t="str">
        <f>CONCAT("""","Phylum", """:","""",'Kegg Taxon'!I19,""",")</f>
        <v>#N/A</v>
      </c>
      <c r="J19" s="411" t="str">
        <f>CONCAT("""","Subphylum", """:","""",'Kegg Taxon'!J19,""",")</f>
        <v>#N/A</v>
      </c>
      <c r="K19" s="411" t="str">
        <f>CONCAT("""","Class", """:","""",'Kegg Taxon'!K19,""",")</f>
        <v>#N/A</v>
      </c>
      <c r="L19" s="411" t="str">
        <f>CONCAT("""","Subclass", """:","""",'Kegg Taxon'!L19,""",")</f>
        <v>#N/A</v>
      </c>
      <c r="M19" s="411" t="str">
        <f>CONCAT("""","Order",""":","""", 'Kegg Taxon'!O19,""",")</f>
        <v>#N/A</v>
      </c>
      <c r="N19" s="411" t="str">
        <f>CONCAT("""","Family",""":","""", 'Kegg Taxon'!P19,""",")</f>
        <v>#N/A</v>
      </c>
      <c r="O19" s="411" t="str">
        <f>CONCAT("""","Subfamily",""":","""", 'Kegg Taxon'!Q19,""",")</f>
        <v>#N/A</v>
      </c>
      <c r="P19" s="411" t="str">
        <f>CONCAT("""","Tribe",""":","""", 'Kegg Taxon'!R19,""",")</f>
        <v>#N/A</v>
      </c>
      <c r="Q19" s="411" t="str">
        <f>CONCAT("""","Subtribe",""":","""", 'Kegg Taxon'!S19,""",")</f>
        <v>#N/A</v>
      </c>
      <c r="R19" s="411" t="str">
        <f>CONCAT("""","Genus",""":","""", 'Kegg Taxon'!T19,""",")</f>
        <v>#N/A</v>
      </c>
      <c r="S19" s="411" t="str">
        <f t="shared" si="2"/>
        <v>#N/A</v>
      </c>
      <c r="T19" s="411" t="str">
        <f>CONCAT("""","Species",""":","""", 'Kegg Taxon'!U19,""",")</f>
        <v>#N/A</v>
      </c>
      <c r="U19" s="411" t="str">
        <f>CONCAT("""","VarSubsp",""":","""", 'Kegg Taxon'!V19,"""")</f>
        <v>#N/A</v>
      </c>
      <c r="V19" s="412"/>
      <c r="W19" s="412"/>
      <c r="X19" s="412"/>
      <c r="Y19" s="412"/>
      <c r="Z19" s="412"/>
    </row>
    <row r="20" ht="14.25" customHeight="1">
      <c r="A20" s="409" t="s">
        <v>3702</v>
      </c>
      <c r="B20" s="410" t="str">
        <f t="shared" si="1"/>
        <v>#N/A</v>
      </c>
      <c r="C20" s="411" t="str">
        <f>(CONCAT("""","KeggCode", """:","""",'Kegg Taxon'!A20,""","))</f>
        <v>#N/A</v>
      </c>
      <c r="D20" s="411" t="str">
        <f> (CONCAT("""","CommonName",""":", """",'Kegg Taxon'!B20,""","))</f>
        <v>#N/A</v>
      </c>
      <c r="E20" s="411" t="str">
        <f> (CONCAT("""","ScientificName",""":", """",'Kegg Taxon'!C20,""","))</f>
        <v>#N/A</v>
      </c>
      <c r="F20" s="411" t="str">
        <f>CONCAT("""","Kingdom", """:","""",'Kegg Taxon'!D20,""",")</f>
        <v>#N/A</v>
      </c>
      <c r="G20" s="411" t="str">
        <f>CONCAT("""","Subkingdom",""":", """",'Kegg Taxon'!F20,""",")</f>
        <v>#N/A</v>
      </c>
      <c r="H20" s="411" t="str">
        <f>CONCAT("""","Superdivision",""":", """",'Kegg Taxon'!H20,""",")</f>
        <v>#N/A</v>
      </c>
      <c r="I20" s="411" t="str">
        <f>CONCAT("""","Phylum", """:","""",'Kegg Taxon'!I20,""",")</f>
        <v>#N/A</v>
      </c>
      <c r="J20" s="411" t="str">
        <f>CONCAT("""","Subphylum", """:","""",'Kegg Taxon'!J20,""",")</f>
        <v>#N/A</v>
      </c>
      <c r="K20" s="411" t="str">
        <f>CONCAT("""","Class", """:","""",'Kegg Taxon'!K20,""",")</f>
        <v>#N/A</v>
      </c>
      <c r="L20" s="411" t="str">
        <f>CONCAT("""","Subclass", """:","""",'Kegg Taxon'!L20,""",")</f>
        <v>#N/A</v>
      </c>
      <c r="M20" s="411" t="str">
        <f>CONCAT("""","Order",""":","""", 'Kegg Taxon'!O20,""",")</f>
        <v>#N/A</v>
      </c>
      <c r="N20" s="411" t="str">
        <f>CONCAT("""","Family",""":","""", 'Kegg Taxon'!P20,""",")</f>
        <v>#N/A</v>
      </c>
      <c r="O20" s="411" t="str">
        <f>CONCAT("""","Subfamily",""":","""", 'Kegg Taxon'!Q20,""",")</f>
        <v>#N/A</v>
      </c>
      <c r="P20" s="411" t="str">
        <f>CONCAT("""","Tribe",""":","""", 'Kegg Taxon'!R20,""",")</f>
        <v>#N/A</v>
      </c>
      <c r="Q20" s="411" t="str">
        <f>CONCAT("""","Subtribe",""":","""", 'Kegg Taxon'!S20,""",")</f>
        <v>#N/A</v>
      </c>
      <c r="R20" s="411" t="str">
        <f>CONCAT("""","Genus",""":","""", 'Kegg Taxon'!T20,""",")</f>
        <v>#N/A</v>
      </c>
      <c r="S20" s="411" t="str">
        <f t="shared" si="2"/>
        <v>#N/A</v>
      </c>
      <c r="T20" s="411" t="str">
        <f>CONCAT("""","Species",""":","""", 'Kegg Taxon'!U20,""",")</f>
        <v>#N/A</v>
      </c>
      <c r="U20" s="411" t="str">
        <f>CONCAT("""","VarSubsp",""":","""", 'Kegg Taxon'!V20,"""")</f>
        <v>#N/A</v>
      </c>
      <c r="V20" s="412"/>
      <c r="W20" s="412"/>
      <c r="X20" s="412"/>
      <c r="Y20" s="412"/>
      <c r="Z20" s="412"/>
    </row>
    <row r="21" ht="14.25" customHeight="1">
      <c r="A21" s="409" t="s">
        <v>3703</v>
      </c>
      <c r="B21" s="410" t="str">
        <f t="shared" si="1"/>
        <v>#N/A</v>
      </c>
      <c r="C21" s="411" t="str">
        <f>(CONCAT("""","KeggCode", """:","""",'Kegg Taxon'!A21,""","))</f>
        <v>#N/A</v>
      </c>
      <c r="D21" s="411" t="str">
        <f> (CONCAT("""","CommonName",""":", """",'Kegg Taxon'!B21,""","))</f>
        <v>#N/A</v>
      </c>
      <c r="E21" s="411" t="str">
        <f> (CONCAT("""","ScientificName",""":", """",'Kegg Taxon'!C21,""","))</f>
        <v>#N/A</v>
      </c>
      <c r="F21" s="411" t="str">
        <f>CONCAT("""","Kingdom", """:","""",'Kegg Taxon'!D21,""",")</f>
        <v>#N/A</v>
      </c>
      <c r="G21" s="411" t="str">
        <f>CONCAT("""","Subkingdom",""":", """",'Kegg Taxon'!F21,""",")</f>
        <v>#N/A</v>
      </c>
      <c r="H21" s="411" t="str">
        <f>CONCAT("""","Superdivision",""":", """",'Kegg Taxon'!H21,""",")</f>
        <v>#N/A</v>
      </c>
      <c r="I21" s="411" t="str">
        <f>CONCAT("""","Phylum", """:","""",'Kegg Taxon'!I21,""",")</f>
        <v>#N/A</v>
      </c>
      <c r="J21" s="411" t="str">
        <f>CONCAT("""","Subphylum", """:","""",'Kegg Taxon'!J21,""",")</f>
        <v>#N/A</v>
      </c>
      <c r="K21" s="411" t="str">
        <f>CONCAT("""","Class", """:","""",'Kegg Taxon'!K21,""",")</f>
        <v>#N/A</v>
      </c>
      <c r="L21" s="411" t="str">
        <f>CONCAT("""","Subclass", """:","""",'Kegg Taxon'!L21,""",")</f>
        <v>#N/A</v>
      </c>
      <c r="M21" s="411" t="str">
        <f>CONCAT("""","Order",""":","""", 'Kegg Taxon'!O21,""",")</f>
        <v>#N/A</v>
      </c>
      <c r="N21" s="411" t="str">
        <f>CONCAT("""","Family",""":","""", 'Kegg Taxon'!P21,""",")</f>
        <v>#N/A</v>
      </c>
      <c r="O21" s="411" t="str">
        <f>CONCAT("""","Subfamily",""":","""", 'Kegg Taxon'!Q21,""",")</f>
        <v>#N/A</v>
      </c>
      <c r="P21" s="411" t="str">
        <f>CONCAT("""","Tribe",""":","""", 'Kegg Taxon'!R21,""",")</f>
        <v>#N/A</v>
      </c>
      <c r="Q21" s="411" t="str">
        <f>CONCAT("""","Subtribe",""":","""", 'Kegg Taxon'!S21,""",")</f>
        <v>#N/A</v>
      </c>
      <c r="R21" s="411" t="str">
        <f>CONCAT("""","Genus",""":","""", 'Kegg Taxon'!T21,""",")</f>
        <v>#N/A</v>
      </c>
      <c r="S21" s="411" t="str">
        <f t="shared" si="2"/>
        <v>#N/A</v>
      </c>
      <c r="T21" s="411" t="str">
        <f>CONCAT("""","Species",""":","""", 'Kegg Taxon'!U21,""",")</f>
        <v>#N/A</v>
      </c>
      <c r="U21" s="411" t="str">
        <f>CONCAT("""","VarSubsp",""":","""", 'Kegg Taxon'!V21,"""")</f>
        <v>#N/A</v>
      </c>
      <c r="V21" s="412"/>
      <c r="W21" s="412"/>
      <c r="X21" s="412"/>
      <c r="Y21" s="412"/>
      <c r="Z21" s="412"/>
    </row>
    <row r="22" ht="14.25" customHeight="1">
      <c r="A22" s="409" t="s">
        <v>3704</v>
      </c>
      <c r="B22" s="410" t="str">
        <f t="shared" si="1"/>
        <v>#N/A</v>
      </c>
      <c r="C22" s="411" t="str">
        <f>(CONCAT("""","KeggCode", """:","""",'Kegg Taxon'!A22,""","))</f>
        <v>#N/A</v>
      </c>
      <c r="D22" s="411" t="str">
        <f> (CONCAT("""","CommonName",""":", """",'Kegg Taxon'!B22,""","))</f>
        <v>#N/A</v>
      </c>
      <c r="E22" s="411" t="str">
        <f> (CONCAT("""","ScientificName",""":", """",'Kegg Taxon'!C22,""","))</f>
        <v>#N/A</v>
      </c>
      <c r="F22" s="411" t="str">
        <f>CONCAT("""","Kingdom", """:","""",'Kegg Taxon'!D22,""",")</f>
        <v>#N/A</v>
      </c>
      <c r="G22" s="411" t="str">
        <f>CONCAT("""","Subkingdom",""":", """",'Kegg Taxon'!F22,""",")</f>
        <v>#N/A</v>
      </c>
      <c r="H22" s="411" t="str">
        <f>CONCAT("""","Superdivision",""":", """",'Kegg Taxon'!H22,""",")</f>
        <v>#N/A</v>
      </c>
      <c r="I22" s="411" t="str">
        <f>CONCAT("""","Phylum", """:","""",'Kegg Taxon'!I22,""",")</f>
        <v>#N/A</v>
      </c>
      <c r="J22" s="411" t="str">
        <f>CONCAT("""","Subphylum", """:","""",'Kegg Taxon'!J22,""",")</f>
        <v>#N/A</v>
      </c>
      <c r="K22" s="411" t="str">
        <f>CONCAT("""","Class", """:","""",'Kegg Taxon'!K22,""",")</f>
        <v>#N/A</v>
      </c>
      <c r="L22" s="411" t="str">
        <f>CONCAT("""","Subclass", """:","""",'Kegg Taxon'!L22,""",")</f>
        <v>#N/A</v>
      </c>
      <c r="M22" s="411" t="str">
        <f>CONCAT("""","Order",""":","""", 'Kegg Taxon'!O22,""",")</f>
        <v>#N/A</v>
      </c>
      <c r="N22" s="411" t="str">
        <f>CONCAT("""","Family",""":","""", 'Kegg Taxon'!P22,""",")</f>
        <v>#N/A</v>
      </c>
      <c r="O22" s="411" t="str">
        <f>CONCAT("""","Subfamily",""":","""", 'Kegg Taxon'!Q22,""",")</f>
        <v>#N/A</v>
      </c>
      <c r="P22" s="411" t="str">
        <f>CONCAT("""","Tribe",""":","""", 'Kegg Taxon'!R22,""",")</f>
        <v>#N/A</v>
      </c>
      <c r="Q22" s="411" t="str">
        <f>CONCAT("""","Subtribe",""":","""", 'Kegg Taxon'!S22,""",")</f>
        <v>#N/A</v>
      </c>
      <c r="R22" s="411" t="str">
        <f>CONCAT("""","Genus",""":","""", 'Kegg Taxon'!T22,""",")</f>
        <v>#N/A</v>
      </c>
      <c r="S22" s="411" t="str">
        <f t="shared" si="2"/>
        <v>#N/A</v>
      </c>
      <c r="T22" s="411" t="str">
        <f>CONCAT("""","Species",""":","""", 'Kegg Taxon'!U22,""",")</f>
        <v>#N/A</v>
      </c>
      <c r="U22" s="411" t="str">
        <f>CONCAT("""","VarSubsp",""":","""", 'Kegg Taxon'!V22,"""")</f>
        <v>#N/A</v>
      </c>
      <c r="V22" s="412"/>
      <c r="W22" s="412"/>
      <c r="X22" s="412"/>
      <c r="Y22" s="412"/>
      <c r="Z22" s="412"/>
    </row>
    <row r="23" ht="14.25" customHeight="1">
      <c r="A23" s="409" t="s">
        <v>3705</v>
      </c>
      <c r="B23" s="410" t="str">
        <f t="shared" si="1"/>
        <v>#N/A</v>
      </c>
      <c r="C23" s="411" t="str">
        <f>(CONCAT("""","KeggCode", """:","""",'Kegg Taxon'!A23,""","))</f>
        <v>#N/A</v>
      </c>
      <c r="D23" s="411" t="str">
        <f> (CONCAT("""","CommonName",""":", """",'Kegg Taxon'!B23,""","))</f>
        <v>#N/A</v>
      </c>
      <c r="E23" s="411" t="str">
        <f> (CONCAT("""","ScientificName",""":", """",'Kegg Taxon'!C23,""","))</f>
        <v>#N/A</v>
      </c>
      <c r="F23" s="411" t="str">
        <f>CONCAT("""","Kingdom", """:","""",'Kegg Taxon'!D23,""",")</f>
        <v>#N/A</v>
      </c>
      <c r="G23" s="411" t="str">
        <f>CONCAT("""","Subkingdom",""":", """",'Kegg Taxon'!F23,""",")</f>
        <v>#N/A</v>
      </c>
      <c r="H23" s="411" t="str">
        <f>CONCAT("""","Superdivision",""":", """",'Kegg Taxon'!H23,""",")</f>
        <v>#N/A</v>
      </c>
      <c r="I23" s="411" t="str">
        <f>CONCAT("""","Phylum", """:","""",'Kegg Taxon'!I23,""",")</f>
        <v>#N/A</v>
      </c>
      <c r="J23" s="411" t="str">
        <f>CONCAT("""","Subphylum", """:","""",'Kegg Taxon'!J23,""",")</f>
        <v>#N/A</v>
      </c>
      <c r="K23" s="411" t="str">
        <f>CONCAT("""","Class", """:","""",'Kegg Taxon'!K23,""",")</f>
        <v>#N/A</v>
      </c>
      <c r="L23" s="411" t="str">
        <f>CONCAT("""","Subclass", """:","""",'Kegg Taxon'!L23,""",")</f>
        <v>#N/A</v>
      </c>
      <c r="M23" s="411" t="str">
        <f>CONCAT("""","Order",""":","""", 'Kegg Taxon'!O23,""",")</f>
        <v>#N/A</v>
      </c>
      <c r="N23" s="411" t="str">
        <f>CONCAT("""","Family",""":","""", 'Kegg Taxon'!P23,""",")</f>
        <v>#N/A</v>
      </c>
      <c r="O23" s="411" t="str">
        <f>CONCAT("""","Subfamily",""":","""", 'Kegg Taxon'!Q23,""",")</f>
        <v>#N/A</v>
      </c>
      <c r="P23" s="411" t="str">
        <f>CONCAT("""","Tribe",""":","""", 'Kegg Taxon'!R23,""",")</f>
        <v>#N/A</v>
      </c>
      <c r="Q23" s="411" t="str">
        <f>CONCAT("""","Subtribe",""":","""", 'Kegg Taxon'!S23,""",")</f>
        <v>#N/A</v>
      </c>
      <c r="R23" s="411" t="str">
        <f>CONCAT("""","Genus",""":","""", 'Kegg Taxon'!T23,""",")</f>
        <v>#N/A</v>
      </c>
      <c r="S23" s="411" t="str">
        <f t="shared" si="2"/>
        <v>#N/A</v>
      </c>
      <c r="T23" s="411" t="str">
        <f>CONCAT("""","Species",""":","""", 'Kegg Taxon'!U23,""",")</f>
        <v>#N/A</v>
      </c>
      <c r="U23" s="411" t="str">
        <f>CONCAT("""","VarSubsp",""":","""", 'Kegg Taxon'!V23,"""")</f>
        <v>#N/A</v>
      </c>
      <c r="V23" s="412"/>
      <c r="W23" s="412"/>
      <c r="X23" s="412"/>
      <c r="Y23" s="412"/>
      <c r="Z23" s="412"/>
    </row>
    <row r="24" ht="14.25" customHeight="1">
      <c r="A24" s="409" t="s">
        <v>3706</v>
      </c>
      <c r="B24" s="410" t="str">
        <f t="shared" si="1"/>
        <v>#N/A</v>
      </c>
      <c r="C24" s="411" t="str">
        <f>(CONCAT("""","KeggCode", """:","""",'Kegg Taxon'!A24,""","))</f>
        <v>#N/A</v>
      </c>
      <c r="D24" s="411" t="str">
        <f> (CONCAT("""","CommonName",""":", """",'Kegg Taxon'!B24,""","))</f>
        <v>#N/A</v>
      </c>
      <c r="E24" s="411" t="str">
        <f> (CONCAT("""","ScientificName",""":", """",'Kegg Taxon'!C24,""","))</f>
        <v>#N/A</v>
      </c>
      <c r="F24" s="411" t="str">
        <f>CONCAT("""","Kingdom", """:","""",'Kegg Taxon'!D24,""",")</f>
        <v>#N/A</v>
      </c>
      <c r="G24" s="411" t="str">
        <f>CONCAT("""","Subkingdom",""":", """",'Kegg Taxon'!F24,""",")</f>
        <v>#N/A</v>
      </c>
      <c r="H24" s="411" t="str">
        <f>CONCAT("""","Superdivision",""":", """",'Kegg Taxon'!H24,""",")</f>
        <v>#N/A</v>
      </c>
      <c r="I24" s="411" t="str">
        <f>CONCAT("""","Phylum", """:","""",'Kegg Taxon'!I24,""",")</f>
        <v>#N/A</v>
      </c>
      <c r="J24" s="411" t="str">
        <f>CONCAT("""","Subphylum", """:","""",'Kegg Taxon'!J24,""",")</f>
        <v>#N/A</v>
      </c>
      <c r="K24" s="411" t="str">
        <f>CONCAT("""","Class", """:","""",'Kegg Taxon'!K24,""",")</f>
        <v>#N/A</v>
      </c>
      <c r="L24" s="411" t="str">
        <f>CONCAT("""","Subclass", """:","""",'Kegg Taxon'!L24,""",")</f>
        <v>#N/A</v>
      </c>
      <c r="M24" s="411" t="str">
        <f>CONCAT("""","Order",""":","""", 'Kegg Taxon'!O24,""",")</f>
        <v>#N/A</v>
      </c>
      <c r="N24" s="411" t="str">
        <f>CONCAT("""","Family",""":","""", 'Kegg Taxon'!P24,""",")</f>
        <v>#N/A</v>
      </c>
      <c r="O24" s="411" t="str">
        <f>CONCAT("""","Subfamily",""":","""", 'Kegg Taxon'!Q24,""",")</f>
        <v>#N/A</v>
      </c>
      <c r="P24" s="411" t="str">
        <f>CONCAT("""","Tribe",""":","""", 'Kegg Taxon'!R24,""",")</f>
        <v>#N/A</v>
      </c>
      <c r="Q24" s="411" t="str">
        <f>CONCAT("""","Subtribe",""":","""", 'Kegg Taxon'!S24,""",")</f>
        <v>#N/A</v>
      </c>
      <c r="R24" s="411" t="str">
        <f>CONCAT("""","Genus",""":","""", 'Kegg Taxon'!T24,""",")</f>
        <v>#N/A</v>
      </c>
      <c r="S24" s="411" t="str">
        <f t="shared" si="2"/>
        <v>#N/A</v>
      </c>
      <c r="T24" s="411" t="str">
        <f>CONCAT("""","Species",""":","""", 'Kegg Taxon'!U24,""",")</f>
        <v>#N/A</v>
      </c>
      <c r="U24" s="411" t="str">
        <f>CONCAT("""","VarSubsp",""":","""", 'Kegg Taxon'!V24,"""")</f>
        <v>#N/A</v>
      </c>
      <c r="V24" s="412"/>
      <c r="W24" s="412"/>
      <c r="X24" s="412"/>
      <c r="Y24" s="412"/>
      <c r="Z24" s="412"/>
    </row>
    <row r="25" ht="14.25" customHeight="1">
      <c r="A25" s="409" t="s">
        <v>3707</v>
      </c>
      <c r="B25" s="410" t="str">
        <f t="shared" si="1"/>
        <v>#N/A</v>
      </c>
      <c r="C25" s="411" t="str">
        <f>(CONCAT("""","KeggCode", """:","""",'Kegg Taxon'!A25,""","))</f>
        <v>#N/A</v>
      </c>
      <c r="D25" s="411" t="str">
        <f> (CONCAT("""","CommonName",""":", """",'Kegg Taxon'!B25,""","))</f>
        <v>#N/A</v>
      </c>
      <c r="E25" s="411" t="str">
        <f> (CONCAT("""","ScientificName",""":", """",'Kegg Taxon'!C25,""","))</f>
        <v>#N/A</v>
      </c>
      <c r="F25" s="411" t="str">
        <f>CONCAT("""","Kingdom", """:","""",'Kegg Taxon'!D25,""",")</f>
        <v>#N/A</v>
      </c>
      <c r="G25" s="411" t="str">
        <f>CONCAT("""","Subkingdom",""":", """",'Kegg Taxon'!F25,""",")</f>
        <v>#N/A</v>
      </c>
      <c r="H25" s="411" t="str">
        <f>CONCAT("""","Superdivision",""":", """",'Kegg Taxon'!H25,""",")</f>
        <v>#N/A</v>
      </c>
      <c r="I25" s="411" t="str">
        <f>CONCAT("""","Phylum", """:","""",'Kegg Taxon'!I25,""",")</f>
        <v>#N/A</v>
      </c>
      <c r="J25" s="411" t="str">
        <f>CONCAT("""","Subphylum", """:","""",'Kegg Taxon'!J25,""",")</f>
        <v>#N/A</v>
      </c>
      <c r="K25" s="411" t="str">
        <f>CONCAT("""","Class", """:","""",'Kegg Taxon'!K25,""",")</f>
        <v>#N/A</v>
      </c>
      <c r="L25" s="411" t="str">
        <f>CONCAT("""","Subclass", """:","""",'Kegg Taxon'!L25,""",")</f>
        <v>#N/A</v>
      </c>
      <c r="M25" s="411" t="str">
        <f>CONCAT("""","Order",""":","""", 'Kegg Taxon'!O25,""",")</f>
        <v>#N/A</v>
      </c>
      <c r="N25" s="411" t="str">
        <f>CONCAT("""","Family",""":","""", 'Kegg Taxon'!P25,""",")</f>
        <v>#N/A</v>
      </c>
      <c r="O25" s="411" t="str">
        <f>CONCAT("""","Subfamily",""":","""", 'Kegg Taxon'!Q25,""",")</f>
        <v>#N/A</v>
      </c>
      <c r="P25" s="411" t="str">
        <f>CONCAT("""","Tribe",""":","""", 'Kegg Taxon'!R25,""",")</f>
        <v>#N/A</v>
      </c>
      <c r="Q25" s="411" t="str">
        <f>CONCAT("""","Subtribe",""":","""", 'Kegg Taxon'!S25,""",")</f>
        <v>#N/A</v>
      </c>
      <c r="R25" s="411" t="str">
        <f>CONCAT("""","Genus",""":","""", 'Kegg Taxon'!T25,""",")</f>
        <v>#N/A</v>
      </c>
      <c r="S25" s="411" t="str">
        <f t="shared" si="2"/>
        <v>#N/A</v>
      </c>
      <c r="T25" s="411" t="str">
        <f>CONCAT("""","Species",""":","""", 'Kegg Taxon'!U25,""",")</f>
        <v>#N/A</v>
      </c>
      <c r="U25" s="411" t="str">
        <f>CONCAT("""","VarSubsp",""":","""", 'Kegg Taxon'!V25,"""")</f>
        <v>#N/A</v>
      </c>
      <c r="V25" s="412"/>
      <c r="W25" s="412"/>
      <c r="X25" s="412"/>
      <c r="Y25" s="412"/>
      <c r="Z25" s="412"/>
    </row>
    <row r="26" ht="14.25" customHeight="1">
      <c r="A26" s="409" t="s">
        <v>3708</v>
      </c>
      <c r="B26" s="410" t="str">
        <f t="shared" si="1"/>
        <v>#N/A</v>
      </c>
      <c r="C26" s="411" t="str">
        <f>(CONCAT("""","KeggCode", """:","""",'Kegg Taxon'!A26,""","))</f>
        <v>#N/A</v>
      </c>
      <c r="D26" s="411" t="str">
        <f> (CONCAT("""","CommonName",""":", """",'Kegg Taxon'!B26,""","))</f>
        <v>#N/A</v>
      </c>
      <c r="E26" s="411" t="str">
        <f> (CONCAT("""","ScientificName",""":", """",'Kegg Taxon'!C26,""","))</f>
        <v>#N/A</v>
      </c>
      <c r="F26" s="411" t="str">
        <f>CONCAT("""","Kingdom", """:","""",'Kegg Taxon'!D26,""",")</f>
        <v>#N/A</v>
      </c>
      <c r="G26" s="411" t="str">
        <f>CONCAT("""","Subkingdom",""":", """",'Kegg Taxon'!F26,""",")</f>
        <v>#N/A</v>
      </c>
      <c r="H26" s="411" t="str">
        <f>CONCAT("""","Superdivision",""":", """",'Kegg Taxon'!H26,""",")</f>
        <v>#N/A</v>
      </c>
      <c r="I26" s="411" t="str">
        <f>CONCAT("""","Phylum", """:","""",'Kegg Taxon'!I26,""",")</f>
        <v>#N/A</v>
      </c>
      <c r="J26" s="411" t="str">
        <f>CONCAT("""","Subphylum", """:","""",'Kegg Taxon'!J26,""",")</f>
        <v>#N/A</v>
      </c>
      <c r="K26" s="411" t="str">
        <f>CONCAT("""","Class", """:","""",'Kegg Taxon'!K26,""",")</f>
        <v>#N/A</v>
      </c>
      <c r="L26" s="411" t="str">
        <f>CONCAT("""","Subclass", """:","""",'Kegg Taxon'!L26,""",")</f>
        <v>#N/A</v>
      </c>
      <c r="M26" s="411" t="str">
        <f>CONCAT("""","Order",""":","""", 'Kegg Taxon'!O26,""",")</f>
        <v>#N/A</v>
      </c>
      <c r="N26" s="411" t="str">
        <f>CONCAT("""","Family",""":","""", 'Kegg Taxon'!P26,""",")</f>
        <v>#N/A</v>
      </c>
      <c r="O26" s="411" t="str">
        <f>CONCAT("""","Subfamily",""":","""", 'Kegg Taxon'!Q26,""",")</f>
        <v>#N/A</v>
      </c>
      <c r="P26" s="411" t="str">
        <f>CONCAT("""","Tribe",""":","""", 'Kegg Taxon'!R26,""",")</f>
        <v>#N/A</v>
      </c>
      <c r="Q26" s="411" t="str">
        <f>CONCAT("""","Subtribe",""":","""", 'Kegg Taxon'!S26,""",")</f>
        <v>#N/A</v>
      </c>
      <c r="R26" s="411" t="str">
        <f>CONCAT("""","Genus",""":","""", 'Kegg Taxon'!T26,""",")</f>
        <v>#N/A</v>
      </c>
      <c r="S26" s="411" t="str">
        <f t="shared" si="2"/>
        <v>#N/A</v>
      </c>
      <c r="T26" s="411" t="str">
        <f>CONCAT("""","Species",""":","""", 'Kegg Taxon'!U26,""",")</f>
        <v>#N/A</v>
      </c>
      <c r="U26" s="411" t="str">
        <f>CONCAT("""","VarSubsp",""":","""", 'Kegg Taxon'!V26,"""")</f>
        <v>#N/A</v>
      </c>
      <c r="V26" s="412"/>
      <c r="W26" s="412"/>
      <c r="X26" s="412"/>
      <c r="Y26" s="412"/>
      <c r="Z26" s="412"/>
    </row>
    <row r="27" ht="14.25" customHeight="1">
      <c r="A27" s="409" t="s">
        <v>3709</v>
      </c>
      <c r="B27" s="410" t="str">
        <f t="shared" si="1"/>
        <v>#N/A</v>
      </c>
      <c r="C27" s="411" t="str">
        <f>(CONCAT("""","KeggCode", """:","""",'Kegg Taxon'!A27,""","))</f>
        <v>#N/A</v>
      </c>
      <c r="D27" s="411" t="str">
        <f> (CONCAT("""","CommonName",""":", """",'Kegg Taxon'!B27,""","))</f>
        <v>#N/A</v>
      </c>
      <c r="E27" s="411" t="str">
        <f> (CONCAT("""","ScientificName",""":", """",'Kegg Taxon'!C27,""","))</f>
        <v>#N/A</v>
      </c>
      <c r="F27" s="411" t="str">
        <f>CONCAT("""","Kingdom", """:","""",'Kegg Taxon'!D27,""",")</f>
        <v>#N/A</v>
      </c>
      <c r="G27" s="411" t="str">
        <f>CONCAT("""","Subkingdom",""":", """",'Kegg Taxon'!F27,""",")</f>
        <v>#N/A</v>
      </c>
      <c r="H27" s="411" t="str">
        <f>CONCAT("""","Superdivision",""":", """",'Kegg Taxon'!H27,""",")</f>
        <v>#N/A</v>
      </c>
      <c r="I27" s="411" t="str">
        <f>CONCAT("""","Phylum", """:","""",'Kegg Taxon'!I27,""",")</f>
        <v>#N/A</v>
      </c>
      <c r="J27" s="411" t="str">
        <f>CONCAT("""","Subphylum", """:","""",'Kegg Taxon'!J27,""",")</f>
        <v>#N/A</v>
      </c>
      <c r="K27" s="411" t="str">
        <f>CONCAT("""","Class", """:","""",'Kegg Taxon'!K27,""",")</f>
        <v>#N/A</v>
      </c>
      <c r="L27" s="411" t="str">
        <f>CONCAT("""","Subclass", """:","""",'Kegg Taxon'!L27,""",")</f>
        <v>#N/A</v>
      </c>
      <c r="M27" s="411" t="str">
        <f>CONCAT("""","Order",""":","""", 'Kegg Taxon'!O27,""",")</f>
        <v>#N/A</v>
      </c>
      <c r="N27" s="411" t="str">
        <f>CONCAT("""","Family",""":","""", 'Kegg Taxon'!P27,""",")</f>
        <v>#N/A</v>
      </c>
      <c r="O27" s="411" t="str">
        <f>CONCAT("""","Subfamily",""":","""", 'Kegg Taxon'!Q27,""",")</f>
        <v>#N/A</v>
      </c>
      <c r="P27" s="411" t="str">
        <f>CONCAT("""","Tribe",""":","""", 'Kegg Taxon'!R27,""",")</f>
        <v>#N/A</v>
      </c>
      <c r="Q27" s="411" t="str">
        <f>CONCAT("""","Subtribe",""":","""", 'Kegg Taxon'!S27,""",")</f>
        <v>#N/A</v>
      </c>
      <c r="R27" s="411" t="str">
        <f>CONCAT("""","Genus",""":","""", 'Kegg Taxon'!T27,""",")</f>
        <v>#N/A</v>
      </c>
      <c r="S27" s="411" t="str">
        <f t="shared" si="2"/>
        <v>#N/A</v>
      </c>
      <c r="T27" s="411" t="str">
        <f>CONCAT("""","Species",""":","""", 'Kegg Taxon'!U27,""",")</f>
        <v>#N/A</v>
      </c>
      <c r="U27" s="411" t="str">
        <f>CONCAT("""","VarSubsp",""":","""", 'Kegg Taxon'!V27,"""")</f>
        <v>#N/A</v>
      </c>
      <c r="V27" s="412"/>
      <c r="W27" s="412"/>
      <c r="X27" s="412"/>
      <c r="Y27" s="412"/>
      <c r="Z27" s="412"/>
    </row>
    <row r="28" ht="14.25" customHeight="1">
      <c r="A28" s="409" t="s">
        <v>3710</v>
      </c>
      <c r="B28" s="410" t="str">
        <f t="shared" si="1"/>
        <v>#N/A</v>
      </c>
      <c r="C28" s="411" t="str">
        <f>(CONCAT("""","KeggCode", """:","""",'Kegg Taxon'!A28,""","))</f>
        <v>#N/A</v>
      </c>
      <c r="D28" s="411" t="str">
        <f> (CONCAT("""","CommonName",""":", """",'Kegg Taxon'!B28,""","))</f>
        <v>#N/A</v>
      </c>
      <c r="E28" s="411" t="str">
        <f> (CONCAT("""","ScientificName",""":", """",'Kegg Taxon'!C28,""","))</f>
        <v>#N/A</v>
      </c>
      <c r="F28" s="411" t="str">
        <f>CONCAT("""","Kingdom", """:","""",'Kegg Taxon'!D28,""",")</f>
        <v>#N/A</v>
      </c>
      <c r="G28" s="411" t="str">
        <f>CONCAT("""","Subkingdom",""":", """",'Kegg Taxon'!F28,""",")</f>
        <v>#N/A</v>
      </c>
      <c r="H28" s="411" t="str">
        <f>CONCAT("""","Superdivision",""":", """",'Kegg Taxon'!H28,""",")</f>
        <v>#N/A</v>
      </c>
      <c r="I28" s="411" t="str">
        <f>CONCAT("""","Phylum", """:","""",'Kegg Taxon'!I28,""",")</f>
        <v>#N/A</v>
      </c>
      <c r="J28" s="411" t="str">
        <f>CONCAT("""","Subphylum", """:","""",'Kegg Taxon'!J28,""",")</f>
        <v>#N/A</v>
      </c>
      <c r="K28" s="411" t="str">
        <f>CONCAT("""","Class", """:","""",'Kegg Taxon'!K28,""",")</f>
        <v>#N/A</v>
      </c>
      <c r="L28" s="411" t="str">
        <f>CONCAT("""","Subclass", """:","""",'Kegg Taxon'!L28,""",")</f>
        <v>#N/A</v>
      </c>
      <c r="M28" s="411" t="str">
        <f>CONCAT("""","Order",""":","""", 'Kegg Taxon'!O28,""",")</f>
        <v>#N/A</v>
      </c>
      <c r="N28" s="411" t="str">
        <f>CONCAT("""","Family",""":","""", 'Kegg Taxon'!P28,""",")</f>
        <v>#N/A</v>
      </c>
      <c r="O28" s="411" t="str">
        <f>CONCAT("""","Subfamily",""":","""", 'Kegg Taxon'!Q28,""",")</f>
        <v>#N/A</v>
      </c>
      <c r="P28" s="411" t="str">
        <f>CONCAT("""","Tribe",""":","""", 'Kegg Taxon'!R28,""",")</f>
        <v>#N/A</v>
      </c>
      <c r="Q28" s="411" t="str">
        <f>CONCAT("""","Subtribe",""":","""", 'Kegg Taxon'!S28,""",")</f>
        <v>#N/A</v>
      </c>
      <c r="R28" s="411" t="str">
        <f>CONCAT("""","Genus",""":","""", 'Kegg Taxon'!T28,""",")</f>
        <v>#N/A</v>
      </c>
      <c r="S28" s="411" t="str">
        <f t="shared" si="2"/>
        <v>#N/A</v>
      </c>
      <c r="T28" s="411" t="str">
        <f>CONCAT("""","Species",""":","""", 'Kegg Taxon'!U28,""",")</f>
        <v>#N/A</v>
      </c>
      <c r="U28" s="411" t="str">
        <f>CONCAT("""","VarSubsp",""":","""", 'Kegg Taxon'!V28,"""")</f>
        <v>#N/A</v>
      </c>
      <c r="V28" s="412"/>
      <c r="W28" s="412"/>
      <c r="X28" s="412"/>
      <c r="Y28" s="412"/>
      <c r="Z28" s="412"/>
    </row>
    <row r="29" ht="14.25" customHeight="1">
      <c r="A29" s="409" t="s">
        <v>3711</v>
      </c>
      <c r="B29" s="410" t="str">
        <f t="shared" si="1"/>
        <v>#N/A</v>
      </c>
      <c r="C29" s="411" t="str">
        <f>(CONCAT("""","KeggCode", """:","""",'Kegg Taxon'!A29,""","))</f>
        <v>#N/A</v>
      </c>
      <c r="D29" s="411" t="str">
        <f> (CONCAT("""","CommonName",""":", """",'Kegg Taxon'!B29,""","))</f>
        <v>#N/A</v>
      </c>
      <c r="E29" s="411" t="str">
        <f> (CONCAT("""","ScientificName",""":", """",'Kegg Taxon'!C29,""","))</f>
        <v>#N/A</v>
      </c>
      <c r="F29" s="411" t="str">
        <f>CONCAT("""","Kingdom", """:","""",'Kegg Taxon'!D29,""",")</f>
        <v>#N/A</v>
      </c>
      <c r="G29" s="411" t="str">
        <f>CONCAT("""","Subkingdom",""":", """",'Kegg Taxon'!F29,""",")</f>
        <v>#N/A</v>
      </c>
      <c r="H29" s="411" t="str">
        <f>CONCAT("""","Superdivision",""":", """",'Kegg Taxon'!H29,""",")</f>
        <v>#N/A</v>
      </c>
      <c r="I29" s="411" t="str">
        <f>CONCAT("""","Phylum", """:","""",'Kegg Taxon'!I29,""",")</f>
        <v>#N/A</v>
      </c>
      <c r="J29" s="411" t="str">
        <f>CONCAT("""","Subphylum", """:","""",'Kegg Taxon'!J29,""",")</f>
        <v>#N/A</v>
      </c>
      <c r="K29" s="411" t="str">
        <f>CONCAT("""","Class", """:","""",'Kegg Taxon'!K29,""",")</f>
        <v>#N/A</v>
      </c>
      <c r="L29" s="411" t="str">
        <f>CONCAT("""","Subclass", """:","""",'Kegg Taxon'!L29,""",")</f>
        <v>#N/A</v>
      </c>
      <c r="M29" s="411" t="str">
        <f>CONCAT("""","Order",""":","""", 'Kegg Taxon'!O29,""",")</f>
        <v>#N/A</v>
      </c>
      <c r="N29" s="411" t="str">
        <f>CONCAT("""","Family",""":","""", 'Kegg Taxon'!P29,""",")</f>
        <v>#N/A</v>
      </c>
      <c r="O29" s="411" t="str">
        <f>CONCAT("""","Subfamily",""":","""", 'Kegg Taxon'!Q29,""",")</f>
        <v>#N/A</v>
      </c>
      <c r="P29" s="411" t="str">
        <f>CONCAT("""","Tribe",""":","""", 'Kegg Taxon'!R29,""",")</f>
        <v>#N/A</v>
      </c>
      <c r="Q29" s="411" t="str">
        <f>CONCAT("""","Subtribe",""":","""", 'Kegg Taxon'!S29,""",")</f>
        <v>#N/A</v>
      </c>
      <c r="R29" s="411" t="str">
        <f>CONCAT("""","Genus",""":","""", 'Kegg Taxon'!T29,""",")</f>
        <v>#N/A</v>
      </c>
      <c r="S29" s="411" t="str">
        <f t="shared" si="2"/>
        <v>#N/A</v>
      </c>
      <c r="T29" s="411" t="str">
        <f>CONCAT("""","Species",""":","""", 'Kegg Taxon'!U29,""",")</f>
        <v>#N/A</v>
      </c>
      <c r="U29" s="411" t="str">
        <f>CONCAT("""","VarSubsp",""":","""", 'Kegg Taxon'!V29,"""")</f>
        <v>#N/A</v>
      </c>
      <c r="V29" s="412"/>
      <c r="W29" s="412"/>
      <c r="X29" s="412"/>
      <c r="Y29" s="412"/>
      <c r="Z29" s="412"/>
    </row>
    <row r="30" ht="14.25" customHeight="1">
      <c r="A30" s="409" t="s">
        <v>3712</v>
      </c>
      <c r="B30" s="410" t="str">
        <f t="shared" si="1"/>
        <v>#N/A</v>
      </c>
      <c r="C30" s="411" t="str">
        <f>(CONCAT("""","KeggCode", """:","""",'Kegg Taxon'!A30,""","))</f>
        <v>#N/A</v>
      </c>
      <c r="D30" s="411" t="str">
        <f> (CONCAT("""","CommonName",""":", """",'Kegg Taxon'!B30,""","))</f>
        <v>#N/A</v>
      </c>
      <c r="E30" s="411" t="str">
        <f> (CONCAT("""","ScientificName",""":", """",'Kegg Taxon'!C30,""","))</f>
        <v>#N/A</v>
      </c>
      <c r="F30" s="411" t="str">
        <f>CONCAT("""","Kingdom", """:","""",'Kegg Taxon'!D30,""",")</f>
        <v>#N/A</v>
      </c>
      <c r="G30" s="411" t="str">
        <f>CONCAT("""","Subkingdom",""":", """",'Kegg Taxon'!F30,""",")</f>
        <v>#N/A</v>
      </c>
      <c r="H30" s="411" t="str">
        <f>CONCAT("""","Superdivision",""":", """",'Kegg Taxon'!H30,""",")</f>
        <v>#N/A</v>
      </c>
      <c r="I30" s="411" t="str">
        <f>CONCAT("""","Phylum", """:","""",'Kegg Taxon'!I30,""",")</f>
        <v>#N/A</v>
      </c>
      <c r="J30" s="411" t="str">
        <f>CONCAT("""","Subphylum", """:","""",'Kegg Taxon'!J30,""",")</f>
        <v>#N/A</v>
      </c>
      <c r="K30" s="411" t="str">
        <f>CONCAT("""","Class", """:","""",'Kegg Taxon'!K30,""",")</f>
        <v>#N/A</v>
      </c>
      <c r="L30" s="411" t="str">
        <f>CONCAT("""","Subclass", """:","""",'Kegg Taxon'!L30,""",")</f>
        <v>#N/A</v>
      </c>
      <c r="M30" s="411" t="str">
        <f>CONCAT("""","Order",""":","""", 'Kegg Taxon'!O30,""",")</f>
        <v>#N/A</v>
      </c>
      <c r="N30" s="411" t="str">
        <f>CONCAT("""","Family",""":","""", 'Kegg Taxon'!P30,""",")</f>
        <v>#N/A</v>
      </c>
      <c r="O30" s="411" t="str">
        <f>CONCAT("""","Subfamily",""":","""", 'Kegg Taxon'!Q30,""",")</f>
        <v>#N/A</v>
      </c>
      <c r="P30" s="411" t="str">
        <f>CONCAT("""","Tribe",""":","""", 'Kegg Taxon'!R30,""",")</f>
        <v>#N/A</v>
      </c>
      <c r="Q30" s="411" t="str">
        <f>CONCAT("""","Subtribe",""":","""", 'Kegg Taxon'!S30,""",")</f>
        <v>#N/A</v>
      </c>
      <c r="R30" s="411" t="str">
        <f>CONCAT("""","Genus",""":","""", 'Kegg Taxon'!T30,""",")</f>
        <v>#N/A</v>
      </c>
      <c r="S30" s="411" t="str">
        <f t="shared" si="2"/>
        <v>#N/A</v>
      </c>
      <c r="T30" s="411" t="str">
        <f>CONCAT("""","Species",""":","""", 'Kegg Taxon'!U30,""",")</f>
        <v>#N/A</v>
      </c>
      <c r="U30" s="411" t="str">
        <f>CONCAT("""","VarSubsp",""":","""", 'Kegg Taxon'!V30,"""")</f>
        <v>#N/A</v>
      </c>
      <c r="V30" s="412"/>
      <c r="W30" s="412"/>
      <c r="X30" s="412"/>
      <c r="Y30" s="412"/>
      <c r="Z30" s="412"/>
    </row>
    <row r="31" ht="14.25" customHeight="1">
      <c r="A31" s="409" t="s">
        <v>3713</v>
      </c>
      <c r="B31" s="410" t="str">
        <f t="shared" si="1"/>
        <v>#N/A</v>
      </c>
      <c r="C31" s="411" t="str">
        <f>(CONCAT("""","KeggCode", """:","""",'Kegg Taxon'!A31,""","))</f>
        <v>#N/A</v>
      </c>
      <c r="D31" s="411" t="str">
        <f> (CONCAT("""","CommonName",""":", """",'Kegg Taxon'!B31,""","))</f>
        <v>#N/A</v>
      </c>
      <c r="E31" s="411" t="str">
        <f> (CONCAT("""","ScientificName",""":", """",'Kegg Taxon'!C31,""","))</f>
        <v>#N/A</v>
      </c>
      <c r="F31" s="411" t="str">
        <f>CONCAT("""","Kingdom", """:","""",'Kegg Taxon'!D31,""",")</f>
        <v>#N/A</v>
      </c>
      <c r="G31" s="411" t="str">
        <f>CONCAT("""","Subkingdom",""":", """",'Kegg Taxon'!F31,""",")</f>
        <v>#N/A</v>
      </c>
      <c r="H31" s="411" t="str">
        <f>CONCAT("""","Superdivision",""":", """",'Kegg Taxon'!H31,""",")</f>
        <v>#N/A</v>
      </c>
      <c r="I31" s="411" t="str">
        <f>CONCAT("""","Phylum", """:","""",'Kegg Taxon'!I31,""",")</f>
        <v>#N/A</v>
      </c>
      <c r="J31" s="411" t="str">
        <f>CONCAT("""","Subphylum", """:","""",'Kegg Taxon'!J31,""",")</f>
        <v>#N/A</v>
      </c>
      <c r="K31" s="411" t="str">
        <f>CONCAT("""","Class", """:","""",'Kegg Taxon'!K31,""",")</f>
        <v>#N/A</v>
      </c>
      <c r="L31" s="411" t="str">
        <f>CONCAT("""","Subclass", """:","""",'Kegg Taxon'!L31,""",")</f>
        <v>#N/A</v>
      </c>
      <c r="M31" s="411" t="str">
        <f>CONCAT("""","Order",""":","""", 'Kegg Taxon'!O31,""",")</f>
        <v>#N/A</v>
      </c>
      <c r="N31" s="411" t="str">
        <f>CONCAT("""","Family",""":","""", 'Kegg Taxon'!P31,""",")</f>
        <v>#N/A</v>
      </c>
      <c r="O31" s="411" t="str">
        <f>CONCAT("""","Subfamily",""":","""", 'Kegg Taxon'!Q31,""",")</f>
        <v>#N/A</v>
      </c>
      <c r="P31" s="411" t="str">
        <f>CONCAT("""","Tribe",""":","""", 'Kegg Taxon'!R31,""",")</f>
        <v>#N/A</v>
      </c>
      <c r="Q31" s="411" t="str">
        <f>CONCAT("""","Subtribe",""":","""", 'Kegg Taxon'!S31,""",")</f>
        <v>#N/A</v>
      </c>
      <c r="R31" s="411" t="str">
        <f>CONCAT("""","Genus",""":","""", 'Kegg Taxon'!T31,""",")</f>
        <v>#N/A</v>
      </c>
      <c r="S31" s="411" t="str">
        <f t="shared" si="2"/>
        <v>#N/A</v>
      </c>
      <c r="T31" s="411" t="str">
        <f>CONCAT("""","Species",""":","""", 'Kegg Taxon'!U31,""",")</f>
        <v>#N/A</v>
      </c>
      <c r="U31" s="411" t="str">
        <f>CONCAT("""","VarSubsp",""":","""", 'Kegg Taxon'!V31,"""")</f>
        <v>#N/A</v>
      </c>
      <c r="V31" s="412"/>
      <c r="W31" s="412"/>
      <c r="X31" s="412"/>
      <c r="Y31" s="412"/>
      <c r="Z31" s="412"/>
    </row>
    <row r="32" ht="14.25" customHeight="1">
      <c r="A32" s="409" t="s">
        <v>3714</v>
      </c>
      <c r="B32" s="410" t="str">
        <f t="shared" si="1"/>
        <v>#N/A</v>
      </c>
      <c r="C32" s="411" t="str">
        <f>(CONCAT("""","KeggCode", """:","""",'Kegg Taxon'!A32,""","))</f>
        <v>#N/A</v>
      </c>
      <c r="D32" s="411" t="str">
        <f> (CONCAT("""","CommonName",""":", """",'Kegg Taxon'!B32,""","))</f>
        <v>#N/A</v>
      </c>
      <c r="E32" s="411" t="str">
        <f> (CONCAT("""","ScientificName",""":", """",'Kegg Taxon'!C32,""","))</f>
        <v>#N/A</v>
      </c>
      <c r="F32" s="411" t="str">
        <f>CONCAT("""","Kingdom", """:","""",'Kegg Taxon'!D32,""",")</f>
        <v>#N/A</v>
      </c>
      <c r="G32" s="411" t="str">
        <f>CONCAT("""","Subkingdom",""":", """",'Kegg Taxon'!F32,""",")</f>
        <v>#N/A</v>
      </c>
      <c r="H32" s="411" t="str">
        <f>CONCAT("""","Superdivision",""":", """",'Kegg Taxon'!H32,""",")</f>
        <v>#N/A</v>
      </c>
      <c r="I32" s="411" t="str">
        <f>CONCAT("""","Phylum", """:","""",'Kegg Taxon'!I32,""",")</f>
        <v>#N/A</v>
      </c>
      <c r="J32" s="411" t="str">
        <f>CONCAT("""","Subphylum", """:","""",'Kegg Taxon'!J32,""",")</f>
        <v>#N/A</v>
      </c>
      <c r="K32" s="411" t="str">
        <f>CONCAT("""","Class", """:","""",'Kegg Taxon'!K32,""",")</f>
        <v>#N/A</v>
      </c>
      <c r="L32" s="411" t="str">
        <f>CONCAT("""","Subclass", """:","""",'Kegg Taxon'!L32,""",")</f>
        <v>#N/A</v>
      </c>
      <c r="M32" s="411" t="str">
        <f>CONCAT("""","Order",""":","""", 'Kegg Taxon'!O32,""",")</f>
        <v>#N/A</v>
      </c>
      <c r="N32" s="411" t="str">
        <f>CONCAT("""","Family",""":","""", 'Kegg Taxon'!P32,""",")</f>
        <v>#N/A</v>
      </c>
      <c r="O32" s="411" t="str">
        <f>CONCAT("""","Subfamily",""":","""", 'Kegg Taxon'!Q32,""",")</f>
        <v>#N/A</v>
      </c>
      <c r="P32" s="411" t="str">
        <f>CONCAT("""","Tribe",""":","""", 'Kegg Taxon'!R32,""",")</f>
        <v>#N/A</v>
      </c>
      <c r="Q32" s="411" t="str">
        <f>CONCAT("""","Subtribe",""":","""", 'Kegg Taxon'!S32,""",")</f>
        <v>#N/A</v>
      </c>
      <c r="R32" s="411" t="str">
        <f>CONCAT("""","Genus",""":","""", 'Kegg Taxon'!T32,""",")</f>
        <v>#N/A</v>
      </c>
      <c r="S32" s="411" t="str">
        <f t="shared" si="2"/>
        <v>#N/A</v>
      </c>
      <c r="T32" s="411" t="str">
        <f>CONCAT("""","Species",""":","""", 'Kegg Taxon'!U32,""",")</f>
        <v>#N/A</v>
      </c>
      <c r="U32" s="411" t="str">
        <f>CONCAT("""","VarSubsp",""":","""", 'Kegg Taxon'!V32,"""")</f>
        <v>#N/A</v>
      </c>
      <c r="V32" s="412"/>
      <c r="W32" s="412"/>
      <c r="X32" s="412"/>
      <c r="Y32" s="412"/>
      <c r="Z32" s="412"/>
    </row>
    <row r="33" ht="14.25" customHeight="1">
      <c r="A33" s="409" t="s">
        <v>3715</v>
      </c>
      <c r="B33" s="410" t="str">
        <f t="shared" si="1"/>
        <v>#N/A</v>
      </c>
      <c r="C33" s="411" t="str">
        <f>(CONCAT("""","KeggCode", """:","""",'Kegg Taxon'!A33,""","))</f>
        <v>#N/A</v>
      </c>
      <c r="D33" s="411" t="str">
        <f> (CONCAT("""","CommonName",""":", """",'Kegg Taxon'!B33,""","))</f>
        <v>#N/A</v>
      </c>
      <c r="E33" s="411" t="str">
        <f> (CONCAT("""","ScientificName",""":", """",'Kegg Taxon'!C33,""","))</f>
        <v>#N/A</v>
      </c>
      <c r="F33" s="411" t="str">
        <f>CONCAT("""","Kingdom", """:","""",'Kegg Taxon'!D33,""",")</f>
        <v>#N/A</v>
      </c>
      <c r="G33" s="411" t="str">
        <f>CONCAT("""","Subkingdom",""":", """",'Kegg Taxon'!F33,""",")</f>
        <v>#N/A</v>
      </c>
      <c r="H33" s="411" t="str">
        <f>CONCAT("""","Superdivision",""":", """",'Kegg Taxon'!H33,""",")</f>
        <v>#N/A</v>
      </c>
      <c r="I33" s="411" t="str">
        <f>CONCAT("""","Phylum", """:","""",'Kegg Taxon'!I33,""",")</f>
        <v>#N/A</v>
      </c>
      <c r="J33" s="411" t="str">
        <f>CONCAT("""","Subphylum", """:","""",'Kegg Taxon'!J33,""",")</f>
        <v>#N/A</v>
      </c>
      <c r="K33" s="411" t="str">
        <f>CONCAT("""","Class", """:","""",'Kegg Taxon'!K33,""",")</f>
        <v>#N/A</v>
      </c>
      <c r="L33" s="411" t="str">
        <f>CONCAT("""","Subclass", """:","""",'Kegg Taxon'!L33,""",")</f>
        <v>#N/A</v>
      </c>
      <c r="M33" s="411" t="str">
        <f>CONCAT("""","Order",""":","""", 'Kegg Taxon'!O33,""",")</f>
        <v>#N/A</v>
      </c>
      <c r="N33" s="411" t="str">
        <f>CONCAT("""","Family",""":","""", 'Kegg Taxon'!P33,""",")</f>
        <v>#N/A</v>
      </c>
      <c r="O33" s="411" t="str">
        <f>CONCAT("""","Subfamily",""":","""", 'Kegg Taxon'!Q33,""",")</f>
        <v>#N/A</v>
      </c>
      <c r="P33" s="411" t="str">
        <f>CONCAT("""","Tribe",""":","""", 'Kegg Taxon'!R33,""",")</f>
        <v>#N/A</v>
      </c>
      <c r="Q33" s="411" t="str">
        <f>CONCAT("""","Subtribe",""":","""", 'Kegg Taxon'!S33,""",")</f>
        <v>#N/A</v>
      </c>
      <c r="R33" s="411" t="str">
        <f>CONCAT("""","Genus",""":","""", 'Kegg Taxon'!T33,""",")</f>
        <v>#N/A</v>
      </c>
      <c r="S33" s="411" t="str">
        <f t="shared" si="2"/>
        <v>#N/A</v>
      </c>
      <c r="T33" s="411" t="str">
        <f>CONCAT("""","Species",""":","""", 'Kegg Taxon'!U33,""",")</f>
        <v>#N/A</v>
      </c>
      <c r="U33" s="411" t="str">
        <f>CONCAT("""","VarSubsp",""":","""", 'Kegg Taxon'!V33,"""")</f>
        <v>#N/A</v>
      </c>
      <c r="V33" s="412"/>
      <c r="W33" s="412"/>
      <c r="X33" s="412"/>
      <c r="Y33" s="412"/>
      <c r="Z33" s="412"/>
    </row>
    <row r="34" ht="14.25" customHeight="1">
      <c r="A34" s="409" t="s">
        <v>3716</v>
      </c>
      <c r="B34" s="410" t="str">
        <f t="shared" si="1"/>
        <v>#N/A</v>
      </c>
      <c r="C34" s="411" t="str">
        <f>(CONCAT("""","KeggCode", """:","""",'Kegg Taxon'!A34,""","))</f>
        <v>#N/A</v>
      </c>
      <c r="D34" s="411" t="str">
        <f> (CONCAT("""","CommonName",""":", """",'Kegg Taxon'!B34,""","))</f>
        <v>#N/A</v>
      </c>
      <c r="E34" s="411" t="str">
        <f> (CONCAT("""","ScientificName",""":", """",'Kegg Taxon'!C34,""","))</f>
        <v>#N/A</v>
      </c>
      <c r="F34" s="411" t="str">
        <f>CONCAT("""","Kingdom", """:","""",'Kegg Taxon'!D34,""",")</f>
        <v>#N/A</v>
      </c>
      <c r="G34" s="411" t="str">
        <f>CONCAT("""","Subkingdom",""":", """",'Kegg Taxon'!F34,""",")</f>
        <v>#N/A</v>
      </c>
      <c r="H34" s="411" t="str">
        <f>CONCAT("""","Superdivision",""":", """",'Kegg Taxon'!H34,""",")</f>
        <v>#N/A</v>
      </c>
      <c r="I34" s="411" t="str">
        <f>CONCAT("""","Phylum", """:","""",'Kegg Taxon'!I34,""",")</f>
        <v>#N/A</v>
      </c>
      <c r="J34" s="411" t="str">
        <f>CONCAT("""","Subphylum", """:","""",'Kegg Taxon'!J34,""",")</f>
        <v>#N/A</v>
      </c>
      <c r="K34" s="411" t="str">
        <f>CONCAT("""","Class", """:","""",'Kegg Taxon'!K34,""",")</f>
        <v>#N/A</v>
      </c>
      <c r="L34" s="411" t="str">
        <f>CONCAT("""","Subclass", """:","""",'Kegg Taxon'!L34,""",")</f>
        <v>#N/A</v>
      </c>
      <c r="M34" s="411" t="str">
        <f>CONCAT("""","Order",""":","""", 'Kegg Taxon'!O34,""",")</f>
        <v>#N/A</v>
      </c>
      <c r="N34" s="411" t="str">
        <f>CONCAT("""","Family",""":","""", 'Kegg Taxon'!P34,""",")</f>
        <v>#N/A</v>
      </c>
      <c r="O34" s="411" t="str">
        <f>CONCAT("""","Subfamily",""":","""", 'Kegg Taxon'!Q34,""",")</f>
        <v>#N/A</v>
      </c>
      <c r="P34" s="411" t="str">
        <f>CONCAT("""","Tribe",""":","""", 'Kegg Taxon'!R34,""",")</f>
        <v>#N/A</v>
      </c>
      <c r="Q34" s="411" t="str">
        <f>CONCAT("""","Subtribe",""":","""", 'Kegg Taxon'!S34,""",")</f>
        <v>#N/A</v>
      </c>
      <c r="R34" s="411" t="str">
        <f>CONCAT("""","Genus",""":","""", 'Kegg Taxon'!T34,""",")</f>
        <v>#N/A</v>
      </c>
      <c r="S34" s="411" t="str">
        <f t="shared" si="2"/>
        <v>#N/A</v>
      </c>
      <c r="T34" s="411" t="str">
        <f>CONCAT("""","Species",""":","""", 'Kegg Taxon'!U34,""",")</f>
        <v>#N/A</v>
      </c>
      <c r="U34" s="411" t="str">
        <f>CONCAT("""","VarSubsp",""":","""", 'Kegg Taxon'!V34,"""")</f>
        <v>#N/A</v>
      </c>
      <c r="V34" s="412"/>
      <c r="W34" s="412"/>
      <c r="X34" s="412"/>
      <c r="Y34" s="412"/>
      <c r="Z34" s="412"/>
    </row>
    <row r="35" ht="14.25" customHeight="1">
      <c r="A35" s="409" t="s">
        <v>3717</v>
      </c>
      <c r="B35" s="410" t="str">
        <f t="shared" si="1"/>
        <v>#N/A</v>
      </c>
      <c r="C35" s="411" t="str">
        <f>(CONCAT("""","KeggCode", """:","""",'Kegg Taxon'!A35,""","))</f>
        <v>#N/A</v>
      </c>
      <c r="D35" s="411" t="str">
        <f> (CONCAT("""","CommonName",""":", """",'Kegg Taxon'!B35,""","))</f>
        <v>#N/A</v>
      </c>
      <c r="E35" s="411" t="str">
        <f> (CONCAT("""","ScientificName",""":", """",'Kegg Taxon'!C35,""","))</f>
        <v>#N/A</v>
      </c>
      <c r="F35" s="411" t="str">
        <f>CONCAT("""","Kingdom", """:","""",'Kegg Taxon'!D35,""",")</f>
        <v>#N/A</v>
      </c>
      <c r="G35" s="411" t="str">
        <f>CONCAT("""","Subkingdom",""":", """",'Kegg Taxon'!F35,""",")</f>
        <v>#N/A</v>
      </c>
      <c r="H35" s="411" t="str">
        <f>CONCAT("""","Superdivision",""":", """",'Kegg Taxon'!H35,""",")</f>
        <v>#N/A</v>
      </c>
      <c r="I35" s="411" t="str">
        <f>CONCAT("""","Phylum", """:","""",'Kegg Taxon'!I35,""",")</f>
        <v>#N/A</v>
      </c>
      <c r="J35" s="411" t="str">
        <f>CONCAT("""","Subphylum", """:","""",'Kegg Taxon'!J35,""",")</f>
        <v>#N/A</v>
      </c>
      <c r="K35" s="411" t="str">
        <f>CONCAT("""","Class", """:","""",'Kegg Taxon'!K35,""",")</f>
        <v>#N/A</v>
      </c>
      <c r="L35" s="411" t="str">
        <f>CONCAT("""","Subclass", """:","""",'Kegg Taxon'!L35,""",")</f>
        <v>#N/A</v>
      </c>
      <c r="M35" s="411" t="str">
        <f>CONCAT("""","Order",""":","""", 'Kegg Taxon'!O35,""",")</f>
        <v>#N/A</v>
      </c>
      <c r="N35" s="411" t="str">
        <f>CONCAT("""","Family",""":","""", 'Kegg Taxon'!P35,""",")</f>
        <v>#N/A</v>
      </c>
      <c r="O35" s="411" t="str">
        <f>CONCAT("""","Subfamily",""":","""", 'Kegg Taxon'!Q35,""",")</f>
        <v>#N/A</v>
      </c>
      <c r="P35" s="411" t="str">
        <f>CONCAT("""","Tribe",""":","""", 'Kegg Taxon'!R35,""",")</f>
        <v>#N/A</v>
      </c>
      <c r="Q35" s="411" t="str">
        <f>CONCAT("""","Subtribe",""":","""", 'Kegg Taxon'!S35,""",")</f>
        <v>#N/A</v>
      </c>
      <c r="R35" s="411" t="str">
        <f>CONCAT("""","Genus",""":","""", 'Kegg Taxon'!T35,""",")</f>
        <v>#N/A</v>
      </c>
      <c r="S35" s="411" t="str">
        <f t="shared" si="2"/>
        <v>#N/A</v>
      </c>
      <c r="T35" s="411" t="str">
        <f>CONCAT("""","Species",""":","""", 'Kegg Taxon'!U35,""",")</f>
        <v>#N/A</v>
      </c>
      <c r="U35" s="411" t="str">
        <f>CONCAT("""","VarSubsp",""":","""", 'Kegg Taxon'!V35,"""")</f>
        <v>#N/A</v>
      </c>
      <c r="V35" s="412"/>
      <c r="W35" s="412"/>
      <c r="X35" s="412"/>
      <c r="Y35" s="412"/>
      <c r="Z35" s="412"/>
    </row>
    <row r="36" ht="14.25" customHeight="1">
      <c r="A36" s="409" t="s">
        <v>3718</v>
      </c>
      <c r="B36" s="410" t="str">
        <f t="shared" si="1"/>
        <v>#N/A</v>
      </c>
      <c r="C36" s="411" t="str">
        <f>(CONCAT("""","KeggCode", """:","""",'Kegg Taxon'!A36,""","))</f>
        <v>#N/A</v>
      </c>
      <c r="D36" s="411" t="str">
        <f> (CONCAT("""","CommonName",""":", """",'Kegg Taxon'!B36,""","))</f>
        <v>#N/A</v>
      </c>
      <c r="E36" s="411" t="str">
        <f> (CONCAT("""","ScientificName",""":", """",'Kegg Taxon'!C36,""","))</f>
        <v>#N/A</v>
      </c>
      <c r="F36" s="411" t="str">
        <f>CONCAT("""","Kingdom", """:","""",'Kegg Taxon'!D36,""",")</f>
        <v>#N/A</v>
      </c>
      <c r="G36" s="411" t="str">
        <f>CONCAT("""","Subkingdom",""":", """",'Kegg Taxon'!F36,""",")</f>
        <v>#N/A</v>
      </c>
      <c r="H36" s="411" t="str">
        <f>CONCAT("""","Superdivision",""":", """",'Kegg Taxon'!H36,""",")</f>
        <v>#N/A</v>
      </c>
      <c r="I36" s="411" t="str">
        <f>CONCAT("""","Phylum", """:","""",'Kegg Taxon'!I36,""",")</f>
        <v>#N/A</v>
      </c>
      <c r="J36" s="411" t="str">
        <f>CONCAT("""","Subphylum", """:","""",'Kegg Taxon'!J36,""",")</f>
        <v>#N/A</v>
      </c>
      <c r="K36" s="411" t="str">
        <f>CONCAT("""","Class", """:","""",'Kegg Taxon'!K36,""",")</f>
        <v>#N/A</v>
      </c>
      <c r="L36" s="411" t="str">
        <f>CONCAT("""","Subclass", """:","""",'Kegg Taxon'!L36,""",")</f>
        <v>#N/A</v>
      </c>
      <c r="M36" s="411" t="str">
        <f>CONCAT("""","Order",""":","""", 'Kegg Taxon'!O36,""",")</f>
        <v>#N/A</v>
      </c>
      <c r="N36" s="411" t="str">
        <f>CONCAT("""","Family",""":","""", 'Kegg Taxon'!P36,""",")</f>
        <v>#N/A</v>
      </c>
      <c r="O36" s="411" t="str">
        <f>CONCAT("""","Subfamily",""":","""", 'Kegg Taxon'!Q36,""",")</f>
        <v>#N/A</v>
      </c>
      <c r="P36" s="411" t="str">
        <f>CONCAT("""","Tribe",""":","""", 'Kegg Taxon'!R36,""",")</f>
        <v>#N/A</v>
      </c>
      <c r="Q36" s="411" t="str">
        <f>CONCAT("""","Subtribe",""":","""", 'Kegg Taxon'!S36,""",")</f>
        <v>#N/A</v>
      </c>
      <c r="R36" s="411" t="str">
        <f>CONCAT("""","Genus",""":","""", 'Kegg Taxon'!T36,""",")</f>
        <v>#N/A</v>
      </c>
      <c r="S36" s="411" t="str">
        <f t="shared" si="2"/>
        <v>#N/A</v>
      </c>
      <c r="T36" s="411" t="str">
        <f>CONCAT("""","Species",""":","""", 'Kegg Taxon'!U36,""",")</f>
        <v>#N/A</v>
      </c>
      <c r="U36" s="411" t="str">
        <f>CONCAT("""","VarSubsp",""":","""", 'Kegg Taxon'!V36,"""")</f>
        <v>#N/A</v>
      </c>
      <c r="V36" s="412"/>
      <c r="W36" s="412"/>
      <c r="X36" s="412"/>
      <c r="Y36" s="412"/>
      <c r="Z36" s="412"/>
    </row>
    <row r="37" ht="14.25" customHeight="1">
      <c r="A37" s="409" t="s">
        <v>3719</v>
      </c>
      <c r="B37" s="410" t="str">
        <f t="shared" si="1"/>
        <v>#N/A</v>
      </c>
      <c r="C37" s="411" t="str">
        <f>(CONCAT("""","KeggCode", """:","""",'Kegg Taxon'!A37,""","))</f>
        <v>#N/A</v>
      </c>
      <c r="D37" s="411" t="str">
        <f> (CONCAT("""","CommonName",""":", """",'Kegg Taxon'!B37,""","))</f>
        <v>#N/A</v>
      </c>
      <c r="E37" s="411" t="str">
        <f> (CONCAT("""","ScientificName",""":", """",'Kegg Taxon'!C37,""","))</f>
        <v>#N/A</v>
      </c>
      <c r="F37" s="411" t="str">
        <f>CONCAT("""","Kingdom", """:","""",'Kegg Taxon'!D37,""",")</f>
        <v>#N/A</v>
      </c>
      <c r="G37" s="411" t="str">
        <f>CONCAT("""","Subkingdom",""":", """",'Kegg Taxon'!F37,""",")</f>
        <v>#N/A</v>
      </c>
      <c r="H37" s="411" t="str">
        <f>CONCAT("""","Superdivision",""":", """",'Kegg Taxon'!H37,""",")</f>
        <v>#N/A</v>
      </c>
      <c r="I37" s="411" t="str">
        <f>CONCAT("""","Phylum", """:","""",'Kegg Taxon'!I37,""",")</f>
        <v>#N/A</v>
      </c>
      <c r="J37" s="411" t="str">
        <f>CONCAT("""","Subphylum", """:","""",'Kegg Taxon'!J37,""",")</f>
        <v>#N/A</v>
      </c>
      <c r="K37" s="411" t="str">
        <f>CONCAT("""","Class", """:","""",'Kegg Taxon'!K37,""",")</f>
        <v>#N/A</v>
      </c>
      <c r="L37" s="411" t="str">
        <f>CONCAT("""","Subclass", """:","""",'Kegg Taxon'!L37,""",")</f>
        <v>#N/A</v>
      </c>
      <c r="M37" s="411" t="str">
        <f>CONCAT("""","Order",""":","""", 'Kegg Taxon'!O37,""",")</f>
        <v>#N/A</v>
      </c>
      <c r="N37" s="411" t="str">
        <f>CONCAT("""","Family",""":","""", 'Kegg Taxon'!P37,""",")</f>
        <v>#N/A</v>
      </c>
      <c r="O37" s="411" t="str">
        <f>CONCAT("""","Subfamily",""":","""", 'Kegg Taxon'!Q37,""",")</f>
        <v>#N/A</v>
      </c>
      <c r="P37" s="411" t="str">
        <f>CONCAT("""","Tribe",""":","""", 'Kegg Taxon'!R37,""",")</f>
        <v>#N/A</v>
      </c>
      <c r="Q37" s="411" t="str">
        <f>CONCAT("""","Subtribe",""":","""", 'Kegg Taxon'!S37,""",")</f>
        <v>#N/A</v>
      </c>
      <c r="R37" s="411" t="str">
        <f>CONCAT("""","Genus",""":","""", 'Kegg Taxon'!T37,""",")</f>
        <v>#N/A</v>
      </c>
      <c r="S37" s="411" t="str">
        <f t="shared" si="2"/>
        <v>#N/A</v>
      </c>
      <c r="T37" s="411" t="str">
        <f>CONCAT("""","Species",""":","""", 'Kegg Taxon'!U37,""",")</f>
        <v>#N/A</v>
      </c>
      <c r="U37" s="411" t="str">
        <f>CONCAT("""","VarSubsp",""":","""", 'Kegg Taxon'!V37,"""")</f>
        <v>#N/A</v>
      </c>
      <c r="V37" s="412"/>
      <c r="W37" s="412"/>
      <c r="X37" s="412"/>
      <c r="Y37" s="412"/>
      <c r="Z37" s="412"/>
    </row>
    <row r="38" ht="14.25" customHeight="1">
      <c r="A38" s="409" t="s">
        <v>3720</v>
      </c>
      <c r="B38" s="410" t="str">
        <f t="shared" si="1"/>
        <v>#N/A</v>
      </c>
      <c r="C38" s="411" t="str">
        <f>(CONCAT("""","KeggCode", """:","""",'Kegg Taxon'!A38,""","))</f>
        <v>#N/A</v>
      </c>
      <c r="D38" s="411" t="str">
        <f> (CONCAT("""","CommonName",""":", """",'Kegg Taxon'!B38,""","))</f>
        <v>#N/A</v>
      </c>
      <c r="E38" s="411" t="str">
        <f> (CONCAT("""","ScientificName",""":", """",'Kegg Taxon'!C38,""","))</f>
        <v>#N/A</v>
      </c>
      <c r="F38" s="411" t="str">
        <f>CONCAT("""","Kingdom", """:","""",'Kegg Taxon'!D38,""",")</f>
        <v>#N/A</v>
      </c>
      <c r="G38" s="411" t="str">
        <f>CONCAT("""","Subkingdom",""":", """",'Kegg Taxon'!F38,""",")</f>
        <v>#N/A</v>
      </c>
      <c r="H38" s="411" t="str">
        <f>CONCAT("""","Superdivision",""":", """",'Kegg Taxon'!H38,""",")</f>
        <v>#N/A</v>
      </c>
      <c r="I38" s="411" t="str">
        <f>CONCAT("""","Phylum", """:","""",'Kegg Taxon'!I38,""",")</f>
        <v>#N/A</v>
      </c>
      <c r="J38" s="411" t="str">
        <f>CONCAT("""","Subphylum", """:","""",'Kegg Taxon'!J38,""",")</f>
        <v>#N/A</v>
      </c>
      <c r="K38" s="411" t="str">
        <f>CONCAT("""","Class", """:","""",'Kegg Taxon'!K38,""",")</f>
        <v>#N/A</v>
      </c>
      <c r="L38" s="411" t="str">
        <f>CONCAT("""","Subclass", """:","""",'Kegg Taxon'!L38,""",")</f>
        <v>#N/A</v>
      </c>
      <c r="M38" s="411" t="str">
        <f>CONCAT("""","Order",""":","""", 'Kegg Taxon'!O38,""",")</f>
        <v>#N/A</v>
      </c>
      <c r="N38" s="411" t="str">
        <f>CONCAT("""","Family",""":","""", 'Kegg Taxon'!P38,""",")</f>
        <v>#N/A</v>
      </c>
      <c r="O38" s="411" t="str">
        <f>CONCAT("""","Subfamily",""":","""", 'Kegg Taxon'!Q38,""",")</f>
        <v>#N/A</v>
      </c>
      <c r="P38" s="411" t="str">
        <f>CONCAT("""","Tribe",""":","""", 'Kegg Taxon'!R38,""",")</f>
        <v>#N/A</v>
      </c>
      <c r="Q38" s="411" t="str">
        <f>CONCAT("""","Subtribe",""":","""", 'Kegg Taxon'!S38,""",")</f>
        <v>#N/A</v>
      </c>
      <c r="R38" s="411" t="str">
        <f>CONCAT("""","Genus",""":","""", 'Kegg Taxon'!T38,""",")</f>
        <v>#N/A</v>
      </c>
      <c r="S38" s="411" t="str">
        <f t="shared" si="2"/>
        <v>#N/A</v>
      </c>
      <c r="T38" s="411" t="str">
        <f>CONCAT("""","Species",""":","""", 'Kegg Taxon'!U38,""",")</f>
        <v>#N/A</v>
      </c>
      <c r="U38" s="411" t="str">
        <f>CONCAT("""","VarSubsp",""":","""", 'Kegg Taxon'!V38,"""")</f>
        <v>#N/A</v>
      </c>
      <c r="V38" s="412"/>
      <c r="W38" s="412"/>
      <c r="X38" s="412"/>
      <c r="Y38" s="412"/>
      <c r="Z38" s="412"/>
    </row>
    <row r="39" ht="14.25" customHeight="1">
      <c r="A39" s="409" t="s">
        <v>3721</v>
      </c>
      <c r="B39" s="410" t="str">
        <f t="shared" si="1"/>
        <v>#N/A</v>
      </c>
      <c r="C39" s="411" t="str">
        <f>(CONCAT("""","KeggCode", """:","""",'Kegg Taxon'!A39,""","))</f>
        <v>#N/A</v>
      </c>
      <c r="D39" s="411" t="str">
        <f> (CONCAT("""","CommonName",""":", """",'Kegg Taxon'!B39,""","))</f>
        <v>#N/A</v>
      </c>
      <c r="E39" s="411" t="str">
        <f> (CONCAT("""","ScientificName",""":", """",'Kegg Taxon'!C39,""","))</f>
        <v>#N/A</v>
      </c>
      <c r="F39" s="411" t="str">
        <f>CONCAT("""","Kingdom", """:","""",'Kegg Taxon'!D39,""",")</f>
        <v>#N/A</v>
      </c>
      <c r="G39" s="411" t="str">
        <f>CONCAT("""","Subkingdom",""":", """",'Kegg Taxon'!F39,""",")</f>
        <v>#N/A</v>
      </c>
      <c r="H39" s="411" t="str">
        <f>CONCAT("""","Superdivision",""":", """",'Kegg Taxon'!H39,""",")</f>
        <v>#N/A</v>
      </c>
      <c r="I39" s="411" t="str">
        <f>CONCAT("""","Phylum", """:","""",'Kegg Taxon'!I39,""",")</f>
        <v>#N/A</v>
      </c>
      <c r="J39" s="411" t="str">
        <f>CONCAT("""","Subphylum", """:","""",'Kegg Taxon'!J39,""",")</f>
        <v>#N/A</v>
      </c>
      <c r="K39" s="411" t="str">
        <f>CONCAT("""","Class", """:","""",'Kegg Taxon'!K39,""",")</f>
        <v>#N/A</v>
      </c>
      <c r="L39" s="411" t="str">
        <f>CONCAT("""","Subclass", """:","""",'Kegg Taxon'!L39,""",")</f>
        <v>#N/A</v>
      </c>
      <c r="M39" s="411" t="str">
        <f>CONCAT("""","Order",""":","""", 'Kegg Taxon'!O39,""",")</f>
        <v>#N/A</v>
      </c>
      <c r="N39" s="411" t="str">
        <f>CONCAT("""","Family",""":","""", 'Kegg Taxon'!P39,""",")</f>
        <v>#N/A</v>
      </c>
      <c r="O39" s="411" t="str">
        <f>CONCAT("""","Subfamily",""":","""", 'Kegg Taxon'!Q39,""",")</f>
        <v>#N/A</v>
      </c>
      <c r="P39" s="411" t="str">
        <f>CONCAT("""","Tribe",""":","""", 'Kegg Taxon'!R39,""",")</f>
        <v>#N/A</v>
      </c>
      <c r="Q39" s="411" t="str">
        <f>CONCAT("""","Subtribe",""":","""", 'Kegg Taxon'!S39,""",")</f>
        <v>#N/A</v>
      </c>
      <c r="R39" s="411" t="str">
        <f>CONCAT("""","Genus",""":","""", 'Kegg Taxon'!T39,""",")</f>
        <v>#N/A</v>
      </c>
      <c r="S39" s="411" t="str">
        <f t="shared" si="2"/>
        <v>#N/A</v>
      </c>
      <c r="T39" s="411" t="str">
        <f>CONCAT("""","Species",""":","""", 'Kegg Taxon'!U39,""",")</f>
        <v>#N/A</v>
      </c>
      <c r="U39" s="411" t="str">
        <f>CONCAT("""","VarSubsp",""":","""", 'Kegg Taxon'!V39,"""")</f>
        <v>#N/A</v>
      </c>
      <c r="V39" s="412"/>
      <c r="W39" s="412"/>
      <c r="X39" s="412"/>
      <c r="Y39" s="412"/>
      <c r="Z39" s="412"/>
    </row>
    <row r="40" ht="14.25" customHeight="1">
      <c r="A40" s="409" t="s">
        <v>3722</v>
      </c>
      <c r="B40" s="410" t="str">
        <f t="shared" si="1"/>
        <v>#N/A</v>
      </c>
      <c r="C40" s="411" t="str">
        <f>(CONCAT("""","KeggCode", """:","""",'Kegg Taxon'!A40,""","))</f>
        <v>#N/A</v>
      </c>
      <c r="D40" s="411" t="str">
        <f> (CONCAT("""","CommonName",""":", """",'Kegg Taxon'!B40,""","))</f>
        <v>#N/A</v>
      </c>
      <c r="E40" s="411" t="str">
        <f> (CONCAT("""","ScientificName",""":", """",'Kegg Taxon'!C40,""","))</f>
        <v>#N/A</v>
      </c>
      <c r="F40" s="411" t="str">
        <f>CONCAT("""","Kingdom", """:","""",'Kegg Taxon'!D40,""",")</f>
        <v>#N/A</v>
      </c>
      <c r="G40" s="411" t="str">
        <f>CONCAT("""","Subkingdom",""":", """",'Kegg Taxon'!F40,""",")</f>
        <v>#N/A</v>
      </c>
      <c r="H40" s="411" t="str">
        <f>CONCAT("""","Superdivision",""":", """",'Kegg Taxon'!H40,""",")</f>
        <v>#N/A</v>
      </c>
      <c r="I40" s="411" t="str">
        <f>CONCAT("""","Phylum", """:","""",'Kegg Taxon'!I40,""",")</f>
        <v>#N/A</v>
      </c>
      <c r="J40" s="411" t="str">
        <f>CONCAT("""","Subphylum", """:","""",'Kegg Taxon'!J40,""",")</f>
        <v>#N/A</v>
      </c>
      <c r="K40" s="411" t="str">
        <f>CONCAT("""","Class", """:","""",'Kegg Taxon'!K40,""",")</f>
        <v>#N/A</v>
      </c>
      <c r="L40" s="411" t="str">
        <f>CONCAT("""","Subclass", """:","""",'Kegg Taxon'!L40,""",")</f>
        <v>#N/A</v>
      </c>
      <c r="M40" s="411" t="str">
        <f>CONCAT("""","Order",""":","""", 'Kegg Taxon'!O40,""",")</f>
        <v>#N/A</v>
      </c>
      <c r="N40" s="411" t="str">
        <f>CONCAT("""","Family",""":","""", 'Kegg Taxon'!P40,""",")</f>
        <v>#N/A</v>
      </c>
      <c r="O40" s="411" t="str">
        <f>CONCAT("""","Subfamily",""":","""", 'Kegg Taxon'!Q40,""",")</f>
        <v>#N/A</v>
      </c>
      <c r="P40" s="411" t="str">
        <f>CONCAT("""","Tribe",""":","""", 'Kegg Taxon'!R40,""",")</f>
        <v>#N/A</v>
      </c>
      <c r="Q40" s="411" t="str">
        <f>CONCAT("""","Subtribe",""":","""", 'Kegg Taxon'!S40,""",")</f>
        <v>#N/A</v>
      </c>
      <c r="R40" s="411" t="str">
        <f>CONCAT("""","Genus",""":","""", 'Kegg Taxon'!T40,""",")</f>
        <v>#N/A</v>
      </c>
      <c r="S40" s="411" t="str">
        <f t="shared" si="2"/>
        <v>#N/A</v>
      </c>
      <c r="T40" s="411" t="str">
        <f>CONCAT("""","Species",""":","""", 'Kegg Taxon'!U40,""",")</f>
        <v>#N/A</v>
      </c>
      <c r="U40" s="411" t="str">
        <f>CONCAT("""","VarSubsp",""":","""", 'Kegg Taxon'!V40,"""")</f>
        <v>#N/A</v>
      </c>
      <c r="V40" s="412"/>
      <c r="W40" s="412"/>
      <c r="X40" s="412"/>
      <c r="Y40" s="412"/>
      <c r="Z40" s="412"/>
    </row>
    <row r="41" ht="14.25" customHeight="1">
      <c r="A41" s="409" t="s">
        <v>3723</v>
      </c>
      <c r="B41" s="410" t="str">
        <f t="shared" si="1"/>
        <v>#N/A</v>
      </c>
      <c r="C41" s="411" t="str">
        <f>(CONCAT("""","KeggCode", """:","""",'Kegg Taxon'!A41,""","))</f>
        <v>#N/A</v>
      </c>
      <c r="D41" s="411" t="str">
        <f> (CONCAT("""","CommonName",""":", """",'Kegg Taxon'!B41,""","))</f>
        <v>#N/A</v>
      </c>
      <c r="E41" s="411" t="str">
        <f> (CONCAT("""","ScientificName",""":", """",'Kegg Taxon'!C41,""","))</f>
        <v>#N/A</v>
      </c>
      <c r="F41" s="411" t="str">
        <f>CONCAT("""","Kingdom", """:","""",'Kegg Taxon'!D41,""",")</f>
        <v>#N/A</v>
      </c>
      <c r="G41" s="411" t="str">
        <f>CONCAT("""","Subkingdom",""":", """",'Kegg Taxon'!F41,""",")</f>
        <v>#N/A</v>
      </c>
      <c r="H41" s="411" t="str">
        <f>CONCAT("""","Superdivision",""":", """",'Kegg Taxon'!H41,""",")</f>
        <v>#N/A</v>
      </c>
      <c r="I41" s="411" t="str">
        <f>CONCAT("""","Phylum", """:","""",'Kegg Taxon'!I41,""",")</f>
        <v>#N/A</v>
      </c>
      <c r="J41" s="411" t="str">
        <f>CONCAT("""","Subphylum", """:","""",'Kegg Taxon'!J41,""",")</f>
        <v>#N/A</v>
      </c>
      <c r="K41" s="411" t="str">
        <f>CONCAT("""","Class", """:","""",'Kegg Taxon'!K41,""",")</f>
        <v>#N/A</v>
      </c>
      <c r="L41" s="411" t="str">
        <f>CONCAT("""","Subclass", """:","""",'Kegg Taxon'!L41,""",")</f>
        <v>#N/A</v>
      </c>
      <c r="M41" s="411" t="str">
        <f>CONCAT("""","Order",""":","""", 'Kegg Taxon'!O41,""",")</f>
        <v>#N/A</v>
      </c>
      <c r="N41" s="411" t="str">
        <f>CONCAT("""","Family",""":","""", 'Kegg Taxon'!P41,""",")</f>
        <v>#N/A</v>
      </c>
      <c r="O41" s="411" t="str">
        <f>CONCAT("""","Subfamily",""":","""", 'Kegg Taxon'!Q41,""",")</f>
        <v>#N/A</v>
      </c>
      <c r="P41" s="411" t="str">
        <f>CONCAT("""","Tribe",""":","""", 'Kegg Taxon'!R41,""",")</f>
        <v>#N/A</v>
      </c>
      <c r="Q41" s="411" t="str">
        <f>CONCAT("""","Subtribe",""":","""", 'Kegg Taxon'!S41,""",")</f>
        <v>#N/A</v>
      </c>
      <c r="R41" s="411" t="str">
        <f>CONCAT("""","Genus",""":","""", 'Kegg Taxon'!T41,""",")</f>
        <v>#N/A</v>
      </c>
      <c r="S41" s="411" t="str">
        <f t="shared" si="2"/>
        <v>#N/A</v>
      </c>
      <c r="T41" s="411" t="str">
        <f>CONCAT("""","Species",""":","""", 'Kegg Taxon'!U41,""",")</f>
        <v>#N/A</v>
      </c>
      <c r="U41" s="411" t="str">
        <f>CONCAT("""","VarSubsp",""":","""", 'Kegg Taxon'!V41,"""")</f>
        <v>#N/A</v>
      </c>
      <c r="V41" s="412"/>
      <c r="W41" s="412"/>
      <c r="X41" s="412"/>
      <c r="Y41" s="412"/>
      <c r="Z41" s="412"/>
    </row>
    <row r="42" ht="14.25" customHeight="1">
      <c r="A42" s="409" t="s">
        <v>3724</v>
      </c>
      <c r="B42" s="410" t="str">
        <f t="shared" si="1"/>
        <v>#N/A</v>
      </c>
      <c r="C42" s="411" t="str">
        <f>(CONCAT("""","KeggCode", """:","""",'Kegg Taxon'!A42,""","))</f>
        <v>#N/A</v>
      </c>
      <c r="D42" s="411" t="str">
        <f> (CONCAT("""","CommonName",""":", """",'Kegg Taxon'!B42,""","))</f>
        <v>#N/A</v>
      </c>
      <c r="E42" s="411" t="str">
        <f> (CONCAT("""","ScientificName",""":", """",'Kegg Taxon'!C42,""","))</f>
        <v>#N/A</v>
      </c>
      <c r="F42" s="411" t="str">
        <f>CONCAT("""","Kingdom", """:","""",'Kegg Taxon'!D42,""",")</f>
        <v>#N/A</v>
      </c>
      <c r="G42" s="411" t="str">
        <f>CONCAT("""","Subkingdom",""":", """",'Kegg Taxon'!F42,""",")</f>
        <v>#N/A</v>
      </c>
      <c r="H42" s="411" t="str">
        <f>CONCAT("""","Superdivision",""":", """",'Kegg Taxon'!H42,""",")</f>
        <v>#N/A</v>
      </c>
      <c r="I42" s="411" t="str">
        <f>CONCAT("""","Phylum", """:","""",'Kegg Taxon'!I42,""",")</f>
        <v>#N/A</v>
      </c>
      <c r="J42" s="411" t="str">
        <f>CONCAT("""","Subphylum", """:","""",'Kegg Taxon'!J42,""",")</f>
        <v>#N/A</v>
      </c>
      <c r="K42" s="411" t="str">
        <f>CONCAT("""","Class", """:","""",'Kegg Taxon'!K42,""",")</f>
        <v>#N/A</v>
      </c>
      <c r="L42" s="411" t="str">
        <f>CONCAT("""","Subclass", """:","""",'Kegg Taxon'!L42,""",")</f>
        <v>#N/A</v>
      </c>
      <c r="M42" s="411" t="str">
        <f>CONCAT("""","Order",""":","""", 'Kegg Taxon'!O42,""",")</f>
        <v>#N/A</v>
      </c>
      <c r="N42" s="411" t="str">
        <f>CONCAT("""","Family",""":","""", 'Kegg Taxon'!P42,""",")</f>
        <v>#N/A</v>
      </c>
      <c r="O42" s="411" t="str">
        <f>CONCAT("""","Subfamily",""":","""", 'Kegg Taxon'!Q42,""",")</f>
        <v>#N/A</v>
      </c>
      <c r="P42" s="411" t="str">
        <f>CONCAT("""","Tribe",""":","""", 'Kegg Taxon'!R42,""",")</f>
        <v>#N/A</v>
      </c>
      <c r="Q42" s="411" t="str">
        <f>CONCAT("""","Subtribe",""":","""", 'Kegg Taxon'!S42,""",")</f>
        <v>#N/A</v>
      </c>
      <c r="R42" s="411" t="str">
        <f>CONCAT("""","Genus",""":","""", 'Kegg Taxon'!T42,""",")</f>
        <v>#N/A</v>
      </c>
      <c r="S42" s="411" t="str">
        <f t="shared" si="2"/>
        <v>#N/A</v>
      </c>
      <c r="T42" s="411" t="str">
        <f>CONCAT("""","Species",""":","""", 'Kegg Taxon'!U42,""",")</f>
        <v>#N/A</v>
      </c>
      <c r="U42" s="411" t="str">
        <f>CONCAT("""","VarSubsp",""":","""", 'Kegg Taxon'!V42,"""")</f>
        <v>#N/A</v>
      </c>
      <c r="V42" s="412"/>
      <c r="W42" s="412"/>
      <c r="X42" s="412"/>
      <c r="Y42" s="412"/>
      <c r="Z42" s="412"/>
    </row>
    <row r="43" ht="14.25" customHeight="1">
      <c r="A43" s="409" t="s">
        <v>3725</v>
      </c>
      <c r="B43" s="410" t="str">
        <f t="shared" si="1"/>
        <v>#N/A</v>
      </c>
      <c r="C43" s="411" t="str">
        <f>(CONCAT("""","KeggCode", """:","""",'Kegg Taxon'!A43,""","))</f>
        <v>#N/A</v>
      </c>
      <c r="D43" s="411" t="str">
        <f> (CONCAT("""","CommonName",""":", """",'Kegg Taxon'!B43,""","))</f>
        <v>#N/A</v>
      </c>
      <c r="E43" s="411" t="str">
        <f> (CONCAT("""","ScientificName",""":", """",'Kegg Taxon'!C43,""","))</f>
        <v>#N/A</v>
      </c>
      <c r="F43" s="411" t="str">
        <f>CONCAT("""","Kingdom", """:","""",'Kegg Taxon'!D43,""",")</f>
        <v>#N/A</v>
      </c>
      <c r="G43" s="411" t="str">
        <f>CONCAT("""","Subkingdom",""":", """",'Kegg Taxon'!F43,""",")</f>
        <v>#N/A</v>
      </c>
      <c r="H43" s="411" t="str">
        <f>CONCAT("""","Superdivision",""":", """",'Kegg Taxon'!H43,""",")</f>
        <v>#N/A</v>
      </c>
      <c r="I43" s="411" t="str">
        <f>CONCAT("""","Phylum", """:","""",'Kegg Taxon'!I43,""",")</f>
        <v>#N/A</v>
      </c>
      <c r="J43" s="411" t="str">
        <f>CONCAT("""","Subphylum", """:","""",'Kegg Taxon'!J43,""",")</f>
        <v>#N/A</v>
      </c>
      <c r="K43" s="411" t="str">
        <f>CONCAT("""","Class", """:","""",'Kegg Taxon'!K43,""",")</f>
        <v>#N/A</v>
      </c>
      <c r="L43" s="411" t="str">
        <f>CONCAT("""","Subclass", """:","""",'Kegg Taxon'!L43,""",")</f>
        <v>#N/A</v>
      </c>
      <c r="M43" s="411" t="str">
        <f>CONCAT("""","Order",""":","""", 'Kegg Taxon'!O43,""",")</f>
        <v>#N/A</v>
      </c>
      <c r="N43" s="411" t="str">
        <f>CONCAT("""","Family",""":","""", 'Kegg Taxon'!P43,""",")</f>
        <v>#N/A</v>
      </c>
      <c r="O43" s="411" t="str">
        <f>CONCAT("""","Subfamily",""":","""", 'Kegg Taxon'!Q43,""",")</f>
        <v>#N/A</v>
      </c>
      <c r="P43" s="411" t="str">
        <f>CONCAT("""","Tribe",""":","""", 'Kegg Taxon'!R43,""",")</f>
        <v>#N/A</v>
      </c>
      <c r="Q43" s="411" t="str">
        <f>CONCAT("""","Subtribe",""":","""", 'Kegg Taxon'!S43,""",")</f>
        <v>#N/A</v>
      </c>
      <c r="R43" s="411" t="str">
        <f>CONCAT("""","Genus",""":","""", 'Kegg Taxon'!T43,""",")</f>
        <v>#N/A</v>
      </c>
      <c r="S43" s="411" t="str">
        <f t="shared" si="2"/>
        <v>#N/A</v>
      </c>
      <c r="T43" s="411" t="str">
        <f>CONCAT("""","Species",""":","""", 'Kegg Taxon'!U43,""",")</f>
        <v>#N/A</v>
      </c>
      <c r="U43" s="411" t="str">
        <f>CONCAT("""","VarSubsp",""":","""", 'Kegg Taxon'!V43,"""")</f>
        <v>#N/A</v>
      </c>
      <c r="V43" s="412"/>
      <c r="W43" s="412"/>
      <c r="X43" s="412"/>
      <c r="Y43" s="412"/>
      <c r="Z43" s="412"/>
    </row>
    <row r="44" ht="14.25" customHeight="1">
      <c r="A44" s="409" t="s">
        <v>3726</v>
      </c>
      <c r="B44" s="410" t="str">
        <f t="shared" si="1"/>
        <v>#N/A</v>
      </c>
      <c r="C44" s="411" t="str">
        <f>(CONCAT("""","KeggCode", """:","""",'Kegg Taxon'!A44,""","))</f>
        <v>#N/A</v>
      </c>
      <c r="D44" s="411" t="str">
        <f> (CONCAT("""","CommonName",""":", """",'Kegg Taxon'!B44,""","))</f>
        <v>#N/A</v>
      </c>
      <c r="E44" s="411" t="str">
        <f> (CONCAT("""","ScientificName",""":", """",'Kegg Taxon'!C44,""","))</f>
        <v>#N/A</v>
      </c>
      <c r="F44" s="411" t="str">
        <f>CONCAT("""","Kingdom", """:","""",'Kegg Taxon'!D44,""",")</f>
        <v>#N/A</v>
      </c>
      <c r="G44" s="411" t="str">
        <f>CONCAT("""","Subkingdom",""":", """",'Kegg Taxon'!F44,""",")</f>
        <v>#N/A</v>
      </c>
      <c r="H44" s="411" t="str">
        <f>CONCAT("""","Superdivision",""":", """",'Kegg Taxon'!H44,""",")</f>
        <v>#N/A</v>
      </c>
      <c r="I44" s="411" t="str">
        <f>CONCAT("""","Phylum", """:","""",'Kegg Taxon'!I44,""",")</f>
        <v>#N/A</v>
      </c>
      <c r="J44" s="411" t="str">
        <f>CONCAT("""","Subphylum", """:","""",'Kegg Taxon'!J44,""",")</f>
        <v>#N/A</v>
      </c>
      <c r="K44" s="411" t="str">
        <f>CONCAT("""","Class", """:","""",'Kegg Taxon'!K44,""",")</f>
        <v>#N/A</v>
      </c>
      <c r="L44" s="411" t="str">
        <f>CONCAT("""","Subclass", """:","""",'Kegg Taxon'!L44,""",")</f>
        <v>#N/A</v>
      </c>
      <c r="M44" s="411" t="str">
        <f>CONCAT("""","Order",""":","""", 'Kegg Taxon'!O44,""",")</f>
        <v>#N/A</v>
      </c>
      <c r="N44" s="411" t="str">
        <f>CONCAT("""","Family",""":","""", 'Kegg Taxon'!P44,""",")</f>
        <v>#N/A</v>
      </c>
      <c r="O44" s="411" t="str">
        <f>CONCAT("""","Subfamily",""":","""", 'Kegg Taxon'!Q44,""",")</f>
        <v>#N/A</v>
      </c>
      <c r="P44" s="411" t="str">
        <f>CONCAT("""","Tribe",""":","""", 'Kegg Taxon'!R44,""",")</f>
        <v>#N/A</v>
      </c>
      <c r="Q44" s="411" t="str">
        <f>CONCAT("""","Subtribe",""":","""", 'Kegg Taxon'!S44,""",")</f>
        <v>#N/A</v>
      </c>
      <c r="R44" s="411" t="str">
        <f>CONCAT("""","Genus",""":","""", 'Kegg Taxon'!T44,""",")</f>
        <v>#N/A</v>
      </c>
      <c r="S44" s="411" t="str">
        <f t="shared" si="2"/>
        <v>#N/A</v>
      </c>
      <c r="T44" s="411" t="str">
        <f>CONCAT("""","Species",""":","""", 'Kegg Taxon'!U44,""",")</f>
        <v>#N/A</v>
      </c>
      <c r="U44" s="411" t="str">
        <f>CONCAT("""","VarSubsp",""":","""", 'Kegg Taxon'!V44,"""")</f>
        <v>#N/A</v>
      </c>
      <c r="V44" s="412"/>
      <c r="W44" s="412"/>
      <c r="X44" s="412"/>
      <c r="Y44" s="412"/>
      <c r="Z44" s="412"/>
    </row>
    <row r="45" ht="14.25" customHeight="1">
      <c r="A45" s="409" t="s">
        <v>3727</v>
      </c>
      <c r="B45" s="410" t="str">
        <f t="shared" si="1"/>
        <v>#N/A</v>
      </c>
      <c r="C45" s="411" t="str">
        <f>(CONCAT("""","KeggCode", """:","""",'Kegg Taxon'!A45,""","))</f>
        <v>#N/A</v>
      </c>
      <c r="D45" s="411" t="str">
        <f> (CONCAT("""","CommonName",""":", """",'Kegg Taxon'!B45,""","))</f>
        <v>#N/A</v>
      </c>
      <c r="E45" s="411" t="str">
        <f> (CONCAT("""","ScientificName",""":", """",'Kegg Taxon'!C45,""","))</f>
        <v>#N/A</v>
      </c>
      <c r="F45" s="411" t="str">
        <f>CONCAT("""","Kingdom", """:","""",'Kegg Taxon'!D45,""",")</f>
        <v>#N/A</v>
      </c>
      <c r="G45" s="411" t="str">
        <f>CONCAT("""","Subkingdom",""":", """",'Kegg Taxon'!F45,""",")</f>
        <v>#N/A</v>
      </c>
      <c r="H45" s="411" t="str">
        <f>CONCAT("""","Superdivision",""":", """",'Kegg Taxon'!H45,""",")</f>
        <v>#N/A</v>
      </c>
      <c r="I45" s="411" t="str">
        <f>CONCAT("""","Phylum", """:","""",'Kegg Taxon'!I45,""",")</f>
        <v>#N/A</v>
      </c>
      <c r="J45" s="411" t="str">
        <f>CONCAT("""","Subphylum", """:","""",'Kegg Taxon'!J45,""",")</f>
        <v>#N/A</v>
      </c>
      <c r="K45" s="411" t="str">
        <f>CONCAT("""","Class", """:","""",'Kegg Taxon'!K45,""",")</f>
        <v>#N/A</v>
      </c>
      <c r="L45" s="411" t="str">
        <f>CONCAT("""","Subclass", """:","""",'Kegg Taxon'!L45,""",")</f>
        <v>#N/A</v>
      </c>
      <c r="M45" s="411" t="str">
        <f>CONCAT("""","Order",""":","""", 'Kegg Taxon'!O45,""",")</f>
        <v>#N/A</v>
      </c>
      <c r="N45" s="411" t="str">
        <f>CONCAT("""","Family",""":","""", 'Kegg Taxon'!P45,""",")</f>
        <v>#N/A</v>
      </c>
      <c r="O45" s="411" t="str">
        <f>CONCAT("""","Subfamily",""":","""", 'Kegg Taxon'!Q45,""",")</f>
        <v>#N/A</v>
      </c>
      <c r="P45" s="411" t="str">
        <f>CONCAT("""","Tribe",""":","""", 'Kegg Taxon'!R45,""",")</f>
        <v>#N/A</v>
      </c>
      <c r="Q45" s="411" t="str">
        <f>CONCAT("""","Subtribe",""":","""", 'Kegg Taxon'!S45,""",")</f>
        <v>#N/A</v>
      </c>
      <c r="R45" s="411" t="str">
        <f>CONCAT("""","Genus",""":","""", 'Kegg Taxon'!T45,""",")</f>
        <v>#N/A</v>
      </c>
      <c r="S45" s="411" t="str">
        <f t="shared" si="2"/>
        <v>#N/A</v>
      </c>
      <c r="T45" s="411" t="str">
        <f>CONCAT("""","Species",""":","""", 'Kegg Taxon'!U45,""",")</f>
        <v>#N/A</v>
      </c>
      <c r="U45" s="411" t="str">
        <f>CONCAT("""","VarSubsp",""":","""", 'Kegg Taxon'!V45,"""")</f>
        <v>#N/A</v>
      </c>
      <c r="V45" s="412"/>
      <c r="W45" s="412"/>
      <c r="X45" s="412"/>
      <c r="Y45" s="412"/>
      <c r="Z45" s="412"/>
    </row>
    <row r="46" ht="14.25" customHeight="1">
      <c r="A46" s="409" t="s">
        <v>3728</v>
      </c>
      <c r="B46" s="410" t="str">
        <f t="shared" si="1"/>
        <v>#N/A</v>
      </c>
      <c r="C46" s="411" t="str">
        <f>(CONCAT("""","KeggCode", """:","""",'Kegg Taxon'!A46,""","))</f>
        <v>#N/A</v>
      </c>
      <c r="D46" s="411" t="str">
        <f> (CONCAT("""","CommonName",""":", """",'Kegg Taxon'!B46,""","))</f>
        <v>#N/A</v>
      </c>
      <c r="E46" s="411" t="str">
        <f> (CONCAT("""","ScientificName",""":", """",'Kegg Taxon'!C46,""","))</f>
        <v>#N/A</v>
      </c>
      <c r="F46" s="411" t="str">
        <f>CONCAT("""","Kingdom", """:","""",'Kegg Taxon'!D46,""",")</f>
        <v>#N/A</v>
      </c>
      <c r="G46" s="411" t="str">
        <f>CONCAT("""","Subkingdom",""":", """",'Kegg Taxon'!F46,""",")</f>
        <v>#N/A</v>
      </c>
      <c r="H46" s="411" t="str">
        <f>CONCAT("""","Superdivision",""":", """",'Kegg Taxon'!H46,""",")</f>
        <v>#N/A</v>
      </c>
      <c r="I46" s="411" t="str">
        <f>CONCAT("""","Phylum", """:","""",'Kegg Taxon'!I46,""",")</f>
        <v>#N/A</v>
      </c>
      <c r="J46" s="411" t="str">
        <f>CONCAT("""","Subphylum", """:","""",'Kegg Taxon'!J46,""",")</f>
        <v>#N/A</v>
      </c>
      <c r="K46" s="411" t="str">
        <f>CONCAT("""","Class", """:","""",'Kegg Taxon'!K46,""",")</f>
        <v>#N/A</v>
      </c>
      <c r="L46" s="411" t="str">
        <f>CONCAT("""","Subclass", """:","""",'Kegg Taxon'!L46,""",")</f>
        <v>#N/A</v>
      </c>
      <c r="M46" s="411" t="str">
        <f>CONCAT("""","Order",""":","""", 'Kegg Taxon'!O46,""",")</f>
        <v>#N/A</v>
      </c>
      <c r="N46" s="411" t="str">
        <f>CONCAT("""","Family",""":","""", 'Kegg Taxon'!P46,""",")</f>
        <v>#N/A</v>
      </c>
      <c r="O46" s="411" t="str">
        <f>CONCAT("""","Subfamily",""":","""", 'Kegg Taxon'!Q46,""",")</f>
        <v>#N/A</v>
      </c>
      <c r="P46" s="411" t="str">
        <f>CONCAT("""","Tribe",""":","""", 'Kegg Taxon'!R46,""",")</f>
        <v>#N/A</v>
      </c>
      <c r="Q46" s="411" t="str">
        <f>CONCAT("""","Subtribe",""":","""", 'Kegg Taxon'!S46,""",")</f>
        <v>#N/A</v>
      </c>
      <c r="R46" s="411" t="str">
        <f>CONCAT("""","Genus",""":","""", 'Kegg Taxon'!T46,""",")</f>
        <v>#N/A</v>
      </c>
      <c r="S46" s="411" t="str">
        <f t="shared" si="2"/>
        <v>#N/A</v>
      </c>
      <c r="T46" s="411" t="str">
        <f>CONCAT("""","Species",""":","""", 'Kegg Taxon'!U46,""",")</f>
        <v>#N/A</v>
      </c>
      <c r="U46" s="411" t="str">
        <f>CONCAT("""","VarSubsp",""":","""", 'Kegg Taxon'!V46,"""")</f>
        <v>#N/A</v>
      </c>
      <c r="V46" s="412"/>
      <c r="W46" s="412"/>
      <c r="X46" s="412"/>
      <c r="Y46" s="412"/>
      <c r="Z46" s="412"/>
    </row>
    <row r="47" ht="14.25" customHeight="1">
      <c r="A47" s="409" t="s">
        <v>3729</v>
      </c>
      <c r="B47" s="410" t="str">
        <f t="shared" si="1"/>
        <v>#N/A</v>
      </c>
      <c r="C47" s="411" t="str">
        <f>(CONCAT("""","KeggCode", """:","""",'Kegg Taxon'!A47,""","))</f>
        <v>#N/A</v>
      </c>
      <c r="D47" s="411" t="str">
        <f> (CONCAT("""","CommonName",""":", """",'Kegg Taxon'!B47,""","))</f>
        <v>#N/A</v>
      </c>
      <c r="E47" s="411" t="str">
        <f> (CONCAT("""","ScientificName",""":", """",'Kegg Taxon'!C47,""","))</f>
        <v>#N/A</v>
      </c>
      <c r="F47" s="411" t="str">
        <f>CONCAT("""","Kingdom", """:","""",'Kegg Taxon'!D47,""",")</f>
        <v>#N/A</v>
      </c>
      <c r="G47" s="411" t="str">
        <f>CONCAT("""","Subkingdom",""":", """",'Kegg Taxon'!F47,""",")</f>
        <v>#N/A</v>
      </c>
      <c r="H47" s="411" t="str">
        <f>CONCAT("""","Superdivision",""":", """",'Kegg Taxon'!H47,""",")</f>
        <v>#N/A</v>
      </c>
      <c r="I47" s="411" t="str">
        <f>CONCAT("""","Phylum", """:","""",'Kegg Taxon'!I47,""",")</f>
        <v>#N/A</v>
      </c>
      <c r="J47" s="411" t="str">
        <f>CONCAT("""","Subphylum", """:","""",'Kegg Taxon'!J47,""",")</f>
        <v>#N/A</v>
      </c>
      <c r="K47" s="411" t="str">
        <f>CONCAT("""","Class", """:","""",'Kegg Taxon'!K47,""",")</f>
        <v>#N/A</v>
      </c>
      <c r="L47" s="411" t="str">
        <f>CONCAT("""","Subclass", """:","""",'Kegg Taxon'!L47,""",")</f>
        <v>#N/A</v>
      </c>
      <c r="M47" s="411" t="str">
        <f>CONCAT("""","Order",""":","""", 'Kegg Taxon'!O47,""",")</f>
        <v>#N/A</v>
      </c>
      <c r="N47" s="411" t="str">
        <f>CONCAT("""","Family",""":","""", 'Kegg Taxon'!P47,""",")</f>
        <v>#N/A</v>
      </c>
      <c r="O47" s="411" t="str">
        <f>CONCAT("""","Subfamily",""":","""", 'Kegg Taxon'!Q47,""",")</f>
        <v>#N/A</v>
      </c>
      <c r="P47" s="411" t="str">
        <f>CONCAT("""","Tribe",""":","""", 'Kegg Taxon'!R47,""",")</f>
        <v>#N/A</v>
      </c>
      <c r="Q47" s="411" t="str">
        <f>CONCAT("""","Subtribe",""":","""", 'Kegg Taxon'!S47,""",")</f>
        <v>#N/A</v>
      </c>
      <c r="R47" s="411" t="str">
        <f>CONCAT("""","Genus",""":","""", 'Kegg Taxon'!T47,""",")</f>
        <v>#N/A</v>
      </c>
      <c r="S47" s="411" t="str">
        <f t="shared" si="2"/>
        <v>#N/A</v>
      </c>
      <c r="T47" s="411" t="str">
        <f>CONCAT("""","Species",""":","""", 'Kegg Taxon'!U47,""",")</f>
        <v>#N/A</v>
      </c>
      <c r="U47" s="411" t="str">
        <f>CONCAT("""","VarSubsp",""":","""", 'Kegg Taxon'!V47,"""")</f>
        <v>#N/A</v>
      </c>
      <c r="V47" s="412"/>
      <c r="W47" s="412"/>
      <c r="X47" s="412"/>
      <c r="Y47" s="412"/>
      <c r="Z47" s="412"/>
    </row>
    <row r="48" ht="14.25" customHeight="1">
      <c r="A48" s="409" t="s">
        <v>3730</v>
      </c>
      <c r="B48" s="410" t="str">
        <f t="shared" si="1"/>
        <v>#N/A</v>
      </c>
      <c r="C48" s="411" t="str">
        <f>(CONCAT("""","KeggCode", """:","""",'Kegg Taxon'!A48,""","))</f>
        <v>#N/A</v>
      </c>
      <c r="D48" s="411" t="str">
        <f> (CONCAT("""","CommonName",""":", """",'Kegg Taxon'!B48,""","))</f>
        <v>#N/A</v>
      </c>
      <c r="E48" s="411" t="str">
        <f> (CONCAT("""","ScientificName",""":", """",'Kegg Taxon'!C48,""","))</f>
        <v>#N/A</v>
      </c>
      <c r="F48" s="411" t="str">
        <f>CONCAT("""","Kingdom", """:","""",'Kegg Taxon'!D48,""",")</f>
        <v>#N/A</v>
      </c>
      <c r="G48" s="411" t="str">
        <f>CONCAT("""","Subkingdom",""":", """",'Kegg Taxon'!F48,""",")</f>
        <v>#N/A</v>
      </c>
      <c r="H48" s="411" t="str">
        <f>CONCAT("""","Superdivision",""":", """",'Kegg Taxon'!H48,""",")</f>
        <v>#N/A</v>
      </c>
      <c r="I48" s="411" t="str">
        <f>CONCAT("""","Phylum", """:","""",'Kegg Taxon'!I48,""",")</f>
        <v>#N/A</v>
      </c>
      <c r="J48" s="411" t="str">
        <f>CONCAT("""","Subphylum", """:","""",'Kegg Taxon'!J48,""",")</f>
        <v>#N/A</v>
      </c>
      <c r="K48" s="411" t="str">
        <f>CONCAT("""","Class", """:","""",'Kegg Taxon'!K48,""",")</f>
        <v>#N/A</v>
      </c>
      <c r="L48" s="411" t="str">
        <f>CONCAT("""","Subclass", """:","""",'Kegg Taxon'!L48,""",")</f>
        <v>#N/A</v>
      </c>
      <c r="M48" s="411" t="str">
        <f>CONCAT("""","Order",""":","""", 'Kegg Taxon'!O48,""",")</f>
        <v>#N/A</v>
      </c>
      <c r="N48" s="411" t="str">
        <f>CONCAT("""","Family",""":","""", 'Kegg Taxon'!P48,""",")</f>
        <v>#N/A</v>
      </c>
      <c r="O48" s="411" t="str">
        <f>CONCAT("""","Subfamily",""":","""", 'Kegg Taxon'!Q48,""",")</f>
        <v>#N/A</v>
      </c>
      <c r="P48" s="411" t="str">
        <f>CONCAT("""","Tribe",""":","""", 'Kegg Taxon'!R48,""",")</f>
        <v>#N/A</v>
      </c>
      <c r="Q48" s="411" t="str">
        <f>CONCAT("""","Subtribe",""":","""", 'Kegg Taxon'!S48,""",")</f>
        <v>#N/A</v>
      </c>
      <c r="R48" s="411" t="str">
        <f>CONCAT("""","Genus",""":","""", 'Kegg Taxon'!T48,""",")</f>
        <v>#N/A</v>
      </c>
      <c r="S48" s="411" t="str">
        <f t="shared" si="2"/>
        <v>#N/A</v>
      </c>
      <c r="T48" s="411" t="str">
        <f>CONCAT("""","Species",""":","""", 'Kegg Taxon'!U48,""",")</f>
        <v>#N/A</v>
      </c>
      <c r="U48" s="411" t="str">
        <f>CONCAT("""","VarSubsp",""":","""", 'Kegg Taxon'!V48,"""")</f>
        <v>#N/A</v>
      </c>
      <c r="V48" s="412"/>
      <c r="W48" s="412"/>
      <c r="X48" s="412"/>
      <c r="Y48" s="412"/>
      <c r="Z48" s="412"/>
    </row>
    <row r="49" ht="14.25" customHeight="1">
      <c r="A49" s="409" t="s">
        <v>3731</v>
      </c>
      <c r="B49" s="410" t="str">
        <f t="shared" si="1"/>
        <v>#N/A</v>
      </c>
      <c r="C49" s="411" t="str">
        <f>(CONCAT("""","KeggCode", """:","""",'Kegg Taxon'!A49,""","))</f>
        <v>#N/A</v>
      </c>
      <c r="D49" s="411" t="str">
        <f> (CONCAT("""","CommonName",""":", """",'Kegg Taxon'!B49,""","))</f>
        <v>#N/A</v>
      </c>
      <c r="E49" s="411" t="str">
        <f> (CONCAT("""","ScientificName",""":", """",'Kegg Taxon'!C49,""","))</f>
        <v>#N/A</v>
      </c>
      <c r="F49" s="411" t="str">
        <f>CONCAT("""","Kingdom", """:","""",'Kegg Taxon'!D49,""",")</f>
        <v>#N/A</v>
      </c>
      <c r="G49" s="411" t="str">
        <f>CONCAT("""","Subkingdom",""":", """",'Kegg Taxon'!F49,""",")</f>
        <v>#N/A</v>
      </c>
      <c r="H49" s="411" t="str">
        <f>CONCAT("""","Superdivision",""":", """",'Kegg Taxon'!H49,""",")</f>
        <v>#N/A</v>
      </c>
      <c r="I49" s="411" t="str">
        <f>CONCAT("""","Phylum", """:","""",'Kegg Taxon'!I49,""",")</f>
        <v>#N/A</v>
      </c>
      <c r="J49" s="411" t="str">
        <f>CONCAT("""","Subphylum", """:","""",'Kegg Taxon'!J49,""",")</f>
        <v>#N/A</v>
      </c>
      <c r="K49" s="411" t="str">
        <f>CONCAT("""","Class", """:","""",'Kegg Taxon'!K49,""",")</f>
        <v>#N/A</v>
      </c>
      <c r="L49" s="411" t="str">
        <f>CONCAT("""","Subclass", """:","""",'Kegg Taxon'!L49,""",")</f>
        <v>#N/A</v>
      </c>
      <c r="M49" s="411" t="str">
        <f>CONCAT("""","Order",""":","""", 'Kegg Taxon'!O49,""",")</f>
        <v>#N/A</v>
      </c>
      <c r="N49" s="411" t="str">
        <f>CONCAT("""","Family",""":","""", 'Kegg Taxon'!P49,""",")</f>
        <v>#N/A</v>
      </c>
      <c r="O49" s="411" t="str">
        <f>CONCAT("""","Subfamily",""":","""", 'Kegg Taxon'!Q49,""",")</f>
        <v>#N/A</v>
      </c>
      <c r="P49" s="411" t="str">
        <f>CONCAT("""","Tribe",""":","""", 'Kegg Taxon'!R49,""",")</f>
        <v>#N/A</v>
      </c>
      <c r="Q49" s="411" t="str">
        <f>CONCAT("""","Subtribe",""":","""", 'Kegg Taxon'!S49,""",")</f>
        <v>#N/A</v>
      </c>
      <c r="R49" s="411" t="str">
        <f>CONCAT("""","Genus",""":","""", 'Kegg Taxon'!T49,""",")</f>
        <v>#N/A</v>
      </c>
      <c r="S49" s="411" t="str">
        <f t="shared" si="2"/>
        <v>#N/A</v>
      </c>
      <c r="T49" s="411" t="str">
        <f>CONCAT("""","Species",""":","""", 'Kegg Taxon'!U49,""",")</f>
        <v>#N/A</v>
      </c>
      <c r="U49" s="411" t="str">
        <f>CONCAT("""","VarSubsp",""":","""", 'Kegg Taxon'!V49,"""")</f>
        <v>#N/A</v>
      </c>
      <c r="V49" s="412"/>
      <c r="W49" s="412"/>
      <c r="X49" s="412"/>
      <c r="Y49" s="412"/>
      <c r="Z49" s="412"/>
    </row>
    <row r="50" ht="14.25" customHeight="1">
      <c r="A50" s="409" t="s">
        <v>3732</v>
      </c>
      <c r="B50" s="410" t="str">
        <f t="shared" si="1"/>
        <v>#N/A</v>
      </c>
      <c r="C50" s="411" t="str">
        <f>(CONCAT("""","KeggCode", """:","""",'Kegg Taxon'!A50,""","))</f>
        <v>#N/A</v>
      </c>
      <c r="D50" s="411" t="str">
        <f> (CONCAT("""","CommonName",""":", """",'Kegg Taxon'!B50,""","))</f>
        <v>#N/A</v>
      </c>
      <c r="E50" s="411" t="str">
        <f> (CONCAT("""","ScientificName",""":", """",'Kegg Taxon'!C50,""","))</f>
        <v>#N/A</v>
      </c>
      <c r="F50" s="411" t="str">
        <f>CONCAT("""","Kingdom", """:","""",'Kegg Taxon'!D50,""",")</f>
        <v>#N/A</v>
      </c>
      <c r="G50" s="411" t="str">
        <f>CONCAT("""","Subkingdom",""":", """",'Kegg Taxon'!F50,""",")</f>
        <v>#N/A</v>
      </c>
      <c r="H50" s="411" t="str">
        <f>CONCAT("""","Superdivision",""":", """",'Kegg Taxon'!H50,""",")</f>
        <v>#N/A</v>
      </c>
      <c r="I50" s="411" t="str">
        <f>CONCAT("""","Phylum", """:","""",'Kegg Taxon'!I50,""",")</f>
        <v>#N/A</v>
      </c>
      <c r="J50" s="411" t="str">
        <f>CONCAT("""","Subphylum", """:","""",'Kegg Taxon'!J50,""",")</f>
        <v>#N/A</v>
      </c>
      <c r="K50" s="411" t="str">
        <f>CONCAT("""","Class", """:","""",'Kegg Taxon'!K50,""",")</f>
        <v>#N/A</v>
      </c>
      <c r="L50" s="411" t="str">
        <f>CONCAT("""","Subclass", """:","""",'Kegg Taxon'!L50,""",")</f>
        <v>#N/A</v>
      </c>
      <c r="M50" s="411" t="str">
        <f>CONCAT("""","Order",""":","""", 'Kegg Taxon'!O50,""",")</f>
        <v>#N/A</v>
      </c>
      <c r="N50" s="411" t="str">
        <f>CONCAT("""","Family",""":","""", 'Kegg Taxon'!P50,""",")</f>
        <v>#N/A</v>
      </c>
      <c r="O50" s="411" t="str">
        <f>CONCAT("""","Subfamily",""":","""", 'Kegg Taxon'!Q50,""",")</f>
        <v>#N/A</v>
      </c>
      <c r="P50" s="411" t="str">
        <f>CONCAT("""","Tribe",""":","""", 'Kegg Taxon'!R50,""",")</f>
        <v>#N/A</v>
      </c>
      <c r="Q50" s="411" t="str">
        <f>CONCAT("""","Subtribe",""":","""", 'Kegg Taxon'!S50,""",")</f>
        <v>#N/A</v>
      </c>
      <c r="R50" s="411" t="str">
        <f>CONCAT("""","Genus",""":","""", 'Kegg Taxon'!T50,""",")</f>
        <v>#N/A</v>
      </c>
      <c r="S50" s="411" t="str">
        <f t="shared" si="2"/>
        <v>#N/A</v>
      </c>
      <c r="T50" s="411" t="str">
        <f>CONCAT("""","Species",""":","""", 'Kegg Taxon'!U50,""",")</f>
        <v>#N/A</v>
      </c>
      <c r="U50" s="411" t="str">
        <f>CONCAT("""","VarSubsp",""":","""", 'Kegg Taxon'!V50,"""")</f>
        <v>#N/A</v>
      </c>
      <c r="V50" s="412"/>
      <c r="W50" s="412"/>
      <c r="X50" s="412"/>
      <c r="Y50" s="412"/>
      <c r="Z50" s="412"/>
    </row>
    <row r="51" ht="14.25" customHeight="1">
      <c r="A51" s="409" t="s">
        <v>3733</v>
      </c>
      <c r="B51" s="410" t="str">
        <f t="shared" si="1"/>
        <v>#N/A</v>
      </c>
      <c r="C51" s="411" t="str">
        <f>(CONCAT("""","KeggCode", """:","""",'Kegg Taxon'!A51,""","))</f>
        <v>#N/A</v>
      </c>
      <c r="D51" s="411" t="str">
        <f> (CONCAT("""","CommonName",""":", """",'Kegg Taxon'!B51,""","))</f>
        <v>#N/A</v>
      </c>
      <c r="E51" s="411" t="str">
        <f> (CONCAT("""","ScientificName",""":", """",'Kegg Taxon'!C51,""","))</f>
        <v>#N/A</v>
      </c>
      <c r="F51" s="411" t="str">
        <f>CONCAT("""","Kingdom", """:","""",'Kegg Taxon'!D51,""",")</f>
        <v>#N/A</v>
      </c>
      <c r="G51" s="411" t="str">
        <f>CONCAT("""","Subkingdom",""":", """",'Kegg Taxon'!F51,""",")</f>
        <v>#N/A</v>
      </c>
      <c r="H51" s="411" t="str">
        <f>CONCAT("""","Superdivision",""":", """",'Kegg Taxon'!H51,""",")</f>
        <v>#N/A</v>
      </c>
      <c r="I51" s="411" t="str">
        <f>CONCAT("""","Phylum", """:","""",'Kegg Taxon'!I51,""",")</f>
        <v>#N/A</v>
      </c>
      <c r="J51" s="411" t="str">
        <f>CONCAT("""","Subphylum", """:","""",'Kegg Taxon'!J51,""",")</f>
        <v>#N/A</v>
      </c>
      <c r="K51" s="411" t="str">
        <f>CONCAT("""","Class", """:","""",'Kegg Taxon'!K51,""",")</f>
        <v>#N/A</v>
      </c>
      <c r="L51" s="411" t="str">
        <f>CONCAT("""","Subclass", """:","""",'Kegg Taxon'!L51,""",")</f>
        <v>#N/A</v>
      </c>
      <c r="M51" s="411" t="str">
        <f>CONCAT("""","Order",""":","""", 'Kegg Taxon'!O51,""",")</f>
        <v>#N/A</v>
      </c>
      <c r="N51" s="411" t="str">
        <f>CONCAT("""","Family",""":","""", 'Kegg Taxon'!P51,""",")</f>
        <v>#N/A</v>
      </c>
      <c r="O51" s="411" t="str">
        <f>CONCAT("""","Subfamily",""":","""", 'Kegg Taxon'!Q51,""",")</f>
        <v>#N/A</v>
      </c>
      <c r="P51" s="411" t="str">
        <f>CONCAT("""","Tribe",""":","""", 'Kegg Taxon'!R51,""",")</f>
        <v>#N/A</v>
      </c>
      <c r="Q51" s="411" t="str">
        <f>CONCAT("""","Subtribe",""":","""", 'Kegg Taxon'!S51,""",")</f>
        <v>#N/A</v>
      </c>
      <c r="R51" s="411" t="str">
        <f>CONCAT("""","Genus",""":","""", 'Kegg Taxon'!T51,""",")</f>
        <v>#N/A</v>
      </c>
      <c r="S51" s="411" t="str">
        <f t="shared" si="2"/>
        <v>#N/A</v>
      </c>
      <c r="T51" s="411" t="str">
        <f>CONCAT("""","Species",""":","""", 'Kegg Taxon'!U51,""",")</f>
        <v>#N/A</v>
      </c>
      <c r="U51" s="411" t="str">
        <f>CONCAT("""","VarSubsp",""":","""", 'Kegg Taxon'!V51,"""")</f>
        <v>#N/A</v>
      </c>
      <c r="V51" s="412"/>
      <c r="W51" s="412"/>
      <c r="X51" s="412"/>
      <c r="Y51" s="412"/>
      <c r="Z51" s="412"/>
    </row>
    <row r="52" ht="14.25" customHeight="1">
      <c r="A52" s="409" t="s">
        <v>3734</v>
      </c>
      <c r="B52" s="410" t="str">
        <f t="shared" si="1"/>
        <v>#N/A</v>
      </c>
      <c r="C52" s="411" t="str">
        <f>(CONCAT("""","KeggCode", """:","""",'Kegg Taxon'!A52,""","))</f>
        <v>#N/A</v>
      </c>
      <c r="D52" s="411" t="str">
        <f> (CONCAT("""","CommonName",""":", """",'Kegg Taxon'!B52,""","))</f>
        <v>#N/A</v>
      </c>
      <c r="E52" s="411" t="str">
        <f> (CONCAT("""","ScientificName",""":", """",'Kegg Taxon'!C52,""","))</f>
        <v>#N/A</v>
      </c>
      <c r="F52" s="411" t="str">
        <f>CONCAT("""","Kingdom", """:","""",'Kegg Taxon'!D52,""",")</f>
        <v>#N/A</v>
      </c>
      <c r="G52" s="411" t="str">
        <f>CONCAT("""","Subkingdom",""":", """",'Kegg Taxon'!F52,""",")</f>
        <v>#N/A</v>
      </c>
      <c r="H52" s="411" t="str">
        <f>CONCAT("""","Superdivision",""":", """",'Kegg Taxon'!H52,""",")</f>
        <v>#N/A</v>
      </c>
      <c r="I52" s="411" t="str">
        <f>CONCAT("""","Phylum", """:","""",'Kegg Taxon'!I52,""",")</f>
        <v>#N/A</v>
      </c>
      <c r="J52" s="411" t="str">
        <f>CONCAT("""","Subphylum", """:","""",'Kegg Taxon'!J52,""",")</f>
        <v>#N/A</v>
      </c>
      <c r="K52" s="411" t="str">
        <f>CONCAT("""","Class", """:","""",'Kegg Taxon'!K52,""",")</f>
        <v>#N/A</v>
      </c>
      <c r="L52" s="411" t="str">
        <f>CONCAT("""","Subclass", """:","""",'Kegg Taxon'!L52,""",")</f>
        <v>#N/A</v>
      </c>
      <c r="M52" s="411" t="str">
        <f>CONCAT("""","Order",""":","""", 'Kegg Taxon'!O52,""",")</f>
        <v>#N/A</v>
      </c>
      <c r="N52" s="411" t="str">
        <f>CONCAT("""","Family",""":","""", 'Kegg Taxon'!P52,""",")</f>
        <v>#N/A</v>
      </c>
      <c r="O52" s="411" t="str">
        <f>CONCAT("""","Subfamily",""":","""", 'Kegg Taxon'!Q52,""",")</f>
        <v>#N/A</v>
      </c>
      <c r="P52" s="411" t="str">
        <f>CONCAT("""","Tribe",""":","""", 'Kegg Taxon'!R52,""",")</f>
        <v>#N/A</v>
      </c>
      <c r="Q52" s="411" t="str">
        <f>CONCAT("""","Subtribe",""":","""", 'Kegg Taxon'!S52,""",")</f>
        <v>#N/A</v>
      </c>
      <c r="R52" s="411" t="str">
        <f>CONCAT("""","Genus",""":","""", 'Kegg Taxon'!T52,""",")</f>
        <v>#N/A</v>
      </c>
      <c r="S52" s="411" t="str">
        <f t="shared" si="2"/>
        <v>#N/A</v>
      </c>
      <c r="T52" s="411" t="str">
        <f>CONCAT("""","Species",""":","""", 'Kegg Taxon'!U52,""",")</f>
        <v>#N/A</v>
      </c>
      <c r="U52" s="411" t="str">
        <f>CONCAT("""","VarSubsp",""":","""", 'Kegg Taxon'!V52,"""")</f>
        <v>#N/A</v>
      </c>
      <c r="V52" s="412"/>
      <c r="W52" s="412"/>
      <c r="X52" s="412"/>
      <c r="Y52" s="412"/>
      <c r="Z52" s="412"/>
    </row>
    <row r="53" ht="14.25" customHeight="1">
      <c r="A53" s="409" t="s">
        <v>3735</v>
      </c>
      <c r="B53" s="410" t="str">
        <f t="shared" si="1"/>
        <v>#N/A</v>
      </c>
      <c r="C53" s="411" t="str">
        <f>(CONCAT("""","KeggCode", """:","""",'Kegg Taxon'!A53,""","))</f>
        <v>#N/A</v>
      </c>
      <c r="D53" s="411" t="str">
        <f> (CONCAT("""","CommonName",""":", """",'Kegg Taxon'!B53,""","))</f>
        <v>#N/A</v>
      </c>
      <c r="E53" s="411" t="str">
        <f> (CONCAT("""","ScientificName",""":", """",'Kegg Taxon'!C53,""","))</f>
        <v>#N/A</v>
      </c>
      <c r="F53" s="411" t="str">
        <f>CONCAT("""","Kingdom", """:","""",'Kegg Taxon'!D53,""",")</f>
        <v>#N/A</v>
      </c>
      <c r="G53" s="411" t="str">
        <f>CONCAT("""","Subkingdom",""":", """",'Kegg Taxon'!F53,""",")</f>
        <v>#N/A</v>
      </c>
      <c r="H53" s="411" t="str">
        <f>CONCAT("""","Superdivision",""":", """",'Kegg Taxon'!H53,""",")</f>
        <v>#N/A</v>
      </c>
      <c r="I53" s="411" t="str">
        <f>CONCAT("""","Phylum", """:","""",'Kegg Taxon'!I53,""",")</f>
        <v>#N/A</v>
      </c>
      <c r="J53" s="411" t="str">
        <f>CONCAT("""","Subphylum", """:","""",'Kegg Taxon'!J53,""",")</f>
        <v>#N/A</v>
      </c>
      <c r="K53" s="411" t="str">
        <f>CONCAT("""","Class", """:","""",'Kegg Taxon'!K53,""",")</f>
        <v>#N/A</v>
      </c>
      <c r="L53" s="411" t="str">
        <f>CONCAT("""","Subclass", """:","""",'Kegg Taxon'!L53,""",")</f>
        <v>#N/A</v>
      </c>
      <c r="M53" s="411" t="str">
        <f>CONCAT("""","Order",""":","""", 'Kegg Taxon'!O53,""",")</f>
        <v>#N/A</v>
      </c>
      <c r="N53" s="411" t="str">
        <f>CONCAT("""","Family",""":","""", 'Kegg Taxon'!P53,""",")</f>
        <v>#N/A</v>
      </c>
      <c r="O53" s="411" t="str">
        <f>CONCAT("""","Subfamily",""":","""", 'Kegg Taxon'!Q53,""",")</f>
        <v>#N/A</v>
      </c>
      <c r="P53" s="411" t="str">
        <f>CONCAT("""","Tribe",""":","""", 'Kegg Taxon'!R53,""",")</f>
        <v>#N/A</v>
      </c>
      <c r="Q53" s="411" t="str">
        <f>CONCAT("""","Subtribe",""":","""", 'Kegg Taxon'!S53,""",")</f>
        <v>#N/A</v>
      </c>
      <c r="R53" s="411" t="str">
        <f>CONCAT("""","Genus",""":","""", 'Kegg Taxon'!T53,""",")</f>
        <v>#N/A</v>
      </c>
      <c r="S53" s="411" t="str">
        <f t="shared" si="2"/>
        <v>#N/A</v>
      </c>
      <c r="T53" s="411" t="str">
        <f>CONCAT("""","Species",""":","""", 'Kegg Taxon'!U53,""",")</f>
        <v>#N/A</v>
      </c>
      <c r="U53" s="411" t="str">
        <f>CONCAT("""","VarSubsp",""":","""", 'Kegg Taxon'!V53,"""")</f>
        <v>#N/A</v>
      </c>
      <c r="V53" s="412"/>
      <c r="W53" s="412"/>
      <c r="X53" s="412"/>
      <c r="Y53" s="412"/>
      <c r="Z53" s="412"/>
    </row>
    <row r="54" ht="14.25" customHeight="1">
      <c r="A54" s="409" t="s">
        <v>3736</v>
      </c>
      <c r="B54" s="410" t="str">
        <f t="shared" si="1"/>
        <v>#N/A</v>
      </c>
      <c r="C54" s="411" t="str">
        <f>(CONCAT("""","KeggCode", """:","""",'Kegg Taxon'!A54,""","))</f>
        <v>#N/A</v>
      </c>
      <c r="D54" s="411" t="str">
        <f> (CONCAT("""","CommonName",""":", """",'Kegg Taxon'!B54,""","))</f>
        <v>#N/A</v>
      </c>
      <c r="E54" s="411" t="str">
        <f> (CONCAT("""","ScientificName",""":", """",'Kegg Taxon'!C54,""","))</f>
        <v>#N/A</v>
      </c>
      <c r="F54" s="411" t="str">
        <f>CONCAT("""","Kingdom", """:","""",'Kegg Taxon'!D54,""",")</f>
        <v>#N/A</v>
      </c>
      <c r="G54" s="411" t="str">
        <f>CONCAT("""","Subkingdom",""":", """",'Kegg Taxon'!F54,""",")</f>
        <v>#N/A</v>
      </c>
      <c r="H54" s="411" t="str">
        <f>CONCAT("""","Superdivision",""":", """",'Kegg Taxon'!H54,""",")</f>
        <v>#N/A</v>
      </c>
      <c r="I54" s="411" t="str">
        <f>CONCAT("""","Phylum", """:","""",'Kegg Taxon'!I54,""",")</f>
        <v>#N/A</v>
      </c>
      <c r="J54" s="411" t="str">
        <f>CONCAT("""","Subphylum", """:","""",'Kegg Taxon'!J54,""",")</f>
        <v>#N/A</v>
      </c>
      <c r="K54" s="411" t="str">
        <f>CONCAT("""","Class", """:","""",'Kegg Taxon'!K54,""",")</f>
        <v>#N/A</v>
      </c>
      <c r="L54" s="411" t="str">
        <f>CONCAT("""","Subclass", """:","""",'Kegg Taxon'!L54,""",")</f>
        <v>#N/A</v>
      </c>
      <c r="M54" s="411" t="str">
        <f>CONCAT("""","Order",""":","""", 'Kegg Taxon'!O54,""",")</f>
        <v>#N/A</v>
      </c>
      <c r="N54" s="411" t="str">
        <f>CONCAT("""","Family",""":","""", 'Kegg Taxon'!P54,""",")</f>
        <v>#N/A</v>
      </c>
      <c r="O54" s="411" t="str">
        <f>CONCAT("""","Subfamily",""":","""", 'Kegg Taxon'!Q54,""",")</f>
        <v>#N/A</v>
      </c>
      <c r="P54" s="411" t="str">
        <f>CONCAT("""","Tribe",""":","""", 'Kegg Taxon'!R54,""",")</f>
        <v>#N/A</v>
      </c>
      <c r="Q54" s="411" t="str">
        <f>CONCAT("""","Subtribe",""":","""", 'Kegg Taxon'!S54,""",")</f>
        <v>#N/A</v>
      </c>
      <c r="R54" s="411" t="str">
        <f>CONCAT("""","Genus",""":","""", 'Kegg Taxon'!T54,""",")</f>
        <v>#N/A</v>
      </c>
      <c r="S54" s="411" t="str">
        <f t="shared" si="2"/>
        <v>#N/A</v>
      </c>
      <c r="T54" s="411" t="str">
        <f>CONCAT("""","Species",""":","""", 'Kegg Taxon'!U54,""",")</f>
        <v>#N/A</v>
      </c>
      <c r="U54" s="411" t="str">
        <f>CONCAT("""","VarSubsp",""":","""", 'Kegg Taxon'!V54,"""")</f>
        <v>#N/A</v>
      </c>
      <c r="V54" s="412"/>
      <c r="W54" s="412"/>
      <c r="X54" s="412"/>
      <c r="Y54" s="412"/>
      <c r="Z54" s="412"/>
    </row>
    <row r="55" ht="14.25" customHeight="1">
      <c r="A55" s="409" t="s">
        <v>3737</v>
      </c>
      <c r="B55" s="410" t="str">
        <f t="shared" si="1"/>
        <v>#N/A</v>
      </c>
      <c r="C55" s="411" t="str">
        <f>(CONCAT("""","KeggCode", """:","""",'Kegg Taxon'!A55,""","))</f>
        <v>#N/A</v>
      </c>
      <c r="D55" s="411" t="str">
        <f> (CONCAT("""","CommonName",""":", """",'Kegg Taxon'!B55,""","))</f>
        <v>#N/A</v>
      </c>
      <c r="E55" s="411" t="str">
        <f> (CONCAT("""","ScientificName",""":", """",'Kegg Taxon'!C55,""","))</f>
        <v>#N/A</v>
      </c>
      <c r="F55" s="411" t="str">
        <f>CONCAT("""","Kingdom", """:","""",'Kegg Taxon'!D55,""",")</f>
        <v>#N/A</v>
      </c>
      <c r="G55" s="411" t="str">
        <f>CONCAT("""","Subkingdom",""":", """",'Kegg Taxon'!F55,""",")</f>
        <v>#N/A</v>
      </c>
      <c r="H55" s="411" t="str">
        <f>CONCAT("""","Superdivision",""":", """",'Kegg Taxon'!H55,""",")</f>
        <v>#N/A</v>
      </c>
      <c r="I55" s="411" t="str">
        <f>CONCAT("""","Phylum", """:","""",'Kegg Taxon'!I55,""",")</f>
        <v>#N/A</v>
      </c>
      <c r="J55" s="411" t="str">
        <f>CONCAT("""","Subphylum", """:","""",'Kegg Taxon'!J55,""",")</f>
        <v>#N/A</v>
      </c>
      <c r="K55" s="411" t="str">
        <f>CONCAT("""","Class", """:","""",'Kegg Taxon'!K55,""",")</f>
        <v>#N/A</v>
      </c>
      <c r="L55" s="411" t="str">
        <f>CONCAT("""","Subclass", """:","""",'Kegg Taxon'!L55,""",")</f>
        <v>#N/A</v>
      </c>
      <c r="M55" s="411" t="str">
        <f>CONCAT("""","Order",""":","""", 'Kegg Taxon'!O55,""",")</f>
        <v>#N/A</v>
      </c>
      <c r="N55" s="411" t="str">
        <f>CONCAT("""","Family",""":","""", 'Kegg Taxon'!P55,""",")</f>
        <v>#N/A</v>
      </c>
      <c r="O55" s="411" t="str">
        <f>CONCAT("""","Subfamily",""":","""", 'Kegg Taxon'!Q55,""",")</f>
        <v>#N/A</v>
      </c>
      <c r="P55" s="411" t="str">
        <f>CONCAT("""","Tribe",""":","""", 'Kegg Taxon'!R55,""",")</f>
        <v>#N/A</v>
      </c>
      <c r="Q55" s="411" t="str">
        <f>CONCAT("""","Subtribe",""":","""", 'Kegg Taxon'!S55,""",")</f>
        <v>#N/A</v>
      </c>
      <c r="R55" s="411" t="str">
        <f>CONCAT("""","Genus",""":","""", 'Kegg Taxon'!T55,""",")</f>
        <v>#N/A</v>
      </c>
      <c r="S55" s="411" t="str">
        <f t="shared" si="2"/>
        <v>#N/A</v>
      </c>
      <c r="T55" s="411" t="str">
        <f>CONCAT("""","Species",""":","""", 'Kegg Taxon'!U55,""",")</f>
        <v>#N/A</v>
      </c>
      <c r="U55" s="411" t="str">
        <f>CONCAT("""","VarSubsp",""":","""", 'Kegg Taxon'!V55,"""")</f>
        <v>#N/A</v>
      </c>
      <c r="V55" s="412"/>
      <c r="W55" s="412"/>
      <c r="X55" s="412"/>
      <c r="Y55" s="412"/>
      <c r="Z55" s="412"/>
    </row>
    <row r="56" ht="14.25" customHeight="1">
      <c r="A56" s="409" t="s">
        <v>3738</v>
      </c>
      <c r="B56" s="410" t="str">
        <f t="shared" si="1"/>
        <v>#N/A</v>
      </c>
      <c r="C56" s="411" t="str">
        <f>(CONCAT("""","KeggCode", """:","""",'Kegg Taxon'!A56,""","))</f>
        <v>#N/A</v>
      </c>
      <c r="D56" s="411" t="str">
        <f> (CONCAT("""","CommonName",""":", """",'Kegg Taxon'!B56,""","))</f>
        <v>#N/A</v>
      </c>
      <c r="E56" s="411" t="str">
        <f> (CONCAT("""","ScientificName",""":", """",'Kegg Taxon'!C56,""","))</f>
        <v>#N/A</v>
      </c>
      <c r="F56" s="411" t="str">
        <f>CONCAT("""","Kingdom", """:","""",'Kegg Taxon'!D56,""",")</f>
        <v>#N/A</v>
      </c>
      <c r="G56" s="411" t="str">
        <f>CONCAT("""","Subkingdom",""":", """",'Kegg Taxon'!F56,""",")</f>
        <v>#N/A</v>
      </c>
      <c r="H56" s="411" t="str">
        <f>CONCAT("""","Superdivision",""":", """",'Kegg Taxon'!H56,""",")</f>
        <v>#N/A</v>
      </c>
      <c r="I56" s="411" t="str">
        <f>CONCAT("""","Phylum", """:","""",'Kegg Taxon'!I56,""",")</f>
        <v>#N/A</v>
      </c>
      <c r="J56" s="411" t="str">
        <f>CONCAT("""","Subphylum", """:","""",'Kegg Taxon'!J56,""",")</f>
        <v>#N/A</v>
      </c>
      <c r="K56" s="411" t="str">
        <f>CONCAT("""","Class", """:","""",'Kegg Taxon'!K56,""",")</f>
        <v>#N/A</v>
      </c>
      <c r="L56" s="411" t="str">
        <f>CONCAT("""","Subclass", """:","""",'Kegg Taxon'!L56,""",")</f>
        <v>#N/A</v>
      </c>
      <c r="M56" s="411" t="str">
        <f>CONCAT("""","Order",""":","""", 'Kegg Taxon'!O56,""",")</f>
        <v>#N/A</v>
      </c>
      <c r="N56" s="411" t="str">
        <f>CONCAT("""","Family",""":","""", 'Kegg Taxon'!P56,""",")</f>
        <v>#N/A</v>
      </c>
      <c r="O56" s="411" t="str">
        <f>CONCAT("""","Subfamily",""":","""", 'Kegg Taxon'!Q56,""",")</f>
        <v>#N/A</v>
      </c>
      <c r="P56" s="411" t="str">
        <f>CONCAT("""","Tribe",""":","""", 'Kegg Taxon'!R56,""",")</f>
        <v>#N/A</v>
      </c>
      <c r="Q56" s="411" t="str">
        <f>CONCAT("""","Subtribe",""":","""", 'Kegg Taxon'!S56,""",")</f>
        <v>#N/A</v>
      </c>
      <c r="R56" s="411" t="str">
        <f>CONCAT("""","Genus",""":","""", 'Kegg Taxon'!T56,""",")</f>
        <v>#N/A</v>
      </c>
      <c r="S56" s="411" t="str">
        <f t="shared" si="2"/>
        <v>#N/A</v>
      </c>
      <c r="T56" s="411" t="str">
        <f>CONCAT("""","Species",""":","""", 'Kegg Taxon'!U56,""",")</f>
        <v>#N/A</v>
      </c>
      <c r="U56" s="411" t="str">
        <f>CONCAT("""","VarSubsp",""":","""", 'Kegg Taxon'!V56,"""")</f>
        <v>#N/A</v>
      </c>
      <c r="V56" s="412"/>
      <c r="W56" s="412"/>
      <c r="X56" s="412"/>
      <c r="Y56" s="412"/>
      <c r="Z56" s="412"/>
    </row>
    <row r="57" ht="14.25" customHeight="1">
      <c r="A57" s="409" t="s">
        <v>3739</v>
      </c>
      <c r="B57" s="410" t="str">
        <f t="shared" si="1"/>
        <v>#N/A</v>
      </c>
      <c r="C57" s="411" t="str">
        <f>(CONCAT("""","KeggCode", """:","""",'Kegg Taxon'!A57,""","))</f>
        <v>#N/A</v>
      </c>
      <c r="D57" s="411" t="str">
        <f> (CONCAT("""","CommonName",""":", """",'Kegg Taxon'!B57,""","))</f>
        <v>#N/A</v>
      </c>
      <c r="E57" s="411" t="str">
        <f> (CONCAT("""","ScientificName",""":", """",'Kegg Taxon'!C57,""","))</f>
        <v>#N/A</v>
      </c>
      <c r="F57" s="411" t="str">
        <f>CONCAT("""","Kingdom", """:","""",'Kegg Taxon'!D57,""",")</f>
        <v>#N/A</v>
      </c>
      <c r="G57" s="411" t="str">
        <f>CONCAT("""","Subkingdom",""":", """",'Kegg Taxon'!F57,""",")</f>
        <v>#N/A</v>
      </c>
      <c r="H57" s="411" t="str">
        <f>CONCAT("""","Superdivision",""":", """",'Kegg Taxon'!H57,""",")</f>
        <v>#N/A</v>
      </c>
      <c r="I57" s="411" t="str">
        <f>CONCAT("""","Phylum", """:","""",'Kegg Taxon'!I57,""",")</f>
        <v>#N/A</v>
      </c>
      <c r="J57" s="411" t="str">
        <f>CONCAT("""","Subphylum", """:","""",'Kegg Taxon'!J57,""",")</f>
        <v>#N/A</v>
      </c>
      <c r="K57" s="411" t="str">
        <f>CONCAT("""","Class", """:","""",'Kegg Taxon'!K57,""",")</f>
        <v>#N/A</v>
      </c>
      <c r="L57" s="411" t="str">
        <f>CONCAT("""","Subclass", """:","""",'Kegg Taxon'!L57,""",")</f>
        <v>#N/A</v>
      </c>
      <c r="M57" s="411" t="str">
        <f>CONCAT("""","Order",""":","""", 'Kegg Taxon'!O57,""",")</f>
        <v>#N/A</v>
      </c>
      <c r="N57" s="411" t="str">
        <f>CONCAT("""","Family",""":","""", 'Kegg Taxon'!P57,""",")</f>
        <v>#N/A</v>
      </c>
      <c r="O57" s="411" t="str">
        <f>CONCAT("""","Subfamily",""":","""", 'Kegg Taxon'!Q57,""",")</f>
        <v>#N/A</v>
      </c>
      <c r="P57" s="411" t="str">
        <f>CONCAT("""","Tribe",""":","""", 'Kegg Taxon'!R57,""",")</f>
        <v>#N/A</v>
      </c>
      <c r="Q57" s="411" t="str">
        <f>CONCAT("""","Subtribe",""":","""", 'Kegg Taxon'!S57,""",")</f>
        <v>#N/A</v>
      </c>
      <c r="R57" s="411" t="str">
        <f>CONCAT("""","Genus",""":","""", 'Kegg Taxon'!T57,""",")</f>
        <v>#N/A</v>
      </c>
      <c r="S57" s="411" t="str">
        <f t="shared" si="2"/>
        <v>#N/A</v>
      </c>
      <c r="T57" s="411" t="str">
        <f>CONCAT("""","Species",""":","""", 'Kegg Taxon'!U57,""",")</f>
        <v>#N/A</v>
      </c>
      <c r="U57" s="411" t="str">
        <f>CONCAT("""","VarSubsp",""":","""", 'Kegg Taxon'!V57,"""")</f>
        <v>#N/A</v>
      </c>
      <c r="V57" s="412"/>
      <c r="W57" s="412"/>
      <c r="X57" s="412"/>
      <c r="Y57" s="412"/>
      <c r="Z57" s="412"/>
    </row>
    <row r="58" ht="14.25" customHeight="1">
      <c r="A58" s="409" t="s">
        <v>3740</v>
      </c>
      <c r="B58" s="410" t="str">
        <f t="shared" si="1"/>
        <v>#N/A</v>
      </c>
      <c r="C58" s="411" t="str">
        <f>(CONCAT("""","KeggCode", """:","""",'Kegg Taxon'!A58,""","))</f>
        <v>#N/A</v>
      </c>
      <c r="D58" s="411" t="str">
        <f> (CONCAT("""","CommonName",""":", """",'Kegg Taxon'!B58,""","))</f>
        <v>#N/A</v>
      </c>
      <c r="E58" s="411" t="str">
        <f> (CONCAT("""","ScientificName",""":", """",'Kegg Taxon'!C58,""","))</f>
        <v>#N/A</v>
      </c>
      <c r="F58" s="411" t="str">
        <f>CONCAT("""","Kingdom", """:","""",'Kegg Taxon'!D58,""",")</f>
        <v>#N/A</v>
      </c>
      <c r="G58" s="411" t="str">
        <f>CONCAT("""","Subkingdom",""":", """",'Kegg Taxon'!F58,""",")</f>
        <v>#N/A</v>
      </c>
      <c r="H58" s="411" t="str">
        <f>CONCAT("""","Superdivision",""":", """",'Kegg Taxon'!H58,""",")</f>
        <v>#N/A</v>
      </c>
      <c r="I58" s="411" t="str">
        <f>CONCAT("""","Phylum", """:","""",'Kegg Taxon'!I58,""",")</f>
        <v>#N/A</v>
      </c>
      <c r="J58" s="411" t="str">
        <f>CONCAT("""","Subphylum", """:","""",'Kegg Taxon'!J58,""",")</f>
        <v>#N/A</v>
      </c>
      <c r="K58" s="411" t="str">
        <f>CONCAT("""","Class", """:","""",'Kegg Taxon'!K58,""",")</f>
        <v>#N/A</v>
      </c>
      <c r="L58" s="411" t="str">
        <f>CONCAT("""","Subclass", """:","""",'Kegg Taxon'!L58,""",")</f>
        <v>#N/A</v>
      </c>
      <c r="M58" s="411" t="str">
        <f>CONCAT("""","Order",""":","""", 'Kegg Taxon'!O58,""",")</f>
        <v>#N/A</v>
      </c>
      <c r="N58" s="411" t="str">
        <f>CONCAT("""","Family",""":","""", 'Kegg Taxon'!P58,""",")</f>
        <v>#N/A</v>
      </c>
      <c r="O58" s="411" t="str">
        <f>CONCAT("""","Subfamily",""":","""", 'Kegg Taxon'!Q58,""",")</f>
        <v>#N/A</v>
      </c>
      <c r="P58" s="411" t="str">
        <f>CONCAT("""","Tribe",""":","""", 'Kegg Taxon'!R58,""",")</f>
        <v>#N/A</v>
      </c>
      <c r="Q58" s="411" t="str">
        <f>CONCAT("""","Subtribe",""":","""", 'Kegg Taxon'!S58,""",")</f>
        <v>#N/A</v>
      </c>
      <c r="R58" s="411" t="str">
        <f>CONCAT("""","Genus",""":","""", 'Kegg Taxon'!T58,""",")</f>
        <v>#N/A</v>
      </c>
      <c r="S58" s="411" t="str">
        <f t="shared" si="2"/>
        <v>#N/A</v>
      </c>
      <c r="T58" s="411" t="str">
        <f>CONCAT("""","Species",""":","""", 'Kegg Taxon'!U58,""",")</f>
        <v>#N/A</v>
      </c>
      <c r="U58" s="411" t="str">
        <f>CONCAT("""","VarSubsp",""":","""", 'Kegg Taxon'!V58,"""")</f>
        <v>#N/A</v>
      </c>
      <c r="V58" s="412"/>
      <c r="W58" s="412"/>
      <c r="X58" s="412"/>
      <c r="Y58" s="412"/>
      <c r="Z58" s="412"/>
    </row>
    <row r="59" ht="14.25" customHeight="1">
      <c r="A59" s="409" t="s">
        <v>3741</v>
      </c>
      <c r="B59" s="410" t="str">
        <f t="shared" si="1"/>
        <v>#N/A</v>
      </c>
      <c r="C59" s="411" t="str">
        <f>(CONCAT("""","KeggCode", """:","""",'Kegg Taxon'!A59,""","))</f>
        <v>#N/A</v>
      </c>
      <c r="D59" s="411" t="str">
        <f> (CONCAT("""","CommonName",""":", """",'Kegg Taxon'!B59,""","))</f>
        <v>#N/A</v>
      </c>
      <c r="E59" s="411" t="str">
        <f> (CONCAT("""","ScientificName",""":", """",'Kegg Taxon'!C59,""","))</f>
        <v>#N/A</v>
      </c>
      <c r="F59" s="411" t="str">
        <f>CONCAT("""","Kingdom", """:","""",'Kegg Taxon'!D59,""",")</f>
        <v>#N/A</v>
      </c>
      <c r="G59" s="411" t="str">
        <f>CONCAT("""","Subkingdom",""":", """",'Kegg Taxon'!F59,""",")</f>
        <v>#N/A</v>
      </c>
      <c r="H59" s="411" t="str">
        <f>CONCAT("""","Superdivision",""":", """",'Kegg Taxon'!H59,""",")</f>
        <v>#N/A</v>
      </c>
      <c r="I59" s="411" t="str">
        <f>CONCAT("""","Phylum", """:","""",'Kegg Taxon'!I59,""",")</f>
        <v>#N/A</v>
      </c>
      <c r="J59" s="411" t="str">
        <f>CONCAT("""","Subphylum", """:","""",'Kegg Taxon'!J59,""",")</f>
        <v>#N/A</v>
      </c>
      <c r="K59" s="411" t="str">
        <f>CONCAT("""","Class", """:","""",'Kegg Taxon'!K59,""",")</f>
        <v>#N/A</v>
      </c>
      <c r="L59" s="411" t="str">
        <f>CONCAT("""","Subclass", """:","""",'Kegg Taxon'!L59,""",")</f>
        <v>#N/A</v>
      </c>
      <c r="M59" s="411" t="str">
        <f>CONCAT("""","Order",""":","""", 'Kegg Taxon'!O59,""",")</f>
        <v>#N/A</v>
      </c>
      <c r="N59" s="411" t="str">
        <f>CONCAT("""","Family",""":","""", 'Kegg Taxon'!P59,""",")</f>
        <v>#N/A</v>
      </c>
      <c r="O59" s="411" t="str">
        <f>CONCAT("""","Subfamily",""":","""", 'Kegg Taxon'!Q59,""",")</f>
        <v>#N/A</v>
      </c>
      <c r="P59" s="411" t="str">
        <f>CONCAT("""","Tribe",""":","""", 'Kegg Taxon'!R59,""",")</f>
        <v>#N/A</v>
      </c>
      <c r="Q59" s="411" t="str">
        <f>CONCAT("""","Subtribe",""":","""", 'Kegg Taxon'!S59,""",")</f>
        <v>#N/A</v>
      </c>
      <c r="R59" s="411" t="str">
        <f>CONCAT("""","Genus",""":","""", 'Kegg Taxon'!T59,""",")</f>
        <v>#N/A</v>
      </c>
      <c r="S59" s="411" t="str">
        <f t="shared" si="2"/>
        <v>#N/A</v>
      </c>
      <c r="T59" s="411" t="str">
        <f>CONCAT("""","Species",""":","""", 'Kegg Taxon'!U59,""",")</f>
        <v>#N/A</v>
      </c>
      <c r="U59" s="411" t="str">
        <f>CONCAT("""","VarSubsp",""":","""", 'Kegg Taxon'!V59,"""")</f>
        <v>#N/A</v>
      </c>
      <c r="V59" s="412"/>
      <c r="W59" s="412"/>
      <c r="X59" s="412"/>
      <c r="Y59" s="412"/>
      <c r="Z59" s="412"/>
    </row>
    <row r="60" ht="14.25" customHeight="1">
      <c r="A60" s="409" t="s">
        <v>3742</v>
      </c>
      <c r="B60" s="410" t="str">
        <f t="shared" si="1"/>
        <v>#N/A</v>
      </c>
      <c r="C60" s="411" t="str">
        <f>(CONCAT("""","KeggCode", """:","""",'Kegg Taxon'!A60,""","))</f>
        <v>#N/A</v>
      </c>
      <c r="D60" s="411" t="str">
        <f> (CONCAT("""","CommonName",""":", """",'Kegg Taxon'!B60,""","))</f>
        <v>#N/A</v>
      </c>
      <c r="E60" s="411" t="str">
        <f> (CONCAT("""","ScientificName",""":", """",'Kegg Taxon'!C60,""","))</f>
        <v>#N/A</v>
      </c>
      <c r="F60" s="411" t="str">
        <f>CONCAT("""","Kingdom", """:","""",'Kegg Taxon'!D60,""",")</f>
        <v>#N/A</v>
      </c>
      <c r="G60" s="411" t="str">
        <f>CONCAT("""","Subkingdom",""":", """",'Kegg Taxon'!F60,""",")</f>
        <v>#N/A</v>
      </c>
      <c r="H60" s="411" t="str">
        <f>CONCAT("""","Superdivision",""":", """",'Kegg Taxon'!H60,""",")</f>
        <v>#N/A</v>
      </c>
      <c r="I60" s="411" t="str">
        <f>CONCAT("""","Phylum", """:","""",'Kegg Taxon'!I60,""",")</f>
        <v>#N/A</v>
      </c>
      <c r="J60" s="411" t="str">
        <f>CONCAT("""","Subphylum", """:","""",'Kegg Taxon'!J60,""",")</f>
        <v>#N/A</v>
      </c>
      <c r="K60" s="411" t="str">
        <f>CONCAT("""","Class", """:","""",'Kegg Taxon'!K60,""",")</f>
        <v>#N/A</v>
      </c>
      <c r="L60" s="411" t="str">
        <f>CONCAT("""","Subclass", """:","""",'Kegg Taxon'!L60,""",")</f>
        <v>#N/A</v>
      </c>
      <c r="M60" s="411" t="str">
        <f>CONCAT("""","Order",""":","""", 'Kegg Taxon'!O60,""",")</f>
        <v>#N/A</v>
      </c>
      <c r="N60" s="411" t="str">
        <f>CONCAT("""","Family",""":","""", 'Kegg Taxon'!P60,""",")</f>
        <v>#N/A</v>
      </c>
      <c r="O60" s="411" t="str">
        <f>CONCAT("""","Subfamily",""":","""", 'Kegg Taxon'!Q60,""",")</f>
        <v>#N/A</v>
      </c>
      <c r="P60" s="411" t="str">
        <f>CONCAT("""","Tribe",""":","""", 'Kegg Taxon'!R60,""",")</f>
        <v>#N/A</v>
      </c>
      <c r="Q60" s="411" t="str">
        <f>CONCAT("""","Subtribe",""":","""", 'Kegg Taxon'!S60,""",")</f>
        <v>#N/A</v>
      </c>
      <c r="R60" s="411" t="str">
        <f>CONCAT("""","Genus",""":","""", 'Kegg Taxon'!T60,""",")</f>
        <v>#N/A</v>
      </c>
      <c r="S60" s="411" t="str">
        <f t="shared" si="2"/>
        <v>#N/A</v>
      </c>
      <c r="T60" s="411" t="str">
        <f>CONCAT("""","Species",""":","""", 'Kegg Taxon'!U60,""",")</f>
        <v>#N/A</v>
      </c>
      <c r="U60" s="411" t="str">
        <f>CONCAT("""","VarSubsp",""":","""", 'Kegg Taxon'!V60,"""")</f>
        <v>#N/A</v>
      </c>
      <c r="V60" s="412"/>
      <c r="W60" s="412"/>
      <c r="X60" s="412"/>
      <c r="Y60" s="412"/>
      <c r="Z60" s="412"/>
    </row>
    <row r="61" ht="14.25" customHeight="1">
      <c r="A61" s="409" t="s">
        <v>3743</v>
      </c>
      <c r="B61" s="410" t="str">
        <f t="shared" si="1"/>
        <v>#N/A</v>
      </c>
      <c r="C61" s="411" t="str">
        <f>(CONCAT("""","KeggCode", """:","""",'Kegg Taxon'!A61,""","))</f>
        <v>#N/A</v>
      </c>
      <c r="D61" s="411" t="str">
        <f> (CONCAT("""","CommonName",""":", """",'Kegg Taxon'!B61,""","))</f>
        <v>#N/A</v>
      </c>
      <c r="E61" s="411" t="str">
        <f> (CONCAT("""","ScientificName",""":", """",'Kegg Taxon'!C61,""","))</f>
        <v>#N/A</v>
      </c>
      <c r="F61" s="411" t="str">
        <f>CONCAT("""","Kingdom", """:","""",'Kegg Taxon'!D61,""",")</f>
        <v>#N/A</v>
      </c>
      <c r="G61" s="411" t="str">
        <f>CONCAT("""","Subkingdom",""":", """",'Kegg Taxon'!F61,""",")</f>
        <v>#N/A</v>
      </c>
      <c r="H61" s="411" t="str">
        <f>CONCAT("""","Superdivision",""":", """",'Kegg Taxon'!H61,""",")</f>
        <v>#N/A</v>
      </c>
      <c r="I61" s="411" t="str">
        <f>CONCAT("""","Phylum", """:","""",'Kegg Taxon'!I61,""",")</f>
        <v>#N/A</v>
      </c>
      <c r="J61" s="411" t="str">
        <f>CONCAT("""","Subphylum", """:","""",'Kegg Taxon'!J61,""",")</f>
        <v>#N/A</v>
      </c>
      <c r="K61" s="411" t="str">
        <f>CONCAT("""","Class", """:","""",'Kegg Taxon'!K61,""",")</f>
        <v>#N/A</v>
      </c>
      <c r="L61" s="411" t="str">
        <f>CONCAT("""","Subclass", """:","""",'Kegg Taxon'!L61,""",")</f>
        <v>#N/A</v>
      </c>
      <c r="M61" s="411" t="str">
        <f>CONCAT("""","Order",""":","""", 'Kegg Taxon'!O61,""",")</f>
        <v>#N/A</v>
      </c>
      <c r="N61" s="411" t="str">
        <f>CONCAT("""","Family",""":","""", 'Kegg Taxon'!P61,""",")</f>
        <v>#N/A</v>
      </c>
      <c r="O61" s="411" t="str">
        <f>CONCAT("""","Subfamily",""":","""", 'Kegg Taxon'!Q61,""",")</f>
        <v>#N/A</v>
      </c>
      <c r="P61" s="411" t="str">
        <f>CONCAT("""","Tribe",""":","""", 'Kegg Taxon'!R61,""",")</f>
        <v>#N/A</v>
      </c>
      <c r="Q61" s="411" t="str">
        <f>CONCAT("""","Subtribe",""":","""", 'Kegg Taxon'!S61,""",")</f>
        <v>#N/A</v>
      </c>
      <c r="R61" s="411" t="str">
        <f>CONCAT("""","Genus",""":","""", 'Kegg Taxon'!T61,""",")</f>
        <v>#N/A</v>
      </c>
      <c r="S61" s="411" t="str">
        <f t="shared" si="2"/>
        <v>#N/A</v>
      </c>
      <c r="T61" s="411" t="str">
        <f>CONCAT("""","Species",""":","""", 'Kegg Taxon'!U61,""",")</f>
        <v>#N/A</v>
      </c>
      <c r="U61" s="411" t="str">
        <f>CONCAT("""","VarSubsp",""":","""", 'Kegg Taxon'!V61,"""")</f>
        <v>#N/A</v>
      </c>
      <c r="V61" s="412"/>
      <c r="W61" s="412"/>
      <c r="X61" s="412"/>
      <c r="Y61" s="412"/>
      <c r="Z61" s="412"/>
    </row>
    <row r="62" ht="14.25" customHeight="1">
      <c r="A62" s="409" t="s">
        <v>3744</v>
      </c>
      <c r="B62" s="410" t="str">
        <f t="shared" si="1"/>
        <v>#N/A</v>
      </c>
      <c r="C62" s="411" t="str">
        <f>(CONCAT("""","KeggCode", """:","""",'Kegg Taxon'!A62,""","))</f>
        <v>#N/A</v>
      </c>
      <c r="D62" s="411" t="str">
        <f> (CONCAT("""","CommonName",""":", """",'Kegg Taxon'!B62,""","))</f>
        <v>#N/A</v>
      </c>
      <c r="E62" s="411" t="str">
        <f> (CONCAT("""","ScientificName",""":", """",'Kegg Taxon'!C62,""","))</f>
        <v>#N/A</v>
      </c>
      <c r="F62" s="411" t="str">
        <f>CONCAT("""","Kingdom", """:","""",'Kegg Taxon'!D62,""",")</f>
        <v>#N/A</v>
      </c>
      <c r="G62" s="411" t="str">
        <f>CONCAT("""","Subkingdom",""":", """",'Kegg Taxon'!F62,""",")</f>
        <v>#N/A</v>
      </c>
      <c r="H62" s="411" t="str">
        <f>CONCAT("""","Superdivision",""":", """",'Kegg Taxon'!H62,""",")</f>
        <v>#N/A</v>
      </c>
      <c r="I62" s="411" t="str">
        <f>CONCAT("""","Phylum", """:","""",'Kegg Taxon'!I62,""",")</f>
        <v>#N/A</v>
      </c>
      <c r="J62" s="411" t="str">
        <f>CONCAT("""","Subphylum", """:","""",'Kegg Taxon'!J62,""",")</f>
        <v>#N/A</v>
      </c>
      <c r="K62" s="411" t="str">
        <f>CONCAT("""","Class", """:","""",'Kegg Taxon'!K62,""",")</f>
        <v>#N/A</v>
      </c>
      <c r="L62" s="411" t="str">
        <f>CONCAT("""","Subclass", """:","""",'Kegg Taxon'!L62,""",")</f>
        <v>#N/A</v>
      </c>
      <c r="M62" s="411" t="str">
        <f>CONCAT("""","Order",""":","""", 'Kegg Taxon'!O62,""",")</f>
        <v>#N/A</v>
      </c>
      <c r="N62" s="411" t="str">
        <f>CONCAT("""","Family",""":","""", 'Kegg Taxon'!P62,""",")</f>
        <v>#N/A</v>
      </c>
      <c r="O62" s="411" t="str">
        <f>CONCAT("""","Subfamily",""":","""", 'Kegg Taxon'!Q62,""",")</f>
        <v>#N/A</v>
      </c>
      <c r="P62" s="411" t="str">
        <f>CONCAT("""","Tribe",""":","""", 'Kegg Taxon'!R62,""",")</f>
        <v>#N/A</v>
      </c>
      <c r="Q62" s="411" t="str">
        <f>CONCAT("""","Subtribe",""":","""", 'Kegg Taxon'!S62,""",")</f>
        <v>#N/A</v>
      </c>
      <c r="R62" s="411" t="str">
        <f>CONCAT("""","Genus",""":","""", 'Kegg Taxon'!T62,""",")</f>
        <v>#N/A</v>
      </c>
      <c r="S62" s="411" t="str">
        <f t="shared" si="2"/>
        <v>#N/A</v>
      </c>
      <c r="T62" s="411" t="str">
        <f>CONCAT("""","Species",""":","""", 'Kegg Taxon'!U62,""",")</f>
        <v>#N/A</v>
      </c>
      <c r="U62" s="411" t="str">
        <f>CONCAT("""","VarSubsp",""":","""", 'Kegg Taxon'!V62,"""")</f>
        <v>#N/A</v>
      </c>
      <c r="V62" s="412"/>
      <c r="W62" s="412"/>
      <c r="X62" s="412"/>
      <c r="Y62" s="412"/>
      <c r="Z62" s="412"/>
    </row>
    <row r="63" ht="14.25" customHeight="1">
      <c r="A63" s="409" t="s">
        <v>3745</v>
      </c>
      <c r="B63" s="410" t="str">
        <f t="shared" si="1"/>
        <v>#N/A</v>
      </c>
      <c r="C63" s="411" t="str">
        <f>(CONCAT("""","KeggCode", """:","""",'Kegg Taxon'!A63,""","))</f>
        <v>#N/A</v>
      </c>
      <c r="D63" s="411" t="str">
        <f> (CONCAT("""","CommonName",""":", """",'Kegg Taxon'!B63,""","))</f>
        <v>#N/A</v>
      </c>
      <c r="E63" s="411" t="str">
        <f> (CONCAT("""","ScientificName",""":", """",'Kegg Taxon'!C63,""","))</f>
        <v>#N/A</v>
      </c>
      <c r="F63" s="411" t="str">
        <f>CONCAT("""","Kingdom", """:","""",'Kegg Taxon'!D63,""",")</f>
        <v>#N/A</v>
      </c>
      <c r="G63" s="411" t="str">
        <f>CONCAT("""","Subkingdom",""":", """",'Kegg Taxon'!F63,""",")</f>
        <v>#N/A</v>
      </c>
      <c r="H63" s="411" t="str">
        <f>CONCAT("""","Superdivision",""":", """",'Kegg Taxon'!H63,""",")</f>
        <v>#N/A</v>
      </c>
      <c r="I63" s="411" t="str">
        <f>CONCAT("""","Phylum", """:","""",'Kegg Taxon'!I63,""",")</f>
        <v>#N/A</v>
      </c>
      <c r="J63" s="411" t="str">
        <f>CONCAT("""","Subphylum", """:","""",'Kegg Taxon'!J63,""",")</f>
        <v>#N/A</v>
      </c>
      <c r="K63" s="411" t="str">
        <f>CONCAT("""","Class", """:","""",'Kegg Taxon'!K63,""",")</f>
        <v>#N/A</v>
      </c>
      <c r="L63" s="411" t="str">
        <f>CONCAT("""","Subclass", """:","""",'Kegg Taxon'!L63,""",")</f>
        <v>#N/A</v>
      </c>
      <c r="M63" s="411" t="str">
        <f>CONCAT("""","Order",""":","""", 'Kegg Taxon'!O63,""",")</f>
        <v>#N/A</v>
      </c>
      <c r="N63" s="411" t="str">
        <f>CONCAT("""","Family",""":","""", 'Kegg Taxon'!P63,""",")</f>
        <v>#N/A</v>
      </c>
      <c r="O63" s="411" t="str">
        <f>CONCAT("""","Subfamily",""":","""", 'Kegg Taxon'!Q63,""",")</f>
        <v>#N/A</v>
      </c>
      <c r="P63" s="411" t="str">
        <f>CONCAT("""","Tribe",""":","""", 'Kegg Taxon'!R63,""",")</f>
        <v>#N/A</v>
      </c>
      <c r="Q63" s="411" t="str">
        <f>CONCAT("""","Subtribe",""":","""", 'Kegg Taxon'!S63,""",")</f>
        <v>#N/A</v>
      </c>
      <c r="R63" s="411" t="str">
        <f>CONCAT("""","Genus",""":","""", 'Kegg Taxon'!T63,""",")</f>
        <v>#N/A</v>
      </c>
      <c r="S63" s="411" t="str">
        <f t="shared" si="2"/>
        <v>#N/A</v>
      </c>
      <c r="T63" s="411" t="str">
        <f>CONCAT("""","Species",""":","""", 'Kegg Taxon'!U63,""",")</f>
        <v>#N/A</v>
      </c>
      <c r="U63" s="411" t="str">
        <f>CONCAT("""","VarSubsp",""":","""", 'Kegg Taxon'!V63,"""")</f>
        <v>#N/A</v>
      </c>
      <c r="V63" s="412"/>
      <c r="W63" s="412"/>
      <c r="X63" s="412"/>
      <c r="Y63" s="412"/>
      <c r="Z63" s="412"/>
    </row>
    <row r="64" ht="14.25" customHeight="1">
      <c r="A64" s="409" t="s">
        <v>3746</v>
      </c>
      <c r="B64" s="410" t="str">
        <f t="shared" si="1"/>
        <v>#N/A</v>
      </c>
      <c r="C64" s="411" t="str">
        <f>(CONCAT("""","KeggCode", """:","""",'Kegg Taxon'!A64,""","))</f>
        <v>#N/A</v>
      </c>
      <c r="D64" s="411" t="str">
        <f> (CONCAT("""","CommonName",""":", """",'Kegg Taxon'!B64,""","))</f>
        <v>#N/A</v>
      </c>
      <c r="E64" s="411" t="str">
        <f> (CONCAT("""","ScientificName",""":", """",'Kegg Taxon'!C64,""","))</f>
        <v>#N/A</v>
      </c>
      <c r="F64" s="411" t="str">
        <f>CONCAT("""","Kingdom", """:","""",'Kegg Taxon'!D64,""",")</f>
        <v>#N/A</v>
      </c>
      <c r="G64" s="411" t="str">
        <f>CONCAT("""","Subkingdom",""":", """",'Kegg Taxon'!F64,""",")</f>
        <v>#N/A</v>
      </c>
      <c r="H64" s="411" t="str">
        <f>CONCAT("""","Superdivision",""":", """",'Kegg Taxon'!H64,""",")</f>
        <v>#N/A</v>
      </c>
      <c r="I64" s="411" t="str">
        <f>CONCAT("""","Phylum", """:","""",'Kegg Taxon'!I64,""",")</f>
        <v>#N/A</v>
      </c>
      <c r="J64" s="411" t="str">
        <f>CONCAT("""","Subphylum", """:","""",'Kegg Taxon'!J64,""",")</f>
        <v>#N/A</v>
      </c>
      <c r="K64" s="411" t="str">
        <f>CONCAT("""","Class", """:","""",'Kegg Taxon'!K64,""",")</f>
        <v>#N/A</v>
      </c>
      <c r="L64" s="411" t="str">
        <f>CONCAT("""","Subclass", """:","""",'Kegg Taxon'!L64,""",")</f>
        <v>#N/A</v>
      </c>
      <c r="M64" s="411" t="str">
        <f>CONCAT("""","Order",""":","""", 'Kegg Taxon'!O64,""",")</f>
        <v>#N/A</v>
      </c>
      <c r="N64" s="411" t="str">
        <f>CONCAT("""","Family",""":","""", 'Kegg Taxon'!P64,""",")</f>
        <v>#N/A</v>
      </c>
      <c r="O64" s="411" t="str">
        <f>CONCAT("""","Subfamily",""":","""", 'Kegg Taxon'!Q64,""",")</f>
        <v>#N/A</v>
      </c>
      <c r="P64" s="411" t="str">
        <f>CONCAT("""","Tribe",""":","""", 'Kegg Taxon'!R64,""",")</f>
        <v>#N/A</v>
      </c>
      <c r="Q64" s="411" t="str">
        <f>CONCAT("""","Subtribe",""":","""", 'Kegg Taxon'!S64,""",")</f>
        <v>#N/A</v>
      </c>
      <c r="R64" s="411" t="str">
        <f>CONCAT("""","Genus",""":","""", 'Kegg Taxon'!T64,""",")</f>
        <v>#N/A</v>
      </c>
      <c r="S64" s="411" t="str">
        <f t="shared" si="2"/>
        <v>#N/A</v>
      </c>
      <c r="T64" s="411" t="str">
        <f>CONCAT("""","Species",""":","""", 'Kegg Taxon'!U64,""",")</f>
        <v>#N/A</v>
      </c>
      <c r="U64" s="411" t="str">
        <f>CONCAT("""","VarSubsp",""":","""", 'Kegg Taxon'!V64,"""")</f>
        <v>#N/A</v>
      </c>
      <c r="V64" s="412"/>
      <c r="W64" s="412"/>
      <c r="X64" s="412"/>
      <c r="Y64" s="412"/>
      <c r="Z64" s="412"/>
    </row>
    <row r="65" ht="14.25" customHeight="1">
      <c r="A65" s="409" t="s">
        <v>3747</v>
      </c>
      <c r="B65" s="410" t="str">
        <f t="shared" si="1"/>
        <v>#N/A</v>
      </c>
      <c r="C65" s="411" t="str">
        <f>(CONCAT("""","KeggCode", """:","""",'Kegg Taxon'!A65,""","))</f>
        <v>#N/A</v>
      </c>
      <c r="D65" s="411" t="str">
        <f> (CONCAT("""","CommonName",""":", """",'Kegg Taxon'!B65,""","))</f>
        <v>#N/A</v>
      </c>
      <c r="E65" s="411" t="str">
        <f> (CONCAT("""","ScientificName",""":", """",'Kegg Taxon'!C65,""","))</f>
        <v>#N/A</v>
      </c>
      <c r="F65" s="411" t="str">
        <f>CONCAT("""","Kingdom", """:","""",'Kegg Taxon'!D65,""",")</f>
        <v>#N/A</v>
      </c>
      <c r="G65" s="411" t="str">
        <f>CONCAT("""","Subkingdom",""":", """",'Kegg Taxon'!F65,""",")</f>
        <v>#N/A</v>
      </c>
      <c r="H65" s="411" t="str">
        <f>CONCAT("""","Superdivision",""":", """",'Kegg Taxon'!H65,""",")</f>
        <v>#N/A</v>
      </c>
      <c r="I65" s="411" t="str">
        <f>CONCAT("""","Phylum", """:","""",'Kegg Taxon'!I65,""",")</f>
        <v>#N/A</v>
      </c>
      <c r="J65" s="411" t="str">
        <f>CONCAT("""","Subphylum", """:","""",'Kegg Taxon'!J65,""",")</f>
        <v>#N/A</v>
      </c>
      <c r="K65" s="411" t="str">
        <f>CONCAT("""","Class", """:","""",'Kegg Taxon'!K65,""",")</f>
        <v>#N/A</v>
      </c>
      <c r="L65" s="411" t="str">
        <f>CONCAT("""","Subclass", """:","""",'Kegg Taxon'!L65,""",")</f>
        <v>#N/A</v>
      </c>
      <c r="M65" s="411" t="str">
        <f>CONCAT("""","Order",""":","""", 'Kegg Taxon'!O65,""",")</f>
        <v>#N/A</v>
      </c>
      <c r="N65" s="411" t="str">
        <f>CONCAT("""","Family",""":","""", 'Kegg Taxon'!P65,""",")</f>
        <v>#N/A</v>
      </c>
      <c r="O65" s="411" t="str">
        <f>CONCAT("""","Subfamily",""":","""", 'Kegg Taxon'!Q65,""",")</f>
        <v>#N/A</v>
      </c>
      <c r="P65" s="411" t="str">
        <f>CONCAT("""","Tribe",""":","""", 'Kegg Taxon'!R65,""",")</f>
        <v>#N/A</v>
      </c>
      <c r="Q65" s="411" t="str">
        <f>CONCAT("""","Subtribe",""":","""", 'Kegg Taxon'!S65,""",")</f>
        <v>#N/A</v>
      </c>
      <c r="R65" s="411" t="str">
        <f>CONCAT("""","Genus",""":","""", 'Kegg Taxon'!T65,""",")</f>
        <v>#N/A</v>
      </c>
      <c r="S65" s="411" t="str">
        <f t="shared" si="2"/>
        <v>#N/A</v>
      </c>
      <c r="T65" s="411" t="str">
        <f>CONCAT("""","Species",""":","""", 'Kegg Taxon'!U65,""",")</f>
        <v>#N/A</v>
      </c>
      <c r="U65" s="411" t="str">
        <f>CONCAT("""","VarSubsp",""":","""", 'Kegg Taxon'!V65,"""")</f>
        <v>#N/A</v>
      </c>
      <c r="V65" s="412"/>
      <c r="W65" s="412"/>
      <c r="X65" s="412"/>
      <c r="Y65" s="412"/>
      <c r="Z65" s="412"/>
    </row>
    <row r="66" ht="14.25" customHeight="1">
      <c r="A66" s="409" t="s">
        <v>3748</v>
      </c>
      <c r="B66" s="410" t="str">
        <f t="shared" si="1"/>
        <v>#N/A</v>
      </c>
      <c r="C66" s="411" t="str">
        <f>(CONCAT("""","KeggCode", """:","""",'Kegg Taxon'!A66,""","))</f>
        <v>#N/A</v>
      </c>
      <c r="D66" s="411" t="str">
        <f> (CONCAT("""","CommonName",""":", """",'Kegg Taxon'!B66,""","))</f>
        <v>#N/A</v>
      </c>
      <c r="E66" s="411" t="str">
        <f> (CONCAT("""","ScientificName",""":", """",'Kegg Taxon'!C66,""","))</f>
        <v>#N/A</v>
      </c>
      <c r="F66" s="411" t="str">
        <f>CONCAT("""","Kingdom", """:","""",'Kegg Taxon'!D66,""",")</f>
        <v>#N/A</v>
      </c>
      <c r="G66" s="411" t="str">
        <f>CONCAT("""","Subkingdom",""":", """",'Kegg Taxon'!F66,""",")</f>
        <v>#N/A</v>
      </c>
      <c r="H66" s="411" t="str">
        <f>CONCAT("""","Superdivision",""":", """",'Kegg Taxon'!H66,""",")</f>
        <v>#N/A</v>
      </c>
      <c r="I66" s="411" t="str">
        <f>CONCAT("""","Phylum", """:","""",'Kegg Taxon'!I66,""",")</f>
        <v>#N/A</v>
      </c>
      <c r="J66" s="411" t="str">
        <f>CONCAT("""","Subphylum", """:","""",'Kegg Taxon'!J66,""",")</f>
        <v>#N/A</v>
      </c>
      <c r="K66" s="411" t="str">
        <f>CONCAT("""","Class", """:","""",'Kegg Taxon'!K66,""",")</f>
        <v>#N/A</v>
      </c>
      <c r="L66" s="411" t="str">
        <f>CONCAT("""","Subclass", """:","""",'Kegg Taxon'!L66,""",")</f>
        <v>#N/A</v>
      </c>
      <c r="M66" s="411" t="str">
        <f>CONCAT("""","Order",""":","""", 'Kegg Taxon'!O66,""",")</f>
        <v>#N/A</v>
      </c>
      <c r="N66" s="411" t="str">
        <f>CONCAT("""","Family",""":","""", 'Kegg Taxon'!P66,""",")</f>
        <v>#N/A</v>
      </c>
      <c r="O66" s="411" t="str">
        <f>CONCAT("""","Subfamily",""":","""", 'Kegg Taxon'!Q66,""",")</f>
        <v>#N/A</v>
      </c>
      <c r="P66" s="411" t="str">
        <f>CONCAT("""","Tribe",""":","""", 'Kegg Taxon'!R66,""",")</f>
        <v>#N/A</v>
      </c>
      <c r="Q66" s="411" t="str">
        <f>CONCAT("""","Subtribe",""":","""", 'Kegg Taxon'!S66,""",")</f>
        <v>#N/A</v>
      </c>
      <c r="R66" s="411" t="str">
        <f>CONCAT("""","Genus",""":","""", 'Kegg Taxon'!T66,""",")</f>
        <v>#N/A</v>
      </c>
      <c r="S66" s="411" t="str">
        <f t="shared" si="2"/>
        <v>#N/A</v>
      </c>
      <c r="T66" s="411" t="str">
        <f>CONCAT("""","Species",""":","""", 'Kegg Taxon'!U66,""",")</f>
        <v>#N/A</v>
      </c>
      <c r="U66" s="411" t="str">
        <f>CONCAT("""","VarSubsp",""":","""", 'Kegg Taxon'!V66,"""")</f>
        <v>#N/A</v>
      </c>
      <c r="V66" s="412"/>
      <c r="W66" s="412"/>
      <c r="X66" s="412"/>
      <c r="Y66" s="412"/>
      <c r="Z66" s="412"/>
    </row>
    <row r="67" ht="14.25" customHeight="1">
      <c r="A67" s="409" t="s">
        <v>3749</v>
      </c>
      <c r="B67" s="410" t="str">
        <f t="shared" si="1"/>
        <v>#N/A</v>
      </c>
      <c r="C67" s="411" t="str">
        <f>(CONCAT("""","KeggCode", """:","""",'Kegg Taxon'!A67,""","))</f>
        <v>#N/A</v>
      </c>
      <c r="D67" s="411" t="str">
        <f> (CONCAT("""","CommonName",""":", """",'Kegg Taxon'!B67,""","))</f>
        <v>#N/A</v>
      </c>
      <c r="E67" s="411" t="str">
        <f> (CONCAT("""","ScientificName",""":", """",'Kegg Taxon'!C67,""","))</f>
        <v>#N/A</v>
      </c>
      <c r="F67" s="411" t="str">
        <f>CONCAT("""","Kingdom", """:","""",'Kegg Taxon'!D67,""",")</f>
        <v>#N/A</v>
      </c>
      <c r="G67" s="411" t="str">
        <f>CONCAT("""","Subkingdom",""":", """",'Kegg Taxon'!F67,""",")</f>
        <v>#N/A</v>
      </c>
      <c r="H67" s="411" t="str">
        <f>CONCAT("""","Superdivision",""":", """",'Kegg Taxon'!H67,""",")</f>
        <v>#N/A</v>
      </c>
      <c r="I67" s="411" t="str">
        <f>CONCAT("""","Phylum", """:","""",'Kegg Taxon'!I67,""",")</f>
        <v>#N/A</v>
      </c>
      <c r="J67" s="411" t="str">
        <f>CONCAT("""","Subphylum", """:","""",'Kegg Taxon'!J67,""",")</f>
        <v>#N/A</v>
      </c>
      <c r="K67" s="411" t="str">
        <f>CONCAT("""","Class", """:","""",'Kegg Taxon'!K67,""",")</f>
        <v>#N/A</v>
      </c>
      <c r="L67" s="411" t="str">
        <f>CONCAT("""","Subclass", """:","""",'Kegg Taxon'!L67,""",")</f>
        <v>#N/A</v>
      </c>
      <c r="M67" s="411" t="str">
        <f>CONCAT("""","Order",""":","""", 'Kegg Taxon'!O67,""",")</f>
        <v>#N/A</v>
      </c>
      <c r="N67" s="411" t="str">
        <f>CONCAT("""","Family",""":","""", 'Kegg Taxon'!P67,""",")</f>
        <v>#N/A</v>
      </c>
      <c r="O67" s="411" t="str">
        <f>CONCAT("""","Subfamily",""":","""", 'Kegg Taxon'!Q67,""",")</f>
        <v>#N/A</v>
      </c>
      <c r="P67" s="411" t="str">
        <f>CONCAT("""","Tribe",""":","""", 'Kegg Taxon'!R67,""",")</f>
        <v>#N/A</v>
      </c>
      <c r="Q67" s="411" t="str">
        <f>CONCAT("""","Subtribe",""":","""", 'Kegg Taxon'!S67,""",")</f>
        <v>#N/A</v>
      </c>
      <c r="R67" s="411" t="str">
        <f>CONCAT("""","Genus",""":","""", 'Kegg Taxon'!T67,""",")</f>
        <v>#N/A</v>
      </c>
      <c r="S67" s="411" t="str">
        <f t="shared" si="2"/>
        <v>#N/A</v>
      </c>
      <c r="T67" s="411" t="str">
        <f>CONCAT("""","Species",""":","""", 'Kegg Taxon'!U67,""",")</f>
        <v>#N/A</v>
      </c>
      <c r="U67" s="411" t="str">
        <f>CONCAT("""","VarSubsp",""":","""", 'Kegg Taxon'!V67,"""")</f>
        <v>#N/A</v>
      </c>
      <c r="V67" s="412"/>
      <c r="W67" s="412"/>
      <c r="X67" s="412"/>
      <c r="Y67" s="412"/>
      <c r="Z67" s="412"/>
    </row>
    <row r="68" ht="14.25" customHeight="1">
      <c r="A68" s="409" t="s">
        <v>3750</v>
      </c>
      <c r="B68" s="410" t="str">
        <f t="shared" si="1"/>
        <v>#N/A</v>
      </c>
      <c r="C68" s="411" t="str">
        <f>(CONCAT("""","KeggCode", """:","""",'Kegg Taxon'!A68,""","))</f>
        <v>#N/A</v>
      </c>
      <c r="D68" s="411" t="str">
        <f> (CONCAT("""","CommonName",""":", """",'Kegg Taxon'!B68,""","))</f>
        <v>#N/A</v>
      </c>
      <c r="E68" s="411" t="str">
        <f> (CONCAT("""","ScientificName",""":", """",'Kegg Taxon'!C68,""","))</f>
        <v>#N/A</v>
      </c>
      <c r="F68" s="411" t="str">
        <f>CONCAT("""","Kingdom", """:","""",'Kegg Taxon'!D68,""",")</f>
        <v>#N/A</v>
      </c>
      <c r="G68" s="411" t="str">
        <f>CONCAT("""","Subkingdom",""":", """",'Kegg Taxon'!F68,""",")</f>
        <v>#N/A</v>
      </c>
      <c r="H68" s="411" t="str">
        <f>CONCAT("""","Superdivision",""":", """",'Kegg Taxon'!H68,""",")</f>
        <v>#N/A</v>
      </c>
      <c r="I68" s="411" t="str">
        <f>CONCAT("""","Phylum", """:","""",'Kegg Taxon'!I68,""",")</f>
        <v>#N/A</v>
      </c>
      <c r="J68" s="411" t="str">
        <f>CONCAT("""","Subphylum", """:","""",'Kegg Taxon'!J68,""",")</f>
        <v>#N/A</v>
      </c>
      <c r="K68" s="411" t="str">
        <f>CONCAT("""","Class", """:","""",'Kegg Taxon'!K68,""",")</f>
        <v>#N/A</v>
      </c>
      <c r="L68" s="411" t="str">
        <f>CONCAT("""","Subclass", """:","""",'Kegg Taxon'!L68,""",")</f>
        <v>#N/A</v>
      </c>
      <c r="M68" s="411" t="str">
        <f>CONCAT("""","Order",""":","""", 'Kegg Taxon'!O68,""",")</f>
        <v>#N/A</v>
      </c>
      <c r="N68" s="411" t="str">
        <f>CONCAT("""","Family",""":","""", 'Kegg Taxon'!P68,""",")</f>
        <v>#N/A</v>
      </c>
      <c r="O68" s="411" t="str">
        <f>CONCAT("""","Subfamily",""":","""", 'Kegg Taxon'!Q68,""",")</f>
        <v>#N/A</v>
      </c>
      <c r="P68" s="411" t="str">
        <f>CONCAT("""","Tribe",""":","""", 'Kegg Taxon'!R68,""",")</f>
        <v>#N/A</v>
      </c>
      <c r="Q68" s="411" t="str">
        <f>CONCAT("""","Subtribe",""":","""", 'Kegg Taxon'!S68,""",")</f>
        <v>#N/A</v>
      </c>
      <c r="R68" s="411" t="str">
        <f>CONCAT("""","Genus",""":","""", 'Kegg Taxon'!T68,""",")</f>
        <v>#N/A</v>
      </c>
      <c r="S68" s="411" t="str">
        <f t="shared" si="2"/>
        <v>#N/A</v>
      </c>
      <c r="T68" s="411" t="str">
        <f>CONCAT("""","Species",""":","""", 'Kegg Taxon'!U68,""",")</f>
        <v>#N/A</v>
      </c>
      <c r="U68" s="411" t="str">
        <f>CONCAT("""","VarSubsp",""":","""", 'Kegg Taxon'!V68,"""")</f>
        <v>#N/A</v>
      </c>
      <c r="V68" s="412"/>
      <c r="W68" s="412"/>
      <c r="X68" s="412"/>
      <c r="Y68" s="412"/>
      <c r="Z68" s="412"/>
    </row>
    <row r="69" ht="14.25" customHeight="1">
      <c r="A69" s="409" t="s">
        <v>3751</v>
      </c>
      <c r="B69" s="410" t="str">
        <f t="shared" si="1"/>
        <v>#N/A</v>
      </c>
      <c r="C69" s="411" t="str">
        <f>(CONCAT("""","KeggCode", """:","""",'Kegg Taxon'!A69,""","))</f>
        <v>#N/A</v>
      </c>
      <c r="D69" s="411" t="str">
        <f> (CONCAT("""","CommonName",""":", """",'Kegg Taxon'!B69,""","))</f>
        <v>#N/A</v>
      </c>
      <c r="E69" s="411" t="str">
        <f> (CONCAT("""","ScientificName",""":", """",'Kegg Taxon'!C69,""","))</f>
        <v>#N/A</v>
      </c>
      <c r="F69" s="411" t="str">
        <f>CONCAT("""","Kingdom", """:","""",'Kegg Taxon'!D69,""",")</f>
        <v>#N/A</v>
      </c>
      <c r="G69" s="411" t="str">
        <f>CONCAT("""","Subkingdom",""":", """",'Kegg Taxon'!F69,""",")</f>
        <v>#N/A</v>
      </c>
      <c r="H69" s="411" t="str">
        <f>CONCAT("""","Superdivision",""":", """",'Kegg Taxon'!H69,""",")</f>
        <v>#N/A</v>
      </c>
      <c r="I69" s="411" t="str">
        <f>CONCAT("""","Phylum", """:","""",'Kegg Taxon'!I69,""",")</f>
        <v>#N/A</v>
      </c>
      <c r="J69" s="411" t="str">
        <f>CONCAT("""","Subphylum", """:","""",'Kegg Taxon'!J69,""",")</f>
        <v>#N/A</v>
      </c>
      <c r="K69" s="411" t="str">
        <f>CONCAT("""","Class", """:","""",'Kegg Taxon'!K69,""",")</f>
        <v>#N/A</v>
      </c>
      <c r="L69" s="411" t="str">
        <f>CONCAT("""","Subclass", """:","""",'Kegg Taxon'!L69,""",")</f>
        <v>#N/A</v>
      </c>
      <c r="M69" s="411" t="str">
        <f>CONCAT("""","Order",""":","""", 'Kegg Taxon'!O69,""",")</f>
        <v>#N/A</v>
      </c>
      <c r="N69" s="411" t="str">
        <f>CONCAT("""","Family",""":","""", 'Kegg Taxon'!P69,""",")</f>
        <v>#N/A</v>
      </c>
      <c r="O69" s="411" t="str">
        <f>CONCAT("""","Subfamily",""":","""", 'Kegg Taxon'!Q69,""",")</f>
        <v>#N/A</v>
      </c>
      <c r="P69" s="411" t="str">
        <f>CONCAT("""","Tribe",""":","""", 'Kegg Taxon'!R69,""",")</f>
        <v>#N/A</v>
      </c>
      <c r="Q69" s="411" t="str">
        <f>CONCAT("""","Subtribe",""":","""", 'Kegg Taxon'!S69,""",")</f>
        <v>#N/A</v>
      </c>
      <c r="R69" s="411" t="str">
        <f>CONCAT("""","Genus",""":","""", 'Kegg Taxon'!T69,""",")</f>
        <v>#N/A</v>
      </c>
      <c r="S69" s="411" t="str">
        <f t="shared" si="2"/>
        <v>#N/A</v>
      </c>
      <c r="T69" s="411" t="str">
        <f>CONCAT("""","Species",""":","""", 'Kegg Taxon'!U69,""",")</f>
        <v>#N/A</v>
      </c>
      <c r="U69" s="411" t="str">
        <f>CONCAT("""","VarSubsp",""":","""", 'Kegg Taxon'!V69,"""")</f>
        <v>#N/A</v>
      </c>
      <c r="V69" s="412"/>
      <c r="W69" s="412"/>
      <c r="X69" s="412"/>
      <c r="Y69" s="412"/>
      <c r="Z69" s="412"/>
    </row>
    <row r="70" ht="14.25" customHeight="1">
      <c r="A70" s="409" t="s">
        <v>3752</v>
      </c>
      <c r="B70" s="410" t="str">
        <f t="shared" si="1"/>
        <v>#N/A</v>
      </c>
      <c r="C70" s="411" t="str">
        <f>(CONCAT("""","KeggCode", """:","""",'Kegg Taxon'!A70,""","))</f>
        <v>#N/A</v>
      </c>
      <c r="D70" s="411" t="str">
        <f> (CONCAT("""","CommonName",""":", """",'Kegg Taxon'!B70,""","))</f>
        <v>#N/A</v>
      </c>
      <c r="E70" s="411" t="str">
        <f> (CONCAT("""","ScientificName",""":", """",'Kegg Taxon'!C70,""","))</f>
        <v>#N/A</v>
      </c>
      <c r="F70" s="411" t="str">
        <f>CONCAT("""","Kingdom", """:","""",'Kegg Taxon'!D70,""",")</f>
        <v>#N/A</v>
      </c>
      <c r="G70" s="411" t="str">
        <f>CONCAT("""","Subkingdom",""":", """",'Kegg Taxon'!F70,""",")</f>
        <v>#N/A</v>
      </c>
      <c r="H70" s="411" t="str">
        <f>CONCAT("""","Superdivision",""":", """",'Kegg Taxon'!H70,""",")</f>
        <v>#N/A</v>
      </c>
      <c r="I70" s="411" t="str">
        <f>CONCAT("""","Phylum", """:","""",'Kegg Taxon'!I70,""",")</f>
        <v>#N/A</v>
      </c>
      <c r="J70" s="411" t="str">
        <f>CONCAT("""","Subphylum", """:","""",'Kegg Taxon'!J70,""",")</f>
        <v>#N/A</v>
      </c>
      <c r="K70" s="411" t="str">
        <f>CONCAT("""","Class", """:","""",'Kegg Taxon'!K70,""",")</f>
        <v>#N/A</v>
      </c>
      <c r="L70" s="411" t="str">
        <f>CONCAT("""","Subclass", """:","""",'Kegg Taxon'!L70,""",")</f>
        <v>#N/A</v>
      </c>
      <c r="M70" s="411" t="str">
        <f>CONCAT("""","Order",""":","""", 'Kegg Taxon'!O70,""",")</f>
        <v>#N/A</v>
      </c>
      <c r="N70" s="411" t="str">
        <f>CONCAT("""","Family",""":","""", 'Kegg Taxon'!P70,""",")</f>
        <v>#N/A</v>
      </c>
      <c r="O70" s="411" t="str">
        <f>CONCAT("""","Subfamily",""":","""", 'Kegg Taxon'!Q70,""",")</f>
        <v>#N/A</v>
      </c>
      <c r="P70" s="411" t="str">
        <f>CONCAT("""","Tribe",""":","""", 'Kegg Taxon'!R70,""",")</f>
        <v>#N/A</v>
      </c>
      <c r="Q70" s="411" t="str">
        <f>CONCAT("""","Subtribe",""":","""", 'Kegg Taxon'!S70,""",")</f>
        <v>#N/A</v>
      </c>
      <c r="R70" s="411" t="str">
        <f>CONCAT("""","Genus",""":","""", 'Kegg Taxon'!T70,""",")</f>
        <v>#N/A</v>
      </c>
      <c r="S70" s="411" t="str">
        <f t="shared" si="2"/>
        <v>#N/A</v>
      </c>
      <c r="T70" s="411" t="str">
        <f>CONCAT("""","Species",""":","""", 'Kegg Taxon'!U70,""",")</f>
        <v>#N/A</v>
      </c>
      <c r="U70" s="411" t="str">
        <f>CONCAT("""","VarSubsp",""":","""", 'Kegg Taxon'!V70,"""")</f>
        <v>#N/A</v>
      </c>
      <c r="V70" s="412"/>
      <c r="W70" s="412"/>
      <c r="X70" s="412"/>
      <c r="Y70" s="412"/>
      <c r="Z70" s="412"/>
    </row>
    <row r="71" ht="14.25" customHeight="1">
      <c r="A71" s="409" t="s">
        <v>3753</v>
      </c>
      <c r="B71" s="410" t="str">
        <f t="shared" si="1"/>
        <v>#N/A</v>
      </c>
      <c r="C71" s="411" t="str">
        <f>(CONCAT("""","KeggCode", """:","""",'Kegg Taxon'!A71,""","))</f>
        <v>#N/A</v>
      </c>
      <c r="D71" s="411" t="str">
        <f> (CONCAT("""","CommonName",""":", """",'Kegg Taxon'!B71,""","))</f>
        <v>#N/A</v>
      </c>
      <c r="E71" s="411" t="str">
        <f> (CONCAT("""","ScientificName",""":", """",'Kegg Taxon'!C71,""","))</f>
        <v>#N/A</v>
      </c>
      <c r="F71" s="411" t="str">
        <f>CONCAT("""","Kingdom", """:","""",'Kegg Taxon'!D71,""",")</f>
        <v>#N/A</v>
      </c>
      <c r="G71" s="411" t="str">
        <f>CONCAT("""","Subkingdom",""":", """",'Kegg Taxon'!F71,""",")</f>
        <v>#N/A</v>
      </c>
      <c r="H71" s="411" t="str">
        <f>CONCAT("""","Superdivision",""":", """",'Kegg Taxon'!H71,""",")</f>
        <v>#N/A</v>
      </c>
      <c r="I71" s="411" t="str">
        <f>CONCAT("""","Phylum", """:","""",'Kegg Taxon'!I71,""",")</f>
        <v>#N/A</v>
      </c>
      <c r="J71" s="411" t="str">
        <f>CONCAT("""","Subphylum", """:","""",'Kegg Taxon'!J71,""",")</f>
        <v>#N/A</v>
      </c>
      <c r="K71" s="411" t="str">
        <f>CONCAT("""","Class", """:","""",'Kegg Taxon'!K71,""",")</f>
        <v>#N/A</v>
      </c>
      <c r="L71" s="411" t="str">
        <f>CONCAT("""","Subclass", """:","""",'Kegg Taxon'!L71,""",")</f>
        <v>#N/A</v>
      </c>
      <c r="M71" s="411" t="str">
        <f>CONCAT("""","Order",""":","""", 'Kegg Taxon'!O71,""",")</f>
        <v>#N/A</v>
      </c>
      <c r="N71" s="411" t="str">
        <f>CONCAT("""","Family",""":","""", 'Kegg Taxon'!P71,""",")</f>
        <v>#N/A</v>
      </c>
      <c r="O71" s="411" t="str">
        <f>CONCAT("""","Subfamily",""":","""", 'Kegg Taxon'!Q71,""",")</f>
        <v>#N/A</v>
      </c>
      <c r="P71" s="411" t="str">
        <f>CONCAT("""","Tribe",""":","""", 'Kegg Taxon'!R71,""",")</f>
        <v>#N/A</v>
      </c>
      <c r="Q71" s="411" t="str">
        <f>CONCAT("""","Subtribe",""":","""", 'Kegg Taxon'!S71,""",")</f>
        <v>#N/A</v>
      </c>
      <c r="R71" s="411" t="str">
        <f>CONCAT("""","Genus",""":","""", 'Kegg Taxon'!T71,""",")</f>
        <v>#N/A</v>
      </c>
      <c r="S71" s="411" t="str">
        <f t="shared" si="2"/>
        <v>#N/A</v>
      </c>
      <c r="T71" s="411" t="str">
        <f>CONCAT("""","Species",""":","""", 'Kegg Taxon'!U71,""",")</f>
        <v>#N/A</v>
      </c>
      <c r="U71" s="411" t="str">
        <f>CONCAT("""","VarSubsp",""":","""", 'Kegg Taxon'!V71,"""")</f>
        <v>#N/A</v>
      </c>
      <c r="V71" s="412"/>
      <c r="W71" s="412"/>
      <c r="X71" s="412"/>
      <c r="Y71" s="412"/>
      <c r="Z71" s="412"/>
    </row>
    <row r="72" ht="14.25" customHeight="1">
      <c r="A72" s="409" t="s">
        <v>3754</v>
      </c>
      <c r="B72" s="410" t="str">
        <f t="shared" si="1"/>
        <v>#N/A</v>
      </c>
      <c r="C72" s="411" t="str">
        <f>(CONCAT("""","KeggCode", """:","""",'Kegg Taxon'!A72,""","))</f>
        <v>#N/A</v>
      </c>
      <c r="D72" s="411" t="str">
        <f> (CONCAT("""","CommonName",""":", """",'Kegg Taxon'!B72,""","))</f>
        <v>#N/A</v>
      </c>
      <c r="E72" s="411" t="str">
        <f> (CONCAT("""","ScientificName",""":", """",'Kegg Taxon'!C72,""","))</f>
        <v>#N/A</v>
      </c>
      <c r="F72" s="411" t="str">
        <f>CONCAT("""","Kingdom", """:","""",'Kegg Taxon'!D72,""",")</f>
        <v>#N/A</v>
      </c>
      <c r="G72" s="411" t="str">
        <f>CONCAT("""","Subkingdom",""":", """",'Kegg Taxon'!F72,""",")</f>
        <v>#N/A</v>
      </c>
      <c r="H72" s="411" t="str">
        <f>CONCAT("""","Superdivision",""":", """",'Kegg Taxon'!H72,""",")</f>
        <v>#N/A</v>
      </c>
      <c r="I72" s="411" t="str">
        <f>CONCAT("""","Phylum", """:","""",'Kegg Taxon'!I72,""",")</f>
        <v>#N/A</v>
      </c>
      <c r="J72" s="411" t="str">
        <f>CONCAT("""","Subphylum", """:","""",'Kegg Taxon'!J72,""",")</f>
        <v>#N/A</v>
      </c>
      <c r="K72" s="411" t="str">
        <f>CONCAT("""","Class", """:","""",'Kegg Taxon'!K72,""",")</f>
        <v>#N/A</v>
      </c>
      <c r="L72" s="411" t="str">
        <f>CONCAT("""","Subclass", """:","""",'Kegg Taxon'!L72,""",")</f>
        <v>#N/A</v>
      </c>
      <c r="M72" s="411" t="str">
        <f>CONCAT("""","Order",""":","""", 'Kegg Taxon'!O72,""",")</f>
        <v>#N/A</v>
      </c>
      <c r="N72" s="411" t="str">
        <f>CONCAT("""","Family",""":","""", 'Kegg Taxon'!P72,""",")</f>
        <v>#N/A</v>
      </c>
      <c r="O72" s="411" t="str">
        <f>CONCAT("""","Subfamily",""":","""", 'Kegg Taxon'!Q72,""",")</f>
        <v>#N/A</v>
      </c>
      <c r="P72" s="411" t="str">
        <f>CONCAT("""","Tribe",""":","""", 'Kegg Taxon'!R72,""",")</f>
        <v>#N/A</v>
      </c>
      <c r="Q72" s="411" t="str">
        <f>CONCAT("""","Subtribe",""":","""", 'Kegg Taxon'!S72,""",")</f>
        <v>#N/A</v>
      </c>
      <c r="R72" s="411" t="str">
        <f>CONCAT("""","Genus",""":","""", 'Kegg Taxon'!T72,""",")</f>
        <v>#N/A</v>
      </c>
      <c r="S72" s="411" t="str">
        <f t="shared" si="2"/>
        <v>#N/A</v>
      </c>
      <c r="T72" s="411" t="str">
        <f>CONCAT("""","Species",""":","""", 'Kegg Taxon'!U72,""",")</f>
        <v>#N/A</v>
      </c>
      <c r="U72" s="411" t="str">
        <f>CONCAT("""","VarSubsp",""":","""", 'Kegg Taxon'!V72,"""")</f>
        <v>#N/A</v>
      </c>
      <c r="V72" s="412"/>
      <c r="W72" s="412"/>
      <c r="X72" s="412"/>
      <c r="Y72" s="412"/>
      <c r="Z72" s="412"/>
    </row>
    <row r="73" ht="14.25" customHeight="1">
      <c r="A73" s="409" t="s">
        <v>3755</v>
      </c>
      <c r="B73" s="410" t="str">
        <f t="shared" si="1"/>
        <v>#N/A</v>
      </c>
      <c r="C73" s="411" t="str">
        <f>(CONCAT("""","KeggCode", """:","""",'Kegg Taxon'!A73,""","))</f>
        <v>#N/A</v>
      </c>
      <c r="D73" s="411" t="str">
        <f> (CONCAT("""","CommonName",""":", """",'Kegg Taxon'!B73,""","))</f>
        <v>#N/A</v>
      </c>
      <c r="E73" s="411" t="str">
        <f> (CONCAT("""","ScientificName",""":", """",'Kegg Taxon'!C73,""","))</f>
        <v>#N/A</v>
      </c>
      <c r="F73" s="411" t="str">
        <f>CONCAT("""","Kingdom", """:","""",'Kegg Taxon'!D73,""",")</f>
        <v>#N/A</v>
      </c>
      <c r="G73" s="411" t="str">
        <f>CONCAT("""","Subkingdom",""":", """",'Kegg Taxon'!F73,""",")</f>
        <v>#N/A</v>
      </c>
      <c r="H73" s="411" t="str">
        <f>CONCAT("""","Superdivision",""":", """",'Kegg Taxon'!H73,""",")</f>
        <v>#N/A</v>
      </c>
      <c r="I73" s="411" t="str">
        <f>CONCAT("""","Phylum", """:","""",'Kegg Taxon'!I73,""",")</f>
        <v>#N/A</v>
      </c>
      <c r="J73" s="411" t="str">
        <f>CONCAT("""","Subphylum", """:","""",'Kegg Taxon'!J73,""",")</f>
        <v>#N/A</v>
      </c>
      <c r="K73" s="411" t="str">
        <f>CONCAT("""","Class", """:","""",'Kegg Taxon'!K73,""",")</f>
        <v>#N/A</v>
      </c>
      <c r="L73" s="411" t="str">
        <f>CONCAT("""","Subclass", """:","""",'Kegg Taxon'!L73,""",")</f>
        <v>#N/A</v>
      </c>
      <c r="M73" s="411" t="str">
        <f>CONCAT("""","Order",""":","""", 'Kegg Taxon'!O73,""",")</f>
        <v>#N/A</v>
      </c>
      <c r="N73" s="411" t="str">
        <f>CONCAT("""","Family",""":","""", 'Kegg Taxon'!P73,""",")</f>
        <v>#N/A</v>
      </c>
      <c r="O73" s="411" t="str">
        <f>CONCAT("""","Subfamily",""":","""", 'Kegg Taxon'!Q73,""",")</f>
        <v>#N/A</v>
      </c>
      <c r="P73" s="411" t="str">
        <f>CONCAT("""","Tribe",""":","""", 'Kegg Taxon'!R73,""",")</f>
        <v>#N/A</v>
      </c>
      <c r="Q73" s="411" t="str">
        <f>CONCAT("""","Subtribe",""":","""", 'Kegg Taxon'!S73,""",")</f>
        <v>#N/A</v>
      </c>
      <c r="R73" s="411" t="str">
        <f>CONCAT("""","Genus",""":","""", 'Kegg Taxon'!T73,""",")</f>
        <v>#N/A</v>
      </c>
      <c r="S73" s="411" t="str">
        <f t="shared" si="2"/>
        <v>#N/A</v>
      </c>
      <c r="T73" s="411" t="str">
        <f>CONCAT("""","Species",""":","""", 'Kegg Taxon'!U73,""",")</f>
        <v>#N/A</v>
      </c>
      <c r="U73" s="411" t="str">
        <f>CONCAT("""","VarSubsp",""":","""", 'Kegg Taxon'!V73,"""")</f>
        <v>#N/A</v>
      </c>
      <c r="V73" s="412"/>
      <c r="W73" s="412"/>
      <c r="X73" s="412"/>
      <c r="Y73" s="412"/>
      <c r="Z73" s="412"/>
    </row>
    <row r="74" ht="14.25" customHeight="1">
      <c r="A74" s="409" t="s">
        <v>3756</v>
      </c>
      <c r="B74" s="410" t="str">
        <f t="shared" si="1"/>
        <v>#N/A</v>
      </c>
      <c r="C74" s="411" t="str">
        <f>(CONCAT("""","KeggCode", """:","""",'Kegg Taxon'!A74,""","))</f>
        <v>#N/A</v>
      </c>
      <c r="D74" s="411" t="str">
        <f> (CONCAT("""","CommonName",""":", """",'Kegg Taxon'!B74,""","))</f>
        <v>#N/A</v>
      </c>
      <c r="E74" s="411" t="str">
        <f> (CONCAT("""","ScientificName",""":", """",'Kegg Taxon'!C74,""","))</f>
        <v>#N/A</v>
      </c>
      <c r="F74" s="411" t="str">
        <f>CONCAT("""","Kingdom", """:","""",'Kegg Taxon'!D74,""",")</f>
        <v>#N/A</v>
      </c>
      <c r="G74" s="411" t="str">
        <f>CONCAT("""","Subkingdom",""":", """",'Kegg Taxon'!F74,""",")</f>
        <v>#N/A</v>
      </c>
      <c r="H74" s="411" t="str">
        <f>CONCAT("""","Superdivision",""":", """",'Kegg Taxon'!H74,""",")</f>
        <v>#N/A</v>
      </c>
      <c r="I74" s="411" t="str">
        <f>CONCAT("""","Phylum", """:","""",'Kegg Taxon'!I74,""",")</f>
        <v>#N/A</v>
      </c>
      <c r="J74" s="411" t="str">
        <f>CONCAT("""","Subphylum", """:","""",'Kegg Taxon'!J74,""",")</f>
        <v>#N/A</v>
      </c>
      <c r="K74" s="411" t="str">
        <f>CONCAT("""","Class", """:","""",'Kegg Taxon'!K74,""",")</f>
        <v>#N/A</v>
      </c>
      <c r="L74" s="411" t="str">
        <f>CONCAT("""","Subclass", """:","""",'Kegg Taxon'!L74,""",")</f>
        <v>#N/A</v>
      </c>
      <c r="M74" s="411" t="str">
        <f>CONCAT("""","Order",""":","""", 'Kegg Taxon'!O74,""",")</f>
        <v>#N/A</v>
      </c>
      <c r="N74" s="411" t="str">
        <f>CONCAT("""","Family",""":","""", 'Kegg Taxon'!P74,""",")</f>
        <v>#N/A</v>
      </c>
      <c r="O74" s="411" t="str">
        <f>CONCAT("""","Subfamily",""":","""", 'Kegg Taxon'!Q74,""",")</f>
        <v>#N/A</v>
      </c>
      <c r="P74" s="411" t="str">
        <f>CONCAT("""","Tribe",""":","""", 'Kegg Taxon'!R74,""",")</f>
        <v>#N/A</v>
      </c>
      <c r="Q74" s="411" t="str">
        <f>CONCAT("""","Subtribe",""":","""", 'Kegg Taxon'!S74,""",")</f>
        <v>#N/A</v>
      </c>
      <c r="R74" s="411" t="str">
        <f>CONCAT("""","Genus",""":","""", 'Kegg Taxon'!T74,""",")</f>
        <v>#N/A</v>
      </c>
      <c r="S74" s="411" t="str">
        <f t="shared" si="2"/>
        <v>#N/A</v>
      </c>
      <c r="T74" s="411" t="str">
        <f>CONCAT("""","Species",""":","""", 'Kegg Taxon'!U74,""",")</f>
        <v>#N/A</v>
      </c>
      <c r="U74" s="411" t="str">
        <f>CONCAT("""","VarSubsp",""":","""", 'Kegg Taxon'!V74,"""")</f>
        <v>#N/A</v>
      </c>
      <c r="V74" s="412"/>
      <c r="W74" s="412"/>
      <c r="X74" s="412"/>
      <c r="Y74" s="412"/>
      <c r="Z74" s="412"/>
    </row>
    <row r="75" ht="14.25" customHeight="1">
      <c r="A75" s="409" t="s">
        <v>3757</v>
      </c>
      <c r="B75" s="410" t="str">
        <f t="shared" si="1"/>
        <v>#N/A</v>
      </c>
      <c r="C75" s="411" t="str">
        <f>(CONCAT("""","KeggCode", """:","""",'Kegg Taxon'!A75,""","))</f>
        <v>#N/A</v>
      </c>
      <c r="D75" s="411" t="str">
        <f> (CONCAT("""","CommonName",""":", """",'Kegg Taxon'!B75,""","))</f>
        <v>#N/A</v>
      </c>
      <c r="E75" s="411" t="str">
        <f> (CONCAT("""","ScientificName",""":", """",'Kegg Taxon'!C75,""","))</f>
        <v>#N/A</v>
      </c>
      <c r="F75" s="411" t="str">
        <f>CONCAT("""","Kingdom", """:","""",'Kegg Taxon'!D75,""",")</f>
        <v>#N/A</v>
      </c>
      <c r="G75" s="411" t="str">
        <f>CONCAT("""","Subkingdom",""":", """",'Kegg Taxon'!F75,""",")</f>
        <v>#N/A</v>
      </c>
      <c r="H75" s="411" t="str">
        <f>CONCAT("""","Superdivision",""":", """",'Kegg Taxon'!H75,""",")</f>
        <v>#N/A</v>
      </c>
      <c r="I75" s="411" t="str">
        <f>CONCAT("""","Phylum", """:","""",'Kegg Taxon'!I75,""",")</f>
        <v>#N/A</v>
      </c>
      <c r="J75" s="411" t="str">
        <f>CONCAT("""","Subphylum", """:","""",'Kegg Taxon'!J75,""",")</f>
        <v>#N/A</v>
      </c>
      <c r="K75" s="411" t="str">
        <f>CONCAT("""","Class", """:","""",'Kegg Taxon'!K75,""",")</f>
        <v>#N/A</v>
      </c>
      <c r="L75" s="411" t="str">
        <f>CONCAT("""","Subclass", """:","""",'Kegg Taxon'!L75,""",")</f>
        <v>#N/A</v>
      </c>
      <c r="M75" s="411" t="str">
        <f>CONCAT("""","Order",""":","""", 'Kegg Taxon'!O75,""",")</f>
        <v>#N/A</v>
      </c>
      <c r="N75" s="411" t="str">
        <f>CONCAT("""","Family",""":","""", 'Kegg Taxon'!P75,""",")</f>
        <v>#N/A</v>
      </c>
      <c r="O75" s="411" t="str">
        <f>CONCAT("""","Subfamily",""":","""", 'Kegg Taxon'!Q75,""",")</f>
        <v>#N/A</v>
      </c>
      <c r="P75" s="411" t="str">
        <f>CONCAT("""","Tribe",""":","""", 'Kegg Taxon'!R75,""",")</f>
        <v>#N/A</v>
      </c>
      <c r="Q75" s="411" t="str">
        <f>CONCAT("""","Subtribe",""":","""", 'Kegg Taxon'!S75,""",")</f>
        <v>#N/A</v>
      </c>
      <c r="R75" s="411" t="str">
        <f>CONCAT("""","Genus",""":","""", 'Kegg Taxon'!T75,""",")</f>
        <v>#N/A</v>
      </c>
      <c r="S75" s="411" t="str">
        <f t="shared" si="2"/>
        <v>#N/A</v>
      </c>
      <c r="T75" s="411" t="str">
        <f>CONCAT("""","Species",""":","""", 'Kegg Taxon'!U75,""",")</f>
        <v>#N/A</v>
      </c>
      <c r="U75" s="411" t="str">
        <f>CONCAT("""","VarSubsp",""":","""", 'Kegg Taxon'!V75,"""")</f>
        <v>#N/A</v>
      </c>
      <c r="V75" s="412"/>
      <c r="W75" s="412"/>
      <c r="X75" s="412"/>
      <c r="Y75" s="412"/>
      <c r="Z75" s="412"/>
    </row>
    <row r="76" ht="14.25" customHeight="1">
      <c r="A76" s="409" t="s">
        <v>3758</v>
      </c>
      <c r="B76" s="410" t="str">
        <f t="shared" si="1"/>
        <v>#N/A</v>
      </c>
      <c r="C76" s="411" t="str">
        <f>(CONCAT("""","KeggCode", """:","""",'Kegg Taxon'!A76,""","))</f>
        <v>#N/A</v>
      </c>
      <c r="D76" s="411" t="str">
        <f> (CONCAT("""","CommonName",""":", """",'Kegg Taxon'!B76,""","))</f>
        <v>#N/A</v>
      </c>
      <c r="E76" s="411" t="str">
        <f> (CONCAT("""","ScientificName",""":", """",'Kegg Taxon'!C76,""","))</f>
        <v>#N/A</v>
      </c>
      <c r="F76" s="411" t="str">
        <f>CONCAT("""","Kingdom", """:","""",'Kegg Taxon'!D76,""",")</f>
        <v>#N/A</v>
      </c>
      <c r="G76" s="411" t="str">
        <f>CONCAT("""","Subkingdom",""":", """",'Kegg Taxon'!F76,""",")</f>
        <v>#N/A</v>
      </c>
      <c r="H76" s="411" t="str">
        <f>CONCAT("""","Superdivision",""":", """",'Kegg Taxon'!H76,""",")</f>
        <v>#N/A</v>
      </c>
      <c r="I76" s="411" t="str">
        <f>CONCAT("""","Phylum", """:","""",'Kegg Taxon'!I76,""",")</f>
        <v>#N/A</v>
      </c>
      <c r="J76" s="411" t="str">
        <f>CONCAT("""","Subphylum", """:","""",'Kegg Taxon'!J76,""",")</f>
        <v>#N/A</v>
      </c>
      <c r="K76" s="411" t="str">
        <f>CONCAT("""","Class", """:","""",'Kegg Taxon'!K76,""",")</f>
        <v>#N/A</v>
      </c>
      <c r="L76" s="411" t="str">
        <f>CONCAT("""","Subclass", """:","""",'Kegg Taxon'!L76,""",")</f>
        <v>#N/A</v>
      </c>
      <c r="M76" s="411" t="str">
        <f>CONCAT("""","Order",""":","""", 'Kegg Taxon'!O76,""",")</f>
        <v>#N/A</v>
      </c>
      <c r="N76" s="411" t="str">
        <f>CONCAT("""","Family",""":","""", 'Kegg Taxon'!P76,""",")</f>
        <v>#N/A</v>
      </c>
      <c r="O76" s="411" t="str">
        <f>CONCAT("""","Subfamily",""":","""", 'Kegg Taxon'!Q76,""",")</f>
        <v>#N/A</v>
      </c>
      <c r="P76" s="411" t="str">
        <f>CONCAT("""","Tribe",""":","""", 'Kegg Taxon'!R76,""",")</f>
        <v>#N/A</v>
      </c>
      <c r="Q76" s="411" t="str">
        <f>CONCAT("""","Subtribe",""":","""", 'Kegg Taxon'!S76,""",")</f>
        <v>#N/A</v>
      </c>
      <c r="R76" s="411" t="str">
        <f>CONCAT("""","Genus",""":","""", 'Kegg Taxon'!T76,""",")</f>
        <v>#N/A</v>
      </c>
      <c r="S76" s="411" t="str">
        <f t="shared" si="2"/>
        <v>#N/A</v>
      </c>
      <c r="T76" s="411" t="str">
        <f>CONCAT("""","Species",""":","""", 'Kegg Taxon'!U76,""",")</f>
        <v>#N/A</v>
      </c>
      <c r="U76" s="411" t="str">
        <f>CONCAT("""","VarSubsp",""":","""", 'Kegg Taxon'!V76,"""")</f>
        <v>#N/A</v>
      </c>
      <c r="V76" s="412"/>
      <c r="W76" s="412"/>
      <c r="X76" s="412"/>
      <c r="Y76" s="412"/>
      <c r="Z76" s="412"/>
    </row>
    <row r="77" ht="14.25" customHeight="1">
      <c r="A77" s="409" t="s">
        <v>3759</v>
      </c>
      <c r="B77" s="410" t="str">
        <f t="shared" si="1"/>
        <v>#N/A</v>
      </c>
      <c r="C77" s="411" t="str">
        <f>(CONCAT("""","KeggCode", """:","""",'Kegg Taxon'!A77,""","))</f>
        <v>#N/A</v>
      </c>
      <c r="D77" s="411" t="str">
        <f> (CONCAT("""","CommonName",""":", """",'Kegg Taxon'!B77,""","))</f>
        <v>#N/A</v>
      </c>
      <c r="E77" s="411" t="str">
        <f> (CONCAT("""","ScientificName",""":", """",'Kegg Taxon'!C77,""","))</f>
        <v>#N/A</v>
      </c>
      <c r="F77" s="411" t="str">
        <f>CONCAT("""","Kingdom", """:","""",'Kegg Taxon'!D77,""",")</f>
        <v>#N/A</v>
      </c>
      <c r="G77" s="411" t="str">
        <f>CONCAT("""","Subkingdom",""":", """",'Kegg Taxon'!F77,""",")</f>
        <v>#N/A</v>
      </c>
      <c r="H77" s="411" t="str">
        <f>CONCAT("""","Superdivision",""":", """",'Kegg Taxon'!H77,""",")</f>
        <v>#N/A</v>
      </c>
      <c r="I77" s="411" t="str">
        <f>CONCAT("""","Phylum", """:","""",'Kegg Taxon'!I77,""",")</f>
        <v>#N/A</v>
      </c>
      <c r="J77" s="411" t="str">
        <f>CONCAT("""","Subphylum", """:","""",'Kegg Taxon'!J77,""",")</f>
        <v>#N/A</v>
      </c>
      <c r="K77" s="411" t="str">
        <f>CONCAT("""","Class", """:","""",'Kegg Taxon'!K77,""",")</f>
        <v>#N/A</v>
      </c>
      <c r="L77" s="411" t="str">
        <f>CONCAT("""","Subclass", """:","""",'Kegg Taxon'!L77,""",")</f>
        <v>#N/A</v>
      </c>
      <c r="M77" s="411" t="str">
        <f>CONCAT("""","Order",""":","""", 'Kegg Taxon'!O77,""",")</f>
        <v>#N/A</v>
      </c>
      <c r="N77" s="411" t="str">
        <f>CONCAT("""","Family",""":","""", 'Kegg Taxon'!P77,""",")</f>
        <v>#N/A</v>
      </c>
      <c r="O77" s="411" t="str">
        <f>CONCAT("""","Subfamily",""":","""", 'Kegg Taxon'!Q77,""",")</f>
        <v>#N/A</v>
      </c>
      <c r="P77" s="411" t="str">
        <f>CONCAT("""","Tribe",""":","""", 'Kegg Taxon'!R77,""",")</f>
        <v>#N/A</v>
      </c>
      <c r="Q77" s="411" t="str">
        <f>CONCAT("""","Subtribe",""":","""", 'Kegg Taxon'!S77,""",")</f>
        <v>#N/A</v>
      </c>
      <c r="R77" s="411" t="str">
        <f>CONCAT("""","Genus",""":","""", 'Kegg Taxon'!T77,""",")</f>
        <v>#N/A</v>
      </c>
      <c r="S77" s="411" t="str">
        <f t="shared" si="2"/>
        <v>#N/A</v>
      </c>
      <c r="T77" s="411" t="str">
        <f>CONCAT("""","Species",""":","""", 'Kegg Taxon'!U77,""",")</f>
        <v>#N/A</v>
      </c>
      <c r="U77" s="411" t="str">
        <f>CONCAT("""","VarSubsp",""":","""", 'Kegg Taxon'!V77,"""")</f>
        <v>#N/A</v>
      </c>
      <c r="V77" s="412"/>
      <c r="W77" s="412"/>
      <c r="X77" s="412"/>
      <c r="Y77" s="412"/>
      <c r="Z77" s="412"/>
    </row>
    <row r="78" ht="14.25" customHeight="1">
      <c r="A78" s="409" t="s">
        <v>3760</v>
      </c>
      <c r="B78" s="410" t="str">
        <f t="shared" si="1"/>
        <v>#N/A</v>
      </c>
      <c r="C78" s="411" t="str">
        <f>(CONCAT("""","KeggCode", """:","""",'Kegg Taxon'!A78,""","))</f>
        <v>#N/A</v>
      </c>
      <c r="D78" s="411" t="str">
        <f> (CONCAT("""","CommonName",""":", """",'Kegg Taxon'!B78,""","))</f>
        <v>#N/A</v>
      </c>
      <c r="E78" s="411" t="str">
        <f> (CONCAT("""","ScientificName",""":", """",'Kegg Taxon'!C78,""","))</f>
        <v>#N/A</v>
      </c>
      <c r="F78" s="411" t="str">
        <f>CONCAT("""","Kingdom", """:","""",'Kegg Taxon'!D78,""",")</f>
        <v>#N/A</v>
      </c>
      <c r="G78" s="411" t="str">
        <f>CONCAT("""","Subkingdom",""":", """",'Kegg Taxon'!F78,""",")</f>
        <v>#N/A</v>
      </c>
      <c r="H78" s="411" t="str">
        <f>CONCAT("""","Superdivision",""":", """",'Kegg Taxon'!H78,""",")</f>
        <v>#N/A</v>
      </c>
      <c r="I78" s="411" t="str">
        <f>CONCAT("""","Phylum", """:","""",'Kegg Taxon'!I78,""",")</f>
        <v>#N/A</v>
      </c>
      <c r="J78" s="411" t="str">
        <f>CONCAT("""","Subphylum", """:","""",'Kegg Taxon'!J78,""",")</f>
        <v>#N/A</v>
      </c>
      <c r="K78" s="411" t="str">
        <f>CONCAT("""","Class", """:","""",'Kegg Taxon'!K78,""",")</f>
        <v>#N/A</v>
      </c>
      <c r="L78" s="411" t="str">
        <f>CONCAT("""","Subclass", """:","""",'Kegg Taxon'!L78,""",")</f>
        <v>#N/A</v>
      </c>
      <c r="M78" s="411" t="str">
        <f>CONCAT("""","Order",""":","""", 'Kegg Taxon'!O78,""",")</f>
        <v>#N/A</v>
      </c>
      <c r="N78" s="411" t="str">
        <f>CONCAT("""","Family",""":","""", 'Kegg Taxon'!P78,""",")</f>
        <v>#N/A</v>
      </c>
      <c r="O78" s="411" t="str">
        <f>CONCAT("""","Subfamily",""":","""", 'Kegg Taxon'!Q78,""",")</f>
        <v>#N/A</v>
      </c>
      <c r="P78" s="411" t="str">
        <f>CONCAT("""","Tribe",""":","""", 'Kegg Taxon'!R78,""",")</f>
        <v>#N/A</v>
      </c>
      <c r="Q78" s="411" t="str">
        <f>CONCAT("""","Subtribe",""":","""", 'Kegg Taxon'!S78,""",")</f>
        <v>#N/A</v>
      </c>
      <c r="R78" s="411" t="str">
        <f>CONCAT("""","Genus",""":","""", 'Kegg Taxon'!T78,""",")</f>
        <v>#N/A</v>
      </c>
      <c r="S78" s="411" t="str">
        <f t="shared" si="2"/>
        <v>#N/A</v>
      </c>
      <c r="T78" s="411" t="str">
        <f>CONCAT("""","Species",""":","""", 'Kegg Taxon'!U78,""",")</f>
        <v>#N/A</v>
      </c>
      <c r="U78" s="411" t="str">
        <f>CONCAT("""","VarSubsp",""":","""", 'Kegg Taxon'!V78,"""")</f>
        <v>#N/A</v>
      </c>
      <c r="V78" s="412"/>
      <c r="W78" s="412"/>
      <c r="X78" s="412"/>
      <c r="Y78" s="412"/>
      <c r="Z78" s="412"/>
    </row>
    <row r="79" ht="14.25" customHeight="1">
      <c r="A79" s="409" t="s">
        <v>3761</v>
      </c>
      <c r="B79" s="410" t="str">
        <f t="shared" si="1"/>
        <v>#N/A</v>
      </c>
      <c r="C79" s="411" t="str">
        <f>(CONCAT("""","KeggCode", """:","""",'Kegg Taxon'!A79,""","))</f>
        <v>#N/A</v>
      </c>
      <c r="D79" s="411" t="str">
        <f> (CONCAT("""","CommonName",""":", """",'Kegg Taxon'!B79,""","))</f>
        <v>#N/A</v>
      </c>
      <c r="E79" s="411" t="str">
        <f> (CONCAT("""","ScientificName",""":", """",'Kegg Taxon'!C79,""","))</f>
        <v>#N/A</v>
      </c>
      <c r="F79" s="411" t="str">
        <f>CONCAT("""","Kingdom", """:","""",'Kegg Taxon'!D79,""",")</f>
        <v>#N/A</v>
      </c>
      <c r="G79" s="411" t="str">
        <f>CONCAT("""","Subkingdom",""":", """",'Kegg Taxon'!F79,""",")</f>
        <v>#N/A</v>
      </c>
      <c r="H79" s="411" t="str">
        <f>CONCAT("""","Superdivision",""":", """",'Kegg Taxon'!H79,""",")</f>
        <v>#N/A</v>
      </c>
      <c r="I79" s="411" t="str">
        <f>CONCAT("""","Phylum", """:","""",'Kegg Taxon'!I79,""",")</f>
        <v>#N/A</v>
      </c>
      <c r="J79" s="411" t="str">
        <f>CONCAT("""","Subphylum", """:","""",'Kegg Taxon'!J79,""",")</f>
        <v>#N/A</v>
      </c>
      <c r="K79" s="411" t="str">
        <f>CONCAT("""","Class", """:","""",'Kegg Taxon'!K79,""",")</f>
        <v>#N/A</v>
      </c>
      <c r="L79" s="411" t="str">
        <f>CONCAT("""","Subclass", """:","""",'Kegg Taxon'!L79,""",")</f>
        <v>#N/A</v>
      </c>
      <c r="M79" s="411" t="str">
        <f>CONCAT("""","Order",""":","""", 'Kegg Taxon'!O79,""",")</f>
        <v>#N/A</v>
      </c>
      <c r="N79" s="411" t="str">
        <f>CONCAT("""","Family",""":","""", 'Kegg Taxon'!P79,""",")</f>
        <v>#N/A</v>
      </c>
      <c r="O79" s="411" t="str">
        <f>CONCAT("""","Subfamily",""":","""", 'Kegg Taxon'!Q79,""",")</f>
        <v>#N/A</v>
      </c>
      <c r="P79" s="411" t="str">
        <f>CONCAT("""","Tribe",""":","""", 'Kegg Taxon'!R79,""",")</f>
        <v>#N/A</v>
      </c>
      <c r="Q79" s="411" t="str">
        <f>CONCAT("""","Subtribe",""":","""", 'Kegg Taxon'!S79,""",")</f>
        <v>#N/A</v>
      </c>
      <c r="R79" s="411" t="str">
        <f>CONCAT("""","Genus",""":","""", 'Kegg Taxon'!T79,""",")</f>
        <v>#N/A</v>
      </c>
      <c r="S79" s="411" t="str">
        <f t="shared" si="2"/>
        <v>#N/A</v>
      </c>
      <c r="T79" s="411" t="str">
        <f>CONCAT("""","Species",""":","""", 'Kegg Taxon'!U79,""",")</f>
        <v>#N/A</v>
      </c>
      <c r="U79" s="411" t="str">
        <f>CONCAT("""","VarSubsp",""":","""", 'Kegg Taxon'!V79,"""")</f>
        <v>#N/A</v>
      </c>
      <c r="V79" s="412"/>
      <c r="W79" s="412"/>
      <c r="X79" s="412"/>
      <c r="Y79" s="412"/>
      <c r="Z79" s="412"/>
    </row>
    <row r="80" ht="14.25" customHeight="1">
      <c r="A80" s="409" t="s">
        <v>3762</v>
      </c>
      <c r="B80" s="410" t="str">
        <f t="shared" si="1"/>
        <v>#N/A</v>
      </c>
      <c r="C80" s="411" t="str">
        <f>(CONCAT("""","KeggCode", """:","""",'Kegg Taxon'!A80,""","))</f>
        <v>#N/A</v>
      </c>
      <c r="D80" s="411" t="str">
        <f> (CONCAT("""","CommonName",""":", """",'Kegg Taxon'!B80,""","))</f>
        <v>#N/A</v>
      </c>
      <c r="E80" s="411" t="str">
        <f> (CONCAT("""","ScientificName",""":", """",'Kegg Taxon'!C80,""","))</f>
        <v>#N/A</v>
      </c>
      <c r="F80" s="411" t="str">
        <f>CONCAT("""","Kingdom", """:","""",'Kegg Taxon'!D80,""",")</f>
        <v>#N/A</v>
      </c>
      <c r="G80" s="411" t="str">
        <f>CONCAT("""","Subkingdom",""":", """",'Kegg Taxon'!F80,""",")</f>
        <v>#N/A</v>
      </c>
      <c r="H80" s="411" t="str">
        <f>CONCAT("""","Superdivision",""":", """",'Kegg Taxon'!H80,""",")</f>
        <v>#N/A</v>
      </c>
      <c r="I80" s="411" t="str">
        <f>CONCAT("""","Phylum", """:","""",'Kegg Taxon'!I80,""",")</f>
        <v>#N/A</v>
      </c>
      <c r="J80" s="411" t="str">
        <f>CONCAT("""","Subphylum", """:","""",'Kegg Taxon'!J80,""",")</f>
        <v>#N/A</v>
      </c>
      <c r="K80" s="411" t="str">
        <f>CONCAT("""","Class", """:","""",'Kegg Taxon'!K80,""",")</f>
        <v>#N/A</v>
      </c>
      <c r="L80" s="411" t="str">
        <f>CONCAT("""","Subclass", """:","""",'Kegg Taxon'!L80,""",")</f>
        <v>#N/A</v>
      </c>
      <c r="M80" s="411" t="str">
        <f>CONCAT("""","Order",""":","""", 'Kegg Taxon'!O80,""",")</f>
        <v>#N/A</v>
      </c>
      <c r="N80" s="411" t="str">
        <f>CONCAT("""","Family",""":","""", 'Kegg Taxon'!P80,""",")</f>
        <v>#N/A</v>
      </c>
      <c r="O80" s="411" t="str">
        <f>CONCAT("""","Subfamily",""":","""", 'Kegg Taxon'!Q80,""",")</f>
        <v>#N/A</v>
      </c>
      <c r="P80" s="411" t="str">
        <f>CONCAT("""","Tribe",""":","""", 'Kegg Taxon'!R80,""",")</f>
        <v>#N/A</v>
      </c>
      <c r="Q80" s="411" t="str">
        <f>CONCAT("""","Subtribe",""":","""", 'Kegg Taxon'!S80,""",")</f>
        <v>#N/A</v>
      </c>
      <c r="R80" s="411" t="str">
        <f>CONCAT("""","Genus",""":","""", 'Kegg Taxon'!T80,""",")</f>
        <v>#N/A</v>
      </c>
      <c r="S80" s="411" t="str">
        <f t="shared" si="2"/>
        <v>#N/A</v>
      </c>
      <c r="T80" s="411" t="str">
        <f>CONCAT("""","Species",""":","""", 'Kegg Taxon'!U80,""",")</f>
        <v>#N/A</v>
      </c>
      <c r="U80" s="411" t="str">
        <f>CONCAT("""","VarSubsp",""":","""", 'Kegg Taxon'!V80,"""")</f>
        <v>#N/A</v>
      </c>
      <c r="V80" s="412"/>
      <c r="W80" s="412"/>
      <c r="X80" s="412"/>
      <c r="Y80" s="412"/>
      <c r="Z80" s="412"/>
    </row>
    <row r="81" ht="14.25" customHeight="1">
      <c r="A81" s="409" t="s">
        <v>3763</v>
      </c>
      <c r="B81" s="410" t="str">
        <f t="shared" si="1"/>
        <v>#N/A</v>
      </c>
      <c r="C81" s="411" t="str">
        <f>(CONCAT("""","KeggCode", """:","""",'Kegg Taxon'!A81,""","))</f>
        <v>#N/A</v>
      </c>
      <c r="D81" s="411" t="str">
        <f> (CONCAT("""","CommonName",""":", """",'Kegg Taxon'!B81,""","))</f>
        <v>#N/A</v>
      </c>
      <c r="E81" s="411" t="str">
        <f> (CONCAT("""","ScientificName",""":", """",'Kegg Taxon'!C81,""","))</f>
        <v>#N/A</v>
      </c>
      <c r="F81" s="411" t="str">
        <f>CONCAT("""","Kingdom", """:","""",'Kegg Taxon'!D81,""",")</f>
        <v>#N/A</v>
      </c>
      <c r="G81" s="411" t="str">
        <f>CONCAT("""","Subkingdom",""":", """",'Kegg Taxon'!F81,""",")</f>
        <v>#N/A</v>
      </c>
      <c r="H81" s="411" t="str">
        <f>CONCAT("""","Superdivision",""":", """",'Kegg Taxon'!H81,""",")</f>
        <v>#N/A</v>
      </c>
      <c r="I81" s="411" t="str">
        <f>CONCAT("""","Phylum", """:","""",'Kegg Taxon'!I81,""",")</f>
        <v>#N/A</v>
      </c>
      <c r="J81" s="411" t="str">
        <f>CONCAT("""","Subphylum", """:","""",'Kegg Taxon'!J81,""",")</f>
        <v>#N/A</v>
      </c>
      <c r="K81" s="411" t="str">
        <f>CONCAT("""","Class", """:","""",'Kegg Taxon'!K81,""",")</f>
        <v>#N/A</v>
      </c>
      <c r="L81" s="411" t="str">
        <f>CONCAT("""","Subclass", """:","""",'Kegg Taxon'!L81,""",")</f>
        <v>#N/A</v>
      </c>
      <c r="M81" s="411" t="str">
        <f>CONCAT("""","Order",""":","""", 'Kegg Taxon'!O81,""",")</f>
        <v>#N/A</v>
      </c>
      <c r="N81" s="411" t="str">
        <f>CONCAT("""","Family",""":","""", 'Kegg Taxon'!P81,""",")</f>
        <v>#N/A</v>
      </c>
      <c r="O81" s="411" t="str">
        <f>CONCAT("""","Subfamily",""":","""", 'Kegg Taxon'!Q81,""",")</f>
        <v>#N/A</v>
      </c>
      <c r="P81" s="411" t="str">
        <f>CONCAT("""","Tribe",""":","""", 'Kegg Taxon'!R81,""",")</f>
        <v>#N/A</v>
      </c>
      <c r="Q81" s="411" t="str">
        <f>CONCAT("""","Subtribe",""":","""", 'Kegg Taxon'!S81,""",")</f>
        <v>#N/A</v>
      </c>
      <c r="R81" s="411" t="str">
        <f>CONCAT("""","Genus",""":","""", 'Kegg Taxon'!T81,""",")</f>
        <v>#N/A</v>
      </c>
      <c r="S81" s="411" t="str">
        <f t="shared" si="2"/>
        <v>#N/A</v>
      </c>
      <c r="T81" s="411" t="str">
        <f>CONCAT("""","Species",""":","""", 'Kegg Taxon'!U81,""",")</f>
        <v>#N/A</v>
      </c>
      <c r="U81" s="411" t="str">
        <f>CONCAT("""","VarSubsp",""":","""", 'Kegg Taxon'!V81,"""")</f>
        <v>#N/A</v>
      </c>
      <c r="V81" s="412"/>
      <c r="W81" s="412"/>
      <c r="X81" s="412"/>
      <c r="Y81" s="412"/>
      <c r="Z81" s="412"/>
    </row>
    <row r="82" ht="14.25" customHeight="1">
      <c r="A82" s="409" t="s">
        <v>3764</v>
      </c>
      <c r="B82" s="410" t="str">
        <f t="shared" si="1"/>
        <v>#N/A</v>
      </c>
      <c r="C82" s="411" t="str">
        <f>(CONCAT("""","KeggCode", """:","""",'Kegg Taxon'!A82,""","))</f>
        <v>#N/A</v>
      </c>
      <c r="D82" s="411" t="str">
        <f> (CONCAT("""","CommonName",""":", """",'Kegg Taxon'!B82,""","))</f>
        <v>#N/A</v>
      </c>
      <c r="E82" s="411" t="str">
        <f> (CONCAT("""","ScientificName",""":", """",'Kegg Taxon'!C82,""","))</f>
        <v>#N/A</v>
      </c>
      <c r="F82" s="411" t="str">
        <f>CONCAT("""","Kingdom", """:","""",'Kegg Taxon'!D82,""",")</f>
        <v>#N/A</v>
      </c>
      <c r="G82" s="411" t="str">
        <f>CONCAT("""","Subkingdom",""":", """",'Kegg Taxon'!F82,""",")</f>
        <v>#N/A</v>
      </c>
      <c r="H82" s="411" t="str">
        <f>CONCAT("""","Superdivision",""":", """",'Kegg Taxon'!H82,""",")</f>
        <v>#N/A</v>
      </c>
      <c r="I82" s="411" t="str">
        <f>CONCAT("""","Phylum", """:","""",'Kegg Taxon'!I82,""",")</f>
        <v>#N/A</v>
      </c>
      <c r="J82" s="411" t="str">
        <f>CONCAT("""","Subphylum", """:","""",'Kegg Taxon'!J82,""",")</f>
        <v>#N/A</v>
      </c>
      <c r="K82" s="411" t="str">
        <f>CONCAT("""","Class", """:","""",'Kegg Taxon'!K82,""",")</f>
        <v>#N/A</v>
      </c>
      <c r="L82" s="411" t="str">
        <f>CONCAT("""","Subclass", """:","""",'Kegg Taxon'!L82,""",")</f>
        <v>#N/A</v>
      </c>
      <c r="M82" s="411" t="str">
        <f>CONCAT("""","Order",""":","""", 'Kegg Taxon'!O82,""",")</f>
        <v>#N/A</v>
      </c>
      <c r="N82" s="411" t="str">
        <f>CONCAT("""","Family",""":","""", 'Kegg Taxon'!P82,""",")</f>
        <v>#N/A</v>
      </c>
      <c r="O82" s="411" t="str">
        <f>CONCAT("""","Subfamily",""":","""", 'Kegg Taxon'!Q82,""",")</f>
        <v>#N/A</v>
      </c>
      <c r="P82" s="411" t="str">
        <f>CONCAT("""","Tribe",""":","""", 'Kegg Taxon'!R82,""",")</f>
        <v>#N/A</v>
      </c>
      <c r="Q82" s="411" t="str">
        <f>CONCAT("""","Subtribe",""":","""", 'Kegg Taxon'!S82,""",")</f>
        <v>#N/A</v>
      </c>
      <c r="R82" s="411" t="str">
        <f>CONCAT("""","Genus",""":","""", 'Kegg Taxon'!T82,""",")</f>
        <v>#N/A</v>
      </c>
      <c r="S82" s="411" t="str">
        <f t="shared" si="2"/>
        <v>#N/A</v>
      </c>
      <c r="T82" s="411" t="str">
        <f>CONCAT("""","Species",""":","""", 'Kegg Taxon'!U82,""",")</f>
        <v>#N/A</v>
      </c>
      <c r="U82" s="411" t="str">
        <f>CONCAT("""","VarSubsp",""":","""", 'Kegg Taxon'!V82,"""")</f>
        <v>#N/A</v>
      </c>
      <c r="V82" s="412"/>
      <c r="W82" s="412"/>
      <c r="X82" s="412"/>
      <c r="Y82" s="412"/>
      <c r="Z82" s="412"/>
    </row>
    <row r="83" ht="14.25" customHeight="1">
      <c r="A83" s="409" t="s">
        <v>3765</v>
      </c>
      <c r="B83" s="410" t="str">
        <f t="shared" si="1"/>
        <v>#N/A</v>
      </c>
      <c r="C83" s="411" t="str">
        <f>(CONCAT("""","KeggCode", """:","""",'Kegg Taxon'!A83,""","))</f>
        <v>#N/A</v>
      </c>
      <c r="D83" s="411" t="str">
        <f> (CONCAT("""","CommonName",""":", """",'Kegg Taxon'!B83,""","))</f>
        <v>#N/A</v>
      </c>
      <c r="E83" s="411" t="str">
        <f> (CONCAT("""","ScientificName",""":", """",'Kegg Taxon'!C83,""","))</f>
        <v>#N/A</v>
      </c>
      <c r="F83" s="411" t="str">
        <f>CONCAT("""","Kingdom", """:","""",'Kegg Taxon'!D83,""",")</f>
        <v>#N/A</v>
      </c>
      <c r="G83" s="411" t="str">
        <f>CONCAT("""","Subkingdom",""":", """",'Kegg Taxon'!F83,""",")</f>
        <v>#N/A</v>
      </c>
      <c r="H83" s="411" t="str">
        <f>CONCAT("""","Superdivision",""":", """",'Kegg Taxon'!H83,""",")</f>
        <v>#N/A</v>
      </c>
      <c r="I83" s="411" t="str">
        <f>CONCAT("""","Phylum", """:","""",'Kegg Taxon'!I83,""",")</f>
        <v>#N/A</v>
      </c>
      <c r="J83" s="411" t="str">
        <f>CONCAT("""","Subphylum", """:","""",'Kegg Taxon'!J83,""",")</f>
        <v>#N/A</v>
      </c>
      <c r="K83" s="411" t="str">
        <f>CONCAT("""","Class", """:","""",'Kegg Taxon'!K83,""",")</f>
        <v>#N/A</v>
      </c>
      <c r="L83" s="411" t="str">
        <f>CONCAT("""","Subclass", """:","""",'Kegg Taxon'!L83,""",")</f>
        <v>#N/A</v>
      </c>
      <c r="M83" s="411" t="str">
        <f>CONCAT("""","Order",""":","""", 'Kegg Taxon'!O83,""",")</f>
        <v>#N/A</v>
      </c>
      <c r="N83" s="411" t="str">
        <f>CONCAT("""","Family",""":","""", 'Kegg Taxon'!P83,""",")</f>
        <v>#N/A</v>
      </c>
      <c r="O83" s="411" t="str">
        <f>CONCAT("""","Subfamily",""":","""", 'Kegg Taxon'!Q83,""",")</f>
        <v>#N/A</v>
      </c>
      <c r="P83" s="411" t="str">
        <f>CONCAT("""","Tribe",""":","""", 'Kegg Taxon'!R83,""",")</f>
        <v>#N/A</v>
      </c>
      <c r="Q83" s="411" t="str">
        <f>CONCAT("""","Subtribe",""":","""", 'Kegg Taxon'!S83,""",")</f>
        <v>#N/A</v>
      </c>
      <c r="R83" s="411" t="str">
        <f>CONCAT("""","Genus",""":","""", 'Kegg Taxon'!T83,""",")</f>
        <v>#N/A</v>
      </c>
      <c r="S83" s="411" t="str">
        <f t="shared" si="2"/>
        <v>#N/A</v>
      </c>
      <c r="T83" s="411" t="str">
        <f>CONCAT("""","Species",""":","""", 'Kegg Taxon'!U83,""",")</f>
        <v>#N/A</v>
      </c>
      <c r="U83" s="411" t="str">
        <f>CONCAT("""","VarSubsp",""":","""", 'Kegg Taxon'!V83,"""")</f>
        <v>#N/A</v>
      </c>
      <c r="V83" s="412"/>
      <c r="W83" s="412"/>
      <c r="X83" s="412"/>
      <c r="Y83" s="412"/>
      <c r="Z83" s="412"/>
    </row>
    <row r="84" ht="14.25" customHeight="1">
      <c r="A84" s="409" t="s">
        <v>3766</v>
      </c>
      <c r="B84" s="410" t="str">
        <f t="shared" si="1"/>
        <v>#N/A</v>
      </c>
      <c r="C84" s="411" t="str">
        <f>(CONCAT("""","KeggCode", """:","""",'Kegg Taxon'!A84,""","))</f>
        <v>#N/A</v>
      </c>
      <c r="D84" s="411" t="str">
        <f> (CONCAT("""","CommonName",""":", """",'Kegg Taxon'!B84,""","))</f>
        <v>#N/A</v>
      </c>
      <c r="E84" s="411" t="str">
        <f> (CONCAT("""","ScientificName",""":", """",'Kegg Taxon'!C84,""","))</f>
        <v>#N/A</v>
      </c>
      <c r="F84" s="411" t="str">
        <f>CONCAT("""","Kingdom", """:","""",'Kegg Taxon'!D84,""",")</f>
        <v>#N/A</v>
      </c>
      <c r="G84" s="411" t="str">
        <f>CONCAT("""","Subkingdom",""":", """",'Kegg Taxon'!F84,""",")</f>
        <v>#N/A</v>
      </c>
      <c r="H84" s="411" t="str">
        <f>CONCAT("""","Superdivision",""":", """",'Kegg Taxon'!H84,""",")</f>
        <v>#N/A</v>
      </c>
      <c r="I84" s="411" t="str">
        <f>CONCAT("""","Phylum", """:","""",'Kegg Taxon'!I84,""",")</f>
        <v>#N/A</v>
      </c>
      <c r="J84" s="411" t="str">
        <f>CONCAT("""","Subphylum", """:","""",'Kegg Taxon'!J84,""",")</f>
        <v>#N/A</v>
      </c>
      <c r="K84" s="411" t="str">
        <f>CONCAT("""","Class", """:","""",'Kegg Taxon'!K84,""",")</f>
        <v>#N/A</v>
      </c>
      <c r="L84" s="411" t="str">
        <f>CONCAT("""","Subclass", """:","""",'Kegg Taxon'!L84,""",")</f>
        <v>#N/A</v>
      </c>
      <c r="M84" s="411" t="str">
        <f>CONCAT("""","Order",""":","""", 'Kegg Taxon'!O84,""",")</f>
        <v>#N/A</v>
      </c>
      <c r="N84" s="411" t="str">
        <f>CONCAT("""","Family",""":","""", 'Kegg Taxon'!P84,""",")</f>
        <v>#N/A</v>
      </c>
      <c r="O84" s="411" t="str">
        <f>CONCAT("""","Subfamily",""":","""", 'Kegg Taxon'!Q84,""",")</f>
        <v>#N/A</v>
      </c>
      <c r="P84" s="411" t="str">
        <f>CONCAT("""","Tribe",""":","""", 'Kegg Taxon'!R84,""",")</f>
        <v>#N/A</v>
      </c>
      <c r="Q84" s="411" t="str">
        <f>CONCAT("""","Subtribe",""":","""", 'Kegg Taxon'!S84,""",")</f>
        <v>#N/A</v>
      </c>
      <c r="R84" s="411" t="str">
        <f>CONCAT("""","Genus",""":","""", 'Kegg Taxon'!T84,""",")</f>
        <v>#N/A</v>
      </c>
      <c r="S84" s="411" t="str">
        <f t="shared" si="2"/>
        <v>#N/A</v>
      </c>
      <c r="T84" s="411" t="str">
        <f>CONCAT("""","Species",""":","""", 'Kegg Taxon'!U84,""",")</f>
        <v>#N/A</v>
      </c>
      <c r="U84" s="411" t="str">
        <f>CONCAT("""","VarSubsp",""":","""", 'Kegg Taxon'!V84,"""")</f>
        <v>#N/A</v>
      </c>
      <c r="V84" s="412"/>
      <c r="W84" s="412"/>
      <c r="X84" s="412"/>
      <c r="Y84" s="412"/>
      <c r="Z84" s="412"/>
    </row>
    <row r="85" ht="14.25" customHeight="1">
      <c r="A85" s="409" t="s">
        <v>3767</v>
      </c>
      <c r="B85" s="410" t="str">
        <f t="shared" si="1"/>
        <v>#N/A</v>
      </c>
      <c r="C85" s="411" t="str">
        <f>(CONCAT("""","KeggCode", """:","""",'Kegg Taxon'!A85,""","))</f>
        <v>#N/A</v>
      </c>
      <c r="D85" s="411" t="str">
        <f> (CONCAT("""","CommonName",""":", """",'Kegg Taxon'!B85,""","))</f>
        <v>#N/A</v>
      </c>
      <c r="E85" s="411" t="str">
        <f> (CONCAT("""","ScientificName",""":", """",'Kegg Taxon'!C85,""","))</f>
        <v>#N/A</v>
      </c>
      <c r="F85" s="411" t="str">
        <f>CONCAT("""","Kingdom", """:","""",'Kegg Taxon'!D85,""",")</f>
        <v>#N/A</v>
      </c>
      <c r="G85" s="411" t="str">
        <f>CONCAT("""","Subkingdom",""":", """",'Kegg Taxon'!F85,""",")</f>
        <v>#N/A</v>
      </c>
      <c r="H85" s="411" t="str">
        <f>CONCAT("""","Superdivision",""":", """",'Kegg Taxon'!H85,""",")</f>
        <v>#N/A</v>
      </c>
      <c r="I85" s="411" t="str">
        <f>CONCAT("""","Phylum", """:","""",'Kegg Taxon'!I85,""",")</f>
        <v>#N/A</v>
      </c>
      <c r="J85" s="411" t="str">
        <f>CONCAT("""","Subphylum", """:","""",'Kegg Taxon'!J85,""",")</f>
        <v>#N/A</v>
      </c>
      <c r="K85" s="411" t="str">
        <f>CONCAT("""","Class", """:","""",'Kegg Taxon'!K85,""",")</f>
        <v>#N/A</v>
      </c>
      <c r="L85" s="411" t="str">
        <f>CONCAT("""","Subclass", """:","""",'Kegg Taxon'!L85,""",")</f>
        <v>#N/A</v>
      </c>
      <c r="M85" s="411" t="str">
        <f>CONCAT("""","Order",""":","""", 'Kegg Taxon'!O85,""",")</f>
        <v>#N/A</v>
      </c>
      <c r="N85" s="411" t="str">
        <f>CONCAT("""","Family",""":","""", 'Kegg Taxon'!P85,""",")</f>
        <v>#N/A</v>
      </c>
      <c r="O85" s="411" t="str">
        <f>CONCAT("""","Subfamily",""":","""", 'Kegg Taxon'!Q85,""",")</f>
        <v>#N/A</v>
      </c>
      <c r="P85" s="411" t="str">
        <f>CONCAT("""","Tribe",""":","""", 'Kegg Taxon'!R85,""",")</f>
        <v>#N/A</v>
      </c>
      <c r="Q85" s="411" t="str">
        <f>CONCAT("""","Subtribe",""":","""", 'Kegg Taxon'!S85,""",")</f>
        <v>#N/A</v>
      </c>
      <c r="R85" s="411" t="str">
        <f>CONCAT("""","Genus",""":","""", 'Kegg Taxon'!T85,""",")</f>
        <v>#N/A</v>
      </c>
      <c r="S85" s="411" t="str">
        <f t="shared" si="2"/>
        <v>#N/A</v>
      </c>
      <c r="T85" s="411" t="str">
        <f>CONCAT("""","Species",""":","""", 'Kegg Taxon'!U85,""",")</f>
        <v>#N/A</v>
      </c>
      <c r="U85" s="411" t="str">
        <f>CONCAT("""","VarSubsp",""":","""", 'Kegg Taxon'!V85,"""")</f>
        <v>#N/A</v>
      </c>
      <c r="V85" s="412"/>
      <c r="W85" s="412"/>
      <c r="X85" s="412"/>
      <c r="Y85" s="412"/>
      <c r="Z85" s="412"/>
    </row>
    <row r="86" ht="14.25" customHeight="1">
      <c r="A86" s="409" t="s">
        <v>3768</v>
      </c>
      <c r="B86" s="410" t="str">
        <f t="shared" si="1"/>
        <v>#N/A</v>
      </c>
      <c r="C86" s="411" t="str">
        <f>(CONCAT("""","KeggCode", """:","""",'Kegg Taxon'!A86,""","))</f>
        <v>#N/A</v>
      </c>
      <c r="D86" s="411" t="str">
        <f> (CONCAT("""","CommonName",""":", """",'Kegg Taxon'!B86,""","))</f>
        <v>#N/A</v>
      </c>
      <c r="E86" s="411" t="str">
        <f> (CONCAT("""","ScientificName",""":", """",'Kegg Taxon'!C86,""","))</f>
        <v>#N/A</v>
      </c>
      <c r="F86" s="411" t="str">
        <f>CONCAT("""","Kingdom", """:","""",'Kegg Taxon'!D86,""",")</f>
        <v>#N/A</v>
      </c>
      <c r="G86" s="411" t="str">
        <f>CONCAT("""","Subkingdom",""":", """",'Kegg Taxon'!F86,""",")</f>
        <v>#N/A</v>
      </c>
      <c r="H86" s="411" t="str">
        <f>CONCAT("""","Superdivision",""":", """",'Kegg Taxon'!H86,""",")</f>
        <v>#N/A</v>
      </c>
      <c r="I86" s="411" t="str">
        <f>CONCAT("""","Phylum", """:","""",'Kegg Taxon'!I86,""",")</f>
        <v>#N/A</v>
      </c>
      <c r="J86" s="411" t="str">
        <f>CONCAT("""","Subphylum", """:","""",'Kegg Taxon'!J86,""",")</f>
        <v>#N/A</v>
      </c>
      <c r="K86" s="411" t="str">
        <f>CONCAT("""","Class", """:","""",'Kegg Taxon'!K86,""",")</f>
        <v>#N/A</v>
      </c>
      <c r="L86" s="411" t="str">
        <f>CONCAT("""","Subclass", """:","""",'Kegg Taxon'!L86,""",")</f>
        <v>#N/A</v>
      </c>
      <c r="M86" s="411" t="str">
        <f>CONCAT("""","Order",""":","""", 'Kegg Taxon'!O86,""",")</f>
        <v>#N/A</v>
      </c>
      <c r="N86" s="411" t="str">
        <f>CONCAT("""","Family",""":","""", 'Kegg Taxon'!P86,""",")</f>
        <v>#N/A</v>
      </c>
      <c r="O86" s="411" t="str">
        <f>CONCAT("""","Subfamily",""":","""", 'Kegg Taxon'!Q86,""",")</f>
        <v>#N/A</v>
      </c>
      <c r="P86" s="411" t="str">
        <f>CONCAT("""","Tribe",""":","""", 'Kegg Taxon'!R86,""",")</f>
        <v>#N/A</v>
      </c>
      <c r="Q86" s="411" t="str">
        <f>CONCAT("""","Subtribe",""":","""", 'Kegg Taxon'!S86,""",")</f>
        <v>#N/A</v>
      </c>
      <c r="R86" s="411" t="str">
        <f>CONCAT("""","Genus",""":","""", 'Kegg Taxon'!T86,""",")</f>
        <v>#N/A</v>
      </c>
      <c r="S86" s="411" t="str">
        <f t="shared" si="2"/>
        <v>#N/A</v>
      </c>
      <c r="T86" s="411" t="str">
        <f>CONCAT("""","Species",""":","""", 'Kegg Taxon'!U86,""",")</f>
        <v>#N/A</v>
      </c>
      <c r="U86" s="411" t="str">
        <f>CONCAT("""","VarSubsp",""":","""", 'Kegg Taxon'!V86,"""")</f>
        <v>#N/A</v>
      </c>
      <c r="V86" s="412"/>
      <c r="W86" s="412"/>
      <c r="X86" s="412"/>
      <c r="Y86" s="412"/>
      <c r="Z86" s="412"/>
    </row>
    <row r="87" ht="14.25" customHeight="1">
      <c r="A87" s="409" t="s">
        <v>3769</v>
      </c>
      <c r="B87" s="410" t="str">
        <f t="shared" si="1"/>
        <v>#N/A</v>
      </c>
      <c r="C87" s="411" t="str">
        <f>(CONCAT("""","KeggCode", """:","""",'Kegg Taxon'!A87,""","))</f>
        <v>#N/A</v>
      </c>
      <c r="D87" s="411" t="str">
        <f> (CONCAT("""","CommonName",""":", """",'Kegg Taxon'!B87,""","))</f>
        <v>#N/A</v>
      </c>
      <c r="E87" s="411" t="str">
        <f> (CONCAT("""","ScientificName",""":", """",'Kegg Taxon'!C87,""","))</f>
        <v>#N/A</v>
      </c>
      <c r="F87" s="411" t="str">
        <f>CONCAT("""","Kingdom", """:","""",'Kegg Taxon'!D87,""",")</f>
        <v>#N/A</v>
      </c>
      <c r="G87" s="411" t="str">
        <f>CONCAT("""","Subkingdom",""":", """",'Kegg Taxon'!F87,""",")</f>
        <v>#N/A</v>
      </c>
      <c r="H87" s="411" t="str">
        <f>CONCAT("""","Superdivision",""":", """",'Kegg Taxon'!H87,""",")</f>
        <v>#N/A</v>
      </c>
      <c r="I87" s="411" t="str">
        <f>CONCAT("""","Phylum", """:","""",'Kegg Taxon'!I87,""",")</f>
        <v>#N/A</v>
      </c>
      <c r="J87" s="411" t="str">
        <f>CONCAT("""","Subphylum", """:","""",'Kegg Taxon'!J87,""",")</f>
        <v>#N/A</v>
      </c>
      <c r="K87" s="411" t="str">
        <f>CONCAT("""","Class", """:","""",'Kegg Taxon'!K87,""",")</f>
        <v>#N/A</v>
      </c>
      <c r="L87" s="411" t="str">
        <f>CONCAT("""","Subclass", """:","""",'Kegg Taxon'!L87,""",")</f>
        <v>#N/A</v>
      </c>
      <c r="M87" s="411" t="str">
        <f>CONCAT("""","Order",""":","""", 'Kegg Taxon'!O87,""",")</f>
        <v>#N/A</v>
      </c>
      <c r="N87" s="411" t="str">
        <f>CONCAT("""","Family",""":","""", 'Kegg Taxon'!P87,""",")</f>
        <v>#N/A</v>
      </c>
      <c r="O87" s="411" t="str">
        <f>CONCAT("""","Subfamily",""":","""", 'Kegg Taxon'!Q87,""",")</f>
        <v>#N/A</v>
      </c>
      <c r="P87" s="411" t="str">
        <f>CONCAT("""","Tribe",""":","""", 'Kegg Taxon'!R87,""",")</f>
        <v>#N/A</v>
      </c>
      <c r="Q87" s="411" t="str">
        <f>CONCAT("""","Subtribe",""":","""", 'Kegg Taxon'!S87,""",")</f>
        <v>#N/A</v>
      </c>
      <c r="R87" s="411" t="str">
        <f>CONCAT("""","Genus",""":","""", 'Kegg Taxon'!T87,""",")</f>
        <v>#N/A</v>
      </c>
      <c r="S87" s="411" t="str">
        <f t="shared" si="2"/>
        <v>#N/A</v>
      </c>
      <c r="T87" s="411" t="str">
        <f>CONCAT("""","Species",""":","""", 'Kegg Taxon'!U87,""",")</f>
        <v>#N/A</v>
      </c>
      <c r="U87" s="411" t="str">
        <f>CONCAT("""","VarSubsp",""":","""", 'Kegg Taxon'!V87,"""")</f>
        <v>#N/A</v>
      </c>
      <c r="V87" s="412"/>
      <c r="W87" s="412"/>
      <c r="X87" s="412"/>
      <c r="Y87" s="412"/>
      <c r="Z87" s="412"/>
    </row>
    <row r="88" ht="14.25" customHeight="1">
      <c r="A88" s="409" t="s">
        <v>3770</v>
      </c>
      <c r="B88" s="410" t="str">
        <f t="shared" si="1"/>
        <v>#N/A</v>
      </c>
      <c r="C88" s="411" t="str">
        <f>(CONCAT("""","KeggCode", """:","""",'Kegg Taxon'!A88,""","))</f>
        <v>#N/A</v>
      </c>
      <c r="D88" s="411" t="str">
        <f> (CONCAT("""","CommonName",""":", """",'Kegg Taxon'!B88,""","))</f>
        <v>#N/A</v>
      </c>
      <c r="E88" s="411" t="str">
        <f> (CONCAT("""","ScientificName",""":", """",'Kegg Taxon'!C88,""","))</f>
        <v>#N/A</v>
      </c>
      <c r="F88" s="411" t="str">
        <f>CONCAT("""","Kingdom", """:","""",'Kegg Taxon'!D88,""",")</f>
        <v>#N/A</v>
      </c>
      <c r="G88" s="411" t="str">
        <f>CONCAT("""","Subkingdom",""":", """",'Kegg Taxon'!F88,""",")</f>
        <v>#N/A</v>
      </c>
      <c r="H88" s="411" t="str">
        <f>CONCAT("""","Superdivision",""":", """",'Kegg Taxon'!H88,""",")</f>
        <v>#N/A</v>
      </c>
      <c r="I88" s="411" t="str">
        <f>CONCAT("""","Phylum", """:","""",'Kegg Taxon'!I88,""",")</f>
        <v>#N/A</v>
      </c>
      <c r="J88" s="411" t="str">
        <f>CONCAT("""","Subphylum", """:","""",'Kegg Taxon'!J88,""",")</f>
        <v>#N/A</v>
      </c>
      <c r="K88" s="411" t="str">
        <f>CONCAT("""","Class", """:","""",'Kegg Taxon'!K88,""",")</f>
        <v>#N/A</v>
      </c>
      <c r="L88" s="411" t="str">
        <f>CONCAT("""","Subclass", """:","""",'Kegg Taxon'!L88,""",")</f>
        <v>#N/A</v>
      </c>
      <c r="M88" s="411" t="str">
        <f>CONCAT("""","Order",""":","""", 'Kegg Taxon'!O88,""",")</f>
        <v>#N/A</v>
      </c>
      <c r="N88" s="411" t="str">
        <f>CONCAT("""","Family",""":","""", 'Kegg Taxon'!P88,""",")</f>
        <v>#N/A</v>
      </c>
      <c r="O88" s="411" t="str">
        <f>CONCAT("""","Subfamily",""":","""", 'Kegg Taxon'!Q88,""",")</f>
        <v>#N/A</v>
      </c>
      <c r="P88" s="411" t="str">
        <f>CONCAT("""","Tribe",""":","""", 'Kegg Taxon'!R88,""",")</f>
        <v>#N/A</v>
      </c>
      <c r="Q88" s="411" t="str">
        <f>CONCAT("""","Subtribe",""":","""", 'Kegg Taxon'!S88,""",")</f>
        <v>#N/A</v>
      </c>
      <c r="R88" s="411" t="str">
        <f>CONCAT("""","Genus",""":","""", 'Kegg Taxon'!T88,""",")</f>
        <v>#N/A</v>
      </c>
      <c r="S88" s="411" t="str">
        <f t="shared" si="2"/>
        <v>#N/A</v>
      </c>
      <c r="T88" s="411" t="str">
        <f>CONCAT("""","Species",""":","""", 'Kegg Taxon'!U88,""",")</f>
        <v>#N/A</v>
      </c>
      <c r="U88" s="411" t="str">
        <f>CONCAT("""","VarSubsp",""":","""", 'Kegg Taxon'!V88,"""")</f>
        <v>#N/A</v>
      </c>
      <c r="V88" s="412"/>
      <c r="W88" s="412"/>
      <c r="X88" s="412"/>
      <c r="Y88" s="412"/>
      <c r="Z88" s="412"/>
    </row>
    <row r="89" ht="14.25" customHeight="1">
      <c r="A89" s="409" t="s">
        <v>3771</v>
      </c>
      <c r="B89" s="410" t="str">
        <f t="shared" si="1"/>
        <v>#N/A</v>
      </c>
      <c r="C89" s="411" t="str">
        <f>(CONCAT("""","KeggCode", """:","""",'Kegg Taxon'!A89,""","))</f>
        <v>#N/A</v>
      </c>
      <c r="D89" s="411" t="str">
        <f> (CONCAT("""","CommonName",""":", """",'Kegg Taxon'!B89,""","))</f>
        <v>#N/A</v>
      </c>
      <c r="E89" s="411" t="str">
        <f> (CONCAT("""","ScientificName",""":", """",'Kegg Taxon'!C89,""","))</f>
        <v>#N/A</v>
      </c>
      <c r="F89" s="411" t="str">
        <f>CONCAT("""","Kingdom", """:","""",'Kegg Taxon'!D89,""",")</f>
        <v>#N/A</v>
      </c>
      <c r="G89" s="411" t="str">
        <f>CONCAT("""","Subkingdom",""":", """",'Kegg Taxon'!F89,""",")</f>
        <v>#N/A</v>
      </c>
      <c r="H89" s="411" t="str">
        <f>CONCAT("""","Superdivision",""":", """",'Kegg Taxon'!H89,""",")</f>
        <v>#N/A</v>
      </c>
      <c r="I89" s="411" t="str">
        <f>CONCAT("""","Phylum", """:","""",'Kegg Taxon'!I89,""",")</f>
        <v>#N/A</v>
      </c>
      <c r="J89" s="411" t="str">
        <f>CONCAT("""","Subphylum", """:","""",'Kegg Taxon'!J89,""",")</f>
        <v>#N/A</v>
      </c>
      <c r="K89" s="411" t="str">
        <f>CONCAT("""","Class", """:","""",'Kegg Taxon'!K89,""",")</f>
        <v>#N/A</v>
      </c>
      <c r="L89" s="411" t="str">
        <f>CONCAT("""","Subclass", """:","""",'Kegg Taxon'!L89,""",")</f>
        <v>#N/A</v>
      </c>
      <c r="M89" s="411" t="str">
        <f>CONCAT("""","Order",""":","""", 'Kegg Taxon'!O89,""",")</f>
        <v>#N/A</v>
      </c>
      <c r="N89" s="411" t="str">
        <f>CONCAT("""","Family",""":","""", 'Kegg Taxon'!P89,""",")</f>
        <v>#N/A</v>
      </c>
      <c r="O89" s="411" t="str">
        <f>CONCAT("""","Subfamily",""":","""", 'Kegg Taxon'!Q89,""",")</f>
        <v>#N/A</v>
      </c>
      <c r="P89" s="411" t="str">
        <f>CONCAT("""","Tribe",""":","""", 'Kegg Taxon'!R89,""",")</f>
        <v>#N/A</v>
      </c>
      <c r="Q89" s="411" t="str">
        <f>CONCAT("""","Subtribe",""":","""", 'Kegg Taxon'!S89,""",")</f>
        <v>#N/A</v>
      </c>
      <c r="R89" s="411" t="str">
        <f>CONCAT("""","Genus",""":","""", 'Kegg Taxon'!T89,""",")</f>
        <v>#N/A</v>
      </c>
      <c r="S89" s="411" t="str">
        <f t="shared" si="2"/>
        <v>#N/A</v>
      </c>
      <c r="T89" s="411" t="str">
        <f>CONCAT("""","Species",""":","""", 'Kegg Taxon'!U89,""",")</f>
        <v>#N/A</v>
      </c>
      <c r="U89" s="411" t="str">
        <f>CONCAT("""","VarSubsp",""":","""", 'Kegg Taxon'!V89,"""")</f>
        <v>#N/A</v>
      </c>
      <c r="V89" s="412"/>
      <c r="W89" s="412"/>
      <c r="X89" s="412"/>
      <c r="Y89" s="412"/>
      <c r="Z89" s="412"/>
    </row>
    <row r="90" ht="14.25" customHeight="1">
      <c r="A90" s="409" t="s">
        <v>3772</v>
      </c>
      <c r="B90" s="410" t="str">
        <f t="shared" si="1"/>
        <v>#N/A</v>
      </c>
      <c r="C90" s="411" t="str">
        <f>(CONCAT("""","KeggCode", """:","""",'Kegg Taxon'!A90,""","))</f>
        <v>#N/A</v>
      </c>
      <c r="D90" s="411" t="str">
        <f> (CONCAT("""","CommonName",""":", """",'Kegg Taxon'!B90,""","))</f>
        <v>#N/A</v>
      </c>
      <c r="E90" s="411" t="str">
        <f> (CONCAT("""","ScientificName",""":", """",'Kegg Taxon'!C90,""","))</f>
        <v>#N/A</v>
      </c>
      <c r="F90" s="411" t="str">
        <f>CONCAT("""","Kingdom", """:","""",'Kegg Taxon'!D90,""",")</f>
        <v>#N/A</v>
      </c>
      <c r="G90" s="411" t="str">
        <f>CONCAT("""","Subkingdom",""":", """",'Kegg Taxon'!F90,""",")</f>
        <v>#N/A</v>
      </c>
      <c r="H90" s="411" t="str">
        <f>CONCAT("""","Superdivision",""":", """",'Kegg Taxon'!H90,""",")</f>
        <v>#N/A</v>
      </c>
      <c r="I90" s="411" t="str">
        <f>CONCAT("""","Phylum", """:","""",'Kegg Taxon'!I90,""",")</f>
        <v>#N/A</v>
      </c>
      <c r="J90" s="411" t="str">
        <f>CONCAT("""","Subphylum", """:","""",'Kegg Taxon'!J90,""",")</f>
        <v>#N/A</v>
      </c>
      <c r="K90" s="411" t="str">
        <f>CONCAT("""","Class", """:","""",'Kegg Taxon'!K90,""",")</f>
        <v>#N/A</v>
      </c>
      <c r="L90" s="411" t="str">
        <f>CONCAT("""","Subclass", """:","""",'Kegg Taxon'!L90,""",")</f>
        <v>#N/A</v>
      </c>
      <c r="M90" s="411" t="str">
        <f>CONCAT("""","Order",""":","""", 'Kegg Taxon'!O90,""",")</f>
        <v>#N/A</v>
      </c>
      <c r="N90" s="411" t="str">
        <f>CONCAT("""","Family",""":","""", 'Kegg Taxon'!P90,""",")</f>
        <v>#N/A</v>
      </c>
      <c r="O90" s="411" t="str">
        <f>CONCAT("""","Subfamily",""":","""", 'Kegg Taxon'!Q90,""",")</f>
        <v>#N/A</v>
      </c>
      <c r="P90" s="411" t="str">
        <f>CONCAT("""","Tribe",""":","""", 'Kegg Taxon'!R90,""",")</f>
        <v>#N/A</v>
      </c>
      <c r="Q90" s="411" t="str">
        <f>CONCAT("""","Subtribe",""":","""", 'Kegg Taxon'!S90,""",")</f>
        <v>#N/A</v>
      </c>
      <c r="R90" s="411" t="str">
        <f>CONCAT("""","Genus",""":","""", 'Kegg Taxon'!T90,""",")</f>
        <v>#N/A</v>
      </c>
      <c r="S90" s="411" t="str">
        <f t="shared" si="2"/>
        <v>#N/A</v>
      </c>
      <c r="T90" s="411" t="str">
        <f>CONCAT("""","Species",""":","""", 'Kegg Taxon'!U90,""",")</f>
        <v>#N/A</v>
      </c>
      <c r="U90" s="411" t="str">
        <f>CONCAT("""","VarSubsp",""":","""", 'Kegg Taxon'!V90,"""")</f>
        <v>#N/A</v>
      </c>
      <c r="V90" s="412"/>
      <c r="W90" s="412"/>
      <c r="X90" s="412"/>
      <c r="Y90" s="412"/>
      <c r="Z90" s="412"/>
    </row>
    <row r="91" ht="14.25" customHeight="1">
      <c r="A91" s="409" t="s">
        <v>3773</v>
      </c>
      <c r="B91" s="410" t="str">
        <f t="shared" si="1"/>
        <v>#N/A</v>
      </c>
      <c r="C91" s="411" t="str">
        <f>(CONCAT("""","KeggCode", """:","""",'Kegg Taxon'!A91,""","))</f>
        <v>#N/A</v>
      </c>
      <c r="D91" s="411" t="str">
        <f> (CONCAT("""","CommonName",""":", """",'Kegg Taxon'!B91,""","))</f>
        <v>#N/A</v>
      </c>
      <c r="E91" s="411" t="str">
        <f> (CONCAT("""","ScientificName",""":", """",'Kegg Taxon'!C91,""","))</f>
        <v>#N/A</v>
      </c>
      <c r="F91" s="411" t="str">
        <f>CONCAT("""","Kingdom", """:","""",'Kegg Taxon'!D91,""",")</f>
        <v>#N/A</v>
      </c>
      <c r="G91" s="411" t="str">
        <f>CONCAT("""","Subkingdom",""":", """",'Kegg Taxon'!F91,""",")</f>
        <v>#N/A</v>
      </c>
      <c r="H91" s="411" t="str">
        <f>CONCAT("""","Superdivision",""":", """",'Kegg Taxon'!H91,""",")</f>
        <v>#N/A</v>
      </c>
      <c r="I91" s="411" t="str">
        <f>CONCAT("""","Phylum", """:","""",'Kegg Taxon'!I91,""",")</f>
        <v>#N/A</v>
      </c>
      <c r="J91" s="411" t="str">
        <f>CONCAT("""","Subphylum", """:","""",'Kegg Taxon'!J91,""",")</f>
        <v>#N/A</v>
      </c>
      <c r="K91" s="411" t="str">
        <f>CONCAT("""","Class", """:","""",'Kegg Taxon'!K91,""",")</f>
        <v>#N/A</v>
      </c>
      <c r="L91" s="411" t="str">
        <f>CONCAT("""","Subclass", """:","""",'Kegg Taxon'!L91,""",")</f>
        <v>#N/A</v>
      </c>
      <c r="M91" s="411" t="str">
        <f>CONCAT("""","Order",""":","""", 'Kegg Taxon'!O91,""",")</f>
        <v>#N/A</v>
      </c>
      <c r="N91" s="411" t="str">
        <f>CONCAT("""","Family",""":","""", 'Kegg Taxon'!P91,""",")</f>
        <v>#N/A</v>
      </c>
      <c r="O91" s="411" t="str">
        <f>CONCAT("""","Subfamily",""":","""", 'Kegg Taxon'!Q91,""",")</f>
        <v>#N/A</v>
      </c>
      <c r="P91" s="411" t="str">
        <f>CONCAT("""","Tribe",""":","""", 'Kegg Taxon'!R91,""",")</f>
        <v>#N/A</v>
      </c>
      <c r="Q91" s="411" t="str">
        <f>CONCAT("""","Subtribe",""":","""", 'Kegg Taxon'!S91,""",")</f>
        <v>#N/A</v>
      </c>
      <c r="R91" s="411" t="str">
        <f>CONCAT("""","Genus",""":","""", 'Kegg Taxon'!T91,""",")</f>
        <v>#N/A</v>
      </c>
      <c r="S91" s="411" t="str">
        <f t="shared" si="2"/>
        <v>#N/A</v>
      </c>
      <c r="T91" s="411" t="str">
        <f>CONCAT("""","Species",""":","""", 'Kegg Taxon'!U91,""",")</f>
        <v>#N/A</v>
      </c>
      <c r="U91" s="411" t="str">
        <f>CONCAT("""","VarSubsp",""":","""", 'Kegg Taxon'!V91,"""")</f>
        <v>#N/A</v>
      </c>
      <c r="V91" s="412"/>
      <c r="W91" s="412"/>
      <c r="X91" s="412"/>
      <c r="Y91" s="412"/>
      <c r="Z91" s="412"/>
    </row>
    <row r="92" ht="14.25" customHeight="1">
      <c r="A92" s="409" t="s">
        <v>3774</v>
      </c>
      <c r="B92" s="410" t="str">
        <f t="shared" si="1"/>
        <v>#N/A</v>
      </c>
      <c r="C92" s="411" t="str">
        <f>(CONCAT("""","KeggCode", """:","""",'Kegg Taxon'!A92,""","))</f>
        <v>#N/A</v>
      </c>
      <c r="D92" s="411" t="str">
        <f> (CONCAT("""","CommonName",""":", """",'Kegg Taxon'!B92,""","))</f>
        <v>#N/A</v>
      </c>
      <c r="E92" s="411" t="str">
        <f> (CONCAT("""","ScientificName",""":", """",'Kegg Taxon'!C92,""","))</f>
        <v>#N/A</v>
      </c>
      <c r="F92" s="411" t="str">
        <f>CONCAT("""","Kingdom", """:","""",'Kegg Taxon'!D92,""",")</f>
        <v>#N/A</v>
      </c>
      <c r="G92" s="411" t="str">
        <f>CONCAT("""","Subkingdom",""":", """",'Kegg Taxon'!F92,""",")</f>
        <v>#N/A</v>
      </c>
      <c r="H92" s="411" t="str">
        <f>CONCAT("""","Superdivision",""":", """",'Kegg Taxon'!H92,""",")</f>
        <v>#N/A</v>
      </c>
      <c r="I92" s="411" t="str">
        <f>CONCAT("""","Phylum", """:","""",'Kegg Taxon'!I92,""",")</f>
        <v>#N/A</v>
      </c>
      <c r="J92" s="411" t="str">
        <f>CONCAT("""","Subphylum", """:","""",'Kegg Taxon'!J92,""",")</f>
        <v>#N/A</v>
      </c>
      <c r="K92" s="411" t="str">
        <f>CONCAT("""","Class", """:","""",'Kegg Taxon'!K92,""",")</f>
        <v>#N/A</v>
      </c>
      <c r="L92" s="411" t="str">
        <f>CONCAT("""","Subclass", """:","""",'Kegg Taxon'!L92,""",")</f>
        <v>#N/A</v>
      </c>
      <c r="M92" s="411" t="str">
        <f>CONCAT("""","Order",""":","""", 'Kegg Taxon'!O92,""",")</f>
        <v>#N/A</v>
      </c>
      <c r="N92" s="411" t="str">
        <f>CONCAT("""","Family",""":","""", 'Kegg Taxon'!P92,""",")</f>
        <v>#N/A</v>
      </c>
      <c r="O92" s="411" t="str">
        <f>CONCAT("""","Subfamily",""":","""", 'Kegg Taxon'!Q92,""",")</f>
        <v>#N/A</v>
      </c>
      <c r="P92" s="411" t="str">
        <f>CONCAT("""","Tribe",""":","""", 'Kegg Taxon'!R92,""",")</f>
        <v>#N/A</v>
      </c>
      <c r="Q92" s="411" t="str">
        <f>CONCAT("""","Subtribe",""":","""", 'Kegg Taxon'!S92,""",")</f>
        <v>#N/A</v>
      </c>
      <c r="R92" s="411" t="str">
        <f>CONCAT("""","Genus",""":","""", 'Kegg Taxon'!T92,""",")</f>
        <v>#N/A</v>
      </c>
      <c r="S92" s="411" t="str">
        <f t="shared" si="2"/>
        <v>#N/A</v>
      </c>
      <c r="T92" s="411" t="str">
        <f>CONCAT("""","Species",""":","""", 'Kegg Taxon'!U92,""",")</f>
        <v>#N/A</v>
      </c>
      <c r="U92" s="411" t="str">
        <f>CONCAT("""","VarSubsp",""":","""", 'Kegg Taxon'!V92,"""")</f>
        <v>#N/A</v>
      </c>
      <c r="V92" s="412"/>
      <c r="W92" s="412"/>
      <c r="X92" s="412"/>
      <c r="Y92" s="412"/>
      <c r="Z92" s="412"/>
    </row>
    <row r="93" ht="14.25" customHeight="1">
      <c r="A93" s="413" t="s">
        <v>3775</v>
      </c>
      <c r="B93" s="410" t="str">
        <f t="shared" si="1"/>
        <v>#N/A</v>
      </c>
      <c r="C93" s="411" t="str">
        <f>(CONCAT("""","KeggCode", """:","""",'Kegg Taxon'!A93,""","))</f>
        <v>#N/A</v>
      </c>
      <c r="D93" s="411" t="str">
        <f> (CONCAT("""","CommonName",""":", """",'Kegg Taxon'!B93,""","))</f>
        <v>#N/A</v>
      </c>
      <c r="E93" s="411" t="str">
        <f> (CONCAT("""","ScientificName",""":", """",'Kegg Taxon'!C93,""","))</f>
        <v>#N/A</v>
      </c>
      <c r="F93" s="411" t="str">
        <f>CONCAT("""","Kingdom", """:","""",'Kegg Taxon'!D93,""",")</f>
        <v>#N/A</v>
      </c>
      <c r="G93" s="411" t="str">
        <f>CONCAT("""","Subkingdom",""":", """",'Kegg Taxon'!F93,""",")</f>
        <v>#N/A</v>
      </c>
      <c r="H93" s="411" t="str">
        <f>CONCAT("""","Superdivision",""":", """",'Kegg Taxon'!H93,""",")</f>
        <v>#N/A</v>
      </c>
      <c r="I93" s="411" t="str">
        <f>CONCAT("""","Phylum", """:","""",'Kegg Taxon'!I93,""",")</f>
        <v>#N/A</v>
      </c>
      <c r="J93" s="411" t="str">
        <f>CONCAT("""","Subphylum", """:","""",'Kegg Taxon'!J93,""",")</f>
        <v>#N/A</v>
      </c>
      <c r="K93" s="411" t="str">
        <f>CONCAT("""","Class", """:","""",'Kegg Taxon'!K93,""",")</f>
        <v>#N/A</v>
      </c>
      <c r="L93" s="411" t="str">
        <f>CONCAT("""","Subclass", """:","""",'Kegg Taxon'!L93,""",")</f>
        <v>#N/A</v>
      </c>
      <c r="M93" s="411" t="str">
        <f>CONCAT("""","Order",""":","""", 'Kegg Taxon'!O93,""",")</f>
        <v>#N/A</v>
      </c>
      <c r="N93" s="411" t="str">
        <f>CONCAT("""","Family",""":","""", 'Kegg Taxon'!P93,""",")</f>
        <v>#N/A</v>
      </c>
      <c r="O93" s="411" t="str">
        <f>CONCAT("""","Subfamily",""":","""", 'Kegg Taxon'!Q93,""",")</f>
        <v>#N/A</v>
      </c>
      <c r="P93" s="411" t="str">
        <f>CONCAT("""","Tribe",""":","""", 'Kegg Taxon'!R93,""",")</f>
        <v>#N/A</v>
      </c>
      <c r="Q93" s="411" t="str">
        <f>CONCAT("""","Subtribe",""":","""", 'Kegg Taxon'!S93,""",")</f>
        <v>#N/A</v>
      </c>
      <c r="R93" s="411" t="str">
        <f>CONCAT("""","Genus",""":","""", 'Kegg Taxon'!T93,""",")</f>
        <v>#N/A</v>
      </c>
      <c r="S93" s="411" t="str">
        <f t="shared" si="2"/>
        <v>#N/A</v>
      </c>
      <c r="T93" s="411" t="str">
        <f>CONCAT("""","Species",""":","""", 'Kegg Taxon'!U93,""",")</f>
        <v>#N/A</v>
      </c>
      <c r="U93" s="411" t="str">
        <f>CONCAT("""","VarSubsp",""":","""", 'Kegg Taxon'!V93,"""")</f>
        <v>#N/A</v>
      </c>
      <c r="V93" s="412"/>
      <c r="W93" s="412"/>
      <c r="X93" s="412"/>
      <c r="Y93" s="412"/>
      <c r="Z93" s="412"/>
    </row>
    <row r="94" ht="14.25" customHeight="1">
      <c r="A94" s="409" t="s">
        <v>3776</v>
      </c>
      <c r="B94" s="410" t="str">
        <f t="shared" si="1"/>
        <v>#N/A</v>
      </c>
      <c r="C94" s="411" t="str">
        <f>(CONCAT("""","KeggCode", """:","""",'Kegg Taxon'!A94,""","))</f>
        <v>#N/A</v>
      </c>
      <c r="D94" s="411" t="str">
        <f> (CONCAT("""","CommonName",""":", """",'Kegg Taxon'!B94,""","))</f>
        <v>#N/A</v>
      </c>
      <c r="E94" s="411" t="str">
        <f> (CONCAT("""","ScientificName",""":", """",'Kegg Taxon'!C94,""","))</f>
        <v>#N/A</v>
      </c>
      <c r="F94" s="411" t="str">
        <f>CONCAT("""","Kingdom", """:","""",'Kegg Taxon'!D94,""",")</f>
        <v>#N/A</v>
      </c>
      <c r="G94" s="411" t="str">
        <f>CONCAT("""","Subkingdom",""":", """",'Kegg Taxon'!F94,""",")</f>
        <v>#N/A</v>
      </c>
      <c r="H94" s="411" t="str">
        <f>CONCAT("""","Superdivision",""":", """",'Kegg Taxon'!H94,""",")</f>
        <v>#N/A</v>
      </c>
      <c r="I94" s="411" t="str">
        <f>CONCAT("""","Phylum", """:","""",'Kegg Taxon'!I94,""",")</f>
        <v>#N/A</v>
      </c>
      <c r="J94" s="411" t="str">
        <f>CONCAT("""","Subphylum", """:","""",'Kegg Taxon'!J94,""",")</f>
        <v>#N/A</v>
      </c>
      <c r="K94" s="411" t="str">
        <f>CONCAT("""","Class", """:","""",'Kegg Taxon'!K94,""",")</f>
        <v>#N/A</v>
      </c>
      <c r="L94" s="411" t="str">
        <f>CONCAT("""","Subclass", """:","""",'Kegg Taxon'!L94,""",")</f>
        <v>#N/A</v>
      </c>
      <c r="M94" s="411" t="str">
        <f>CONCAT("""","Order",""":","""", 'Kegg Taxon'!O94,""",")</f>
        <v>#N/A</v>
      </c>
      <c r="N94" s="411" t="str">
        <f>CONCAT("""","Family",""":","""", 'Kegg Taxon'!P94,""",")</f>
        <v>#N/A</v>
      </c>
      <c r="O94" s="411" t="str">
        <f>CONCAT("""","Subfamily",""":","""", 'Kegg Taxon'!Q94,""",")</f>
        <v>#N/A</v>
      </c>
      <c r="P94" s="411" t="str">
        <f>CONCAT("""","Tribe",""":","""", 'Kegg Taxon'!R94,""",")</f>
        <v>#N/A</v>
      </c>
      <c r="Q94" s="411" t="str">
        <f>CONCAT("""","Subtribe",""":","""", 'Kegg Taxon'!S94,""",")</f>
        <v>#N/A</v>
      </c>
      <c r="R94" s="411" t="str">
        <f>CONCAT("""","Genus",""":","""", 'Kegg Taxon'!T94,""",")</f>
        <v>#N/A</v>
      </c>
      <c r="S94" s="411" t="str">
        <f t="shared" si="2"/>
        <v>#N/A</v>
      </c>
      <c r="T94" s="411" t="str">
        <f>CONCAT("""","Species",""":","""", 'Kegg Taxon'!U94,""",")</f>
        <v>#N/A</v>
      </c>
      <c r="U94" s="411" t="str">
        <f>CONCAT("""","VarSubsp",""":","""", 'Kegg Taxon'!V94,"""")</f>
        <v>#N/A</v>
      </c>
      <c r="V94" s="412"/>
      <c r="W94" s="412"/>
      <c r="X94" s="412"/>
      <c r="Y94" s="412"/>
      <c r="Z94" s="412"/>
    </row>
    <row r="95" ht="14.25" customHeight="1">
      <c r="A95" s="409" t="s">
        <v>3777</v>
      </c>
      <c r="B95" s="410" t="str">
        <f t="shared" si="1"/>
        <v>#N/A</v>
      </c>
      <c r="C95" s="411" t="str">
        <f>(CONCAT("""","KeggCode", """:","""",'Kegg Taxon'!A95,""","))</f>
        <v>#N/A</v>
      </c>
      <c r="D95" s="411" t="str">
        <f> (CONCAT("""","CommonName",""":", """",'Kegg Taxon'!B95,""","))</f>
        <v>#N/A</v>
      </c>
      <c r="E95" s="411" t="str">
        <f> (CONCAT("""","ScientificName",""":", """",'Kegg Taxon'!C95,""","))</f>
        <v>#N/A</v>
      </c>
      <c r="F95" s="411" t="str">
        <f>CONCAT("""","Kingdom", """:","""",'Kegg Taxon'!D95,""",")</f>
        <v>#N/A</v>
      </c>
      <c r="G95" s="411" t="str">
        <f>CONCAT("""","Subkingdom",""":", """",'Kegg Taxon'!F95,""",")</f>
        <v>#N/A</v>
      </c>
      <c r="H95" s="411" t="str">
        <f>CONCAT("""","Superdivision",""":", """",'Kegg Taxon'!H95,""",")</f>
        <v>#N/A</v>
      </c>
      <c r="I95" s="411" t="str">
        <f>CONCAT("""","Phylum", """:","""",'Kegg Taxon'!I95,""",")</f>
        <v>#N/A</v>
      </c>
      <c r="J95" s="411" t="str">
        <f>CONCAT("""","Subphylum", """:","""",'Kegg Taxon'!J95,""",")</f>
        <v>#N/A</v>
      </c>
      <c r="K95" s="411" t="str">
        <f>CONCAT("""","Class", """:","""",'Kegg Taxon'!K95,""",")</f>
        <v>#N/A</v>
      </c>
      <c r="L95" s="411" t="str">
        <f>CONCAT("""","Subclass", """:","""",'Kegg Taxon'!L95,""",")</f>
        <v>#N/A</v>
      </c>
      <c r="M95" s="411" t="str">
        <f>CONCAT("""","Order",""":","""", 'Kegg Taxon'!O95,""",")</f>
        <v>#N/A</v>
      </c>
      <c r="N95" s="411" t="str">
        <f>CONCAT("""","Family",""":","""", 'Kegg Taxon'!P95,""",")</f>
        <v>#N/A</v>
      </c>
      <c r="O95" s="411" t="str">
        <f>CONCAT("""","Subfamily",""":","""", 'Kegg Taxon'!Q95,""",")</f>
        <v>#N/A</v>
      </c>
      <c r="P95" s="411" t="str">
        <f>CONCAT("""","Tribe",""":","""", 'Kegg Taxon'!R95,""",")</f>
        <v>#N/A</v>
      </c>
      <c r="Q95" s="411" t="str">
        <f>CONCAT("""","Subtribe",""":","""", 'Kegg Taxon'!S95,""",")</f>
        <v>#N/A</v>
      </c>
      <c r="R95" s="411" t="str">
        <f>CONCAT("""","Genus",""":","""", 'Kegg Taxon'!T95,""",")</f>
        <v>#N/A</v>
      </c>
      <c r="S95" s="411" t="str">
        <f t="shared" si="2"/>
        <v>#N/A</v>
      </c>
      <c r="T95" s="411" t="str">
        <f>CONCAT("""","Species",""":","""", 'Kegg Taxon'!U95,""",")</f>
        <v>#N/A</v>
      </c>
      <c r="U95" s="411" t="str">
        <f>CONCAT("""","VarSubsp",""":","""", 'Kegg Taxon'!V95,"""")</f>
        <v>#N/A</v>
      </c>
      <c r="V95" s="412"/>
      <c r="W95" s="412"/>
      <c r="X95" s="412"/>
      <c r="Y95" s="412"/>
      <c r="Z95" s="412"/>
    </row>
    <row r="96" ht="14.25" customHeight="1">
      <c r="A96" s="409" t="s">
        <v>3778</v>
      </c>
      <c r="B96" s="410" t="str">
        <f t="shared" si="1"/>
        <v>#N/A</v>
      </c>
      <c r="C96" s="411" t="str">
        <f>(CONCAT("""","KeggCode", """:","""",'Kegg Taxon'!A96,""","))</f>
        <v>#N/A</v>
      </c>
      <c r="D96" s="411" t="str">
        <f> (CONCAT("""","CommonName",""":", """",'Kegg Taxon'!B96,""","))</f>
        <v>#N/A</v>
      </c>
      <c r="E96" s="411" t="str">
        <f> (CONCAT("""","ScientificName",""":", """",'Kegg Taxon'!C96,""","))</f>
        <v>#N/A</v>
      </c>
      <c r="F96" s="411" t="str">
        <f>CONCAT("""","Kingdom", """:","""",'Kegg Taxon'!D96,""",")</f>
        <v>#N/A</v>
      </c>
      <c r="G96" s="411" t="str">
        <f>CONCAT("""","Subkingdom",""":", """",'Kegg Taxon'!F96,""",")</f>
        <v>#N/A</v>
      </c>
      <c r="H96" s="411" t="str">
        <f>CONCAT("""","Superdivision",""":", """",'Kegg Taxon'!H96,""",")</f>
        <v>#N/A</v>
      </c>
      <c r="I96" s="411" t="str">
        <f>CONCAT("""","Phylum", """:","""",'Kegg Taxon'!I96,""",")</f>
        <v>#N/A</v>
      </c>
      <c r="J96" s="411" t="str">
        <f>CONCAT("""","Subphylum", """:","""",'Kegg Taxon'!J96,""",")</f>
        <v>#N/A</v>
      </c>
      <c r="K96" s="411" t="str">
        <f>CONCAT("""","Class", """:","""",'Kegg Taxon'!K96,""",")</f>
        <v>#N/A</v>
      </c>
      <c r="L96" s="411" t="str">
        <f>CONCAT("""","Subclass", """:","""",'Kegg Taxon'!L96,""",")</f>
        <v>#N/A</v>
      </c>
      <c r="M96" s="411" t="str">
        <f>CONCAT("""","Order",""":","""", 'Kegg Taxon'!O96,""",")</f>
        <v>#N/A</v>
      </c>
      <c r="N96" s="411" t="str">
        <f>CONCAT("""","Family",""":","""", 'Kegg Taxon'!P96,""",")</f>
        <v>#N/A</v>
      </c>
      <c r="O96" s="411" t="str">
        <f>CONCAT("""","Subfamily",""":","""", 'Kegg Taxon'!Q96,""",")</f>
        <v>#N/A</v>
      </c>
      <c r="P96" s="411" t="str">
        <f>CONCAT("""","Tribe",""":","""", 'Kegg Taxon'!R96,""",")</f>
        <v>#N/A</v>
      </c>
      <c r="Q96" s="411" t="str">
        <f>CONCAT("""","Subtribe",""":","""", 'Kegg Taxon'!S96,""",")</f>
        <v>#N/A</v>
      </c>
      <c r="R96" s="411" t="str">
        <f>CONCAT("""","Genus",""":","""", 'Kegg Taxon'!T96,""",")</f>
        <v>#N/A</v>
      </c>
      <c r="S96" s="411" t="str">
        <f t="shared" si="2"/>
        <v>#N/A</v>
      </c>
      <c r="T96" s="411" t="str">
        <f>CONCAT("""","Species",""":","""", 'Kegg Taxon'!U96,""",")</f>
        <v>#N/A</v>
      </c>
      <c r="U96" s="411" t="str">
        <f>CONCAT("""","VarSubsp",""":","""", 'Kegg Taxon'!V96,"""")</f>
        <v>#N/A</v>
      </c>
      <c r="V96" s="412"/>
      <c r="W96" s="412"/>
      <c r="X96" s="412"/>
      <c r="Y96" s="412"/>
      <c r="Z96" s="412"/>
    </row>
    <row r="97" ht="14.25" customHeight="1">
      <c r="A97" s="409" t="s">
        <v>3779</v>
      </c>
      <c r="B97" s="410" t="str">
        <f t="shared" si="1"/>
        <v>#N/A</v>
      </c>
      <c r="C97" s="411" t="str">
        <f>(CONCAT("""","KeggCode", """:","""",'Kegg Taxon'!A97,""","))</f>
        <v>#N/A</v>
      </c>
      <c r="D97" s="411" t="str">
        <f> (CONCAT("""","CommonName",""":", """",'Kegg Taxon'!B97,""","))</f>
        <v>#N/A</v>
      </c>
      <c r="E97" s="411" t="str">
        <f> (CONCAT("""","ScientificName",""":", """",'Kegg Taxon'!C97,""","))</f>
        <v>#N/A</v>
      </c>
      <c r="F97" s="411" t="str">
        <f>CONCAT("""","Kingdom", """:","""",'Kegg Taxon'!D97,""",")</f>
        <v>#N/A</v>
      </c>
      <c r="G97" s="411" t="str">
        <f>CONCAT("""","Subkingdom",""":", """",'Kegg Taxon'!F97,""",")</f>
        <v>#N/A</v>
      </c>
      <c r="H97" s="411" t="str">
        <f>CONCAT("""","Superdivision",""":", """",'Kegg Taxon'!H97,""",")</f>
        <v>#N/A</v>
      </c>
      <c r="I97" s="411" t="str">
        <f>CONCAT("""","Phylum", """:","""",'Kegg Taxon'!I97,""",")</f>
        <v>#N/A</v>
      </c>
      <c r="J97" s="411" t="str">
        <f>CONCAT("""","Subphylum", """:","""",'Kegg Taxon'!J97,""",")</f>
        <v>#N/A</v>
      </c>
      <c r="K97" s="411" t="str">
        <f>CONCAT("""","Class", """:","""",'Kegg Taxon'!K97,""",")</f>
        <v>#N/A</v>
      </c>
      <c r="L97" s="411" t="str">
        <f>CONCAT("""","Subclass", """:","""",'Kegg Taxon'!L97,""",")</f>
        <v>#N/A</v>
      </c>
      <c r="M97" s="411" t="str">
        <f>CONCAT("""","Order",""":","""", 'Kegg Taxon'!O97,""",")</f>
        <v>#N/A</v>
      </c>
      <c r="N97" s="411" t="str">
        <f>CONCAT("""","Family",""":","""", 'Kegg Taxon'!P97,""",")</f>
        <v>#N/A</v>
      </c>
      <c r="O97" s="411" t="str">
        <f>CONCAT("""","Subfamily",""":","""", 'Kegg Taxon'!Q97,""",")</f>
        <v>#N/A</v>
      </c>
      <c r="P97" s="411" t="str">
        <f>CONCAT("""","Tribe",""":","""", 'Kegg Taxon'!R97,""",")</f>
        <v>#N/A</v>
      </c>
      <c r="Q97" s="411" t="str">
        <f>CONCAT("""","Subtribe",""":","""", 'Kegg Taxon'!S97,""",")</f>
        <v>#N/A</v>
      </c>
      <c r="R97" s="411" t="str">
        <f>CONCAT("""","Genus",""":","""", 'Kegg Taxon'!T97,""",")</f>
        <v>#N/A</v>
      </c>
      <c r="S97" s="411" t="str">
        <f t="shared" si="2"/>
        <v>#N/A</v>
      </c>
      <c r="T97" s="411" t="str">
        <f>CONCAT("""","Species",""":","""", 'Kegg Taxon'!U97,""",")</f>
        <v>#N/A</v>
      </c>
      <c r="U97" s="411" t="str">
        <f>CONCAT("""","VarSubsp",""":","""", 'Kegg Taxon'!V97,"""")</f>
        <v>#N/A</v>
      </c>
      <c r="V97" s="412"/>
      <c r="W97" s="412"/>
      <c r="X97" s="412"/>
      <c r="Y97" s="412"/>
      <c r="Z97" s="412"/>
    </row>
    <row r="98" ht="14.25" customHeight="1">
      <c r="A98" s="409" t="s">
        <v>3780</v>
      </c>
      <c r="B98" s="410" t="str">
        <f t="shared" si="1"/>
        <v>#N/A</v>
      </c>
      <c r="C98" s="411" t="str">
        <f>(CONCAT("""","KeggCode", """:","""",'Kegg Taxon'!A98,""","))</f>
        <v>#N/A</v>
      </c>
      <c r="D98" s="411" t="str">
        <f> (CONCAT("""","CommonName",""":", """",'Kegg Taxon'!B98,""","))</f>
        <v>#N/A</v>
      </c>
      <c r="E98" s="411" t="str">
        <f> (CONCAT("""","ScientificName",""":", """",'Kegg Taxon'!C98,""","))</f>
        <v>#N/A</v>
      </c>
      <c r="F98" s="411" t="str">
        <f>CONCAT("""","Kingdom", """:","""",'Kegg Taxon'!D98,""",")</f>
        <v>#N/A</v>
      </c>
      <c r="G98" s="411" t="str">
        <f>CONCAT("""","Subkingdom",""":", """",'Kegg Taxon'!F98,""",")</f>
        <v>#N/A</v>
      </c>
      <c r="H98" s="411" t="str">
        <f>CONCAT("""","Superdivision",""":", """",'Kegg Taxon'!H98,""",")</f>
        <v>#N/A</v>
      </c>
      <c r="I98" s="411" t="str">
        <f>CONCAT("""","Phylum", """:","""",'Kegg Taxon'!I98,""",")</f>
        <v>#N/A</v>
      </c>
      <c r="J98" s="411" t="str">
        <f>CONCAT("""","Subphylum", """:","""",'Kegg Taxon'!J98,""",")</f>
        <v>#N/A</v>
      </c>
      <c r="K98" s="411" t="str">
        <f>CONCAT("""","Class", """:","""",'Kegg Taxon'!K98,""",")</f>
        <v>#N/A</v>
      </c>
      <c r="L98" s="411" t="str">
        <f>CONCAT("""","Subclass", """:","""",'Kegg Taxon'!L98,""",")</f>
        <v>#N/A</v>
      </c>
      <c r="M98" s="411" t="str">
        <f>CONCAT("""","Order",""":","""", 'Kegg Taxon'!O98,""",")</f>
        <v>#N/A</v>
      </c>
      <c r="N98" s="411" t="str">
        <f>CONCAT("""","Family",""":","""", 'Kegg Taxon'!P98,""",")</f>
        <v>#N/A</v>
      </c>
      <c r="O98" s="411" t="str">
        <f>CONCAT("""","Subfamily",""":","""", 'Kegg Taxon'!Q98,""",")</f>
        <v>#N/A</v>
      </c>
      <c r="P98" s="411" t="str">
        <f>CONCAT("""","Tribe",""":","""", 'Kegg Taxon'!R98,""",")</f>
        <v>#N/A</v>
      </c>
      <c r="Q98" s="411" t="str">
        <f>CONCAT("""","Subtribe",""":","""", 'Kegg Taxon'!S98,""",")</f>
        <v>#N/A</v>
      </c>
      <c r="R98" s="411" t="str">
        <f>CONCAT("""","Genus",""":","""", 'Kegg Taxon'!T98,""",")</f>
        <v>#N/A</v>
      </c>
      <c r="S98" s="411" t="str">
        <f t="shared" si="2"/>
        <v>#N/A</v>
      </c>
      <c r="T98" s="411" t="str">
        <f>CONCAT("""","Species",""":","""", 'Kegg Taxon'!U98,""",")</f>
        <v>#N/A</v>
      </c>
      <c r="U98" s="411" t="str">
        <f>CONCAT("""","VarSubsp",""":","""", 'Kegg Taxon'!V98,"""")</f>
        <v>#N/A</v>
      </c>
      <c r="V98" s="412"/>
      <c r="W98" s="412"/>
      <c r="X98" s="412"/>
      <c r="Y98" s="412"/>
      <c r="Z98" s="412"/>
    </row>
    <row r="99" ht="14.25" customHeight="1">
      <c r="A99" s="409" t="s">
        <v>3781</v>
      </c>
      <c r="B99" s="410" t="str">
        <f t="shared" si="1"/>
        <v>#N/A</v>
      </c>
      <c r="C99" s="411" t="str">
        <f>(CONCAT("""","KeggCode", """:","""",'Kegg Taxon'!A99,""","))</f>
        <v>#N/A</v>
      </c>
      <c r="D99" s="411" t="str">
        <f> (CONCAT("""","CommonName",""":", """",'Kegg Taxon'!B99,""","))</f>
        <v>#N/A</v>
      </c>
      <c r="E99" s="411" t="str">
        <f> (CONCAT("""","ScientificName",""":", """",'Kegg Taxon'!C99,""","))</f>
        <v>#N/A</v>
      </c>
      <c r="F99" s="411" t="str">
        <f>CONCAT("""","Kingdom", """:","""",'Kegg Taxon'!D99,""",")</f>
        <v>#N/A</v>
      </c>
      <c r="G99" s="411" t="str">
        <f>CONCAT("""","Subkingdom",""":", """",'Kegg Taxon'!F99,""",")</f>
        <v>#N/A</v>
      </c>
      <c r="H99" s="411" t="str">
        <f>CONCAT("""","Superdivision",""":", """",'Kegg Taxon'!H99,""",")</f>
        <v>#N/A</v>
      </c>
      <c r="I99" s="411" t="str">
        <f>CONCAT("""","Phylum", """:","""",'Kegg Taxon'!I99,""",")</f>
        <v>#N/A</v>
      </c>
      <c r="J99" s="411" t="str">
        <f>CONCAT("""","Subphylum", """:","""",'Kegg Taxon'!J99,""",")</f>
        <v>#N/A</v>
      </c>
      <c r="K99" s="411" t="str">
        <f>CONCAT("""","Class", """:","""",'Kegg Taxon'!K99,""",")</f>
        <v>#N/A</v>
      </c>
      <c r="L99" s="411" t="str">
        <f>CONCAT("""","Subclass", """:","""",'Kegg Taxon'!L99,""",")</f>
        <v>#N/A</v>
      </c>
      <c r="M99" s="411" t="str">
        <f>CONCAT("""","Order",""":","""", 'Kegg Taxon'!O99,""",")</f>
        <v>#N/A</v>
      </c>
      <c r="N99" s="411" t="str">
        <f>CONCAT("""","Family",""":","""", 'Kegg Taxon'!P99,""",")</f>
        <v>#N/A</v>
      </c>
      <c r="O99" s="411" t="str">
        <f>CONCAT("""","Subfamily",""":","""", 'Kegg Taxon'!Q99,""",")</f>
        <v>#N/A</v>
      </c>
      <c r="P99" s="411" t="str">
        <f>CONCAT("""","Tribe",""":","""", 'Kegg Taxon'!R99,""",")</f>
        <v>#N/A</v>
      </c>
      <c r="Q99" s="411" t="str">
        <f>CONCAT("""","Subtribe",""":","""", 'Kegg Taxon'!S99,""",")</f>
        <v>#N/A</v>
      </c>
      <c r="R99" s="411" t="str">
        <f>CONCAT("""","Genus",""":","""", 'Kegg Taxon'!T99,""",")</f>
        <v>#N/A</v>
      </c>
      <c r="S99" s="411" t="str">
        <f t="shared" si="2"/>
        <v>#N/A</v>
      </c>
      <c r="T99" s="411" t="str">
        <f>CONCAT("""","Species",""":","""", 'Kegg Taxon'!U99,""",")</f>
        <v>#N/A</v>
      </c>
      <c r="U99" s="411" t="str">
        <f>CONCAT("""","VarSubsp",""":","""", 'Kegg Taxon'!V99,"""")</f>
        <v>#N/A</v>
      </c>
      <c r="V99" s="412"/>
      <c r="W99" s="412"/>
      <c r="X99" s="412"/>
      <c r="Y99" s="412"/>
      <c r="Z99" s="412"/>
    </row>
    <row r="100" ht="14.25" customHeight="1">
      <c r="A100" s="409" t="s">
        <v>3782</v>
      </c>
      <c r="B100" s="410" t="str">
        <f t="shared" si="1"/>
        <v>#N/A</v>
      </c>
      <c r="C100" s="411" t="str">
        <f>(CONCAT("""","KeggCode", """:","""",'Kegg Taxon'!A100,""","))</f>
        <v>#N/A</v>
      </c>
      <c r="D100" s="411" t="str">
        <f> (CONCAT("""","CommonName",""":", """",'Kegg Taxon'!B100,""","))</f>
        <v>#N/A</v>
      </c>
      <c r="E100" s="411" t="str">
        <f> (CONCAT("""","ScientificName",""":", """",'Kegg Taxon'!C100,""","))</f>
        <v>#N/A</v>
      </c>
      <c r="F100" s="411" t="str">
        <f>CONCAT("""","Kingdom", """:","""",'Kegg Taxon'!D100,""",")</f>
        <v>#N/A</v>
      </c>
      <c r="G100" s="411" t="str">
        <f>CONCAT("""","Subkingdom",""":", """",'Kegg Taxon'!F100,""",")</f>
        <v>#N/A</v>
      </c>
      <c r="H100" s="411" t="str">
        <f>CONCAT("""","Superdivision",""":", """",'Kegg Taxon'!H100,""",")</f>
        <v>#N/A</v>
      </c>
      <c r="I100" s="411" t="str">
        <f>CONCAT("""","Phylum", """:","""",'Kegg Taxon'!I100,""",")</f>
        <v>#N/A</v>
      </c>
      <c r="J100" s="411" t="str">
        <f>CONCAT("""","Subphylum", """:","""",'Kegg Taxon'!J100,""",")</f>
        <v>#N/A</v>
      </c>
      <c r="K100" s="411" t="str">
        <f>CONCAT("""","Class", """:","""",'Kegg Taxon'!K100,""",")</f>
        <v>#N/A</v>
      </c>
      <c r="L100" s="411" t="str">
        <f>CONCAT("""","Subclass", """:","""",'Kegg Taxon'!L100,""",")</f>
        <v>#N/A</v>
      </c>
      <c r="M100" s="411" t="str">
        <f>CONCAT("""","Order",""":","""", 'Kegg Taxon'!O100,""",")</f>
        <v>#N/A</v>
      </c>
      <c r="N100" s="411" t="str">
        <f>CONCAT("""","Family",""":","""", 'Kegg Taxon'!P100,""",")</f>
        <v>#N/A</v>
      </c>
      <c r="O100" s="411" t="str">
        <f>CONCAT("""","Subfamily",""":","""", 'Kegg Taxon'!Q100,""",")</f>
        <v>#N/A</v>
      </c>
      <c r="P100" s="411" t="str">
        <f>CONCAT("""","Tribe",""":","""", 'Kegg Taxon'!R100,""",")</f>
        <v>#N/A</v>
      </c>
      <c r="Q100" s="411" t="str">
        <f>CONCAT("""","Subtribe",""":","""", 'Kegg Taxon'!S100,""",")</f>
        <v>#N/A</v>
      </c>
      <c r="R100" s="411" t="str">
        <f>CONCAT("""","Genus",""":","""", 'Kegg Taxon'!T100,""",")</f>
        <v>#N/A</v>
      </c>
      <c r="S100" s="411" t="str">
        <f t="shared" si="2"/>
        <v>#N/A</v>
      </c>
      <c r="T100" s="411" t="str">
        <f>CONCAT("""","Species",""":","""", 'Kegg Taxon'!U100,""",")</f>
        <v>#N/A</v>
      </c>
      <c r="U100" s="411" t="str">
        <f>CONCAT("""","VarSubsp",""":","""", 'Kegg Taxon'!V100,"""")</f>
        <v>#N/A</v>
      </c>
      <c r="V100" s="412"/>
      <c r="W100" s="412"/>
      <c r="X100" s="412"/>
      <c r="Y100" s="412"/>
      <c r="Z100" s="412"/>
    </row>
    <row r="101" ht="14.25" customHeight="1">
      <c r="A101" s="409" t="s">
        <v>3783</v>
      </c>
      <c r="B101" s="410" t="str">
        <f t="shared" si="1"/>
        <v>#N/A</v>
      </c>
      <c r="C101" s="411" t="str">
        <f>(CONCAT("""","KeggCode", """:","""",'Kegg Taxon'!A101,""","))</f>
        <v>#N/A</v>
      </c>
      <c r="D101" s="411" t="str">
        <f> (CONCAT("""","CommonName",""":", """",'Kegg Taxon'!B101,""","))</f>
        <v>#N/A</v>
      </c>
      <c r="E101" s="411" t="str">
        <f> (CONCAT("""","ScientificName",""":", """",'Kegg Taxon'!C101,""","))</f>
        <v>#N/A</v>
      </c>
      <c r="F101" s="411" t="str">
        <f>CONCAT("""","Kingdom", """:","""",'Kegg Taxon'!D101,""",")</f>
        <v>#N/A</v>
      </c>
      <c r="G101" s="411" t="str">
        <f>CONCAT("""","Subkingdom",""":", """",'Kegg Taxon'!F101,""",")</f>
        <v>#N/A</v>
      </c>
      <c r="H101" s="411" t="str">
        <f>CONCAT("""","Superdivision",""":", """",'Kegg Taxon'!H101,""",")</f>
        <v>#N/A</v>
      </c>
      <c r="I101" s="411" t="str">
        <f>CONCAT("""","Phylum", """:","""",'Kegg Taxon'!I101,""",")</f>
        <v>#N/A</v>
      </c>
      <c r="J101" s="411" t="str">
        <f>CONCAT("""","Subphylum", """:","""",'Kegg Taxon'!J101,""",")</f>
        <v>#N/A</v>
      </c>
      <c r="K101" s="411" t="str">
        <f>CONCAT("""","Class", """:","""",'Kegg Taxon'!K101,""",")</f>
        <v>#N/A</v>
      </c>
      <c r="L101" s="411" t="str">
        <f>CONCAT("""","Subclass", """:","""",'Kegg Taxon'!L101,""",")</f>
        <v>#N/A</v>
      </c>
      <c r="M101" s="411" t="str">
        <f>CONCAT("""","Order",""":","""", 'Kegg Taxon'!O101,""",")</f>
        <v>#N/A</v>
      </c>
      <c r="N101" s="411" t="str">
        <f>CONCAT("""","Family",""":","""", 'Kegg Taxon'!P101,""",")</f>
        <v>#N/A</v>
      </c>
      <c r="O101" s="411" t="str">
        <f>CONCAT("""","Subfamily",""":","""", 'Kegg Taxon'!Q101,""",")</f>
        <v>#N/A</v>
      </c>
      <c r="P101" s="411" t="str">
        <f>CONCAT("""","Tribe",""":","""", 'Kegg Taxon'!R101,""",")</f>
        <v>#N/A</v>
      </c>
      <c r="Q101" s="411" t="str">
        <f>CONCAT("""","Subtribe",""":","""", 'Kegg Taxon'!S101,""",")</f>
        <v>#N/A</v>
      </c>
      <c r="R101" s="411" t="str">
        <f>CONCAT("""","Genus",""":","""", 'Kegg Taxon'!T101,""",")</f>
        <v>#N/A</v>
      </c>
      <c r="S101" s="411" t="str">
        <f t="shared" si="2"/>
        <v>#N/A</v>
      </c>
      <c r="T101" s="411" t="str">
        <f>CONCAT("""","Species",""":","""", 'Kegg Taxon'!U101,""",")</f>
        <v>#N/A</v>
      </c>
      <c r="U101" s="411" t="str">
        <f>CONCAT("""","VarSubsp",""":","""", 'Kegg Taxon'!V101,"""")</f>
        <v>#N/A</v>
      </c>
      <c r="V101" s="412"/>
      <c r="W101" s="412"/>
      <c r="X101" s="412"/>
      <c r="Y101" s="412"/>
      <c r="Z101" s="412"/>
    </row>
    <row r="102" ht="14.25" customHeight="1">
      <c r="A102" s="409" t="s">
        <v>3784</v>
      </c>
      <c r="B102" s="410" t="str">
        <f t="shared" si="1"/>
        <v>#N/A</v>
      </c>
      <c r="C102" s="411" t="str">
        <f>(CONCAT("""","KeggCode", """:","""",'Kegg Taxon'!A102,""","))</f>
        <v>#N/A</v>
      </c>
      <c r="D102" s="411" t="str">
        <f> (CONCAT("""","CommonName",""":", """",'Kegg Taxon'!B102,""","))</f>
        <v>#N/A</v>
      </c>
      <c r="E102" s="411" t="str">
        <f> (CONCAT("""","ScientificName",""":", """",'Kegg Taxon'!C102,""","))</f>
        <v>#N/A</v>
      </c>
      <c r="F102" s="411" t="str">
        <f>CONCAT("""","Kingdom", """:","""",'Kegg Taxon'!D102,""",")</f>
        <v>#N/A</v>
      </c>
      <c r="G102" s="411" t="str">
        <f>CONCAT("""","Subkingdom",""":", """",'Kegg Taxon'!F102,""",")</f>
        <v>#N/A</v>
      </c>
      <c r="H102" s="411" t="str">
        <f>CONCAT("""","Superdivision",""":", """",'Kegg Taxon'!H102,""",")</f>
        <v>#N/A</v>
      </c>
      <c r="I102" s="411" t="str">
        <f>CONCAT("""","Phylum", """:","""",'Kegg Taxon'!I102,""",")</f>
        <v>#N/A</v>
      </c>
      <c r="J102" s="411" t="str">
        <f>CONCAT("""","Subphylum", """:","""",'Kegg Taxon'!J102,""",")</f>
        <v>#N/A</v>
      </c>
      <c r="K102" s="411" t="str">
        <f>CONCAT("""","Class", """:","""",'Kegg Taxon'!K102,""",")</f>
        <v>#N/A</v>
      </c>
      <c r="L102" s="411" t="str">
        <f>CONCAT("""","Subclass", """:","""",'Kegg Taxon'!L102,""",")</f>
        <v>#N/A</v>
      </c>
      <c r="M102" s="411" t="str">
        <f>CONCAT("""","Order",""":","""", 'Kegg Taxon'!O102,""",")</f>
        <v>#N/A</v>
      </c>
      <c r="N102" s="411" t="str">
        <f>CONCAT("""","Family",""":","""", 'Kegg Taxon'!P102,""",")</f>
        <v>#N/A</v>
      </c>
      <c r="O102" s="411" t="str">
        <f>CONCAT("""","Subfamily",""":","""", 'Kegg Taxon'!Q102,""",")</f>
        <v>#N/A</v>
      </c>
      <c r="P102" s="411" t="str">
        <f>CONCAT("""","Tribe",""":","""", 'Kegg Taxon'!R102,""",")</f>
        <v>#N/A</v>
      </c>
      <c r="Q102" s="411" t="str">
        <f>CONCAT("""","Subtribe",""":","""", 'Kegg Taxon'!S102,""",")</f>
        <v>#N/A</v>
      </c>
      <c r="R102" s="411" t="str">
        <f>CONCAT("""","Genus",""":","""", 'Kegg Taxon'!T102,""",")</f>
        <v>#N/A</v>
      </c>
      <c r="S102" s="411" t="str">
        <f t="shared" si="2"/>
        <v>#N/A</v>
      </c>
      <c r="T102" s="411" t="str">
        <f>CONCAT("""","Species",""":","""", 'Kegg Taxon'!U102,""",")</f>
        <v>#N/A</v>
      </c>
      <c r="U102" s="411" t="str">
        <f>CONCAT("""","VarSubsp",""":","""", 'Kegg Taxon'!V102,"""")</f>
        <v>#N/A</v>
      </c>
      <c r="V102" s="412"/>
      <c r="W102" s="412"/>
      <c r="X102" s="412"/>
      <c r="Y102" s="412"/>
      <c r="Z102" s="412"/>
    </row>
    <row r="103" ht="14.25" customHeight="1">
      <c r="A103" s="409" t="s">
        <v>3785</v>
      </c>
      <c r="B103" s="410" t="str">
        <f t="shared" si="1"/>
        <v>#N/A</v>
      </c>
      <c r="C103" s="411" t="str">
        <f>(CONCAT("""","KeggCode", """:","""",'Kegg Taxon'!A103,""","))</f>
        <v>#N/A</v>
      </c>
      <c r="D103" s="411" t="str">
        <f> (CONCAT("""","CommonName",""":", """",'Kegg Taxon'!B103,""","))</f>
        <v>#N/A</v>
      </c>
      <c r="E103" s="411" t="str">
        <f> (CONCAT("""","ScientificName",""":", """",'Kegg Taxon'!C103,""","))</f>
        <v>#N/A</v>
      </c>
      <c r="F103" s="411" t="str">
        <f>CONCAT("""","Kingdom", """:","""",'Kegg Taxon'!D103,""",")</f>
        <v>#N/A</v>
      </c>
      <c r="G103" s="411" t="str">
        <f>CONCAT("""","Subkingdom",""":", """",'Kegg Taxon'!F103,""",")</f>
        <v>#N/A</v>
      </c>
      <c r="H103" s="411" t="str">
        <f>CONCAT("""","Superdivision",""":", """",'Kegg Taxon'!H103,""",")</f>
        <v>#N/A</v>
      </c>
      <c r="I103" s="411" t="str">
        <f>CONCAT("""","Phylum", """:","""",'Kegg Taxon'!I103,""",")</f>
        <v>#N/A</v>
      </c>
      <c r="J103" s="411" t="str">
        <f>CONCAT("""","Subphylum", """:","""",'Kegg Taxon'!J103,""",")</f>
        <v>#N/A</v>
      </c>
      <c r="K103" s="411" t="str">
        <f>CONCAT("""","Class", """:","""",'Kegg Taxon'!K103,""",")</f>
        <v>#N/A</v>
      </c>
      <c r="L103" s="411" t="str">
        <f>CONCAT("""","Subclass", """:","""",'Kegg Taxon'!L103,""",")</f>
        <v>#N/A</v>
      </c>
      <c r="M103" s="411" t="str">
        <f>CONCAT("""","Order",""":","""", 'Kegg Taxon'!O103,""",")</f>
        <v>#N/A</v>
      </c>
      <c r="N103" s="411" t="str">
        <f>CONCAT("""","Family",""":","""", 'Kegg Taxon'!P103,""",")</f>
        <v>#N/A</v>
      </c>
      <c r="O103" s="411" t="str">
        <f>CONCAT("""","Subfamily",""":","""", 'Kegg Taxon'!Q103,""",")</f>
        <v>#N/A</v>
      </c>
      <c r="P103" s="411" t="str">
        <f>CONCAT("""","Tribe",""":","""", 'Kegg Taxon'!R103,""",")</f>
        <v>#N/A</v>
      </c>
      <c r="Q103" s="411" t="str">
        <f>CONCAT("""","Subtribe",""":","""", 'Kegg Taxon'!S103,""",")</f>
        <v>#N/A</v>
      </c>
      <c r="R103" s="411" t="str">
        <f>CONCAT("""","Genus",""":","""", 'Kegg Taxon'!T103,""",")</f>
        <v>#N/A</v>
      </c>
      <c r="S103" s="411" t="str">
        <f t="shared" si="2"/>
        <v>#N/A</v>
      </c>
      <c r="T103" s="411" t="str">
        <f>CONCAT("""","Species",""":","""", 'Kegg Taxon'!U103,""",")</f>
        <v>#N/A</v>
      </c>
      <c r="U103" s="411" t="str">
        <f>CONCAT("""","VarSubsp",""":","""", 'Kegg Taxon'!V103,"""")</f>
        <v>#N/A</v>
      </c>
      <c r="V103" s="412"/>
      <c r="W103" s="412"/>
      <c r="X103" s="412"/>
      <c r="Y103" s="412"/>
      <c r="Z103" s="412"/>
    </row>
    <row r="104" ht="14.25" customHeight="1">
      <c r="A104" s="409" t="s">
        <v>3786</v>
      </c>
      <c r="B104" s="410" t="str">
        <f t="shared" si="1"/>
        <v>#N/A</v>
      </c>
      <c r="C104" s="411" t="str">
        <f>(CONCAT("""","KeggCode", """:","""",'Kegg Taxon'!A104,""","))</f>
        <v>#N/A</v>
      </c>
      <c r="D104" s="411" t="str">
        <f> (CONCAT("""","CommonName",""":", """",'Kegg Taxon'!B104,""","))</f>
        <v>#N/A</v>
      </c>
      <c r="E104" s="411" t="str">
        <f> (CONCAT("""","ScientificName",""":", """",'Kegg Taxon'!C104,""","))</f>
        <v>#N/A</v>
      </c>
      <c r="F104" s="411" t="str">
        <f>CONCAT("""","Kingdom", """:","""",'Kegg Taxon'!D104,""",")</f>
        <v>#N/A</v>
      </c>
      <c r="G104" s="411" t="str">
        <f>CONCAT("""","Subkingdom",""":", """",'Kegg Taxon'!F104,""",")</f>
        <v>#N/A</v>
      </c>
      <c r="H104" s="411" t="str">
        <f>CONCAT("""","Superdivision",""":", """",'Kegg Taxon'!H104,""",")</f>
        <v>#N/A</v>
      </c>
      <c r="I104" s="411" t="str">
        <f>CONCAT("""","Phylum", """:","""",'Kegg Taxon'!I104,""",")</f>
        <v>#N/A</v>
      </c>
      <c r="J104" s="411" t="str">
        <f>CONCAT("""","Subphylum", """:","""",'Kegg Taxon'!J104,""",")</f>
        <v>#N/A</v>
      </c>
      <c r="K104" s="411" t="str">
        <f>CONCAT("""","Class", """:","""",'Kegg Taxon'!K104,""",")</f>
        <v>#N/A</v>
      </c>
      <c r="L104" s="411" t="str">
        <f>CONCAT("""","Subclass", """:","""",'Kegg Taxon'!L104,""",")</f>
        <v>#N/A</v>
      </c>
      <c r="M104" s="411" t="str">
        <f>CONCAT("""","Order",""":","""", 'Kegg Taxon'!O104,""",")</f>
        <v>#N/A</v>
      </c>
      <c r="N104" s="411" t="str">
        <f>CONCAT("""","Family",""":","""", 'Kegg Taxon'!P104,""",")</f>
        <v>#N/A</v>
      </c>
      <c r="O104" s="411" t="str">
        <f>CONCAT("""","Subfamily",""":","""", 'Kegg Taxon'!Q104,""",")</f>
        <v>#N/A</v>
      </c>
      <c r="P104" s="411" t="str">
        <f>CONCAT("""","Tribe",""":","""", 'Kegg Taxon'!R104,""",")</f>
        <v>#N/A</v>
      </c>
      <c r="Q104" s="411" t="str">
        <f>CONCAT("""","Subtribe",""":","""", 'Kegg Taxon'!S104,""",")</f>
        <v>#N/A</v>
      </c>
      <c r="R104" s="411" t="str">
        <f>CONCAT("""","Genus",""":","""", 'Kegg Taxon'!T104,""",")</f>
        <v>#N/A</v>
      </c>
      <c r="S104" s="411" t="str">
        <f t="shared" si="2"/>
        <v>#N/A</v>
      </c>
      <c r="T104" s="411" t="str">
        <f>CONCAT("""","Species",""":","""", 'Kegg Taxon'!U104,""",")</f>
        <v>#N/A</v>
      </c>
      <c r="U104" s="411" t="str">
        <f>CONCAT("""","VarSubsp",""":","""", 'Kegg Taxon'!V104,"""")</f>
        <v>#N/A</v>
      </c>
      <c r="V104" s="412"/>
      <c r="W104" s="412"/>
      <c r="X104" s="412"/>
      <c r="Y104" s="412"/>
      <c r="Z104" s="412"/>
    </row>
    <row r="105" ht="14.25" customHeight="1">
      <c r="A105" s="409" t="s">
        <v>3787</v>
      </c>
      <c r="B105" s="410" t="str">
        <f t="shared" si="1"/>
        <v>#N/A</v>
      </c>
      <c r="C105" s="411" t="str">
        <f>(CONCAT("""","KeggCode", """:","""",'Kegg Taxon'!A105,""","))</f>
        <v>#N/A</v>
      </c>
      <c r="D105" s="411" t="str">
        <f> (CONCAT("""","CommonName",""":", """",'Kegg Taxon'!B105,""","))</f>
        <v>#N/A</v>
      </c>
      <c r="E105" s="411" t="str">
        <f> (CONCAT("""","ScientificName",""":", """",'Kegg Taxon'!C105,""","))</f>
        <v>#N/A</v>
      </c>
      <c r="F105" s="411" t="str">
        <f>CONCAT("""","Kingdom", """:","""",'Kegg Taxon'!D105,""",")</f>
        <v>#N/A</v>
      </c>
      <c r="G105" s="411" t="str">
        <f>CONCAT("""","Subkingdom",""":", """",'Kegg Taxon'!F105,""",")</f>
        <v>#N/A</v>
      </c>
      <c r="H105" s="411" t="str">
        <f>CONCAT("""","Superdivision",""":", """",'Kegg Taxon'!H105,""",")</f>
        <v>#N/A</v>
      </c>
      <c r="I105" s="411" t="str">
        <f>CONCAT("""","Phylum", """:","""",'Kegg Taxon'!I105,""",")</f>
        <v>#N/A</v>
      </c>
      <c r="J105" s="411" t="str">
        <f>CONCAT("""","Subphylum", """:","""",'Kegg Taxon'!J105,""",")</f>
        <v>#N/A</v>
      </c>
      <c r="K105" s="411" t="str">
        <f>CONCAT("""","Class", """:","""",'Kegg Taxon'!K105,""",")</f>
        <v>#N/A</v>
      </c>
      <c r="L105" s="411" t="str">
        <f>CONCAT("""","Subclass", """:","""",'Kegg Taxon'!L105,""",")</f>
        <v>#N/A</v>
      </c>
      <c r="M105" s="411" t="str">
        <f>CONCAT("""","Order",""":","""", 'Kegg Taxon'!O105,""",")</f>
        <v>#N/A</v>
      </c>
      <c r="N105" s="411" t="str">
        <f>CONCAT("""","Family",""":","""", 'Kegg Taxon'!P105,""",")</f>
        <v>#N/A</v>
      </c>
      <c r="O105" s="411" t="str">
        <f>CONCAT("""","Subfamily",""":","""", 'Kegg Taxon'!Q105,""",")</f>
        <v>#N/A</v>
      </c>
      <c r="P105" s="411" t="str">
        <f>CONCAT("""","Tribe",""":","""", 'Kegg Taxon'!R105,""",")</f>
        <v>#N/A</v>
      </c>
      <c r="Q105" s="411" t="str">
        <f>CONCAT("""","Subtribe",""":","""", 'Kegg Taxon'!S105,""",")</f>
        <v>#N/A</v>
      </c>
      <c r="R105" s="411" t="str">
        <f>CONCAT("""","Genus",""":","""", 'Kegg Taxon'!T105,""",")</f>
        <v>#N/A</v>
      </c>
      <c r="S105" s="411" t="str">
        <f t="shared" si="2"/>
        <v>#N/A</v>
      </c>
      <c r="T105" s="411" t="str">
        <f>CONCAT("""","Species",""":","""", 'Kegg Taxon'!U105,""",")</f>
        <v>#N/A</v>
      </c>
      <c r="U105" s="411" t="str">
        <f>CONCAT("""","VarSubsp",""":","""", 'Kegg Taxon'!V105,"""")</f>
        <v>#N/A</v>
      </c>
      <c r="V105" s="412"/>
      <c r="W105" s="412"/>
      <c r="X105" s="412"/>
      <c r="Y105" s="412"/>
      <c r="Z105" s="412"/>
    </row>
    <row r="106" ht="14.25" customHeight="1">
      <c r="A106" s="409" t="s">
        <v>3788</v>
      </c>
      <c r="B106" s="410" t="str">
        <f t="shared" si="1"/>
        <v>#N/A</v>
      </c>
      <c r="C106" s="411" t="str">
        <f>(CONCAT("""","KeggCode", """:","""",'Kegg Taxon'!A106,""","))</f>
        <v>#N/A</v>
      </c>
      <c r="D106" s="411" t="str">
        <f> (CONCAT("""","CommonName",""":", """",'Kegg Taxon'!B106,""","))</f>
        <v>#N/A</v>
      </c>
      <c r="E106" s="411" t="str">
        <f> (CONCAT("""","ScientificName",""":", """",'Kegg Taxon'!C106,""","))</f>
        <v>#N/A</v>
      </c>
      <c r="F106" s="411" t="str">
        <f>CONCAT("""","Kingdom", """:","""",'Kegg Taxon'!D106,""",")</f>
        <v>#N/A</v>
      </c>
      <c r="G106" s="411" t="str">
        <f>CONCAT("""","Subkingdom",""":", """",'Kegg Taxon'!F106,""",")</f>
        <v>#N/A</v>
      </c>
      <c r="H106" s="411" t="str">
        <f>CONCAT("""","Superdivision",""":", """",'Kegg Taxon'!H106,""",")</f>
        <v>#N/A</v>
      </c>
      <c r="I106" s="411" t="str">
        <f>CONCAT("""","Phylum", """:","""",'Kegg Taxon'!I106,""",")</f>
        <v>#N/A</v>
      </c>
      <c r="J106" s="411" t="str">
        <f>CONCAT("""","Subphylum", """:","""",'Kegg Taxon'!J106,""",")</f>
        <v>#N/A</v>
      </c>
      <c r="K106" s="411" t="str">
        <f>CONCAT("""","Class", """:","""",'Kegg Taxon'!K106,""",")</f>
        <v>#N/A</v>
      </c>
      <c r="L106" s="411" t="str">
        <f>CONCAT("""","Subclass", """:","""",'Kegg Taxon'!L106,""",")</f>
        <v>#N/A</v>
      </c>
      <c r="M106" s="411" t="str">
        <f>CONCAT("""","Order",""":","""", 'Kegg Taxon'!O106,""",")</f>
        <v>#N/A</v>
      </c>
      <c r="N106" s="411" t="str">
        <f>CONCAT("""","Family",""":","""", 'Kegg Taxon'!P106,""",")</f>
        <v>#N/A</v>
      </c>
      <c r="O106" s="411" t="str">
        <f>CONCAT("""","Subfamily",""":","""", 'Kegg Taxon'!Q106,""",")</f>
        <v>#N/A</v>
      </c>
      <c r="P106" s="411" t="str">
        <f>CONCAT("""","Tribe",""":","""", 'Kegg Taxon'!R106,""",")</f>
        <v>#N/A</v>
      </c>
      <c r="Q106" s="411" t="str">
        <f>CONCAT("""","Subtribe",""":","""", 'Kegg Taxon'!S106,""",")</f>
        <v>#N/A</v>
      </c>
      <c r="R106" s="411" t="str">
        <f>CONCAT("""","Genus",""":","""", 'Kegg Taxon'!T106,""",")</f>
        <v>#N/A</v>
      </c>
      <c r="S106" s="411" t="str">
        <f t="shared" si="2"/>
        <v>#N/A</v>
      </c>
      <c r="T106" s="411" t="str">
        <f>CONCAT("""","Species",""":","""", 'Kegg Taxon'!U106,""",")</f>
        <v>#N/A</v>
      </c>
      <c r="U106" s="411" t="str">
        <f>CONCAT("""","VarSubsp",""":","""", 'Kegg Taxon'!V106,"""")</f>
        <v>#N/A</v>
      </c>
      <c r="V106" s="412"/>
      <c r="W106" s="412"/>
      <c r="X106" s="412"/>
      <c r="Y106" s="412"/>
      <c r="Z106" s="412"/>
    </row>
    <row r="107" ht="14.25" customHeight="1">
      <c r="A107" s="409" t="s">
        <v>3789</v>
      </c>
      <c r="B107" s="410" t="str">
        <f>CONCAT("{",C107,D107,E107,F107,G107,H107,I107,J107,K107,L107,M107,N107,O107,P107,Q107,R107,S107,T107,U107,"}")</f>
        <v>#N/A</v>
      </c>
      <c r="C107" s="411" t="str">
        <f>(CONCAT("""","KeggCode", """:","""",'Kegg Taxon'!A107,""","))</f>
        <v>#N/A</v>
      </c>
      <c r="D107" s="411" t="str">
        <f> (CONCAT("""","CommonName",""":", """",'Kegg Taxon'!B107,""","))</f>
        <v>#N/A</v>
      </c>
      <c r="E107" s="411" t="str">
        <f> (CONCAT("""","ScientificName",""":", """",'Kegg Taxon'!C107,""","))</f>
        <v>#N/A</v>
      </c>
      <c r="F107" s="411" t="str">
        <f>CONCAT("""","Kingdom", """:","""",'Kegg Taxon'!D107,""",")</f>
        <v>#N/A</v>
      </c>
      <c r="G107" s="411" t="str">
        <f>CONCAT("""","Subkingdom",""":", """",'Kegg Taxon'!F107,""",")</f>
        <v>#N/A</v>
      </c>
      <c r="H107" s="411" t="str">
        <f>CONCAT("""","Superdivision",""":", """",'Kegg Taxon'!H107,""",")</f>
        <v>#N/A</v>
      </c>
      <c r="I107" s="411" t="str">
        <f>CONCAT("""","Phylum", """:","""",'Kegg Taxon'!I107,""",")</f>
        <v>#N/A</v>
      </c>
      <c r="J107" s="411" t="str">
        <f>CONCAT("""","Subphylum", """:","""",'Kegg Taxon'!J107,""",")</f>
        <v>#N/A</v>
      </c>
      <c r="K107" s="411" t="str">
        <f>CONCAT("""","Class", """:","""",'Kegg Taxon'!K107,""",")</f>
        <v>#N/A</v>
      </c>
      <c r="L107" s="411" t="str">
        <f>CONCAT("""","Subclass", """:","""",'Kegg Taxon'!L107,""",")</f>
        <v>#N/A</v>
      </c>
      <c r="M107" s="411" t="str">
        <f>CONCAT("""","Order",""":","""", 'Kegg Taxon'!O107,""",")</f>
        <v>#N/A</v>
      </c>
      <c r="N107" s="411" t="str">
        <f>CONCAT("""","Family",""":","""", 'Kegg Taxon'!P107,""",")</f>
        <v>#N/A</v>
      </c>
      <c r="O107" s="411" t="str">
        <f>CONCAT("""","Subfamily",""":","""", 'Kegg Taxon'!Q107,""",")</f>
        <v>#N/A</v>
      </c>
      <c r="P107" s="411" t="str">
        <f>CONCAT("""","Tribe",""":","""", 'Kegg Taxon'!R107,""",")</f>
        <v>#N/A</v>
      </c>
      <c r="Q107" s="411" t="str">
        <f>CONCAT("""","Subtribe",""":","""", 'Kegg Taxon'!S107,""",")</f>
        <v>#N/A</v>
      </c>
      <c r="R107" s="411" t="str">
        <f>CONCAT("""","Genus",""":","""", 'Kegg Taxon'!T107,""",")</f>
        <v>#N/A</v>
      </c>
      <c r="S107" s="411" t="str">
        <f t="shared" si="2"/>
        <v>#N/A</v>
      </c>
      <c r="T107" s="411" t="str">
        <f>CONCAT("""","Species",""":","""", 'Kegg Taxon'!U107,""",")</f>
        <v>#N/A</v>
      </c>
      <c r="U107" s="411" t="str">
        <f>CONCAT("""","VarSubsp",""":","""", 'Kegg Taxon'!V107,"""")</f>
        <v>#N/A</v>
      </c>
      <c r="V107" s="412"/>
      <c r="W107" s="412"/>
      <c r="X107" s="412"/>
      <c r="Y107" s="412"/>
      <c r="Z107" s="412"/>
    </row>
    <row r="108" ht="14.25" customHeight="1">
      <c r="A108" s="412"/>
      <c r="B108" s="410"/>
      <c r="C108" s="411"/>
      <c r="D108" s="411"/>
      <c r="E108" s="411"/>
      <c r="F108" s="411"/>
      <c r="G108" s="411"/>
      <c r="H108" s="411"/>
      <c r="I108" s="411"/>
      <c r="J108" s="411"/>
      <c r="K108" s="411"/>
      <c r="L108" s="411"/>
      <c r="M108" s="411"/>
      <c r="N108" s="411"/>
      <c r="O108" s="411"/>
      <c r="P108" s="411"/>
      <c r="Q108" s="411"/>
      <c r="R108" s="411"/>
      <c r="S108" s="411"/>
      <c r="T108" s="411"/>
      <c r="U108" s="411"/>
      <c r="V108" s="412"/>
      <c r="W108" s="412"/>
      <c r="X108" s="412"/>
      <c r="Y108" s="412"/>
      <c r="Z108" s="412"/>
    </row>
    <row r="109" ht="14.25" customHeight="1">
      <c r="A109" s="412"/>
      <c r="B109" s="410"/>
      <c r="C109" s="411"/>
      <c r="D109" s="411"/>
      <c r="E109" s="411"/>
      <c r="F109" s="411"/>
      <c r="G109" s="411"/>
      <c r="H109" s="411"/>
      <c r="I109" s="411"/>
      <c r="J109" s="411"/>
      <c r="K109" s="411"/>
      <c r="L109" s="411"/>
      <c r="M109" s="411"/>
      <c r="N109" s="411"/>
      <c r="O109" s="411"/>
      <c r="P109" s="411"/>
      <c r="Q109" s="411"/>
      <c r="R109" s="411"/>
      <c r="S109" s="411"/>
      <c r="T109" s="411"/>
      <c r="U109" s="411"/>
      <c r="V109" s="412"/>
      <c r="W109" s="412"/>
      <c r="X109" s="412"/>
      <c r="Y109" s="412"/>
      <c r="Z109" s="412"/>
    </row>
    <row r="110" ht="14.25" customHeight="1">
      <c r="A110" s="412"/>
      <c r="B110" s="410"/>
      <c r="C110" s="411"/>
      <c r="D110" s="411"/>
      <c r="E110" s="411"/>
      <c r="F110" s="411"/>
      <c r="G110" s="411"/>
      <c r="H110" s="411"/>
      <c r="I110" s="411"/>
      <c r="J110" s="411"/>
      <c r="K110" s="411"/>
      <c r="L110" s="411"/>
      <c r="M110" s="411"/>
      <c r="N110" s="411"/>
      <c r="O110" s="411"/>
      <c r="P110" s="411"/>
      <c r="Q110" s="411"/>
      <c r="R110" s="411"/>
      <c r="S110" s="411"/>
      <c r="T110" s="411"/>
      <c r="U110" s="411"/>
      <c r="V110" s="412"/>
      <c r="W110" s="412"/>
      <c r="X110" s="412"/>
      <c r="Y110" s="412"/>
      <c r="Z110" s="412"/>
    </row>
    <row r="111" ht="14.25" customHeight="1">
      <c r="A111" s="412"/>
      <c r="B111" s="410"/>
      <c r="C111" s="411"/>
      <c r="D111" s="411"/>
      <c r="E111" s="411"/>
      <c r="F111" s="411"/>
      <c r="G111" s="411"/>
      <c r="H111" s="411"/>
      <c r="I111" s="411"/>
      <c r="J111" s="411"/>
      <c r="K111" s="411"/>
      <c r="L111" s="411"/>
      <c r="M111" s="411"/>
      <c r="N111" s="411"/>
      <c r="O111" s="411"/>
      <c r="P111" s="411"/>
      <c r="Q111" s="411"/>
      <c r="R111" s="411"/>
      <c r="S111" s="411"/>
      <c r="T111" s="411"/>
      <c r="U111" s="411"/>
      <c r="V111" s="412"/>
      <c r="W111" s="412"/>
      <c r="X111" s="412"/>
      <c r="Y111" s="412"/>
      <c r="Z111" s="412"/>
    </row>
    <row r="112" ht="14.25" customHeight="1">
      <c r="A112" s="412"/>
      <c r="B112" s="410"/>
      <c r="C112" s="411"/>
      <c r="D112" s="411"/>
      <c r="E112" s="411"/>
      <c r="F112" s="411"/>
      <c r="G112" s="411"/>
      <c r="H112" s="411"/>
      <c r="I112" s="411"/>
      <c r="J112" s="411"/>
      <c r="K112" s="411"/>
      <c r="L112" s="411"/>
      <c r="M112" s="411"/>
      <c r="N112" s="411"/>
      <c r="O112" s="411"/>
      <c r="P112" s="411"/>
      <c r="Q112" s="411"/>
      <c r="R112" s="411"/>
      <c r="S112" s="411"/>
      <c r="T112" s="411"/>
      <c r="U112" s="411"/>
      <c r="V112" s="412"/>
      <c r="W112" s="412"/>
      <c r="X112" s="412"/>
      <c r="Y112" s="412"/>
      <c r="Z112" s="412"/>
    </row>
    <row r="113" ht="14.25" customHeight="1">
      <c r="A113" s="412"/>
      <c r="B113" s="410"/>
      <c r="C113" s="412"/>
      <c r="D113" s="412"/>
      <c r="E113" s="412"/>
      <c r="F113" s="412"/>
      <c r="G113" s="412"/>
      <c r="H113" s="412"/>
      <c r="I113" s="412"/>
      <c r="J113" s="412"/>
      <c r="K113" s="412"/>
      <c r="L113" s="412"/>
      <c r="M113" s="412"/>
      <c r="N113" s="412"/>
      <c r="O113" s="412"/>
      <c r="P113" s="412"/>
      <c r="Q113" s="412"/>
      <c r="R113" s="412"/>
      <c r="S113" s="412"/>
      <c r="T113" s="412"/>
      <c r="U113" s="412"/>
      <c r="V113" s="412"/>
      <c r="W113" s="412"/>
      <c r="X113" s="412"/>
      <c r="Y113" s="412"/>
      <c r="Z113" s="412"/>
    </row>
    <row r="114" ht="14.25" customHeight="1">
      <c r="A114" s="412"/>
      <c r="B114" s="410"/>
      <c r="C114" s="412"/>
      <c r="D114" s="412"/>
      <c r="E114" s="412"/>
      <c r="F114" s="412"/>
      <c r="G114" s="412"/>
      <c r="H114" s="412"/>
      <c r="I114" s="412"/>
      <c r="J114" s="412"/>
      <c r="K114" s="412"/>
      <c r="L114" s="412"/>
      <c r="M114" s="412"/>
      <c r="N114" s="412"/>
      <c r="O114" s="412"/>
      <c r="P114" s="412"/>
      <c r="Q114" s="412"/>
      <c r="R114" s="412"/>
      <c r="S114" s="412"/>
      <c r="T114" s="412"/>
      <c r="U114" s="412"/>
      <c r="V114" s="412"/>
      <c r="W114" s="412"/>
      <c r="X114" s="412"/>
      <c r="Y114" s="412"/>
      <c r="Z114" s="412"/>
    </row>
    <row r="115" ht="14.25" customHeight="1">
      <c r="A115" s="412"/>
      <c r="B115" s="410"/>
      <c r="C115" s="412"/>
      <c r="D115" s="412"/>
      <c r="E115" s="412"/>
      <c r="F115" s="412"/>
      <c r="G115" s="412"/>
      <c r="H115" s="412"/>
      <c r="I115" s="412"/>
      <c r="J115" s="412"/>
      <c r="K115" s="412"/>
      <c r="L115" s="412"/>
      <c r="M115" s="412"/>
      <c r="N115" s="412"/>
      <c r="O115" s="412"/>
      <c r="P115" s="412"/>
      <c r="Q115" s="412"/>
      <c r="R115" s="412"/>
      <c r="S115" s="412"/>
      <c r="T115" s="412"/>
      <c r="U115" s="412"/>
      <c r="V115" s="412"/>
      <c r="W115" s="412"/>
      <c r="X115" s="412"/>
      <c r="Y115" s="412"/>
      <c r="Z115" s="412"/>
    </row>
    <row r="116" ht="14.25" customHeight="1">
      <c r="A116" s="412"/>
      <c r="B116" s="410"/>
      <c r="C116" s="412"/>
      <c r="D116" s="412"/>
      <c r="E116" s="412"/>
      <c r="F116" s="412"/>
      <c r="G116" s="412"/>
      <c r="H116" s="412"/>
      <c r="I116" s="412"/>
      <c r="J116" s="412"/>
      <c r="K116" s="412"/>
      <c r="L116" s="412"/>
      <c r="M116" s="412"/>
      <c r="N116" s="412"/>
      <c r="O116" s="412"/>
      <c r="P116" s="412"/>
      <c r="Q116" s="412"/>
      <c r="R116" s="412"/>
      <c r="S116" s="412"/>
      <c r="T116" s="412"/>
      <c r="U116" s="412"/>
      <c r="V116" s="412"/>
      <c r="W116" s="412"/>
      <c r="X116" s="412"/>
      <c r="Y116" s="412"/>
      <c r="Z116" s="412"/>
    </row>
    <row r="117" ht="14.25" customHeight="1">
      <c r="A117" s="412"/>
      <c r="B117" s="410"/>
      <c r="C117" s="412"/>
      <c r="D117" s="412"/>
      <c r="E117" s="412"/>
      <c r="F117" s="412"/>
      <c r="G117" s="412"/>
      <c r="H117" s="412"/>
      <c r="I117" s="412"/>
      <c r="J117" s="412"/>
      <c r="K117" s="412"/>
      <c r="L117" s="412"/>
      <c r="M117" s="412"/>
      <c r="N117" s="412"/>
      <c r="O117" s="412"/>
      <c r="P117" s="412"/>
      <c r="Q117" s="412"/>
      <c r="R117" s="412"/>
      <c r="S117" s="412"/>
      <c r="T117" s="412"/>
      <c r="U117" s="412"/>
      <c r="V117" s="412"/>
      <c r="W117" s="412"/>
      <c r="X117" s="412"/>
      <c r="Y117" s="412"/>
      <c r="Z117" s="412"/>
    </row>
    <row r="118" ht="14.25" customHeight="1">
      <c r="A118" s="412"/>
      <c r="B118" s="410"/>
      <c r="C118" s="412"/>
      <c r="D118" s="412"/>
      <c r="E118" s="412"/>
      <c r="F118" s="412"/>
      <c r="G118" s="412"/>
      <c r="H118" s="412"/>
      <c r="I118" s="412"/>
      <c r="J118" s="412"/>
      <c r="K118" s="412"/>
      <c r="L118" s="412"/>
      <c r="M118" s="412"/>
      <c r="N118" s="412"/>
      <c r="O118" s="412"/>
      <c r="P118" s="412"/>
      <c r="Q118" s="412"/>
      <c r="R118" s="412"/>
      <c r="S118" s="412"/>
      <c r="T118" s="412"/>
      <c r="U118" s="412"/>
      <c r="V118" s="412"/>
      <c r="W118" s="412"/>
      <c r="X118" s="412"/>
      <c r="Y118" s="412"/>
      <c r="Z118" s="412"/>
    </row>
    <row r="119" ht="14.25" customHeight="1">
      <c r="A119" s="412"/>
      <c r="B119" s="410"/>
      <c r="C119" s="412"/>
      <c r="D119" s="412"/>
      <c r="E119" s="412"/>
      <c r="F119" s="412"/>
      <c r="G119" s="412"/>
      <c r="H119" s="412"/>
      <c r="I119" s="412"/>
      <c r="J119" s="412"/>
      <c r="K119" s="412"/>
      <c r="L119" s="412"/>
      <c r="M119" s="412"/>
      <c r="N119" s="412"/>
      <c r="O119" s="412"/>
      <c r="P119" s="412"/>
      <c r="Q119" s="412"/>
      <c r="R119" s="412"/>
      <c r="S119" s="412"/>
      <c r="T119" s="412"/>
      <c r="U119" s="412"/>
      <c r="V119" s="412"/>
      <c r="W119" s="412"/>
      <c r="X119" s="412"/>
      <c r="Y119" s="412"/>
      <c r="Z119" s="412"/>
    </row>
    <row r="120" ht="14.25" customHeight="1">
      <c r="A120" s="412"/>
      <c r="B120" s="410"/>
      <c r="C120" s="412"/>
      <c r="D120" s="412"/>
      <c r="E120" s="412"/>
      <c r="F120" s="412"/>
      <c r="G120" s="412"/>
      <c r="H120" s="412"/>
      <c r="I120" s="412"/>
      <c r="J120" s="412"/>
      <c r="K120" s="412"/>
      <c r="L120" s="412"/>
      <c r="M120" s="412"/>
      <c r="N120" s="412"/>
      <c r="O120" s="412"/>
      <c r="P120" s="412"/>
      <c r="Q120" s="412"/>
      <c r="R120" s="412"/>
      <c r="S120" s="412"/>
      <c r="T120" s="412"/>
      <c r="U120" s="412"/>
      <c r="V120" s="412"/>
      <c r="W120" s="412"/>
      <c r="X120" s="412"/>
      <c r="Y120" s="412"/>
      <c r="Z120" s="412"/>
    </row>
    <row r="121" ht="14.25" customHeight="1">
      <c r="A121" s="412"/>
      <c r="B121" s="410"/>
      <c r="C121" s="412"/>
      <c r="D121" s="412"/>
      <c r="E121" s="412"/>
      <c r="F121" s="412"/>
      <c r="G121" s="412"/>
      <c r="H121" s="412"/>
      <c r="I121" s="412"/>
      <c r="J121" s="412"/>
      <c r="K121" s="412"/>
      <c r="L121" s="412"/>
      <c r="M121" s="412"/>
      <c r="N121" s="412"/>
      <c r="O121" s="412"/>
      <c r="P121" s="412"/>
      <c r="Q121" s="412"/>
      <c r="R121" s="412"/>
      <c r="S121" s="412"/>
      <c r="T121" s="412"/>
      <c r="U121" s="412"/>
      <c r="V121" s="412"/>
      <c r="W121" s="412"/>
      <c r="X121" s="412"/>
      <c r="Y121" s="412"/>
      <c r="Z121" s="412"/>
    </row>
    <row r="122" ht="14.25" customHeight="1">
      <c r="A122" s="412"/>
      <c r="B122" s="410"/>
      <c r="C122" s="412"/>
      <c r="D122" s="412"/>
      <c r="E122" s="412"/>
      <c r="F122" s="412"/>
      <c r="G122" s="412"/>
      <c r="H122" s="412"/>
      <c r="I122" s="412"/>
      <c r="J122" s="412"/>
      <c r="K122" s="412"/>
      <c r="L122" s="412"/>
      <c r="M122" s="412"/>
      <c r="N122" s="412"/>
      <c r="O122" s="412"/>
      <c r="P122" s="412"/>
      <c r="Q122" s="412"/>
      <c r="R122" s="412"/>
      <c r="S122" s="412"/>
      <c r="T122" s="412"/>
      <c r="U122" s="412"/>
      <c r="V122" s="412"/>
      <c r="W122" s="412"/>
      <c r="X122" s="412"/>
      <c r="Y122" s="412"/>
      <c r="Z122" s="412"/>
    </row>
    <row r="123" ht="14.25" customHeight="1">
      <c r="A123" s="412"/>
      <c r="B123" s="410"/>
      <c r="C123" s="412"/>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row>
    <row r="124" ht="14.25" customHeight="1">
      <c r="A124" s="412"/>
      <c r="B124" s="410"/>
      <c r="C124" s="412"/>
      <c r="D124" s="412"/>
      <c r="E124" s="412"/>
      <c r="F124" s="412"/>
      <c r="G124" s="412"/>
      <c r="H124" s="412"/>
      <c r="I124" s="412"/>
      <c r="J124" s="412"/>
      <c r="K124" s="412"/>
      <c r="L124" s="412"/>
      <c r="M124" s="412"/>
      <c r="N124" s="412"/>
      <c r="O124" s="412"/>
      <c r="P124" s="412"/>
      <c r="Q124" s="412"/>
      <c r="R124" s="412"/>
      <c r="S124" s="412"/>
      <c r="T124" s="412"/>
      <c r="U124" s="412"/>
      <c r="V124" s="412"/>
      <c r="W124" s="412"/>
      <c r="X124" s="412"/>
      <c r="Y124" s="412"/>
      <c r="Z124" s="412"/>
    </row>
    <row r="125" ht="14.25" customHeight="1">
      <c r="A125" s="412"/>
      <c r="B125" s="410"/>
      <c r="C125" s="412"/>
      <c r="D125" s="412"/>
      <c r="E125" s="412"/>
      <c r="F125" s="412"/>
      <c r="G125" s="412"/>
      <c r="H125" s="412"/>
      <c r="I125" s="412"/>
      <c r="J125" s="412"/>
      <c r="K125" s="412"/>
      <c r="L125" s="412"/>
      <c r="M125" s="412"/>
      <c r="N125" s="412"/>
      <c r="O125" s="412"/>
      <c r="P125" s="412"/>
      <c r="Q125" s="412"/>
      <c r="R125" s="412"/>
      <c r="S125" s="412"/>
      <c r="T125" s="412"/>
      <c r="U125" s="412"/>
      <c r="V125" s="412"/>
      <c r="W125" s="412"/>
      <c r="X125" s="412"/>
      <c r="Y125" s="412"/>
      <c r="Z125" s="412"/>
    </row>
    <row r="126" ht="14.25" customHeight="1">
      <c r="A126" s="412"/>
      <c r="B126" s="410"/>
      <c r="C126" s="412"/>
      <c r="D126" s="412"/>
      <c r="E126" s="412"/>
      <c r="F126" s="412"/>
      <c r="G126" s="412"/>
      <c r="H126" s="412"/>
      <c r="I126" s="412"/>
      <c r="J126" s="412"/>
      <c r="K126" s="412"/>
      <c r="L126" s="412"/>
      <c r="M126" s="412"/>
      <c r="N126" s="412"/>
      <c r="O126" s="412"/>
      <c r="P126" s="412"/>
      <c r="Q126" s="412"/>
      <c r="R126" s="412"/>
      <c r="S126" s="412"/>
      <c r="T126" s="412"/>
      <c r="U126" s="412"/>
      <c r="V126" s="412"/>
      <c r="W126" s="412"/>
      <c r="X126" s="412"/>
      <c r="Y126" s="412"/>
      <c r="Z126" s="412"/>
    </row>
    <row r="127" ht="14.25" customHeight="1">
      <c r="A127" s="412"/>
      <c r="B127" s="410"/>
      <c r="C127" s="412"/>
      <c r="D127" s="412"/>
      <c r="E127" s="412"/>
      <c r="F127" s="412"/>
      <c r="G127" s="412"/>
      <c r="H127" s="412"/>
      <c r="I127" s="412"/>
      <c r="J127" s="412"/>
      <c r="K127" s="412"/>
      <c r="L127" s="412"/>
      <c r="M127" s="412"/>
      <c r="N127" s="412"/>
      <c r="O127" s="412"/>
      <c r="P127" s="412"/>
      <c r="Q127" s="412"/>
      <c r="R127" s="412"/>
      <c r="S127" s="412"/>
      <c r="T127" s="412"/>
      <c r="U127" s="412"/>
      <c r="V127" s="412"/>
      <c r="W127" s="412"/>
      <c r="X127" s="412"/>
      <c r="Y127" s="412"/>
      <c r="Z127" s="412"/>
    </row>
    <row r="128" ht="14.25" customHeight="1">
      <c r="A128" s="412"/>
      <c r="B128" s="410"/>
      <c r="C128" s="412"/>
      <c r="D128" s="412"/>
      <c r="E128" s="412"/>
      <c r="F128" s="412"/>
      <c r="G128" s="412"/>
      <c r="H128" s="412"/>
      <c r="I128" s="412"/>
      <c r="J128" s="412"/>
      <c r="K128" s="412"/>
      <c r="L128" s="412"/>
      <c r="M128" s="412"/>
      <c r="N128" s="412"/>
      <c r="O128" s="412"/>
      <c r="P128" s="412"/>
      <c r="Q128" s="412"/>
      <c r="R128" s="412"/>
      <c r="S128" s="412"/>
      <c r="T128" s="412"/>
      <c r="U128" s="412"/>
      <c r="V128" s="412"/>
      <c r="W128" s="412"/>
      <c r="X128" s="412"/>
      <c r="Y128" s="412"/>
      <c r="Z128" s="412"/>
    </row>
    <row r="129" ht="14.25" customHeight="1">
      <c r="A129" s="412"/>
      <c r="B129" s="410"/>
      <c r="C129" s="412"/>
      <c r="D129" s="412"/>
      <c r="E129" s="412"/>
      <c r="F129" s="412"/>
      <c r="G129" s="412"/>
      <c r="H129" s="412"/>
      <c r="I129" s="412"/>
      <c r="J129" s="412"/>
      <c r="K129" s="412"/>
      <c r="L129" s="412"/>
      <c r="M129" s="412"/>
      <c r="N129" s="412"/>
      <c r="O129" s="412"/>
      <c r="P129" s="412"/>
      <c r="Q129" s="412"/>
      <c r="R129" s="412"/>
      <c r="S129" s="412"/>
      <c r="T129" s="412"/>
      <c r="U129" s="412"/>
      <c r="V129" s="412"/>
      <c r="W129" s="412"/>
      <c r="X129" s="412"/>
      <c r="Y129" s="412"/>
      <c r="Z129" s="412"/>
    </row>
    <row r="130" ht="14.25" customHeight="1">
      <c r="A130" s="412"/>
      <c r="B130" s="410"/>
      <c r="C130" s="412"/>
      <c r="D130" s="412"/>
      <c r="E130" s="412"/>
      <c r="F130" s="412"/>
      <c r="G130" s="412"/>
      <c r="H130" s="412"/>
      <c r="I130" s="412"/>
      <c r="J130" s="412"/>
      <c r="K130" s="412"/>
      <c r="L130" s="412"/>
      <c r="M130" s="412"/>
      <c r="N130" s="412"/>
      <c r="O130" s="412"/>
      <c r="P130" s="412"/>
      <c r="Q130" s="412"/>
      <c r="R130" s="412"/>
      <c r="S130" s="412"/>
      <c r="T130" s="412"/>
      <c r="U130" s="412"/>
      <c r="V130" s="412"/>
      <c r="W130" s="412"/>
      <c r="X130" s="412"/>
      <c r="Y130" s="412"/>
      <c r="Z130" s="412"/>
    </row>
    <row r="131" ht="14.25" customHeight="1">
      <c r="A131" s="412"/>
      <c r="B131" s="410"/>
      <c r="C131" s="412"/>
      <c r="D131" s="412"/>
      <c r="E131" s="412"/>
      <c r="F131" s="412"/>
      <c r="G131" s="412"/>
      <c r="H131" s="412"/>
      <c r="I131" s="412"/>
      <c r="J131" s="412"/>
      <c r="K131" s="412"/>
      <c r="L131" s="412"/>
      <c r="M131" s="412"/>
      <c r="N131" s="412"/>
      <c r="O131" s="412"/>
      <c r="P131" s="412"/>
      <c r="Q131" s="412"/>
      <c r="R131" s="412"/>
      <c r="S131" s="412"/>
      <c r="T131" s="412"/>
      <c r="U131" s="412"/>
      <c r="V131" s="412"/>
      <c r="W131" s="412"/>
      <c r="X131" s="412"/>
      <c r="Y131" s="412"/>
      <c r="Z131" s="412"/>
    </row>
    <row r="132" ht="14.25" customHeight="1">
      <c r="A132" s="412"/>
      <c r="B132" s="410"/>
      <c r="C132" s="412"/>
      <c r="D132" s="412"/>
      <c r="E132" s="412"/>
      <c r="F132" s="412"/>
      <c r="G132" s="412"/>
      <c r="H132" s="412"/>
      <c r="I132" s="412"/>
      <c r="J132" s="412"/>
      <c r="K132" s="412"/>
      <c r="L132" s="412"/>
      <c r="M132" s="412"/>
      <c r="N132" s="412"/>
      <c r="O132" s="412"/>
      <c r="P132" s="412"/>
      <c r="Q132" s="412"/>
      <c r="R132" s="412"/>
      <c r="S132" s="412"/>
      <c r="T132" s="412"/>
      <c r="U132" s="412"/>
      <c r="V132" s="412"/>
      <c r="W132" s="412"/>
      <c r="X132" s="412"/>
      <c r="Y132" s="412"/>
      <c r="Z132" s="412"/>
    </row>
    <row r="133" ht="14.25" customHeight="1">
      <c r="A133" s="412"/>
      <c r="B133" s="410"/>
      <c r="C133" s="412"/>
      <c r="D133" s="412"/>
      <c r="E133" s="412"/>
      <c r="F133" s="412"/>
      <c r="G133" s="412"/>
      <c r="H133" s="412"/>
      <c r="I133" s="412"/>
      <c r="J133" s="412"/>
      <c r="K133" s="412"/>
      <c r="L133" s="412"/>
      <c r="M133" s="412"/>
      <c r="N133" s="412"/>
      <c r="O133" s="412"/>
      <c r="P133" s="412"/>
      <c r="Q133" s="412"/>
      <c r="R133" s="412"/>
      <c r="S133" s="412"/>
      <c r="T133" s="412"/>
      <c r="U133" s="412"/>
      <c r="V133" s="412"/>
      <c r="W133" s="412"/>
      <c r="X133" s="412"/>
      <c r="Y133" s="412"/>
      <c r="Z133" s="412"/>
    </row>
    <row r="134" ht="14.25" customHeight="1">
      <c r="A134" s="412"/>
      <c r="B134" s="410"/>
      <c r="C134" s="412"/>
      <c r="D134" s="412"/>
      <c r="E134" s="412"/>
      <c r="F134" s="412"/>
      <c r="G134" s="412"/>
      <c r="H134" s="412"/>
      <c r="I134" s="412"/>
      <c r="J134" s="412"/>
      <c r="K134" s="412"/>
      <c r="L134" s="412"/>
      <c r="M134" s="412"/>
      <c r="N134" s="412"/>
      <c r="O134" s="412"/>
      <c r="P134" s="412"/>
      <c r="Q134" s="412"/>
      <c r="R134" s="412"/>
      <c r="S134" s="412"/>
      <c r="T134" s="412"/>
      <c r="U134" s="412"/>
      <c r="V134" s="412"/>
      <c r="W134" s="412"/>
      <c r="X134" s="412"/>
      <c r="Y134" s="412"/>
      <c r="Z134" s="412"/>
    </row>
    <row r="135" ht="14.25" customHeight="1">
      <c r="A135" s="412"/>
      <c r="B135" s="410"/>
      <c r="C135" s="412"/>
      <c r="D135" s="412"/>
      <c r="E135" s="412"/>
      <c r="F135" s="412"/>
      <c r="G135" s="412"/>
      <c r="H135" s="412"/>
      <c r="I135" s="412"/>
      <c r="J135" s="412"/>
      <c r="K135" s="412"/>
      <c r="L135" s="412"/>
      <c r="M135" s="412"/>
      <c r="N135" s="412"/>
      <c r="O135" s="412"/>
      <c r="P135" s="412"/>
      <c r="Q135" s="412"/>
      <c r="R135" s="412"/>
      <c r="S135" s="412"/>
      <c r="T135" s="412"/>
      <c r="U135" s="412"/>
      <c r="V135" s="412"/>
      <c r="W135" s="412"/>
      <c r="X135" s="412"/>
      <c r="Y135" s="412"/>
      <c r="Z135" s="412"/>
    </row>
    <row r="136" ht="14.25" customHeight="1">
      <c r="A136" s="412"/>
      <c r="B136" s="410"/>
      <c r="C136" s="412"/>
      <c r="D136" s="412"/>
      <c r="E136" s="412"/>
      <c r="F136" s="412"/>
      <c r="G136" s="412"/>
      <c r="H136" s="412"/>
      <c r="I136" s="412"/>
      <c r="J136" s="412"/>
      <c r="K136" s="412"/>
      <c r="L136" s="412"/>
      <c r="M136" s="412"/>
      <c r="N136" s="412"/>
      <c r="O136" s="412"/>
      <c r="P136" s="412"/>
      <c r="Q136" s="412"/>
      <c r="R136" s="412"/>
      <c r="S136" s="412"/>
      <c r="T136" s="412"/>
      <c r="U136" s="412"/>
      <c r="V136" s="412"/>
      <c r="W136" s="412"/>
      <c r="X136" s="412"/>
      <c r="Y136" s="412"/>
      <c r="Z136" s="412"/>
    </row>
    <row r="137" ht="14.25" customHeight="1">
      <c r="A137" s="412"/>
      <c r="B137" s="410"/>
      <c r="C137" s="412"/>
      <c r="D137" s="412"/>
      <c r="E137" s="412"/>
      <c r="F137" s="412"/>
      <c r="G137" s="412"/>
      <c r="H137" s="412"/>
      <c r="I137" s="412"/>
      <c r="J137" s="412"/>
      <c r="K137" s="412"/>
      <c r="L137" s="412"/>
      <c r="M137" s="412"/>
      <c r="N137" s="412"/>
      <c r="O137" s="412"/>
      <c r="P137" s="412"/>
      <c r="Q137" s="412"/>
      <c r="R137" s="412"/>
      <c r="S137" s="412"/>
      <c r="T137" s="412"/>
      <c r="U137" s="412"/>
      <c r="V137" s="412"/>
      <c r="W137" s="412"/>
      <c r="X137" s="412"/>
      <c r="Y137" s="412"/>
      <c r="Z137" s="412"/>
    </row>
    <row r="138" ht="14.25" customHeight="1">
      <c r="A138" s="412"/>
      <c r="B138" s="410"/>
      <c r="C138" s="412"/>
      <c r="D138" s="412"/>
      <c r="E138" s="412"/>
      <c r="F138" s="412"/>
      <c r="G138" s="412"/>
      <c r="H138" s="412"/>
      <c r="I138" s="412"/>
      <c r="J138" s="412"/>
      <c r="K138" s="412"/>
      <c r="L138" s="412"/>
      <c r="M138" s="412"/>
      <c r="N138" s="412"/>
      <c r="O138" s="412"/>
      <c r="P138" s="412"/>
      <c r="Q138" s="412"/>
      <c r="R138" s="412"/>
      <c r="S138" s="412"/>
      <c r="T138" s="412"/>
      <c r="U138" s="412"/>
      <c r="V138" s="412"/>
      <c r="W138" s="412"/>
      <c r="X138" s="412"/>
      <c r="Y138" s="412"/>
      <c r="Z138" s="412"/>
    </row>
    <row r="139" ht="14.25" customHeight="1">
      <c r="A139" s="412"/>
      <c r="B139" s="410"/>
      <c r="C139" s="412"/>
      <c r="D139" s="412"/>
      <c r="E139" s="412"/>
      <c r="F139" s="412"/>
      <c r="G139" s="412"/>
      <c r="H139" s="412"/>
      <c r="I139" s="412"/>
      <c r="J139" s="412"/>
      <c r="K139" s="412"/>
      <c r="L139" s="412"/>
      <c r="M139" s="412"/>
      <c r="N139" s="412"/>
      <c r="O139" s="412"/>
      <c r="P139" s="412"/>
      <c r="Q139" s="412"/>
      <c r="R139" s="412"/>
      <c r="S139" s="412"/>
      <c r="T139" s="412"/>
      <c r="U139" s="412"/>
      <c r="V139" s="412"/>
      <c r="W139" s="412"/>
      <c r="X139" s="412"/>
      <c r="Y139" s="412"/>
      <c r="Z139" s="412"/>
    </row>
    <row r="140" ht="14.25" customHeight="1">
      <c r="A140" s="412"/>
      <c r="B140" s="410"/>
      <c r="C140" s="412"/>
      <c r="D140" s="412"/>
      <c r="E140" s="412"/>
      <c r="F140" s="412"/>
      <c r="G140" s="412"/>
      <c r="H140" s="412"/>
      <c r="I140" s="412"/>
      <c r="J140" s="412"/>
      <c r="K140" s="412"/>
      <c r="L140" s="412"/>
      <c r="M140" s="412"/>
      <c r="N140" s="412"/>
      <c r="O140" s="412"/>
      <c r="P140" s="412"/>
      <c r="Q140" s="412"/>
      <c r="R140" s="412"/>
      <c r="S140" s="412"/>
      <c r="T140" s="412"/>
      <c r="U140" s="412"/>
      <c r="V140" s="412"/>
      <c r="W140" s="412"/>
      <c r="X140" s="412"/>
      <c r="Y140" s="412"/>
      <c r="Z140" s="412"/>
    </row>
    <row r="141" ht="14.25" customHeight="1">
      <c r="A141" s="412"/>
      <c r="B141" s="410"/>
      <c r="C141" s="412"/>
      <c r="D141" s="412"/>
      <c r="E141" s="412"/>
      <c r="F141" s="412"/>
      <c r="G141" s="412"/>
      <c r="H141" s="412"/>
      <c r="I141" s="412"/>
      <c r="J141" s="412"/>
      <c r="K141" s="412"/>
      <c r="L141" s="412"/>
      <c r="M141" s="412"/>
      <c r="N141" s="412"/>
      <c r="O141" s="412"/>
      <c r="P141" s="412"/>
      <c r="Q141" s="412"/>
      <c r="R141" s="412"/>
      <c r="S141" s="412"/>
      <c r="T141" s="412"/>
      <c r="U141" s="412"/>
      <c r="V141" s="412"/>
      <c r="W141" s="412"/>
      <c r="X141" s="412"/>
      <c r="Y141" s="412"/>
      <c r="Z141" s="412"/>
    </row>
    <row r="142" ht="14.25" customHeight="1">
      <c r="A142" s="412"/>
      <c r="B142" s="410"/>
      <c r="C142" s="412"/>
      <c r="D142" s="412"/>
      <c r="E142" s="412"/>
      <c r="F142" s="412"/>
      <c r="G142" s="412"/>
      <c r="H142" s="412"/>
      <c r="I142" s="412"/>
      <c r="J142" s="412"/>
      <c r="K142" s="412"/>
      <c r="L142" s="412"/>
      <c r="M142" s="412"/>
      <c r="N142" s="412"/>
      <c r="O142" s="412"/>
      <c r="P142" s="412"/>
      <c r="Q142" s="412"/>
      <c r="R142" s="412"/>
      <c r="S142" s="412"/>
      <c r="T142" s="412"/>
      <c r="U142" s="412"/>
      <c r="V142" s="412"/>
      <c r="W142" s="412"/>
      <c r="X142" s="412"/>
      <c r="Y142" s="412"/>
      <c r="Z142" s="412"/>
    </row>
    <row r="143" ht="14.25" customHeight="1">
      <c r="A143" s="412"/>
      <c r="B143" s="410"/>
      <c r="C143" s="412"/>
      <c r="D143" s="412"/>
      <c r="E143" s="412"/>
      <c r="F143" s="412"/>
      <c r="G143" s="412"/>
      <c r="H143" s="412"/>
      <c r="I143" s="412"/>
      <c r="J143" s="412"/>
      <c r="K143" s="412"/>
      <c r="L143" s="412"/>
      <c r="M143" s="412"/>
      <c r="N143" s="412"/>
      <c r="O143" s="412"/>
      <c r="P143" s="412"/>
      <c r="Q143" s="412"/>
      <c r="R143" s="412"/>
      <c r="S143" s="412"/>
      <c r="T143" s="412"/>
      <c r="U143" s="412"/>
      <c r="V143" s="412"/>
      <c r="W143" s="412"/>
      <c r="X143" s="412"/>
      <c r="Y143" s="412"/>
      <c r="Z143" s="412"/>
    </row>
    <row r="144" ht="14.25" customHeight="1">
      <c r="A144" s="412"/>
      <c r="B144" s="410"/>
      <c r="C144" s="412"/>
      <c r="D144" s="412"/>
      <c r="E144" s="412"/>
      <c r="F144" s="412"/>
      <c r="G144" s="412"/>
      <c r="H144" s="412"/>
      <c r="I144" s="412"/>
      <c r="J144" s="412"/>
      <c r="K144" s="412"/>
      <c r="L144" s="412"/>
      <c r="M144" s="412"/>
      <c r="N144" s="412"/>
      <c r="O144" s="412"/>
      <c r="P144" s="412"/>
      <c r="Q144" s="412"/>
      <c r="R144" s="412"/>
      <c r="S144" s="412"/>
      <c r="T144" s="412"/>
      <c r="U144" s="412"/>
      <c r="V144" s="412"/>
      <c r="W144" s="412"/>
      <c r="X144" s="412"/>
      <c r="Y144" s="412"/>
      <c r="Z144" s="412"/>
    </row>
    <row r="145" ht="14.25" customHeight="1">
      <c r="A145" s="412"/>
      <c r="B145" s="410"/>
      <c r="C145" s="412"/>
      <c r="D145" s="412"/>
      <c r="E145" s="412"/>
      <c r="F145" s="412"/>
      <c r="G145" s="412"/>
      <c r="H145" s="412"/>
      <c r="I145" s="412"/>
      <c r="J145" s="412"/>
      <c r="K145" s="412"/>
      <c r="L145" s="412"/>
      <c r="M145" s="412"/>
      <c r="N145" s="412"/>
      <c r="O145" s="412"/>
      <c r="P145" s="412"/>
      <c r="Q145" s="412"/>
      <c r="R145" s="412"/>
      <c r="S145" s="412"/>
      <c r="T145" s="412"/>
      <c r="U145" s="412"/>
      <c r="V145" s="412"/>
      <c r="W145" s="412"/>
      <c r="X145" s="412"/>
      <c r="Y145" s="412"/>
      <c r="Z145" s="412"/>
    </row>
    <row r="146" ht="14.25" customHeight="1">
      <c r="A146" s="412"/>
      <c r="B146" s="410"/>
      <c r="C146" s="412"/>
      <c r="D146" s="412"/>
      <c r="E146" s="412"/>
      <c r="F146" s="412"/>
      <c r="G146" s="412"/>
      <c r="H146" s="412"/>
      <c r="I146" s="412"/>
      <c r="J146" s="412"/>
      <c r="K146" s="412"/>
      <c r="L146" s="412"/>
      <c r="M146" s="412"/>
      <c r="N146" s="412"/>
      <c r="O146" s="412"/>
      <c r="P146" s="412"/>
      <c r="Q146" s="412"/>
      <c r="R146" s="412"/>
      <c r="S146" s="412"/>
      <c r="T146" s="412"/>
      <c r="U146" s="412"/>
      <c r="V146" s="412"/>
      <c r="W146" s="412"/>
      <c r="X146" s="412"/>
      <c r="Y146" s="412"/>
      <c r="Z146" s="412"/>
    </row>
    <row r="147" ht="14.25" customHeight="1">
      <c r="A147" s="412"/>
      <c r="B147" s="410"/>
      <c r="C147" s="412"/>
      <c r="D147" s="412"/>
      <c r="E147" s="412"/>
      <c r="F147" s="412"/>
      <c r="G147" s="412"/>
      <c r="H147" s="412"/>
      <c r="I147" s="412"/>
      <c r="J147" s="412"/>
      <c r="K147" s="412"/>
      <c r="L147" s="412"/>
      <c r="M147" s="412"/>
      <c r="N147" s="412"/>
      <c r="O147" s="412"/>
      <c r="P147" s="412"/>
      <c r="Q147" s="412"/>
      <c r="R147" s="412"/>
      <c r="S147" s="412"/>
      <c r="T147" s="412"/>
      <c r="U147" s="412"/>
      <c r="V147" s="412"/>
      <c r="W147" s="412"/>
      <c r="X147" s="412"/>
      <c r="Y147" s="412"/>
      <c r="Z147" s="412"/>
    </row>
    <row r="148" ht="14.25" customHeight="1">
      <c r="A148" s="412"/>
      <c r="B148" s="410"/>
      <c r="C148" s="412"/>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row>
    <row r="149" ht="14.25" customHeight="1">
      <c r="A149" s="412"/>
      <c r="B149" s="410"/>
      <c r="C149" s="412"/>
      <c r="D149" s="412"/>
      <c r="E149" s="412"/>
      <c r="F149" s="412"/>
      <c r="G149" s="412"/>
      <c r="H149" s="412"/>
      <c r="I149" s="412"/>
      <c r="J149" s="412"/>
      <c r="K149" s="412"/>
      <c r="L149" s="412"/>
      <c r="M149" s="412"/>
      <c r="N149" s="412"/>
      <c r="O149" s="412"/>
      <c r="P149" s="412"/>
      <c r="Q149" s="412"/>
      <c r="R149" s="412"/>
      <c r="S149" s="412"/>
      <c r="T149" s="412"/>
      <c r="U149" s="412"/>
      <c r="V149" s="412"/>
      <c r="W149" s="412"/>
      <c r="X149" s="412"/>
      <c r="Y149" s="412"/>
      <c r="Z149" s="412"/>
    </row>
    <row r="150" ht="14.25" customHeight="1">
      <c r="A150" s="412"/>
      <c r="B150" s="410"/>
      <c r="C150" s="412"/>
      <c r="D150" s="412"/>
      <c r="E150" s="412"/>
      <c r="F150" s="412"/>
      <c r="G150" s="412"/>
      <c r="H150" s="412"/>
      <c r="I150" s="412"/>
      <c r="J150" s="412"/>
      <c r="K150" s="412"/>
      <c r="L150" s="412"/>
      <c r="M150" s="412"/>
      <c r="N150" s="412"/>
      <c r="O150" s="412"/>
      <c r="P150" s="412"/>
      <c r="Q150" s="412"/>
      <c r="R150" s="412"/>
      <c r="S150" s="412"/>
      <c r="T150" s="412"/>
      <c r="U150" s="412"/>
      <c r="V150" s="412"/>
      <c r="W150" s="412"/>
      <c r="X150" s="412"/>
      <c r="Y150" s="412"/>
      <c r="Z150" s="412"/>
    </row>
    <row r="151" ht="14.25" customHeight="1">
      <c r="A151" s="412"/>
      <c r="B151" s="410"/>
      <c r="C151" s="412"/>
      <c r="D151" s="412"/>
      <c r="E151" s="412"/>
      <c r="F151" s="412"/>
      <c r="G151" s="412"/>
      <c r="H151" s="412"/>
      <c r="I151" s="412"/>
      <c r="J151" s="412"/>
      <c r="K151" s="412"/>
      <c r="L151" s="412"/>
      <c r="M151" s="412"/>
      <c r="N151" s="412"/>
      <c r="O151" s="412"/>
      <c r="P151" s="412"/>
      <c r="Q151" s="412"/>
      <c r="R151" s="412"/>
      <c r="S151" s="412"/>
      <c r="T151" s="412"/>
      <c r="U151" s="412"/>
      <c r="V151" s="412"/>
      <c r="W151" s="412"/>
      <c r="X151" s="412"/>
      <c r="Y151" s="412"/>
      <c r="Z151" s="412"/>
    </row>
    <row r="152" ht="14.25" customHeight="1">
      <c r="A152" s="412"/>
      <c r="B152" s="410"/>
      <c r="C152" s="412"/>
      <c r="D152" s="412"/>
      <c r="E152" s="412"/>
      <c r="F152" s="412"/>
      <c r="G152" s="412"/>
      <c r="H152" s="412"/>
      <c r="I152" s="412"/>
      <c r="J152" s="412"/>
      <c r="K152" s="412"/>
      <c r="L152" s="412"/>
      <c r="M152" s="412"/>
      <c r="N152" s="412"/>
      <c r="O152" s="412"/>
      <c r="P152" s="412"/>
      <c r="Q152" s="412"/>
      <c r="R152" s="412"/>
      <c r="S152" s="412"/>
      <c r="T152" s="412"/>
      <c r="U152" s="412"/>
      <c r="V152" s="412"/>
      <c r="W152" s="412"/>
      <c r="X152" s="412"/>
      <c r="Y152" s="412"/>
      <c r="Z152" s="412"/>
    </row>
    <row r="153" ht="14.25" customHeight="1">
      <c r="A153" s="412"/>
      <c r="B153" s="410"/>
      <c r="C153" s="412"/>
      <c r="D153" s="412"/>
      <c r="E153" s="412"/>
      <c r="F153" s="412"/>
      <c r="G153" s="412"/>
      <c r="H153" s="412"/>
      <c r="I153" s="412"/>
      <c r="J153" s="412"/>
      <c r="K153" s="412"/>
      <c r="L153" s="412"/>
      <c r="M153" s="412"/>
      <c r="N153" s="412"/>
      <c r="O153" s="412"/>
      <c r="P153" s="412"/>
      <c r="Q153" s="412"/>
      <c r="R153" s="412"/>
      <c r="S153" s="412"/>
      <c r="T153" s="412"/>
      <c r="U153" s="412"/>
      <c r="V153" s="412"/>
      <c r="W153" s="412"/>
      <c r="X153" s="412"/>
      <c r="Y153" s="412"/>
      <c r="Z153" s="412"/>
    </row>
    <row r="154" ht="14.25" customHeight="1">
      <c r="A154" s="412"/>
      <c r="B154" s="410"/>
      <c r="C154" s="412"/>
      <c r="D154" s="412"/>
      <c r="E154" s="412"/>
      <c r="F154" s="412"/>
      <c r="G154" s="412"/>
      <c r="H154" s="412"/>
      <c r="I154" s="412"/>
      <c r="J154" s="412"/>
      <c r="K154" s="412"/>
      <c r="L154" s="412"/>
      <c r="M154" s="412"/>
      <c r="N154" s="412"/>
      <c r="O154" s="412"/>
      <c r="P154" s="412"/>
      <c r="Q154" s="412"/>
      <c r="R154" s="412"/>
      <c r="S154" s="412"/>
      <c r="T154" s="412"/>
      <c r="U154" s="412"/>
      <c r="V154" s="412"/>
      <c r="W154" s="412"/>
      <c r="X154" s="412"/>
      <c r="Y154" s="412"/>
      <c r="Z154" s="412"/>
    </row>
    <row r="155" ht="14.25" customHeight="1">
      <c r="A155" s="412"/>
      <c r="B155" s="410"/>
      <c r="C155" s="412"/>
      <c r="D155" s="412"/>
      <c r="E155" s="412"/>
      <c r="F155" s="412"/>
      <c r="G155" s="412"/>
      <c r="H155" s="412"/>
      <c r="I155" s="412"/>
      <c r="J155" s="412"/>
      <c r="K155" s="412"/>
      <c r="L155" s="412"/>
      <c r="M155" s="412"/>
      <c r="N155" s="412"/>
      <c r="O155" s="412"/>
      <c r="P155" s="412"/>
      <c r="Q155" s="412"/>
      <c r="R155" s="412"/>
      <c r="S155" s="412"/>
      <c r="T155" s="412"/>
      <c r="U155" s="412"/>
      <c r="V155" s="412"/>
      <c r="W155" s="412"/>
      <c r="X155" s="412"/>
      <c r="Y155" s="412"/>
      <c r="Z155" s="412"/>
    </row>
    <row r="156" ht="14.25" customHeight="1">
      <c r="A156" s="412"/>
      <c r="B156" s="410"/>
      <c r="C156" s="412"/>
      <c r="D156" s="412"/>
      <c r="E156" s="412"/>
      <c r="F156" s="412"/>
      <c r="G156" s="412"/>
      <c r="H156" s="412"/>
      <c r="I156" s="412"/>
      <c r="J156" s="412"/>
      <c r="K156" s="412"/>
      <c r="L156" s="412"/>
      <c r="M156" s="412"/>
      <c r="N156" s="412"/>
      <c r="O156" s="412"/>
      <c r="P156" s="412"/>
      <c r="Q156" s="412"/>
      <c r="R156" s="412"/>
      <c r="S156" s="412"/>
      <c r="T156" s="412"/>
      <c r="U156" s="412"/>
      <c r="V156" s="412"/>
      <c r="W156" s="412"/>
      <c r="X156" s="412"/>
      <c r="Y156" s="412"/>
      <c r="Z156" s="412"/>
    </row>
    <row r="157" ht="14.25" customHeight="1">
      <c r="A157" s="412"/>
      <c r="B157" s="410"/>
      <c r="C157" s="412"/>
      <c r="D157" s="412"/>
      <c r="E157" s="412"/>
      <c r="F157" s="412"/>
      <c r="G157" s="412"/>
      <c r="H157" s="412"/>
      <c r="I157" s="412"/>
      <c r="J157" s="412"/>
      <c r="K157" s="412"/>
      <c r="L157" s="412"/>
      <c r="M157" s="412"/>
      <c r="N157" s="412"/>
      <c r="O157" s="412"/>
      <c r="P157" s="412"/>
      <c r="Q157" s="412"/>
      <c r="R157" s="412"/>
      <c r="S157" s="412"/>
      <c r="T157" s="412"/>
      <c r="U157" s="412"/>
      <c r="V157" s="412"/>
      <c r="W157" s="412"/>
      <c r="X157" s="412"/>
      <c r="Y157" s="412"/>
      <c r="Z157" s="412"/>
    </row>
    <row r="158" ht="14.25" customHeight="1">
      <c r="A158" s="412"/>
      <c r="B158" s="410"/>
      <c r="C158" s="412"/>
      <c r="D158" s="412"/>
      <c r="E158" s="412"/>
      <c r="F158" s="412"/>
      <c r="G158" s="412"/>
      <c r="H158" s="412"/>
      <c r="I158" s="412"/>
      <c r="J158" s="412"/>
      <c r="K158" s="412"/>
      <c r="L158" s="412"/>
      <c r="M158" s="412"/>
      <c r="N158" s="412"/>
      <c r="O158" s="412"/>
      <c r="P158" s="412"/>
      <c r="Q158" s="412"/>
      <c r="R158" s="412"/>
      <c r="S158" s="412"/>
      <c r="T158" s="412"/>
      <c r="U158" s="412"/>
      <c r="V158" s="412"/>
      <c r="W158" s="412"/>
      <c r="X158" s="412"/>
      <c r="Y158" s="412"/>
      <c r="Z158" s="412"/>
    </row>
    <row r="159" ht="14.25" customHeight="1">
      <c r="A159" s="412"/>
      <c r="B159" s="410"/>
      <c r="C159" s="412"/>
      <c r="D159" s="412"/>
      <c r="E159" s="412"/>
      <c r="F159" s="412"/>
      <c r="G159" s="412"/>
      <c r="H159" s="412"/>
      <c r="I159" s="412"/>
      <c r="J159" s="412"/>
      <c r="K159" s="412"/>
      <c r="L159" s="412"/>
      <c r="M159" s="412"/>
      <c r="N159" s="412"/>
      <c r="O159" s="412"/>
      <c r="P159" s="412"/>
      <c r="Q159" s="412"/>
      <c r="R159" s="412"/>
      <c r="S159" s="412"/>
      <c r="T159" s="412"/>
      <c r="U159" s="412"/>
      <c r="V159" s="412"/>
      <c r="W159" s="412"/>
      <c r="X159" s="412"/>
      <c r="Y159" s="412"/>
      <c r="Z159" s="412"/>
    </row>
    <row r="160" ht="14.25" customHeight="1">
      <c r="A160" s="412"/>
      <c r="B160" s="410"/>
      <c r="C160" s="412"/>
      <c r="D160" s="412"/>
      <c r="E160" s="412"/>
      <c r="F160" s="412"/>
      <c r="G160" s="412"/>
      <c r="H160" s="412"/>
      <c r="I160" s="412"/>
      <c r="J160" s="412"/>
      <c r="K160" s="412"/>
      <c r="L160" s="412"/>
      <c r="M160" s="412"/>
      <c r="N160" s="412"/>
      <c r="O160" s="412"/>
      <c r="P160" s="412"/>
      <c r="Q160" s="412"/>
      <c r="R160" s="412"/>
      <c r="S160" s="412"/>
      <c r="T160" s="412"/>
      <c r="U160" s="412"/>
      <c r="V160" s="412"/>
      <c r="W160" s="412"/>
      <c r="X160" s="412"/>
      <c r="Y160" s="412"/>
      <c r="Z160" s="412"/>
    </row>
    <row r="161" ht="14.25" customHeight="1">
      <c r="A161" s="412"/>
      <c r="B161" s="410"/>
      <c r="C161" s="412"/>
      <c r="D161" s="412"/>
      <c r="E161" s="412"/>
      <c r="F161" s="412"/>
      <c r="G161" s="412"/>
      <c r="H161" s="412"/>
      <c r="I161" s="412"/>
      <c r="J161" s="412"/>
      <c r="K161" s="412"/>
      <c r="L161" s="412"/>
      <c r="M161" s="412"/>
      <c r="N161" s="412"/>
      <c r="O161" s="412"/>
      <c r="P161" s="412"/>
      <c r="Q161" s="412"/>
      <c r="R161" s="412"/>
      <c r="S161" s="412"/>
      <c r="T161" s="412"/>
      <c r="U161" s="412"/>
      <c r="V161" s="412"/>
      <c r="W161" s="412"/>
      <c r="X161" s="412"/>
      <c r="Y161" s="412"/>
      <c r="Z161" s="412"/>
    </row>
    <row r="162" ht="14.25" customHeight="1">
      <c r="A162" s="412"/>
      <c r="B162" s="410"/>
      <c r="C162" s="412"/>
      <c r="D162" s="412"/>
      <c r="E162" s="412"/>
      <c r="F162" s="412"/>
      <c r="G162" s="412"/>
      <c r="H162" s="412"/>
      <c r="I162" s="412"/>
      <c r="J162" s="412"/>
      <c r="K162" s="412"/>
      <c r="L162" s="412"/>
      <c r="M162" s="412"/>
      <c r="N162" s="412"/>
      <c r="O162" s="412"/>
      <c r="P162" s="412"/>
      <c r="Q162" s="412"/>
      <c r="R162" s="412"/>
      <c r="S162" s="412"/>
      <c r="T162" s="412"/>
      <c r="U162" s="412"/>
      <c r="V162" s="412"/>
      <c r="W162" s="412"/>
      <c r="X162" s="412"/>
      <c r="Y162" s="412"/>
      <c r="Z162" s="412"/>
    </row>
    <row r="163" ht="14.25" customHeight="1">
      <c r="A163" s="412"/>
      <c r="B163" s="410"/>
      <c r="C163" s="412"/>
      <c r="D163" s="412"/>
      <c r="E163" s="412"/>
      <c r="F163" s="412"/>
      <c r="G163" s="412"/>
      <c r="H163" s="412"/>
      <c r="I163" s="412"/>
      <c r="J163" s="412"/>
      <c r="K163" s="412"/>
      <c r="L163" s="412"/>
      <c r="M163" s="412"/>
      <c r="N163" s="412"/>
      <c r="O163" s="412"/>
      <c r="P163" s="412"/>
      <c r="Q163" s="412"/>
      <c r="R163" s="412"/>
      <c r="S163" s="412"/>
      <c r="T163" s="412"/>
      <c r="U163" s="412"/>
      <c r="V163" s="412"/>
      <c r="W163" s="412"/>
      <c r="X163" s="412"/>
      <c r="Y163" s="412"/>
      <c r="Z163" s="412"/>
    </row>
    <row r="164" ht="14.25" customHeight="1">
      <c r="A164" s="412"/>
      <c r="B164" s="410"/>
      <c r="C164" s="412"/>
      <c r="D164" s="412"/>
      <c r="E164" s="412"/>
      <c r="F164" s="412"/>
      <c r="G164" s="412"/>
      <c r="H164" s="412"/>
      <c r="I164" s="412"/>
      <c r="J164" s="412"/>
      <c r="K164" s="412"/>
      <c r="L164" s="412"/>
      <c r="M164" s="412"/>
      <c r="N164" s="412"/>
      <c r="O164" s="412"/>
      <c r="P164" s="412"/>
      <c r="Q164" s="412"/>
      <c r="R164" s="412"/>
      <c r="S164" s="412"/>
      <c r="T164" s="412"/>
      <c r="U164" s="412"/>
      <c r="V164" s="412"/>
      <c r="W164" s="412"/>
      <c r="X164" s="412"/>
      <c r="Y164" s="412"/>
      <c r="Z164" s="412"/>
    </row>
    <row r="165" ht="14.25" customHeight="1">
      <c r="A165" s="412"/>
      <c r="B165" s="410"/>
      <c r="C165" s="412"/>
      <c r="D165" s="412"/>
      <c r="E165" s="412"/>
      <c r="F165" s="412"/>
      <c r="G165" s="412"/>
      <c r="H165" s="412"/>
      <c r="I165" s="412"/>
      <c r="J165" s="412"/>
      <c r="K165" s="412"/>
      <c r="L165" s="412"/>
      <c r="M165" s="412"/>
      <c r="N165" s="412"/>
      <c r="O165" s="412"/>
      <c r="P165" s="412"/>
      <c r="Q165" s="412"/>
      <c r="R165" s="412"/>
      <c r="S165" s="412"/>
      <c r="T165" s="412"/>
      <c r="U165" s="412"/>
      <c r="V165" s="412"/>
      <c r="W165" s="412"/>
      <c r="X165" s="412"/>
      <c r="Y165" s="412"/>
      <c r="Z165" s="412"/>
    </row>
    <row r="166" ht="14.25" customHeight="1">
      <c r="A166" s="412"/>
      <c r="B166" s="410"/>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row>
    <row r="167" ht="14.25" customHeight="1">
      <c r="A167" s="412"/>
      <c r="B167" s="410"/>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row>
    <row r="168" ht="14.25" customHeight="1">
      <c r="A168" s="412"/>
      <c r="B168" s="410"/>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row>
    <row r="169" ht="14.25" customHeight="1">
      <c r="A169" s="412"/>
      <c r="B169" s="410"/>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row>
    <row r="170" ht="14.25" customHeight="1">
      <c r="A170" s="412"/>
      <c r="B170" s="410"/>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row>
    <row r="171" ht="14.25" customHeight="1">
      <c r="A171" s="412"/>
      <c r="B171" s="410"/>
      <c r="C171" s="412"/>
      <c r="D171" s="412"/>
      <c r="E171" s="412"/>
      <c r="F171" s="412"/>
      <c r="G171" s="412"/>
      <c r="H171" s="412"/>
      <c r="I171" s="412"/>
      <c r="J171" s="412"/>
      <c r="K171" s="412"/>
      <c r="L171" s="412"/>
      <c r="M171" s="412"/>
      <c r="N171" s="412"/>
      <c r="O171" s="412"/>
      <c r="P171" s="412"/>
      <c r="Q171" s="412"/>
      <c r="R171" s="412"/>
      <c r="S171" s="412"/>
      <c r="T171" s="412"/>
      <c r="U171" s="412"/>
      <c r="V171" s="412"/>
      <c r="W171" s="412"/>
      <c r="X171" s="412"/>
      <c r="Y171" s="412"/>
      <c r="Z171" s="412"/>
    </row>
    <row r="172" ht="14.25" customHeight="1">
      <c r="A172" s="412"/>
      <c r="B172" s="410"/>
      <c r="C172" s="412"/>
      <c r="D172" s="412"/>
      <c r="E172" s="412"/>
      <c r="F172" s="412"/>
      <c r="G172" s="412"/>
      <c r="H172" s="412"/>
      <c r="I172" s="412"/>
      <c r="J172" s="412"/>
      <c r="K172" s="412"/>
      <c r="L172" s="412"/>
      <c r="M172" s="412"/>
      <c r="N172" s="412"/>
      <c r="O172" s="412"/>
      <c r="P172" s="412"/>
      <c r="Q172" s="412"/>
      <c r="R172" s="412"/>
      <c r="S172" s="412"/>
      <c r="T172" s="412"/>
      <c r="U172" s="412"/>
      <c r="V172" s="412"/>
      <c r="W172" s="412"/>
      <c r="X172" s="412"/>
      <c r="Y172" s="412"/>
      <c r="Z172" s="412"/>
    </row>
    <row r="173" ht="14.25" customHeight="1">
      <c r="A173" s="412"/>
      <c r="B173" s="410"/>
      <c r="C173" s="412"/>
      <c r="D173" s="412"/>
      <c r="E173" s="412"/>
      <c r="F173" s="412"/>
      <c r="G173" s="412"/>
      <c r="H173" s="412"/>
      <c r="I173" s="412"/>
      <c r="J173" s="412"/>
      <c r="K173" s="412"/>
      <c r="L173" s="412"/>
      <c r="M173" s="412"/>
      <c r="N173" s="412"/>
      <c r="O173" s="412"/>
      <c r="P173" s="412"/>
      <c r="Q173" s="412"/>
      <c r="R173" s="412"/>
      <c r="S173" s="412"/>
      <c r="T173" s="412"/>
      <c r="U173" s="412"/>
      <c r="V173" s="412"/>
      <c r="W173" s="412"/>
      <c r="X173" s="412"/>
      <c r="Y173" s="412"/>
      <c r="Z173" s="412"/>
    </row>
    <row r="174" ht="14.25" customHeight="1">
      <c r="A174" s="412"/>
      <c r="B174" s="410"/>
      <c r="C174" s="412"/>
      <c r="D174" s="412"/>
      <c r="E174" s="412"/>
      <c r="F174" s="412"/>
      <c r="G174" s="412"/>
      <c r="H174" s="412"/>
      <c r="I174" s="412"/>
      <c r="J174" s="412"/>
      <c r="K174" s="412"/>
      <c r="L174" s="412"/>
      <c r="M174" s="412"/>
      <c r="N174" s="412"/>
      <c r="O174" s="412"/>
      <c r="P174" s="412"/>
      <c r="Q174" s="412"/>
      <c r="R174" s="412"/>
      <c r="S174" s="412"/>
      <c r="T174" s="412"/>
      <c r="U174" s="412"/>
      <c r="V174" s="412"/>
      <c r="W174" s="412"/>
      <c r="X174" s="412"/>
      <c r="Y174" s="412"/>
      <c r="Z174" s="412"/>
    </row>
    <row r="175" ht="14.25" customHeight="1">
      <c r="A175" s="412"/>
      <c r="B175" s="410"/>
      <c r="C175" s="412"/>
      <c r="D175" s="412"/>
      <c r="E175" s="412"/>
      <c r="F175" s="412"/>
      <c r="G175" s="412"/>
      <c r="H175" s="412"/>
      <c r="I175" s="412"/>
      <c r="J175" s="412"/>
      <c r="K175" s="412"/>
      <c r="L175" s="412"/>
      <c r="M175" s="412"/>
      <c r="N175" s="412"/>
      <c r="O175" s="412"/>
      <c r="P175" s="412"/>
      <c r="Q175" s="412"/>
      <c r="R175" s="412"/>
      <c r="S175" s="412"/>
      <c r="T175" s="412"/>
      <c r="U175" s="412"/>
      <c r="V175" s="412"/>
      <c r="W175" s="412"/>
      <c r="X175" s="412"/>
      <c r="Y175" s="412"/>
      <c r="Z175" s="412"/>
    </row>
    <row r="176" ht="14.25" customHeight="1">
      <c r="A176" s="412"/>
      <c r="B176" s="410"/>
      <c r="C176" s="412"/>
      <c r="D176" s="412"/>
      <c r="E176" s="412"/>
      <c r="F176" s="412"/>
      <c r="G176" s="412"/>
      <c r="H176" s="412"/>
      <c r="I176" s="412"/>
      <c r="J176" s="412"/>
      <c r="K176" s="412"/>
      <c r="L176" s="412"/>
      <c r="M176" s="412"/>
      <c r="N176" s="412"/>
      <c r="O176" s="412"/>
      <c r="P176" s="412"/>
      <c r="Q176" s="412"/>
      <c r="R176" s="412"/>
      <c r="S176" s="412"/>
      <c r="T176" s="412"/>
      <c r="U176" s="412"/>
      <c r="V176" s="412"/>
      <c r="W176" s="412"/>
      <c r="X176" s="412"/>
      <c r="Y176" s="412"/>
      <c r="Z176" s="412"/>
    </row>
    <row r="177" ht="14.25" customHeight="1">
      <c r="A177" s="412"/>
      <c r="B177" s="410"/>
      <c r="C177" s="412"/>
      <c r="D177" s="412"/>
      <c r="E177" s="412"/>
      <c r="F177" s="412"/>
      <c r="G177" s="412"/>
      <c r="H177" s="412"/>
      <c r="I177" s="412"/>
      <c r="J177" s="412"/>
      <c r="K177" s="412"/>
      <c r="L177" s="412"/>
      <c r="M177" s="412"/>
      <c r="N177" s="412"/>
      <c r="O177" s="412"/>
      <c r="P177" s="412"/>
      <c r="Q177" s="412"/>
      <c r="R177" s="412"/>
      <c r="S177" s="412"/>
      <c r="T177" s="412"/>
      <c r="U177" s="412"/>
      <c r="V177" s="412"/>
      <c r="W177" s="412"/>
      <c r="X177" s="412"/>
      <c r="Y177" s="412"/>
      <c r="Z177" s="412"/>
    </row>
    <row r="178" ht="14.25" customHeight="1">
      <c r="A178" s="412"/>
      <c r="B178" s="410"/>
      <c r="C178" s="412"/>
      <c r="D178" s="412"/>
      <c r="E178" s="412"/>
      <c r="F178" s="412"/>
      <c r="G178" s="412"/>
      <c r="H178" s="412"/>
      <c r="I178" s="412"/>
      <c r="J178" s="412"/>
      <c r="K178" s="412"/>
      <c r="L178" s="412"/>
      <c r="M178" s="412"/>
      <c r="N178" s="412"/>
      <c r="O178" s="412"/>
      <c r="P178" s="412"/>
      <c r="Q178" s="412"/>
      <c r="R178" s="412"/>
      <c r="S178" s="412"/>
      <c r="T178" s="412"/>
      <c r="U178" s="412"/>
      <c r="V178" s="412"/>
      <c r="W178" s="412"/>
      <c r="X178" s="412"/>
      <c r="Y178" s="412"/>
      <c r="Z178" s="412"/>
    </row>
    <row r="179" ht="14.25" customHeight="1">
      <c r="A179" s="412"/>
      <c r="B179" s="410"/>
      <c r="C179" s="412"/>
      <c r="D179" s="412"/>
      <c r="E179" s="412"/>
      <c r="F179" s="412"/>
      <c r="G179" s="412"/>
      <c r="H179" s="412"/>
      <c r="I179" s="412"/>
      <c r="J179" s="412"/>
      <c r="K179" s="412"/>
      <c r="L179" s="412"/>
      <c r="M179" s="412"/>
      <c r="N179" s="412"/>
      <c r="O179" s="412"/>
      <c r="P179" s="412"/>
      <c r="Q179" s="412"/>
      <c r="R179" s="412"/>
      <c r="S179" s="412"/>
      <c r="T179" s="412"/>
      <c r="U179" s="412"/>
      <c r="V179" s="412"/>
      <c r="W179" s="412"/>
      <c r="X179" s="412"/>
      <c r="Y179" s="412"/>
      <c r="Z179" s="412"/>
    </row>
    <row r="180" ht="14.25" customHeight="1">
      <c r="A180" s="412"/>
      <c r="B180" s="410"/>
      <c r="C180" s="412"/>
      <c r="D180" s="412"/>
      <c r="E180" s="412"/>
      <c r="F180" s="412"/>
      <c r="G180" s="412"/>
      <c r="H180" s="412"/>
      <c r="I180" s="412"/>
      <c r="J180" s="412"/>
      <c r="K180" s="412"/>
      <c r="L180" s="412"/>
      <c r="M180" s="412"/>
      <c r="N180" s="412"/>
      <c r="O180" s="412"/>
      <c r="P180" s="412"/>
      <c r="Q180" s="412"/>
      <c r="R180" s="412"/>
      <c r="S180" s="412"/>
      <c r="T180" s="412"/>
      <c r="U180" s="412"/>
      <c r="V180" s="412"/>
      <c r="W180" s="412"/>
      <c r="X180" s="412"/>
      <c r="Y180" s="412"/>
      <c r="Z180" s="412"/>
    </row>
    <row r="181" ht="14.25" customHeight="1">
      <c r="A181" s="412"/>
      <c r="B181" s="410"/>
      <c r="C181" s="412"/>
      <c r="D181" s="412"/>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row>
    <row r="182" ht="14.25" customHeight="1">
      <c r="A182" s="412"/>
      <c r="B182" s="410"/>
      <c r="C182" s="412"/>
      <c r="D182" s="412"/>
      <c r="E182" s="412"/>
      <c r="F182" s="412"/>
      <c r="G182" s="412"/>
      <c r="H182" s="412"/>
      <c r="I182" s="412"/>
      <c r="J182" s="412"/>
      <c r="K182" s="412"/>
      <c r="L182" s="412"/>
      <c r="M182" s="412"/>
      <c r="N182" s="412"/>
      <c r="O182" s="412"/>
      <c r="P182" s="412"/>
      <c r="Q182" s="412"/>
      <c r="R182" s="412"/>
      <c r="S182" s="412"/>
      <c r="T182" s="412"/>
      <c r="U182" s="412"/>
      <c r="V182" s="412"/>
      <c r="W182" s="412"/>
      <c r="X182" s="412"/>
      <c r="Y182" s="412"/>
      <c r="Z182" s="412"/>
    </row>
    <row r="183" ht="14.25" customHeight="1">
      <c r="A183" s="412"/>
      <c r="B183" s="410"/>
      <c r="C183" s="412"/>
      <c r="D183" s="412"/>
      <c r="E183" s="412"/>
      <c r="F183" s="412"/>
      <c r="G183" s="412"/>
      <c r="H183" s="412"/>
      <c r="I183" s="412"/>
      <c r="J183" s="412"/>
      <c r="K183" s="412"/>
      <c r="L183" s="412"/>
      <c r="M183" s="412"/>
      <c r="N183" s="412"/>
      <c r="O183" s="412"/>
      <c r="P183" s="412"/>
      <c r="Q183" s="412"/>
      <c r="R183" s="412"/>
      <c r="S183" s="412"/>
      <c r="T183" s="412"/>
      <c r="U183" s="412"/>
      <c r="V183" s="412"/>
      <c r="W183" s="412"/>
      <c r="X183" s="412"/>
      <c r="Y183" s="412"/>
      <c r="Z183" s="412"/>
    </row>
    <row r="184" ht="14.25" customHeight="1">
      <c r="A184" s="412"/>
      <c r="B184" s="410"/>
      <c r="C184" s="412"/>
      <c r="D184" s="412"/>
      <c r="E184" s="412"/>
      <c r="F184" s="412"/>
      <c r="G184" s="412"/>
      <c r="H184" s="412"/>
      <c r="I184" s="412"/>
      <c r="J184" s="412"/>
      <c r="K184" s="412"/>
      <c r="L184" s="412"/>
      <c r="M184" s="412"/>
      <c r="N184" s="412"/>
      <c r="O184" s="412"/>
      <c r="P184" s="412"/>
      <c r="Q184" s="412"/>
      <c r="R184" s="412"/>
      <c r="S184" s="412"/>
      <c r="T184" s="412"/>
      <c r="U184" s="412"/>
      <c r="V184" s="412"/>
      <c r="W184" s="412"/>
      <c r="X184" s="412"/>
      <c r="Y184" s="412"/>
      <c r="Z184" s="412"/>
    </row>
    <row r="185" ht="14.25" customHeight="1">
      <c r="A185" s="412"/>
      <c r="B185" s="410"/>
      <c r="C185" s="412"/>
      <c r="D185" s="412"/>
      <c r="E185" s="412"/>
      <c r="F185" s="412"/>
      <c r="G185" s="412"/>
      <c r="H185" s="412"/>
      <c r="I185" s="412"/>
      <c r="J185" s="412"/>
      <c r="K185" s="412"/>
      <c r="L185" s="412"/>
      <c r="M185" s="412"/>
      <c r="N185" s="412"/>
      <c r="O185" s="412"/>
      <c r="P185" s="412"/>
      <c r="Q185" s="412"/>
      <c r="R185" s="412"/>
      <c r="S185" s="412"/>
      <c r="T185" s="412"/>
      <c r="U185" s="412"/>
      <c r="V185" s="412"/>
      <c r="W185" s="412"/>
      <c r="X185" s="412"/>
      <c r="Y185" s="412"/>
      <c r="Z185" s="412"/>
    </row>
    <row r="186" ht="14.25" customHeight="1">
      <c r="A186" s="412"/>
      <c r="B186" s="410"/>
      <c r="C186" s="412"/>
      <c r="D186" s="412"/>
      <c r="E186" s="412"/>
      <c r="F186" s="412"/>
      <c r="G186" s="412"/>
      <c r="H186" s="412"/>
      <c r="I186" s="412"/>
      <c r="J186" s="412"/>
      <c r="K186" s="412"/>
      <c r="L186" s="412"/>
      <c r="M186" s="412"/>
      <c r="N186" s="412"/>
      <c r="O186" s="412"/>
      <c r="P186" s="412"/>
      <c r="Q186" s="412"/>
      <c r="R186" s="412"/>
      <c r="S186" s="412"/>
      <c r="T186" s="412"/>
      <c r="U186" s="412"/>
      <c r="V186" s="412"/>
      <c r="W186" s="412"/>
      <c r="X186" s="412"/>
      <c r="Y186" s="412"/>
      <c r="Z186" s="412"/>
    </row>
    <row r="187" ht="14.25" customHeight="1">
      <c r="A187" s="412"/>
      <c r="B187" s="410"/>
      <c r="C187" s="412"/>
      <c r="D187" s="412"/>
      <c r="E187" s="412"/>
      <c r="F187" s="412"/>
      <c r="G187" s="412"/>
      <c r="H187" s="412"/>
      <c r="I187" s="412"/>
      <c r="J187" s="412"/>
      <c r="K187" s="412"/>
      <c r="L187" s="412"/>
      <c r="M187" s="412"/>
      <c r="N187" s="412"/>
      <c r="O187" s="412"/>
      <c r="P187" s="412"/>
      <c r="Q187" s="412"/>
      <c r="R187" s="412"/>
      <c r="S187" s="412"/>
      <c r="T187" s="412"/>
      <c r="U187" s="412"/>
      <c r="V187" s="412"/>
      <c r="W187" s="412"/>
      <c r="X187" s="412"/>
      <c r="Y187" s="412"/>
      <c r="Z187" s="412"/>
    </row>
    <row r="188" ht="14.25" customHeight="1">
      <c r="A188" s="412"/>
      <c r="B188" s="410"/>
      <c r="C188" s="412"/>
      <c r="D188" s="412"/>
      <c r="E188" s="412"/>
      <c r="F188" s="412"/>
      <c r="G188" s="412"/>
      <c r="H188" s="412"/>
      <c r="I188" s="412"/>
      <c r="J188" s="412"/>
      <c r="K188" s="412"/>
      <c r="L188" s="412"/>
      <c r="M188" s="412"/>
      <c r="N188" s="412"/>
      <c r="O188" s="412"/>
      <c r="P188" s="412"/>
      <c r="Q188" s="412"/>
      <c r="R188" s="412"/>
      <c r="S188" s="412"/>
      <c r="T188" s="412"/>
      <c r="U188" s="412"/>
      <c r="V188" s="412"/>
      <c r="W188" s="412"/>
      <c r="X188" s="412"/>
      <c r="Y188" s="412"/>
      <c r="Z188" s="412"/>
    </row>
    <row r="189" ht="14.25" customHeight="1">
      <c r="A189" s="412"/>
      <c r="B189" s="410"/>
      <c r="C189" s="412"/>
      <c r="D189" s="412"/>
      <c r="E189" s="412"/>
      <c r="F189" s="412"/>
      <c r="G189" s="412"/>
      <c r="H189" s="412"/>
      <c r="I189" s="412"/>
      <c r="J189" s="412"/>
      <c r="K189" s="412"/>
      <c r="L189" s="412"/>
      <c r="M189" s="412"/>
      <c r="N189" s="412"/>
      <c r="O189" s="412"/>
      <c r="P189" s="412"/>
      <c r="Q189" s="412"/>
      <c r="R189" s="412"/>
      <c r="S189" s="412"/>
      <c r="T189" s="412"/>
      <c r="U189" s="412"/>
      <c r="V189" s="412"/>
      <c r="W189" s="412"/>
      <c r="X189" s="412"/>
      <c r="Y189" s="412"/>
      <c r="Z189" s="412"/>
    </row>
    <row r="190" ht="14.25" customHeight="1">
      <c r="A190" s="412"/>
      <c r="B190" s="410"/>
      <c r="C190" s="412"/>
      <c r="D190" s="412"/>
      <c r="E190" s="412"/>
      <c r="F190" s="412"/>
      <c r="G190" s="412"/>
      <c r="H190" s="412"/>
      <c r="I190" s="412"/>
      <c r="J190" s="412"/>
      <c r="K190" s="412"/>
      <c r="L190" s="412"/>
      <c r="M190" s="412"/>
      <c r="N190" s="412"/>
      <c r="O190" s="412"/>
      <c r="P190" s="412"/>
      <c r="Q190" s="412"/>
      <c r="R190" s="412"/>
      <c r="S190" s="412"/>
      <c r="T190" s="412"/>
      <c r="U190" s="412"/>
      <c r="V190" s="412"/>
      <c r="W190" s="412"/>
      <c r="X190" s="412"/>
      <c r="Y190" s="412"/>
      <c r="Z190" s="412"/>
    </row>
    <row r="191" ht="14.25" customHeight="1">
      <c r="A191" s="412"/>
      <c r="B191" s="410"/>
      <c r="C191" s="412"/>
      <c r="D191" s="412"/>
      <c r="E191" s="412"/>
      <c r="F191" s="412"/>
      <c r="G191" s="412"/>
      <c r="H191" s="412"/>
      <c r="I191" s="412"/>
      <c r="J191" s="412"/>
      <c r="K191" s="412"/>
      <c r="L191" s="412"/>
      <c r="M191" s="412"/>
      <c r="N191" s="412"/>
      <c r="O191" s="412"/>
      <c r="P191" s="412"/>
      <c r="Q191" s="412"/>
      <c r="R191" s="412"/>
      <c r="S191" s="412"/>
      <c r="T191" s="412"/>
      <c r="U191" s="412"/>
      <c r="V191" s="412"/>
      <c r="W191" s="412"/>
      <c r="X191" s="412"/>
      <c r="Y191" s="412"/>
      <c r="Z191" s="412"/>
    </row>
    <row r="192" ht="14.25" customHeight="1">
      <c r="A192" s="412"/>
      <c r="B192" s="410"/>
      <c r="C192" s="412"/>
      <c r="D192" s="412"/>
      <c r="E192" s="412"/>
      <c r="F192" s="412"/>
      <c r="G192" s="412"/>
      <c r="H192" s="412"/>
      <c r="I192" s="412"/>
      <c r="J192" s="412"/>
      <c r="K192" s="412"/>
      <c r="L192" s="412"/>
      <c r="M192" s="412"/>
      <c r="N192" s="412"/>
      <c r="O192" s="412"/>
      <c r="P192" s="412"/>
      <c r="Q192" s="412"/>
      <c r="R192" s="412"/>
      <c r="S192" s="412"/>
      <c r="T192" s="412"/>
      <c r="U192" s="412"/>
      <c r="V192" s="412"/>
      <c r="W192" s="412"/>
      <c r="X192" s="412"/>
      <c r="Y192" s="412"/>
      <c r="Z192" s="412"/>
    </row>
    <row r="193" ht="14.25" customHeight="1">
      <c r="A193" s="412"/>
      <c r="B193" s="410"/>
      <c r="C193" s="412"/>
      <c r="D193" s="412"/>
      <c r="E193" s="412"/>
      <c r="F193" s="412"/>
      <c r="G193" s="412"/>
      <c r="H193" s="412"/>
      <c r="I193" s="412"/>
      <c r="J193" s="412"/>
      <c r="K193" s="412"/>
      <c r="L193" s="412"/>
      <c r="M193" s="412"/>
      <c r="N193" s="412"/>
      <c r="O193" s="412"/>
      <c r="P193" s="412"/>
      <c r="Q193" s="412"/>
      <c r="R193" s="412"/>
      <c r="S193" s="412"/>
      <c r="T193" s="412"/>
      <c r="U193" s="412"/>
      <c r="V193" s="412"/>
      <c r="W193" s="412"/>
      <c r="X193" s="412"/>
      <c r="Y193" s="412"/>
      <c r="Z193" s="412"/>
    </row>
    <row r="194" ht="14.25" customHeight="1">
      <c r="A194" s="412"/>
      <c r="B194" s="410"/>
      <c r="C194" s="412"/>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row>
    <row r="195" ht="14.25" customHeight="1">
      <c r="A195" s="412"/>
      <c r="B195" s="410"/>
      <c r="C195" s="412"/>
      <c r="D195" s="412"/>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row>
    <row r="196" ht="14.25" customHeight="1">
      <c r="A196" s="412"/>
      <c r="B196" s="410"/>
      <c r="C196" s="412"/>
      <c r="D196" s="412"/>
      <c r="E196" s="412"/>
      <c r="F196" s="412"/>
      <c r="G196" s="412"/>
      <c r="H196" s="412"/>
      <c r="I196" s="412"/>
      <c r="J196" s="412"/>
      <c r="K196" s="412"/>
      <c r="L196" s="412"/>
      <c r="M196" s="412"/>
      <c r="N196" s="412"/>
      <c r="O196" s="412"/>
      <c r="P196" s="412"/>
      <c r="Q196" s="412"/>
      <c r="R196" s="412"/>
      <c r="S196" s="412"/>
      <c r="T196" s="412"/>
      <c r="U196" s="412"/>
      <c r="V196" s="412"/>
      <c r="W196" s="412"/>
      <c r="X196" s="412"/>
      <c r="Y196" s="412"/>
      <c r="Z196" s="412"/>
    </row>
    <row r="197" ht="14.25" customHeight="1">
      <c r="A197" s="412"/>
      <c r="B197" s="410"/>
      <c r="C197" s="412"/>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row>
    <row r="198" ht="14.25" customHeight="1">
      <c r="A198" s="412"/>
      <c r="B198" s="410"/>
      <c r="C198" s="412"/>
      <c r="D198" s="412"/>
      <c r="E198" s="412"/>
      <c r="F198" s="412"/>
      <c r="G198" s="412"/>
      <c r="H198" s="412"/>
      <c r="I198" s="412"/>
      <c r="J198" s="412"/>
      <c r="K198" s="412"/>
      <c r="L198" s="412"/>
      <c r="M198" s="412"/>
      <c r="N198" s="412"/>
      <c r="O198" s="412"/>
      <c r="P198" s="412"/>
      <c r="Q198" s="412"/>
      <c r="R198" s="412"/>
      <c r="S198" s="412"/>
      <c r="T198" s="412"/>
      <c r="U198" s="412"/>
      <c r="V198" s="412"/>
      <c r="W198" s="412"/>
      <c r="X198" s="412"/>
      <c r="Y198" s="412"/>
      <c r="Z198" s="412"/>
    </row>
    <row r="199" ht="14.25" customHeight="1">
      <c r="A199" s="412"/>
      <c r="B199" s="410"/>
      <c r="C199" s="412"/>
      <c r="D199" s="412"/>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row>
    <row r="200" ht="14.25" customHeight="1">
      <c r="A200" s="412"/>
      <c r="B200" s="410"/>
      <c r="C200" s="412"/>
      <c r="D200" s="412"/>
      <c r="E200" s="412"/>
      <c r="F200" s="412"/>
      <c r="G200" s="412"/>
      <c r="H200" s="412"/>
      <c r="I200" s="412"/>
      <c r="J200" s="412"/>
      <c r="K200" s="412"/>
      <c r="L200" s="412"/>
      <c r="M200" s="412"/>
      <c r="N200" s="412"/>
      <c r="O200" s="412"/>
      <c r="P200" s="412"/>
      <c r="Q200" s="412"/>
      <c r="R200" s="412"/>
      <c r="S200" s="412"/>
      <c r="T200" s="412"/>
      <c r="U200" s="412"/>
      <c r="V200" s="412"/>
      <c r="W200" s="412"/>
      <c r="X200" s="412"/>
      <c r="Y200" s="412"/>
      <c r="Z200" s="412"/>
    </row>
    <row r="201" ht="14.25" customHeight="1">
      <c r="A201" s="412"/>
      <c r="B201" s="410"/>
      <c r="C201" s="412"/>
      <c r="D201" s="412"/>
      <c r="E201" s="412"/>
      <c r="F201" s="412"/>
      <c r="G201" s="412"/>
      <c r="H201" s="412"/>
      <c r="I201" s="412"/>
      <c r="J201" s="412"/>
      <c r="K201" s="412"/>
      <c r="L201" s="412"/>
      <c r="M201" s="412"/>
      <c r="N201" s="412"/>
      <c r="O201" s="412"/>
      <c r="P201" s="412"/>
      <c r="Q201" s="412"/>
      <c r="R201" s="412"/>
      <c r="S201" s="412"/>
      <c r="T201" s="412"/>
      <c r="U201" s="412"/>
      <c r="V201" s="412"/>
      <c r="W201" s="412"/>
      <c r="X201" s="412"/>
      <c r="Y201" s="412"/>
      <c r="Z201" s="412"/>
    </row>
    <row r="202" ht="14.25" customHeight="1">
      <c r="A202" s="412"/>
      <c r="B202" s="410"/>
      <c r="C202" s="412"/>
      <c r="D202" s="412"/>
      <c r="E202" s="412"/>
      <c r="F202" s="412"/>
      <c r="G202" s="412"/>
      <c r="H202" s="412"/>
      <c r="I202" s="412"/>
      <c r="J202" s="412"/>
      <c r="K202" s="412"/>
      <c r="L202" s="412"/>
      <c r="M202" s="412"/>
      <c r="N202" s="412"/>
      <c r="O202" s="412"/>
      <c r="P202" s="412"/>
      <c r="Q202" s="412"/>
      <c r="R202" s="412"/>
      <c r="S202" s="412"/>
      <c r="T202" s="412"/>
      <c r="U202" s="412"/>
      <c r="V202" s="412"/>
      <c r="W202" s="412"/>
      <c r="X202" s="412"/>
      <c r="Y202" s="412"/>
      <c r="Z202" s="412"/>
    </row>
    <row r="203" ht="14.25" customHeight="1">
      <c r="A203" s="412"/>
      <c r="B203" s="410"/>
      <c r="C203" s="412"/>
      <c r="D203" s="412"/>
      <c r="E203" s="412"/>
      <c r="F203" s="412"/>
      <c r="G203" s="412"/>
      <c r="H203" s="412"/>
      <c r="I203" s="412"/>
      <c r="J203" s="412"/>
      <c r="K203" s="412"/>
      <c r="L203" s="412"/>
      <c r="M203" s="412"/>
      <c r="N203" s="412"/>
      <c r="O203" s="412"/>
      <c r="P203" s="412"/>
      <c r="Q203" s="412"/>
      <c r="R203" s="412"/>
      <c r="S203" s="412"/>
      <c r="T203" s="412"/>
      <c r="U203" s="412"/>
      <c r="V203" s="412"/>
      <c r="W203" s="412"/>
      <c r="X203" s="412"/>
      <c r="Y203" s="412"/>
      <c r="Z203" s="412"/>
    </row>
    <row r="204" ht="14.25" customHeight="1">
      <c r="A204" s="412"/>
      <c r="B204" s="410"/>
      <c r="C204" s="412"/>
      <c r="D204" s="412"/>
      <c r="E204" s="412"/>
      <c r="F204" s="412"/>
      <c r="G204" s="412"/>
      <c r="H204" s="412"/>
      <c r="I204" s="412"/>
      <c r="J204" s="412"/>
      <c r="K204" s="412"/>
      <c r="L204" s="412"/>
      <c r="M204" s="412"/>
      <c r="N204" s="412"/>
      <c r="O204" s="412"/>
      <c r="P204" s="412"/>
      <c r="Q204" s="412"/>
      <c r="R204" s="412"/>
      <c r="S204" s="412"/>
      <c r="T204" s="412"/>
      <c r="U204" s="412"/>
      <c r="V204" s="412"/>
      <c r="W204" s="412"/>
      <c r="X204" s="412"/>
      <c r="Y204" s="412"/>
      <c r="Z204" s="412"/>
    </row>
    <row r="205" ht="14.25" customHeight="1">
      <c r="A205" s="412"/>
      <c r="B205" s="410"/>
      <c r="C205" s="412"/>
      <c r="D205" s="412"/>
      <c r="E205" s="412"/>
      <c r="F205" s="412"/>
      <c r="G205" s="412"/>
      <c r="H205" s="412"/>
      <c r="I205" s="412"/>
      <c r="J205" s="412"/>
      <c r="K205" s="412"/>
      <c r="L205" s="412"/>
      <c r="M205" s="412"/>
      <c r="N205" s="412"/>
      <c r="O205" s="412"/>
      <c r="P205" s="412"/>
      <c r="Q205" s="412"/>
      <c r="R205" s="412"/>
      <c r="S205" s="412"/>
      <c r="T205" s="412"/>
      <c r="U205" s="412"/>
      <c r="V205" s="412"/>
      <c r="W205" s="412"/>
      <c r="X205" s="412"/>
      <c r="Y205" s="412"/>
      <c r="Z205" s="412"/>
    </row>
    <row r="206" ht="14.25" customHeight="1">
      <c r="A206" s="412"/>
      <c r="B206" s="410"/>
      <c r="C206" s="412"/>
      <c r="D206" s="412"/>
      <c r="E206" s="412"/>
      <c r="F206" s="412"/>
      <c r="G206" s="412"/>
      <c r="H206" s="412"/>
      <c r="I206" s="412"/>
      <c r="J206" s="412"/>
      <c r="K206" s="412"/>
      <c r="L206" s="412"/>
      <c r="M206" s="412"/>
      <c r="N206" s="412"/>
      <c r="O206" s="412"/>
      <c r="P206" s="412"/>
      <c r="Q206" s="412"/>
      <c r="R206" s="412"/>
      <c r="S206" s="412"/>
      <c r="T206" s="412"/>
      <c r="U206" s="412"/>
      <c r="V206" s="412"/>
      <c r="W206" s="412"/>
      <c r="X206" s="412"/>
      <c r="Y206" s="412"/>
      <c r="Z206" s="412"/>
    </row>
    <row r="207" ht="14.25" customHeight="1">
      <c r="A207" s="412"/>
      <c r="B207" s="410"/>
      <c r="C207" s="412"/>
      <c r="D207" s="412"/>
      <c r="E207" s="412"/>
      <c r="F207" s="412"/>
      <c r="G207" s="412"/>
      <c r="H207" s="412"/>
      <c r="I207" s="412"/>
      <c r="J207" s="412"/>
      <c r="K207" s="412"/>
      <c r="L207" s="412"/>
      <c r="M207" s="412"/>
      <c r="N207" s="412"/>
      <c r="O207" s="412"/>
      <c r="P207" s="412"/>
      <c r="Q207" s="412"/>
      <c r="R207" s="412"/>
      <c r="S207" s="412"/>
      <c r="T207" s="412"/>
      <c r="U207" s="412"/>
      <c r="V207" s="412"/>
      <c r="W207" s="412"/>
      <c r="X207" s="412"/>
      <c r="Y207" s="412"/>
      <c r="Z207" s="412"/>
    </row>
    <row r="208" ht="14.25" customHeight="1">
      <c r="A208" s="412"/>
      <c r="B208" s="410"/>
      <c r="C208" s="412"/>
      <c r="D208" s="412"/>
      <c r="E208" s="412"/>
      <c r="F208" s="412"/>
      <c r="G208" s="412"/>
      <c r="H208" s="412"/>
      <c r="I208" s="412"/>
      <c r="J208" s="412"/>
      <c r="K208" s="412"/>
      <c r="L208" s="412"/>
      <c r="M208" s="412"/>
      <c r="N208" s="412"/>
      <c r="O208" s="412"/>
      <c r="P208" s="412"/>
      <c r="Q208" s="412"/>
      <c r="R208" s="412"/>
      <c r="S208" s="412"/>
      <c r="T208" s="412"/>
      <c r="U208" s="412"/>
      <c r="V208" s="412"/>
      <c r="W208" s="412"/>
      <c r="X208" s="412"/>
      <c r="Y208" s="412"/>
      <c r="Z208" s="412"/>
    </row>
    <row r="209" ht="14.25" customHeight="1">
      <c r="A209" s="412"/>
      <c r="B209" s="410"/>
      <c r="C209" s="412"/>
      <c r="D209" s="412"/>
      <c r="E209" s="412"/>
      <c r="F209" s="412"/>
      <c r="G209" s="412"/>
      <c r="H209" s="412"/>
      <c r="I209" s="412"/>
      <c r="J209" s="412"/>
      <c r="K209" s="412"/>
      <c r="L209" s="412"/>
      <c r="M209" s="412"/>
      <c r="N209" s="412"/>
      <c r="O209" s="412"/>
      <c r="P209" s="412"/>
      <c r="Q209" s="412"/>
      <c r="R209" s="412"/>
      <c r="S209" s="412"/>
      <c r="T209" s="412"/>
      <c r="U209" s="412"/>
      <c r="V209" s="412"/>
      <c r="W209" s="412"/>
      <c r="X209" s="412"/>
      <c r="Y209" s="412"/>
      <c r="Z209" s="412"/>
    </row>
    <row r="210" ht="14.25" customHeight="1">
      <c r="A210" s="412"/>
      <c r="B210" s="410"/>
      <c r="C210" s="412"/>
      <c r="D210" s="412"/>
      <c r="E210" s="412"/>
      <c r="F210" s="412"/>
      <c r="G210" s="412"/>
      <c r="H210" s="412"/>
      <c r="I210" s="412"/>
      <c r="J210" s="412"/>
      <c r="K210" s="412"/>
      <c r="L210" s="412"/>
      <c r="M210" s="412"/>
      <c r="N210" s="412"/>
      <c r="O210" s="412"/>
      <c r="P210" s="412"/>
      <c r="Q210" s="412"/>
      <c r="R210" s="412"/>
      <c r="S210" s="412"/>
      <c r="T210" s="412"/>
      <c r="U210" s="412"/>
      <c r="V210" s="412"/>
      <c r="W210" s="412"/>
      <c r="X210" s="412"/>
      <c r="Y210" s="412"/>
      <c r="Z210" s="412"/>
    </row>
    <row r="211" ht="14.25" customHeight="1">
      <c r="A211" s="412"/>
      <c r="B211" s="410"/>
      <c r="C211" s="412"/>
      <c r="D211" s="412"/>
      <c r="E211" s="412"/>
      <c r="F211" s="412"/>
      <c r="G211" s="412"/>
      <c r="H211" s="412"/>
      <c r="I211" s="412"/>
      <c r="J211" s="412"/>
      <c r="K211" s="412"/>
      <c r="L211" s="412"/>
      <c r="M211" s="412"/>
      <c r="N211" s="412"/>
      <c r="O211" s="412"/>
      <c r="P211" s="412"/>
      <c r="Q211" s="412"/>
      <c r="R211" s="412"/>
      <c r="S211" s="412"/>
      <c r="T211" s="412"/>
      <c r="U211" s="412"/>
      <c r="V211" s="412"/>
      <c r="W211" s="412"/>
      <c r="X211" s="412"/>
      <c r="Y211" s="412"/>
      <c r="Z211" s="412"/>
    </row>
    <row r="212" ht="14.25" customHeight="1">
      <c r="A212" s="412"/>
      <c r="B212" s="410"/>
      <c r="C212" s="412"/>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row>
    <row r="213" ht="14.25" customHeight="1">
      <c r="A213" s="412"/>
      <c r="B213" s="410"/>
      <c r="C213" s="412"/>
      <c r="D213" s="412"/>
      <c r="E213" s="412"/>
      <c r="F213" s="412"/>
      <c r="G213" s="412"/>
      <c r="H213" s="412"/>
      <c r="I213" s="412"/>
      <c r="J213" s="412"/>
      <c r="K213" s="412"/>
      <c r="L213" s="412"/>
      <c r="M213" s="412"/>
      <c r="N213" s="412"/>
      <c r="O213" s="412"/>
      <c r="P213" s="412"/>
      <c r="Q213" s="412"/>
      <c r="R213" s="412"/>
      <c r="S213" s="412"/>
      <c r="T213" s="412"/>
      <c r="U213" s="412"/>
      <c r="V213" s="412"/>
      <c r="W213" s="412"/>
      <c r="X213" s="412"/>
      <c r="Y213" s="412"/>
      <c r="Z213" s="412"/>
    </row>
    <row r="214" ht="14.25" customHeight="1">
      <c r="A214" s="412"/>
      <c r="B214" s="410"/>
      <c r="C214" s="412"/>
      <c r="D214" s="412"/>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row>
    <row r="215" ht="14.25" customHeight="1">
      <c r="A215" s="412"/>
      <c r="B215" s="410"/>
      <c r="C215" s="412"/>
      <c r="D215" s="412"/>
      <c r="E215" s="412"/>
      <c r="F215" s="412"/>
      <c r="G215" s="412"/>
      <c r="H215" s="412"/>
      <c r="I215" s="412"/>
      <c r="J215" s="412"/>
      <c r="K215" s="412"/>
      <c r="L215" s="412"/>
      <c r="M215" s="412"/>
      <c r="N215" s="412"/>
      <c r="O215" s="412"/>
      <c r="P215" s="412"/>
      <c r="Q215" s="412"/>
      <c r="R215" s="412"/>
      <c r="S215" s="412"/>
      <c r="T215" s="412"/>
      <c r="U215" s="412"/>
      <c r="V215" s="412"/>
      <c r="W215" s="412"/>
      <c r="X215" s="412"/>
      <c r="Y215" s="412"/>
      <c r="Z215" s="412"/>
    </row>
    <row r="216" ht="14.25" customHeight="1">
      <c r="A216" s="412"/>
      <c r="B216" s="410"/>
      <c r="C216" s="412"/>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row>
    <row r="217" ht="14.25" customHeight="1">
      <c r="A217" s="412"/>
      <c r="B217" s="410"/>
      <c r="C217" s="412"/>
      <c r="D217" s="412"/>
      <c r="E217" s="412"/>
      <c r="F217" s="412"/>
      <c r="G217" s="412"/>
      <c r="H217" s="412"/>
      <c r="I217" s="412"/>
      <c r="J217" s="412"/>
      <c r="K217" s="412"/>
      <c r="L217" s="412"/>
      <c r="M217" s="412"/>
      <c r="N217" s="412"/>
      <c r="O217" s="412"/>
      <c r="P217" s="412"/>
      <c r="Q217" s="412"/>
      <c r="R217" s="412"/>
      <c r="S217" s="412"/>
      <c r="T217" s="412"/>
      <c r="U217" s="412"/>
      <c r="V217" s="412"/>
      <c r="W217" s="412"/>
      <c r="X217" s="412"/>
      <c r="Y217" s="412"/>
      <c r="Z217" s="412"/>
    </row>
    <row r="218" ht="14.25" customHeight="1">
      <c r="A218" s="412"/>
      <c r="B218" s="410"/>
      <c r="C218" s="412"/>
      <c r="D218" s="412"/>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row>
    <row r="219" ht="14.25" customHeight="1">
      <c r="A219" s="412"/>
      <c r="B219" s="410"/>
      <c r="C219" s="412"/>
      <c r="D219" s="412"/>
      <c r="E219" s="412"/>
      <c r="F219" s="412"/>
      <c r="G219" s="412"/>
      <c r="H219" s="412"/>
      <c r="I219" s="412"/>
      <c r="J219" s="412"/>
      <c r="K219" s="412"/>
      <c r="L219" s="412"/>
      <c r="M219" s="412"/>
      <c r="N219" s="412"/>
      <c r="O219" s="412"/>
      <c r="P219" s="412"/>
      <c r="Q219" s="412"/>
      <c r="R219" s="412"/>
      <c r="S219" s="412"/>
      <c r="T219" s="412"/>
      <c r="U219" s="412"/>
      <c r="V219" s="412"/>
      <c r="W219" s="412"/>
      <c r="X219" s="412"/>
      <c r="Y219" s="412"/>
      <c r="Z219" s="412"/>
    </row>
    <row r="220" ht="14.25" customHeight="1">
      <c r="A220" s="412"/>
      <c r="B220" s="410"/>
      <c r="C220" s="412"/>
      <c r="D220" s="412"/>
      <c r="E220" s="412"/>
      <c r="F220" s="412"/>
      <c r="G220" s="412"/>
      <c r="H220" s="412"/>
      <c r="I220" s="412"/>
      <c r="J220" s="412"/>
      <c r="K220" s="412"/>
      <c r="L220" s="412"/>
      <c r="M220" s="412"/>
      <c r="N220" s="412"/>
      <c r="O220" s="412"/>
      <c r="P220" s="412"/>
      <c r="Q220" s="412"/>
      <c r="R220" s="412"/>
      <c r="S220" s="412"/>
      <c r="T220" s="412"/>
      <c r="U220" s="412"/>
      <c r="V220" s="412"/>
      <c r="W220" s="412"/>
      <c r="X220" s="412"/>
      <c r="Y220" s="412"/>
      <c r="Z220" s="412"/>
    </row>
    <row r="221" ht="14.25" customHeight="1">
      <c r="A221" s="412"/>
      <c r="B221" s="410"/>
      <c r="C221" s="412"/>
      <c r="D221" s="412"/>
      <c r="E221" s="412"/>
      <c r="F221" s="412"/>
      <c r="G221" s="412"/>
      <c r="H221" s="412"/>
      <c r="I221" s="412"/>
      <c r="J221" s="412"/>
      <c r="K221" s="412"/>
      <c r="L221" s="412"/>
      <c r="M221" s="412"/>
      <c r="N221" s="412"/>
      <c r="O221" s="412"/>
      <c r="P221" s="412"/>
      <c r="Q221" s="412"/>
      <c r="R221" s="412"/>
      <c r="S221" s="412"/>
      <c r="T221" s="412"/>
      <c r="U221" s="412"/>
      <c r="V221" s="412"/>
      <c r="W221" s="412"/>
      <c r="X221" s="412"/>
      <c r="Y221" s="412"/>
      <c r="Z221" s="412"/>
    </row>
    <row r="222" ht="14.25" customHeight="1">
      <c r="A222" s="412"/>
      <c r="B222" s="410"/>
      <c r="C222" s="412"/>
      <c r="D222" s="412"/>
      <c r="E222" s="412"/>
      <c r="F222" s="412"/>
      <c r="G222" s="412"/>
      <c r="H222" s="412"/>
      <c r="I222" s="412"/>
      <c r="J222" s="412"/>
      <c r="K222" s="412"/>
      <c r="L222" s="412"/>
      <c r="M222" s="412"/>
      <c r="N222" s="412"/>
      <c r="O222" s="412"/>
      <c r="P222" s="412"/>
      <c r="Q222" s="412"/>
      <c r="R222" s="412"/>
      <c r="S222" s="412"/>
      <c r="T222" s="412"/>
      <c r="U222" s="412"/>
      <c r="V222" s="412"/>
      <c r="W222" s="412"/>
      <c r="X222" s="412"/>
      <c r="Y222" s="412"/>
      <c r="Z222" s="412"/>
    </row>
    <row r="223" ht="14.25" customHeight="1">
      <c r="A223" s="412"/>
      <c r="B223" s="410"/>
      <c r="C223" s="412"/>
      <c r="D223" s="412"/>
      <c r="E223" s="412"/>
      <c r="F223" s="412"/>
      <c r="G223" s="412"/>
      <c r="H223" s="412"/>
      <c r="I223" s="412"/>
      <c r="J223" s="412"/>
      <c r="K223" s="412"/>
      <c r="L223" s="412"/>
      <c r="M223" s="412"/>
      <c r="N223" s="412"/>
      <c r="O223" s="412"/>
      <c r="P223" s="412"/>
      <c r="Q223" s="412"/>
      <c r="R223" s="412"/>
      <c r="S223" s="412"/>
      <c r="T223" s="412"/>
      <c r="U223" s="412"/>
      <c r="V223" s="412"/>
      <c r="W223" s="412"/>
      <c r="X223" s="412"/>
      <c r="Y223" s="412"/>
      <c r="Z223" s="412"/>
    </row>
    <row r="224" ht="14.25" customHeight="1">
      <c r="A224" s="412"/>
      <c r="B224" s="410"/>
      <c r="C224" s="412"/>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row>
    <row r="225" ht="14.25" customHeight="1">
      <c r="A225" s="412"/>
      <c r="B225" s="410"/>
      <c r="C225" s="412"/>
      <c r="D225" s="412"/>
      <c r="E225" s="412"/>
      <c r="F225" s="412"/>
      <c r="G225" s="412"/>
      <c r="H225" s="412"/>
      <c r="I225" s="412"/>
      <c r="J225" s="412"/>
      <c r="K225" s="412"/>
      <c r="L225" s="412"/>
      <c r="M225" s="412"/>
      <c r="N225" s="412"/>
      <c r="O225" s="412"/>
      <c r="P225" s="412"/>
      <c r="Q225" s="412"/>
      <c r="R225" s="412"/>
      <c r="S225" s="412"/>
      <c r="T225" s="412"/>
      <c r="U225" s="412"/>
      <c r="V225" s="412"/>
      <c r="W225" s="412"/>
      <c r="X225" s="412"/>
      <c r="Y225" s="412"/>
      <c r="Z225" s="412"/>
    </row>
    <row r="226" ht="14.25" customHeight="1">
      <c r="A226" s="412"/>
      <c r="B226" s="410"/>
      <c r="C226" s="412"/>
      <c r="D226" s="412"/>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row>
    <row r="227" ht="14.25" customHeight="1">
      <c r="A227" s="412"/>
      <c r="B227" s="410"/>
      <c r="C227" s="412"/>
      <c r="D227" s="412"/>
      <c r="E227" s="412"/>
      <c r="F227" s="412"/>
      <c r="G227" s="412"/>
      <c r="H227" s="412"/>
      <c r="I227" s="412"/>
      <c r="J227" s="412"/>
      <c r="K227" s="412"/>
      <c r="L227" s="412"/>
      <c r="M227" s="412"/>
      <c r="N227" s="412"/>
      <c r="O227" s="412"/>
      <c r="P227" s="412"/>
      <c r="Q227" s="412"/>
      <c r="R227" s="412"/>
      <c r="S227" s="412"/>
      <c r="T227" s="412"/>
      <c r="U227" s="412"/>
      <c r="V227" s="412"/>
      <c r="W227" s="412"/>
      <c r="X227" s="412"/>
      <c r="Y227" s="412"/>
      <c r="Z227" s="412"/>
    </row>
    <row r="228" ht="14.25" customHeight="1">
      <c r="A228" s="412"/>
      <c r="B228" s="410"/>
      <c r="C228" s="412"/>
      <c r="D228" s="412"/>
      <c r="E228" s="412"/>
      <c r="F228" s="412"/>
      <c r="G228" s="412"/>
      <c r="H228" s="412"/>
      <c r="I228" s="412"/>
      <c r="J228" s="412"/>
      <c r="K228" s="412"/>
      <c r="L228" s="412"/>
      <c r="M228" s="412"/>
      <c r="N228" s="412"/>
      <c r="O228" s="412"/>
      <c r="P228" s="412"/>
      <c r="Q228" s="412"/>
      <c r="R228" s="412"/>
      <c r="S228" s="412"/>
      <c r="T228" s="412"/>
      <c r="U228" s="412"/>
      <c r="V228" s="412"/>
      <c r="W228" s="412"/>
      <c r="X228" s="412"/>
      <c r="Y228" s="412"/>
      <c r="Z228" s="412"/>
    </row>
    <row r="229" ht="14.25" customHeight="1">
      <c r="A229" s="412"/>
      <c r="B229" s="410"/>
      <c r="C229" s="412"/>
      <c r="D229" s="412"/>
      <c r="E229" s="412"/>
      <c r="F229" s="412"/>
      <c r="G229" s="412"/>
      <c r="H229" s="412"/>
      <c r="I229" s="412"/>
      <c r="J229" s="412"/>
      <c r="K229" s="412"/>
      <c r="L229" s="412"/>
      <c r="M229" s="412"/>
      <c r="N229" s="412"/>
      <c r="O229" s="412"/>
      <c r="P229" s="412"/>
      <c r="Q229" s="412"/>
      <c r="R229" s="412"/>
      <c r="S229" s="412"/>
      <c r="T229" s="412"/>
      <c r="U229" s="412"/>
      <c r="V229" s="412"/>
      <c r="W229" s="412"/>
      <c r="X229" s="412"/>
      <c r="Y229" s="412"/>
      <c r="Z229" s="412"/>
    </row>
    <row r="230" ht="14.25" customHeight="1">
      <c r="A230" s="412"/>
      <c r="B230" s="410"/>
      <c r="C230" s="412"/>
      <c r="D230" s="412"/>
      <c r="E230" s="412"/>
      <c r="F230" s="412"/>
      <c r="G230" s="412"/>
      <c r="H230" s="412"/>
      <c r="I230" s="412"/>
      <c r="J230" s="412"/>
      <c r="K230" s="412"/>
      <c r="L230" s="412"/>
      <c r="M230" s="412"/>
      <c r="N230" s="412"/>
      <c r="O230" s="412"/>
      <c r="P230" s="412"/>
      <c r="Q230" s="412"/>
      <c r="R230" s="412"/>
      <c r="S230" s="412"/>
      <c r="T230" s="412"/>
      <c r="U230" s="412"/>
      <c r="V230" s="412"/>
      <c r="W230" s="412"/>
      <c r="X230" s="412"/>
      <c r="Y230" s="412"/>
      <c r="Z230" s="412"/>
    </row>
    <row r="231" ht="14.25" customHeight="1">
      <c r="A231" s="412"/>
      <c r="B231" s="410"/>
      <c r="C231" s="412"/>
      <c r="D231" s="412"/>
      <c r="E231" s="412"/>
      <c r="F231" s="412"/>
      <c r="G231" s="412"/>
      <c r="H231" s="412"/>
      <c r="I231" s="412"/>
      <c r="J231" s="412"/>
      <c r="K231" s="412"/>
      <c r="L231" s="412"/>
      <c r="M231" s="412"/>
      <c r="N231" s="412"/>
      <c r="O231" s="412"/>
      <c r="P231" s="412"/>
      <c r="Q231" s="412"/>
      <c r="R231" s="412"/>
      <c r="S231" s="412"/>
      <c r="T231" s="412"/>
      <c r="U231" s="412"/>
      <c r="V231" s="412"/>
      <c r="W231" s="412"/>
      <c r="X231" s="412"/>
      <c r="Y231" s="412"/>
      <c r="Z231" s="412"/>
    </row>
    <row r="232" ht="14.25" customHeight="1">
      <c r="A232" s="412"/>
      <c r="B232" s="410"/>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row>
    <row r="233" ht="14.25" customHeight="1">
      <c r="A233" s="412"/>
      <c r="B233" s="410"/>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row>
    <row r="234" ht="14.25" customHeight="1">
      <c r="A234" s="412"/>
      <c r="B234" s="410"/>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row>
    <row r="235" ht="14.25" customHeight="1">
      <c r="A235" s="412"/>
      <c r="B235" s="410"/>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row>
    <row r="236" ht="14.25" customHeight="1">
      <c r="A236" s="412"/>
      <c r="B236" s="410"/>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row>
    <row r="237" ht="14.25" customHeight="1">
      <c r="A237" s="412"/>
      <c r="B237" s="410"/>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row>
    <row r="238" ht="14.25" customHeight="1">
      <c r="A238" s="412"/>
      <c r="B238" s="410"/>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row>
    <row r="239" ht="14.25" customHeight="1">
      <c r="A239" s="412"/>
      <c r="B239" s="410"/>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row>
    <row r="240" ht="14.25" customHeight="1">
      <c r="A240" s="412"/>
      <c r="B240" s="410"/>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row>
    <row r="241" ht="14.25" customHeight="1">
      <c r="A241" s="412"/>
      <c r="B241" s="410"/>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row>
    <row r="242" ht="14.25" customHeight="1">
      <c r="A242" s="412"/>
      <c r="B242" s="410"/>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row>
    <row r="243" ht="14.25" customHeight="1">
      <c r="A243" s="412"/>
      <c r="B243" s="410"/>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row>
    <row r="244" ht="14.25" customHeight="1">
      <c r="A244" s="412"/>
      <c r="B244" s="410"/>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row>
    <row r="245" ht="14.25" customHeight="1">
      <c r="A245" s="412"/>
      <c r="B245" s="410"/>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row>
    <row r="246" ht="14.25" customHeight="1">
      <c r="A246" s="412"/>
      <c r="B246" s="410"/>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row>
    <row r="247" ht="14.25" customHeight="1">
      <c r="A247" s="412"/>
      <c r="B247" s="410"/>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row>
    <row r="248" ht="14.25" customHeight="1">
      <c r="A248" s="412"/>
      <c r="B248" s="410"/>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row>
    <row r="249" ht="14.25" customHeight="1">
      <c r="A249" s="412"/>
      <c r="B249" s="410"/>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row>
    <row r="250" ht="14.25" customHeight="1">
      <c r="A250" s="412"/>
      <c r="B250" s="410"/>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row>
    <row r="251" ht="14.25" customHeight="1">
      <c r="A251" s="412"/>
      <c r="B251" s="410"/>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row>
    <row r="252" ht="14.25" customHeight="1">
      <c r="A252" s="412"/>
      <c r="B252" s="410"/>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row>
    <row r="253" ht="14.25" customHeight="1">
      <c r="A253" s="412"/>
      <c r="B253" s="410"/>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row>
    <row r="254" ht="14.25" customHeight="1">
      <c r="A254" s="412"/>
      <c r="B254" s="410"/>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row>
    <row r="255" ht="14.25" customHeight="1">
      <c r="A255" s="412"/>
      <c r="B255" s="410"/>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row>
    <row r="256" ht="14.25" customHeight="1">
      <c r="A256" s="412"/>
      <c r="B256" s="410"/>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row>
    <row r="257" ht="14.25" customHeight="1">
      <c r="A257" s="412"/>
      <c r="B257" s="410"/>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row>
    <row r="258" ht="14.25" customHeight="1">
      <c r="A258" s="412"/>
      <c r="B258" s="410"/>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row>
    <row r="259" ht="14.25" customHeight="1">
      <c r="A259" s="412"/>
      <c r="B259" s="410"/>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row>
    <row r="260" ht="14.25" customHeight="1">
      <c r="A260" s="412"/>
      <c r="B260" s="410"/>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row>
    <row r="261" ht="14.25" customHeight="1">
      <c r="A261" s="412"/>
      <c r="B261" s="410"/>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row>
    <row r="262" ht="14.25" customHeight="1">
      <c r="A262" s="412"/>
      <c r="B262" s="410"/>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row>
    <row r="263" ht="14.25" customHeight="1">
      <c r="A263" s="412"/>
      <c r="B263" s="410"/>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row>
    <row r="264" ht="14.25" customHeight="1">
      <c r="A264" s="412"/>
      <c r="B264" s="410"/>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row>
    <row r="265" ht="14.25" customHeight="1">
      <c r="A265" s="412"/>
      <c r="B265" s="410"/>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row>
    <row r="266" ht="14.25" customHeight="1">
      <c r="A266" s="412"/>
      <c r="B266" s="410"/>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row>
    <row r="267" ht="14.25" customHeight="1">
      <c r="A267" s="412"/>
      <c r="B267" s="410"/>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row>
    <row r="268" ht="14.25" customHeight="1">
      <c r="A268" s="412"/>
      <c r="B268" s="410"/>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row>
    <row r="269" ht="14.25" customHeight="1">
      <c r="A269" s="412"/>
      <c r="B269" s="410"/>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row>
    <row r="270" ht="14.25" customHeight="1">
      <c r="A270" s="412"/>
      <c r="B270" s="410"/>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row>
    <row r="271" ht="14.25" customHeight="1">
      <c r="A271" s="412"/>
      <c r="B271" s="410"/>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row>
    <row r="272" ht="14.25" customHeight="1">
      <c r="A272" s="412"/>
      <c r="B272" s="410"/>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row>
    <row r="273" ht="14.25" customHeight="1">
      <c r="A273" s="412"/>
      <c r="B273" s="410"/>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row>
    <row r="274" ht="14.25" customHeight="1">
      <c r="A274" s="412"/>
      <c r="B274" s="410"/>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row>
    <row r="275" ht="14.25" customHeight="1">
      <c r="A275" s="412"/>
      <c r="B275" s="410"/>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row>
    <row r="276" ht="14.25" customHeight="1">
      <c r="A276" s="412"/>
      <c r="B276" s="410"/>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row>
    <row r="277" ht="14.25" customHeight="1">
      <c r="A277" s="412"/>
      <c r="B277" s="410"/>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row>
    <row r="278" ht="14.25" customHeight="1">
      <c r="A278" s="412"/>
      <c r="B278" s="410"/>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row>
    <row r="279" ht="14.25" customHeight="1">
      <c r="A279" s="412"/>
      <c r="B279" s="410"/>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row>
    <row r="280" ht="14.25" customHeight="1">
      <c r="A280" s="412"/>
      <c r="B280" s="410"/>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row>
    <row r="281" ht="14.25" customHeight="1">
      <c r="A281" s="412"/>
      <c r="B281" s="410"/>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row>
    <row r="282" ht="14.25" customHeight="1">
      <c r="A282" s="412"/>
      <c r="B282" s="410"/>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row>
    <row r="283" ht="14.25" customHeight="1">
      <c r="A283" s="412"/>
      <c r="B283" s="410"/>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row>
    <row r="284" ht="14.25" customHeight="1">
      <c r="A284" s="412"/>
      <c r="B284" s="410"/>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row>
    <row r="285" ht="14.25" customHeight="1">
      <c r="A285" s="412"/>
      <c r="B285" s="410"/>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row>
    <row r="286" ht="14.25" customHeight="1">
      <c r="A286" s="412"/>
      <c r="B286" s="410"/>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row>
    <row r="287" ht="14.25" customHeight="1">
      <c r="A287" s="412"/>
      <c r="B287" s="410"/>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row>
    <row r="288" ht="14.25" customHeight="1">
      <c r="A288" s="412"/>
      <c r="B288" s="410"/>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row>
    <row r="289" ht="14.25" customHeight="1">
      <c r="A289" s="412"/>
      <c r="B289" s="410"/>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row>
    <row r="290" ht="14.25" customHeight="1">
      <c r="A290" s="412"/>
      <c r="B290" s="410"/>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row>
    <row r="291" ht="14.25" customHeight="1">
      <c r="A291" s="412"/>
      <c r="B291" s="410"/>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row>
    <row r="292" ht="14.25" customHeight="1">
      <c r="A292" s="412"/>
      <c r="B292" s="410"/>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row>
    <row r="293" ht="14.25" customHeight="1">
      <c r="A293" s="412"/>
      <c r="B293" s="410"/>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row>
    <row r="294" ht="14.25" customHeight="1">
      <c r="A294" s="412"/>
      <c r="B294" s="410"/>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row>
    <row r="295" ht="14.25" customHeight="1">
      <c r="A295" s="412"/>
      <c r="B295" s="410"/>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row>
    <row r="296" ht="14.25" customHeight="1">
      <c r="A296" s="412"/>
      <c r="B296" s="410"/>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row>
    <row r="297" ht="14.25" customHeight="1">
      <c r="A297" s="412"/>
      <c r="B297" s="410"/>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row>
    <row r="298" ht="14.25" customHeight="1">
      <c r="A298" s="412"/>
      <c r="B298" s="410"/>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row>
    <row r="299" ht="14.25" customHeight="1">
      <c r="A299" s="412"/>
      <c r="B299" s="410"/>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row>
    <row r="300" ht="14.25" customHeight="1">
      <c r="A300" s="412"/>
      <c r="B300" s="410"/>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row>
    <row r="301" ht="14.25" customHeight="1">
      <c r="A301" s="412"/>
      <c r="B301" s="410"/>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row>
    <row r="302" ht="14.25" customHeight="1">
      <c r="A302" s="412"/>
      <c r="B302" s="410"/>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row>
    <row r="303" ht="14.25" customHeight="1">
      <c r="A303" s="412"/>
      <c r="B303" s="410"/>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row>
    <row r="304" ht="14.25" customHeight="1">
      <c r="A304" s="412"/>
      <c r="B304" s="410"/>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row>
    <row r="305" ht="14.25" customHeight="1">
      <c r="A305" s="412"/>
      <c r="B305" s="410"/>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row>
    <row r="306" ht="14.25" customHeight="1">
      <c r="A306" s="412"/>
      <c r="B306" s="410"/>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row>
    <row r="307" ht="14.25" customHeight="1">
      <c r="A307" s="412"/>
      <c r="B307" s="410"/>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row>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hidden="1" min="1" max="1" width="30.88"/>
    <col customWidth="1" min="2" max="2" width="22.13"/>
    <col customWidth="1" min="3" max="3" width="20.88"/>
    <col customWidth="1" min="4" max="4" width="20.38"/>
    <col customWidth="1" min="5" max="5" width="24.13"/>
    <col customWidth="1" min="6" max="6" width="21.0"/>
    <col customWidth="1" min="7" max="7" width="28.38"/>
    <col customWidth="1" min="8" max="8" width="26.88"/>
    <col customWidth="1" min="9" max="9" width="22.0"/>
    <col customWidth="1" min="10" max="10" width="16.5"/>
    <col customWidth="1" min="11" max="11" width="22.38"/>
    <col customWidth="1" min="12" max="12" width="20.75"/>
    <col customWidth="1" min="13" max="13" width="20.0"/>
  </cols>
  <sheetData>
    <row r="1">
      <c r="A1" s="414" t="s">
        <v>3790</v>
      </c>
      <c r="B1" s="415" t="s">
        <v>3791</v>
      </c>
      <c r="C1" s="416"/>
      <c r="D1" s="416"/>
      <c r="E1" s="417" t="s">
        <v>1642</v>
      </c>
      <c r="F1" s="416"/>
      <c r="G1" s="416"/>
      <c r="H1" s="415" t="s">
        <v>2800</v>
      </c>
      <c r="I1" s="416"/>
      <c r="J1" s="416"/>
      <c r="K1" s="415" t="s">
        <v>1650</v>
      </c>
      <c r="L1" s="416"/>
      <c r="M1" s="418"/>
      <c r="N1" s="419"/>
      <c r="O1" s="419"/>
      <c r="P1" s="419"/>
      <c r="Q1" s="419"/>
      <c r="R1" s="419"/>
      <c r="S1" s="419"/>
      <c r="T1" s="419"/>
      <c r="U1" s="419"/>
      <c r="V1" s="419"/>
      <c r="W1" s="419"/>
      <c r="X1" s="419"/>
      <c r="Y1" s="419"/>
      <c r="Z1" s="419"/>
      <c r="AA1" s="419"/>
      <c r="AB1" s="419"/>
      <c r="AC1" s="419"/>
      <c r="AD1" s="419"/>
    </row>
    <row r="2">
      <c r="A2" s="420" t="s">
        <v>3792</v>
      </c>
      <c r="B2" s="421" t="s">
        <v>1428</v>
      </c>
      <c r="C2" s="422" t="s">
        <v>3793</v>
      </c>
      <c r="D2" s="422" t="s">
        <v>3794</v>
      </c>
      <c r="E2" s="423" t="s">
        <v>1428</v>
      </c>
      <c r="F2" s="422" t="s">
        <v>3793</v>
      </c>
      <c r="G2" s="422" t="s">
        <v>3794</v>
      </c>
      <c r="H2" s="421" t="s">
        <v>1428</v>
      </c>
      <c r="I2" s="424" t="s">
        <v>3793</v>
      </c>
      <c r="J2" s="424" t="s">
        <v>3794</v>
      </c>
      <c r="K2" s="421" t="s">
        <v>1428</v>
      </c>
      <c r="L2" s="424" t="s">
        <v>3793</v>
      </c>
      <c r="M2" s="425" t="s">
        <v>3794</v>
      </c>
      <c r="N2" s="424"/>
      <c r="O2" s="424"/>
      <c r="P2" s="424"/>
      <c r="Q2" s="424"/>
      <c r="R2" s="424"/>
      <c r="S2" s="424"/>
      <c r="T2" s="424"/>
      <c r="U2" s="424"/>
      <c r="V2" s="424"/>
      <c r="W2" s="424"/>
      <c r="X2" s="424"/>
      <c r="Y2" s="424"/>
      <c r="Z2" s="424"/>
      <c r="AA2" s="424"/>
      <c r="AB2" s="424"/>
      <c r="AC2" s="424"/>
      <c r="AD2" s="424"/>
    </row>
    <row r="3">
      <c r="A3" s="426"/>
      <c r="B3" s="427" t="s">
        <v>72</v>
      </c>
      <c r="C3" s="428" t="s">
        <v>72</v>
      </c>
      <c r="D3" s="428" t="s">
        <v>72</v>
      </c>
      <c r="E3" s="429" t="s">
        <v>72</v>
      </c>
      <c r="F3" s="428" t="s">
        <v>72</v>
      </c>
      <c r="G3" s="428" t="s">
        <v>72</v>
      </c>
      <c r="H3" s="427" t="s">
        <v>72</v>
      </c>
      <c r="I3" s="430" t="s">
        <v>72</v>
      </c>
      <c r="J3" s="430" t="s">
        <v>72</v>
      </c>
      <c r="K3" s="427" t="s">
        <v>72</v>
      </c>
      <c r="L3" s="430" t="s">
        <v>72</v>
      </c>
      <c r="M3" s="431" t="s">
        <v>72</v>
      </c>
      <c r="N3" s="430"/>
      <c r="O3" s="430"/>
      <c r="P3" s="430"/>
      <c r="Q3" s="430"/>
      <c r="R3" s="430"/>
      <c r="S3" s="430"/>
      <c r="T3" s="430"/>
      <c r="U3" s="430"/>
      <c r="V3" s="430"/>
      <c r="W3" s="430"/>
      <c r="X3" s="430"/>
      <c r="Y3" s="430"/>
      <c r="Z3" s="430"/>
      <c r="AA3" s="430"/>
      <c r="AB3" s="430"/>
      <c r="AC3" s="430"/>
      <c r="AD3" s="430"/>
    </row>
    <row r="4">
      <c r="A4" s="426"/>
      <c r="B4" s="427" t="s">
        <v>76</v>
      </c>
      <c r="C4" s="428" t="s">
        <v>76</v>
      </c>
      <c r="D4" s="428" t="s">
        <v>76</v>
      </c>
      <c r="E4" s="429" t="s">
        <v>76</v>
      </c>
      <c r="F4" s="428" t="s">
        <v>76</v>
      </c>
      <c r="G4" s="428" t="s">
        <v>76</v>
      </c>
      <c r="H4" s="427" t="s">
        <v>76</v>
      </c>
      <c r="I4" s="430" t="s">
        <v>76</v>
      </c>
      <c r="J4" s="430" t="s">
        <v>76</v>
      </c>
      <c r="K4" s="427" t="s">
        <v>76</v>
      </c>
      <c r="L4" s="430" t="s">
        <v>76</v>
      </c>
      <c r="M4" s="431" t="s">
        <v>76</v>
      </c>
      <c r="N4" s="430"/>
      <c r="O4" s="430"/>
      <c r="P4" s="430"/>
      <c r="Q4" s="430"/>
      <c r="R4" s="430"/>
      <c r="S4" s="430"/>
      <c r="T4" s="430"/>
      <c r="U4" s="430"/>
      <c r="V4" s="430"/>
      <c r="W4" s="430"/>
      <c r="X4" s="430"/>
      <c r="Y4" s="430"/>
      <c r="Z4" s="430"/>
      <c r="AA4" s="430"/>
      <c r="AB4" s="430"/>
      <c r="AC4" s="430"/>
      <c r="AD4" s="430"/>
    </row>
    <row r="5">
      <c r="A5" s="426"/>
      <c r="B5" s="427" t="s">
        <v>88</v>
      </c>
      <c r="C5" s="428" t="s">
        <v>88</v>
      </c>
      <c r="D5" s="428" t="s">
        <v>88</v>
      </c>
      <c r="E5" s="429" t="s">
        <v>80</v>
      </c>
      <c r="F5" s="428" t="s">
        <v>80</v>
      </c>
      <c r="G5" s="428" t="s">
        <v>80</v>
      </c>
      <c r="H5" s="427" t="s">
        <v>80</v>
      </c>
      <c r="I5" s="430" t="s">
        <v>80</v>
      </c>
      <c r="J5" s="430" t="s">
        <v>80</v>
      </c>
      <c r="K5" s="427" t="s">
        <v>80</v>
      </c>
      <c r="L5" s="430" t="s">
        <v>80</v>
      </c>
      <c r="M5" s="431" t="s">
        <v>80</v>
      </c>
      <c r="N5" s="430"/>
      <c r="O5" s="430"/>
      <c r="P5" s="430"/>
      <c r="Q5" s="430"/>
      <c r="R5" s="430"/>
      <c r="S5" s="430"/>
      <c r="T5" s="430"/>
      <c r="U5" s="430"/>
      <c r="V5" s="430"/>
      <c r="W5" s="430"/>
      <c r="X5" s="430"/>
      <c r="Y5" s="430"/>
      <c r="Z5" s="430"/>
      <c r="AA5" s="430"/>
      <c r="AB5" s="430"/>
      <c r="AC5" s="430"/>
      <c r="AD5" s="430"/>
    </row>
    <row r="6">
      <c r="A6" s="426"/>
      <c r="B6" s="427" t="s">
        <v>3795</v>
      </c>
      <c r="C6" s="428" t="s">
        <v>3796</v>
      </c>
      <c r="D6" s="428" t="s">
        <v>3796</v>
      </c>
      <c r="E6" s="429" t="s">
        <v>84</v>
      </c>
      <c r="F6" s="428" t="s">
        <v>84</v>
      </c>
      <c r="G6" s="428" t="s">
        <v>84</v>
      </c>
      <c r="H6" s="427" t="s">
        <v>84</v>
      </c>
      <c r="I6" s="430" t="s">
        <v>84</v>
      </c>
      <c r="J6" s="430" t="s">
        <v>84</v>
      </c>
      <c r="K6" s="427" t="s">
        <v>84</v>
      </c>
      <c r="L6" s="430" t="s">
        <v>84</v>
      </c>
      <c r="M6" s="431" t="s">
        <v>84</v>
      </c>
      <c r="N6" s="430"/>
      <c r="O6" s="430"/>
      <c r="P6" s="430"/>
      <c r="Q6" s="430"/>
      <c r="R6" s="430"/>
      <c r="S6" s="430"/>
      <c r="T6" s="430"/>
      <c r="U6" s="430"/>
      <c r="V6" s="430"/>
      <c r="W6" s="430"/>
      <c r="X6" s="430"/>
      <c r="Y6" s="430"/>
      <c r="Z6" s="430"/>
      <c r="AA6" s="430"/>
      <c r="AB6" s="430"/>
      <c r="AC6" s="430"/>
      <c r="AD6" s="430"/>
    </row>
    <row r="7">
      <c r="A7" s="426"/>
      <c r="B7" s="427" t="s">
        <v>95</v>
      </c>
      <c r="C7" s="428" t="s">
        <v>95</v>
      </c>
      <c r="D7" s="428" t="s">
        <v>95</v>
      </c>
      <c r="E7" s="429" t="s">
        <v>88</v>
      </c>
      <c r="F7" s="428" t="s">
        <v>88</v>
      </c>
      <c r="G7" s="428" t="s">
        <v>88</v>
      </c>
      <c r="H7" s="427" t="s">
        <v>88</v>
      </c>
      <c r="I7" s="430" t="s">
        <v>88</v>
      </c>
      <c r="J7" s="430" t="s">
        <v>88</v>
      </c>
      <c r="K7" s="427" t="s">
        <v>88</v>
      </c>
      <c r="L7" s="430" t="s">
        <v>88</v>
      </c>
      <c r="M7" s="431" t="s">
        <v>88</v>
      </c>
      <c r="N7" s="430"/>
      <c r="O7" s="430"/>
      <c r="P7" s="430"/>
      <c r="Q7" s="430"/>
      <c r="R7" s="430"/>
      <c r="S7" s="430"/>
      <c r="T7" s="430"/>
      <c r="U7" s="430"/>
      <c r="V7" s="430"/>
      <c r="W7" s="430"/>
      <c r="X7" s="430"/>
      <c r="Y7" s="430"/>
      <c r="Z7" s="430"/>
      <c r="AA7" s="430"/>
      <c r="AB7" s="430"/>
      <c r="AC7" s="430"/>
      <c r="AD7" s="430"/>
    </row>
    <row r="8">
      <c r="A8" s="426"/>
      <c r="B8" s="427" t="s">
        <v>107</v>
      </c>
      <c r="C8" s="428" t="s">
        <v>107</v>
      </c>
      <c r="D8" s="428" t="s">
        <v>107</v>
      </c>
      <c r="E8" s="429" t="s">
        <v>3795</v>
      </c>
      <c r="F8" s="428" t="s">
        <v>3796</v>
      </c>
      <c r="G8" s="428" t="s">
        <v>3796</v>
      </c>
      <c r="H8" s="427" t="s">
        <v>92</v>
      </c>
      <c r="I8" s="430" t="s">
        <v>92</v>
      </c>
      <c r="J8" s="430" t="s">
        <v>92</v>
      </c>
      <c r="K8" s="427" t="s">
        <v>92</v>
      </c>
      <c r="L8" s="430" t="s">
        <v>92</v>
      </c>
      <c r="M8" s="431" t="s">
        <v>92</v>
      </c>
      <c r="N8" s="430"/>
      <c r="O8" s="430"/>
      <c r="P8" s="430"/>
      <c r="Q8" s="430"/>
      <c r="R8" s="430"/>
      <c r="S8" s="430"/>
      <c r="T8" s="430"/>
      <c r="U8" s="430"/>
      <c r="V8" s="430"/>
      <c r="W8" s="430"/>
      <c r="X8" s="430"/>
      <c r="Y8" s="430"/>
      <c r="Z8" s="430"/>
      <c r="AA8" s="430"/>
      <c r="AB8" s="430"/>
      <c r="AC8" s="430"/>
      <c r="AD8" s="430"/>
    </row>
    <row r="9">
      <c r="A9" s="426"/>
      <c r="B9" s="427" t="s">
        <v>111</v>
      </c>
      <c r="C9" s="428" t="s">
        <v>111</v>
      </c>
      <c r="D9" s="428" t="s">
        <v>111</v>
      </c>
      <c r="E9" s="429" t="s">
        <v>95</v>
      </c>
      <c r="F9" s="428" t="s">
        <v>95</v>
      </c>
      <c r="G9" s="428" t="s">
        <v>95</v>
      </c>
      <c r="H9" s="427" t="s">
        <v>95</v>
      </c>
      <c r="I9" s="430" t="s">
        <v>95</v>
      </c>
      <c r="J9" s="430" t="s">
        <v>95</v>
      </c>
      <c r="K9" s="427" t="s">
        <v>95</v>
      </c>
      <c r="L9" s="430" t="s">
        <v>95</v>
      </c>
      <c r="M9" s="431" t="s">
        <v>95</v>
      </c>
      <c r="N9" s="430"/>
      <c r="O9" s="430"/>
      <c r="P9" s="430"/>
      <c r="Q9" s="430"/>
      <c r="R9" s="430"/>
      <c r="S9" s="430"/>
      <c r="T9" s="430"/>
      <c r="U9" s="430"/>
      <c r="V9" s="430"/>
      <c r="W9" s="430"/>
      <c r="X9" s="430"/>
      <c r="Y9" s="430"/>
      <c r="Z9" s="430"/>
      <c r="AA9" s="430"/>
      <c r="AB9" s="430"/>
      <c r="AC9" s="430"/>
      <c r="AD9" s="430"/>
    </row>
    <row r="10">
      <c r="A10" s="426"/>
      <c r="B10" s="427" t="s">
        <v>3797</v>
      </c>
      <c r="C10" s="428" t="s">
        <v>3798</v>
      </c>
      <c r="D10" s="428" t="s">
        <v>3798</v>
      </c>
      <c r="E10" s="429" t="s">
        <v>107</v>
      </c>
      <c r="F10" s="428" t="s">
        <v>107</v>
      </c>
      <c r="G10" s="428" t="s">
        <v>107</v>
      </c>
      <c r="H10" s="427" t="s">
        <v>107</v>
      </c>
      <c r="I10" s="430" t="s">
        <v>107</v>
      </c>
      <c r="J10" s="430" t="s">
        <v>107</v>
      </c>
      <c r="K10" s="427" t="s">
        <v>107</v>
      </c>
      <c r="L10" s="430" t="s">
        <v>107</v>
      </c>
      <c r="M10" s="431" t="s">
        <v>107</v>
      </c>
      <c r="N10" s="430"/>
      <c r="O10" s="430"/>
      <c r="P10" s="430"/>
      <c r="Q10" s="430"/>
      <c r="R10" s="430"/>
      <c r="S10" s="430"/>
      <c r="T10" s="430"/>
      <c r="U10" s="430"/>
      <c r="V10" s="430"/>
      <c r="W10" s="430"/>
      <c r="X10" s="430"/>
      <c r="Y10" s="430"/>
      <c r="Z10" s="430"/>
      <c r="AA10" s="430"/>
      <c r="AB10" s="430"/>
      <c r="AC10" s="430"/>
      <c r="AD10" s="430"/>
    </row>
    <row r="11">
      <c r="A11" s="426"/>
      <c r="B11" s="427" t="s">
        <v>135</v>
      </c>
      <c r="C11" s="428" t="s">
        <v>135</v>
      </c>
      <c r="D11" s="428" t="s">
        <v>135</v>
      </c>
      <c r="E11" s="429" t="s">
        <v>3799</v>
      </c>
      <c r="F11" s="428" t="s">
        <v>3800</v>
      </c>
      <c r="G11" s="428" t="s">
        <v>3800</v>
      </c>
      <c r="H11" s="427" t="s">
        <v>111</v>
      </c>
      <c r="I11" s="430" t="s">
        <v>111</v>
      </c>
      <c r="J11" s="430" t="s">
        <v>111</v>
      </c>
      <c r="K11" s="427" t="s">
        <v>111</v>
      </c>
      <c r="L11" s="430" t="s">
        <v>111</v>
      </c>
      <c r="M11" s="431" t="s">
        <v>111</v>
      </c>
      <c r="N11" s="430"/>
      <c r="O11" s="430"/>
      <c r="P11" s="430"/>
      <c r="Q11" s="430"/>
      <c r="R11" s="430"/>
      <c r="S11" s="430"/>
      <c r="T11" s="430"/>
      <c r="U11" s="430"/>
      <c r="V11" s="430"/>
      <c r="W11" s="430"/>
      <c r="X11" s="430"/>
      <c r="Y11" s="430"/>
      <c r="Z11" s="430"/>
      <c r="AA11" s="430"/>
      <c r="AB11" s="430"/>
      <c r="AC11" s="430"/>
      <c r="AD11" s="430"/>
    </row>
    <row r="12">
      <c r="A12" s="426"/>
      <c r="B12" s="427" t="s">
        <v>138</v>
      </c>
      <c r="C12" s="428" t="s">
        <v>138</v>
      </c>
      <c r="D12" s="428" t="s">
        <v>138</v>
      </c>
      <c r="E12" s="429" t="s">
        <v>114</v>
      </c>
      <c r="F12" s="428" t="s">
        <v>114</v>
      </c>
      <c r="G12" s="428" t="s">
        <v>114</v>
      </c>
      <c r="H12" s="427" t="s">
        <v>114</v>
      </c>
      <c r="I12" s="430" t="s">
        <v>114</v>
      </c>
      <c r="J12" s="430" t="s">
        <v>114</v>
      </c>
      <c r="K12" s="427" t="s">
        <v>114</v>
      </c>
      <c r="L12" s="430" t="s">
        <v>114</v>
      </c>
      <c r="M12" s="431" t="s">
        <v>114</v>
      </c>
      <c r="N12" s="430"/>
      <c r="O12" s="430"/>
      <c r="P12" s="430"/>
      <c r="Q12" s="430"/>
      <c r="R12" s="430"/>
      <c r="S12" s="430"/>
      <c r="T12" s="430"/>
      <c r="U12" s="430"/>
      <c r="V12" s="430"/>
      <c r="W12" s="430"/>
      <c r="X12" s="430"/>
      <c r="Y12" s="430"/>
      <c r="Z12" s="430"/>
      <c r="AA12" s="430"/>
      <c r="AB12" s="430"/>
      <c r="AC12" s="430"/>
      <c r="AD12" s="430"/>
    </row>
    <row r="13">
      <c r="A13" s="426"/>
      <c r="B13" s="427" t="s">
        <v>150</v>
      </c>
      <c r="C13" s="428" t="s">
        <v>150</v>
      </c>
      <c r="D13" s="428" t="s">
        <v>150</v>
      </c>
      <c r="E13" s="429" t="s">
        <v>117</v>
      </c>
      <c r="F13" s="428" t="s">
        <v>117</v>
      </c>
      <c r="G13" s="428" t="s">
        <v>117</v>
      </c>
      <c r="H13" s="427" t="s">
        <v>117</v>
      </c>
      <c r="I13" s="430" t="s">
        <v>117</v>
      </c>
      <c r="J13" s="430" t="s">
        <v>117</v>
      </c>
      <c r="K13" s="427" t="s">
        <v>117</v>
      </c>
      <c r="L13" s="430" t="s">
        <v>117</v>
      </c>
      <c r="M13" s="431" t="s">
        <v>117</v>
      </c>
      <c r="N13" s="430"/>
      <c r="O13" s="430"/>
      <c r="P13" s="430"/>
      <c r="Q13" s="430"/>
      <c r="R13" s="430"/>
      <c r="S13" s="430"/>
      <c r="T13" s="430"/>
      <c r="U13" s="430"/>
      <c r="V13" s="430"/>
      <c r="W13" s="430"/>
      <c r="X13" s="430"/>
      <c r="Y13" s="430"/>
      <c r="Z13" s="430"/>
      <c r="AA13" s="430"/>
      <c r="AB13" s="430"/>
      <c r="AC13" s="430"/>
      <c r="AD13" s="430"/>
    </row>
    <row r="14">
      <c r="A14" s="426"/>
      <c r="B14" s="427" t="s">
        <v>153</v>
      </c>
      <c r="C14" s="428" t="s">
        <v>153</v>
      </c>
      <c r="D14" s="428" t="s">
        <v>153</v>
      </c>
      <c r="E14" s="429" t="s">
        <v>120</v>
      </c>
      <c r="F14" s="428" t="s">
        <v>120</v>
      </c>
      <c r="G14" s="428" t="s">
        <v>120</v>
      </c>
      <c r="H14" s="427" t="s">
        <v>120</v>
      </c>
      <c r="I14" s="430" t="s">
        <v>120</v>
      </c>
      <c r="J14" s="430" t="s">
        <v>120</v>
      </c>
      <c r="K14" s="427" t="s">
        <v>120</v>
      </c>
      <c r="L14" s="430" t="s">
        <v>120</v>
      </c>
      <c r="M14" s="431" t="s">
        <v>120</v>
      </c>
      <c r="N14" s="430"/>
      <c r="O14" s="430"/>
      <c r="P14" s="430"/>
      <c r="Q14" s="430"/>
      <c r="R14" s="430"/>
      <c r="S14" s="430"/>
      <c r="T14" s="430"/>
      <c r="U14" s="430"/>
      <c r="V14" s="430"/>
      <c r="W14" s="430"/>
      <c r="X14" s="430"/>
      <c r="Y14" s="430"/>
      <c r="Z14" s="430"/>
      <c r="AA14" s="430"/>
      <c r="AB14" s="430"/>
      <c r="AC14" s="430"/>
      <c r="AD14" s="430"/>
    </row>
    <row r="15">
      <c r="A15" s="426"/>
      <c r="B15" s="427" t="s">
        <v>156</v>
      </c>
      <c r="C15" s="428" t="s">
        <v>156</v>
      </c>
      <c r="D15" s="428" t="s">
        <v>156</v>
      </c>
      <c r="E15" s="429" t="s">
        <v>3797</v>
      </c>
      <c r="F15" s="428" t="s">
        <v>3798</v>
      </c>
      <c r="G15" s="428" t="s">
        <v>3798</v>
      </c>
      <c r="H15" s="427" t="s">
        <v>123</v>
      </c>
      <c r="I15" s="430" t="s">
        <v>123</v>
      </c>
      <c r="J15" s="430" t="s">
        <v>123</v>
      </c>
      <c r="K15" s="427" t="s">
        <v>123</v>
      </c>
      <c r="L15" s="430" t="s">
        <v>123</v>
      </c>
      <c r="M15" s="431" t="s">
        <v>123</v>
      </c>
      <c r="N15" s="430"/>
      <c r="O15" s="430"/>
      <c r="P15" s="430"/>
      <c r="Q15" s="430"/>
      <c r="R15" s="430"/>
      <c r="S15" s="430"/>
      <c r="T15" s="430"/>
      <c r="U15" s="430"/>
      <c r="V15" s="430"/>
      <c r="W15" s="430"/>
      <c r="X15" s="430"/>
      <c r="Y15" s="430"/>
      <c r="Z15" s="430"/>
      <c r="AA15" s="430"/>
      <c r="AB15" s="430"/>
      <c r="AC15" s="430"/>
      <c r="AD15" s="430"/>
    </row>
    <row r="16">
      <c r="A16" s="426"/>
      <c r="B16" s="427" t="s">
        <v>189</v>
      </c>
      <c r="C16" s="428" t="s">
        <v>189</v>
      </c>
      <c r="D16" s="428" t="s">
        <v>189</v>
      </c>
      <c r="E16" s="429" t="s">
        <v>126</v>
      </c>
      <c r="F16" s="428" t="s">
        <v>126</v>
      </c>
      <c r="G16" s="428" t="s">
        <v>126</v>
      </c>
      <c r="H16" s="427" t="s">
        <v>126</v>
      </c>
      <c r="I16" s="430" t="s">
        <v>126</v>
      </c>
      <c r="J16" s="430" t="s">
        <v>126</v>
      </c>
      <c r="K16" s="427" t="s">
        <v>126</v>
      </c>
      <c r="L16" s="430" t="s">
        <v>126</v>
      </c>
      <c r="M16" s="431" t="s">
        <v>126</v>
      </c>
      <c r="N16" s="430"/>
      <c r="O16" s="430"/>
      <c r="P16" s="430"/>
      <c r="Q16" s="430"/>
      <c r="R16" s="430"/>
      <c r="S16" s="430"/>
      <c r="T16" s="430"/>
      <c r="U16" s="430"/>
      <c r="V16" s="430"/>
      <c r="W16" s="430"/>
      <c r="X16" s="430"/>
      <c r="Y16" s="430"/>
      <c r="Z16" s="430"/>
      <c r="AA16" s="430"/>
      <c r="AB16" s="430"/>
      <c r="AC16" s="430"/>
      <c r="AD16" s="430"/>
    </row>
    <row r="17">
      <c r="A17" s="426"/>
      <c r="B17" s="427" t="s">
        <v>192</v>
      </c>
      <c r="C17" s="428" t="s">
        <v>192</v>
      </c>
      <c r="D17" s="428" t="s">
        <v>192</v>
      </c>
      <c r="E17" s="429" t="s">
        <v>3801</v>
      </c>
      <c r="F17" s="428" t="s">
        <v>3801</v>
      </c>
      <c r="G17" s="428" t="s">
        <v>3802</v>
      </c>
      <c r="H17" s="427" t="s">
        <v>3802</v>
      </c>
      <c r="I17" s="430" t="s">
        <v>3801</v>
      </c>
      <c r="J17" s="430" t="s">
        <v>3802</v>
      </c>
      <c r="K17" s="427" t="s">
        <v>3801</v>
      </c>
      <c r="L17" s="430" t="s">
        <v>3801</v>
      </c>
      <c r="M17" s="431" t="s">
        <v>3802</v>
      </c>
      <c r="N17" s="430"/>
      <c r="O17" s="430"/>
      <c r="P17" s="430"/>
      <c r="Q17" s="430"/>
      <c r="R17" s="430"/>
      <c r="S17" s="430"/>
      <c r="T17" s="430"/>
      <c r="U17" s="430"/>
      <c r="V17" s="430"/>
      <c r="W17" s="430"/>
      <c r="X17" s="430"/>
      <c r="Y17" s="430"/>
      <c r="Z17" s="430"/>
      <c r="AA17" s="430"/>
      <c r="AB17" s="430"/>
      <c r="AC17" s="430"/>
      <c r="AD17" s="430"/>
    </row>
    <row r="18">
      <c r="A18" s="426"/>
      <c r="B18" s="427" t="s">
        <v>195</v>
      </c>
      <c r="C18" s="428" t="s">
        <v>195</v>
      </c>
      <c r="D18" s="428" t="s">
        <v>195</v>
      </c>
      <c r="E18" s="429" t="s">
        <v>135</v>
      </c>
      <c r="F18" s="428" t="s">
        <v>135</v>
      </c>
      <c r="G18" s="428" t="s">
        <v>135</v>
      </c>
      <c r="H18" s="427" t="s">
        <v>132</v>
      </c>
      <c r="I18" s="430" t="s">
        <v>132</v>
      </c>
      <c r="J18" s="430" t="s">
        <v>132</v>
      </c>
      <c r="K18" s="427" t="s">
        <v>132</v>
      </c>
      <c r="L18" s="430" t="s">
        <v>132</v>
      </c>
      <c r="M18" s="431" t="s">
        <v>132</v>
      </c>
      <c r="N18" s="430"/>
      <c r="O18" s="430"/>
      <c r="P18" s="430"/>
      <c r="Q18" s="430"/>
      <c r="R18" s="430"/>
      <c r="S18" s="430"/>
      <c r="T18" s="430"/>
      <c r="U18" s="430"/>
      <c r="V18" s="430"/>
      <c r="W18" s="430"/>
      <c r="X18" s="430"/>
      <c r="Y18" s="430"/>
      <c r="Z18" s="430"/>
      <c r="AA18" s="430"/>
      <c r="AB18" s="430"/>
      <c r="AC18" s="430"/>
      <c r="AD18" s="430"/>
    </row>
    <row r="19">
      <c r="A19" s="426"/>
      <c r="B19" s="427" t="s">
        <v>3803</v>
      </c>
      <c r="C19" s="428" t="s">
        <v>3804</v>
      </c>
      <c r="D19" s="428" t="s">
        <v>3804</v>
      </c>
      <c r="E19" s="429" t="s">
        <v>138</v>
      </c>
      <c r="F19" s="428" t="s">
        <v>138</v>
      </c>
      <c r="G19" s="428" t="s">
        <v>138</v>
      </c>
      <c r="H19" s="427" t="s">
        <v>135</v>
      </c>
      <c r="I19" s="430" t="s">
        <v>135</v>
      </c>
      <c r="J19" s="430" t="s">
        <v>135</v>
      </c>
      <c r="K19" s="427" t="s">
        <v>135</v>
      </c>
      <c r="L19" s="430" t="s">
        <v>135</v>
      </c>
      <c r="M19" s="431" t="s">
        <v>135</v>
      </c>
      <c r="N19" s="430"/>
      <c r="O19" s="430"/>
      <c r="P19" s="430"/>
      <c r="Q19" s="430"/>
      <c r="R19" s="430"/>
      <c r="S19" s="430"/>
      <c r="T19" s="430"/>
      <c r="U19" s="430"/>
      <c r="V19" s="430"/>
      <c r="W19" s="430"/>
      <c r="X19" s="430"/>
      <c r="Y19" s="430"/>
      <c r="Z19" s="430"/>
      <c r="AA19" s="430"/>
      <c r="AB19" s="430"/>
      <c r="AC19" s="430"/>
      <c r="AD19" s="430"/>
    </row>
    <row r="20">
      <c r="A20" s="426"/>
      <c r="B20" s="427" t="s">
        <v>207</v>
      </c>
      <c r="C20" s="428" t="s">
        <v>207</v>
      </c>
      <c r="D20" s="428" t="s">
        <v>207</v>
      </c>
      <c r="E20" s="429" t="s">
        <v>150</v>
      </c>
      <c r="F20" s="428" t="s">
        <v>150</v>
      </c>
      <c r="G20" s="428" t="s">
        <v>150</v>
      </c>
      <c r="H20" s="427" t="s">
        <v>138</v>
      </c>
      <c r="I20" s="430" t="s">
        <v>138</v>
      </c>
      <c r="J20" s="430" t="s">
        <v>138</v>
      </c>
      <c r="K20" s="427" t="s">
        <v>138</v>
      </c>
      <c r="L20" s="430" t="s">
        <v>138</v>
      </c>
      <c r="M20" s="431" t="s">
        <v>138</v>
      </c>
      <c r="N20" s="430"/>
      <c r="O20" s="430"/>
      <c r="P20" s="430"/>
      <c r="Q20" s="430"/>
      <c r="R20" s="430"/>
      <c r="S20" s="430"/>
      <c r="T20" s="430"/>
      <c r="U20" s="430"/>
      <c r="V20" s="430"/>
      <c r="W20" s="430"/>
      <c r="X20" s="430"/>
      <c r="Y20" s="430"/>
      <c r="Z20" s="430"/>
      <c r="AA20" s="430"/>
      <c r="AB20" s="430"/>
      <c r="AC20" s="430"/>
      <c r="AD20" s="430"/>
    </row>
    <row r="21" ht="15.75" customHeight="1">
      <c r="A21" s="426"/>
      <c r="B21" s="427" t="s">
        <v>3805</v>
      </c>
      <c r="C21" s="428" t="s">
        <v>210</v>
      </c>
      <c r="D21" s="428" t="s">
        <v>210</v>
      </c>
      <c r="E21" s="429" t="s">
        <v>153</v>
      </c>
      <c r="F21" s="428" t="s">
        <v>153</v>
      </c>
      <c r="G21" s="428" t="s">
        <v>153</v>
      </c>
      <c r="H21" s="427" t="s">
        <v>150</v>
      </c>
      <c r="I21" s="430" t="s">
        <v>150</v>
      </c>
      <c r="J21" s="430" t="s">
        <v>150</v>
      </c>
      <c r="K21" s="427" t="s">
        <v>150</v>
      </c>
      <c r="L21" s="430" t="s">
        <v>150</v>
      </c>
      <c r="M21" s="431" t="s">
        <v>150</v>
      </c>
      <c r="N21" s="430"/>
      <c r="O21" s="430"/>
      <c r="P21" s="430"/>
      <c r="Q21" s="430"/>
      <c r="R21" s="430"/>
      <c r="S21" s="430"/>
      <c r="T21" s="430"/>
      <c r="U21" s="430"/>
      <c r="V21" s="430"/>
      <c r="W21" s="430"/>
      <c r="X21" s="430"/>
      <c r="Y21" s="430"/>
      <c r="Z21" s="430"/>
      <c r="AA21" s="430"/>
      <c r="AB21" s="430"/>
      <c r="AC21" s="430"/>
      <c r="AD21" s="430"/>
    </row>
    <row r="22" ht="15.75" customHeight="1">
      <c r="A22" s="426"/>
      <c r="B22" s="427" t="s">
        <v>213</v>
      </c>
      <c r="C22" s="428" t="s">
        <v>213</v>
      </c>
      <c r="D22" s="428" t="s">
        <v>213</v>
      </c>
      <c r="E22" s="429" t="s">
        <v>156</v>
      </c>
      <c r="F22" s="428" t="s">
        <v>156</v>
      </c>
      <c r="G22" s="428" t="s">
        <v>156</v>
      </c>
      <c r="H22" s="427" t="s">
        <v>153</v>
      </c>
      <c r="I22" s="430" t="s">
        <v>153</v>
      </c>
      <c r="J22" s="430" t="s">
        <v>153</v>
      </c>
      <c r="K22" s="427" t="s">
        <v>153</v>
      </c>
      <c r="L22" s="430" t="s">
        <v>153</v>
      </c>
      <c r="M22" s="431" t="s">
        <v>153</v>
      </c>
      <c r="N22" s="430"/>
      <c r="O22" s="430"/>
      <c r="P22" s="430"/>
      <c r="Q22" s="430"/>
      <c r="R22" s="430"/>
      <c r="S22" s="430"/>
      <c r="T22" s="430"/>
      <c r="U22" s="430"/>
      <c r="V22" s="430"/>
      <c r="W22" s="430"/>
      <c r="X22" s="430"/>
      <c r="Y22" s="430"/>
      <c r="Z22" s="430"/>
      <c r="AA22" s="430"/>
      <c r="AB22" s="430"/>
      <c r="AC22" s="430"/>
      <c r="AD22" s="430"/>
    </row>
    <row r="23" ht="15.75" customHeight="1">
      <c r="A23" s="426"/>
      <c r="B23" s="427" t="s">
        <v>216</v>
      </c>
      <c r="C23" s="428" t="s">
        <v>216</v>
      </c>
      <c r="D23" s="428" t="s">
        <v>216</v>
      </c>
      <c r="E23" s="429" t="s">
        <v>189</v>
      </c>
      <c r="F23" s="428" t="s">
        <v>189</v>
      </c>
      <c r="G23" s="428" t="s">
        <v>189</v>
      </c>
      <c r="H23" s="427" t="s">
        <v>156</v>
      </c>
      <c r="I23" s="430" t="s">
        <v>156</v>
      </c>
      <c r="J23" s="430" t="s">
        <v>156</v>
      </c>
      <c r="K23" s="427" t="s">
        <v>156</v>
      </c>
      <c r="L23" s="430" t="s">
        <v>156</v>
      </c>
      <c r="M23" s="431" t="s">
        <v>156</v>
      </c>
      <c r="N23" s="430"/>
      <c r="O23" s="430"/>
      <c r="P23" s="430"/>
      <c r="Q23" s="430"/>
      <c r="R23" s="430"/>
      <c r="S23" s="430"/>
      <c r="T23" s="430"/>
      <c r="U23" s="430"/>
      <c r="V23" s="430"/>
      <c r="W23" s="430"/>
      <c r="X23" s="430"/>
      <c r="Y23" s="430"/>
      <c r="Z23" s="430"/>
      <c r="AA23" s="430"/>
      <c r="AB23" s="430"/>
      <c r="AC23" s="430"/>
      <c r="AD23" s="430"/>
    </row>
    <row r="24" ht="15.75" customHeight="1">
      <c r="A24" s="426"/>
      <c r="B24" s="427" t="s">
        <v>219</v>
      </c>
      <c r="C24" s="428" t="s">
        <v>219</v>
      </c>
      <c r="D24" s="428" t="s">
        <v>219</v>
      </c>
      <c r="E24" s="429" t="s">
        <v>192</v>
      </c>
      <c r="F24" s="428" t="s">
        <v>192</v>
      </c>
      <c r="G24" s="428" t="s">
        <v>192</v>
      </c>
      <c r="H24" s="427" t="s">
        <v>162</v>
      </c>
      <c r="I24" s="430" t="s">
        <v>162</v>
      </c>
      <c r="J24" s="430" t="s">
        <v>162</v>
      </c>
      <c r="K24" s="427" t="s">
        <v>162</v>
      </c>
      <c r="L24" s="430" t="s">
        <v>162</v>
      </c>
      <c r="M24" s="431" t="s">
        <v>162</v>
      </c>
      <c r="N24" s="430"/>
      <c r="O24" s="430"/>
      <c r="P24" s="430"/>
      <c r="Q24" s="430"/>
      <c r="R24" s="430"/>
      <c r="S24" s="430"/>
      <c r="T24" s="430"/>
      <c r="U24" s="430"/>
      <c r="V24" s="430"/>
      <c r="W24" s="430"/>
      <c r="X24" s="430"/>
      <c r="Y24" s="430"/>
      <c r="Z24" s="430"/>
      <c r="AA24" s="430"/>
      <c r="AB24" s="430"/>
      <c r="AC24" s="430"/>
      <c r="AD24" s="430"/>
    </row>
    <row r="25" ht="15.75" customHeight="1">
      <c r="A25" s="426"/>
      <c r="B25" s="427" t="s">
        <v>222</v>
      </c>
      <c r="C25" s="428" t="s">
        <v>222</v>
      </c>
      <c r="D25" s="428" t="s">
        <v>222</v>
      </c>
      <c r="E25" s="429" t="s">
        <v>195</v>
      </c>
      <c r="F25" s="428" t="s">
        <v>195</v>
      </c>
      <c r="G25" s="428" t="s">
        <v>195</v>
      </c>
      <c r="H25" s="427" t="s">
        <v>165</v>
      </c>
      <c r="I25" s="430" t="s">
        <v>165</v>
      </c>
      <c r="J25" s="430" t="s">
        <v>165</v>
      </c>
      <c r="K25" s="427" t="s">
        <v>165</v>
      </c>
      <c r="L25" s="430" t="s">
        <v>165</v>
      </c>
      <c r="M25" s="431" t="s">
        <v>165</v>
      </c>
      <c r="N25" s="430"/>
      <c r="O25" s="430"/>
      <c r="P25" s="430"/>
      <c r="Q25" s="430"/>
      <c r="R25" s="430"/>
      <c r="S25" s="430"/>
      <c r="T25" s="430"/>
      <c r="U25" s="430"/>
      <c r="V25" s="430"/>
      <c r="W25" s="430"/>
      <c r="X25" s="430"/>
      <c r="Y25" s="430"/>
      <c r="Z25" s="430"/>
      <c r="AA25" s="430"/>
      <c r="AB25" s="430"/>
      <c r="AC25" s="430"/>
      <c r="AD25" s="430"/>
    </row>
    <row r="26" ht="15.75" customHeight="1">
      <c r="A26" s="426"/>
      <c r="B26" s="427" t="s">
        <v>225</v>
      </c>
      <c r="C26" s="428" t="s">
        <v>225</v>
      </c>
      <c r="D26" s="428" t="s">
        <v>225</v>
      </c>
      <c r="E26" s="429" t="s">
        <v>198</v>
      </c>
      <c r="F26" s="428" t="s">
        <v>198</v>
      </c>
      <c r="G26" s="428" t="s">
        <v>198</v>
      </c>
      <c r="H26" s="427" t="s">
        <v>168</v>
      </c>
      <c r="I26" s="430" t="s">
        <v>168</v>
      </c>
      <c r="J26" s="430" t="s">
        <v>168</v>
      </c>
      <c r="K26" s="427" t="s">
        <v>168</v>
      </c>
      <c r="L26" s="430" t="s">
        <v>168</v>
      </c>
      <c r="M26" s="431" t="s">
        <v>168</v>
      </c>
      <c r="N26" s="430"/>
      <c r="O26" s="430"/>
      <c r="P26" s="430"/>
      <c r="Q26" s="430"/>
      <c r="R26" s="430"/>
      <c r="S26" s="430"/>
      <c r="T26" s="430"/>
      <c r="U26" s="430"/>
      <c r="V26" s="430"/>
      <c r="W26" s="430"/>
      <c r="X26" s="430"/>
      <c r="Y26" s="430"/>
      <c r="Z26" s="430"/>
      <c r="AA26" s="430"/>
      <c r="AB26" s="430"/>
      <c r="AC26" s="430"/>
      <c r="AD26" s="430"/>
    </row>
    <row r="27" ht="15.75" customHeight="1">
      <c r="A27" s="426"/>
      <c r="B27" s="427" t="s">
        <v>231</v>
      </c>
      <c r="C27" s="428" t="s">
        <v>231</v>
      </c>
      <c r="D27" s="428" t="s">
        <v>231</v>
      </c>
      <c r="E27" s="429" t="s">
        <v>3803</v>
      </c>
      <c r="F27" s="428" t="s">
        <v>3804</v>
      </c>
      <c r="G27" s="428" t="s">
        <v>3804</v>
      </c>
      <c r="H27" s="427" t="s">
        <v>171</v>
      </c>
      <c r="I27" s="430" t="s">
        <v>171</v>
      </c>
      <c r="J27" s="430" t="s">
        <v>171</v>
      </c>
      <c r="K27" s="427" t="s">
        <v>171</v>
      </c>
      <c r="L27" s="430" t="s">
        <v>171</v>
      </c>
      <c r="M27" s="431" t="s">
        <v>171</v>
      </c>
      <c r="N27" s="430"/>
      <c r="O27" s="430"/>
      <c r="P27" s="430"/>
      <c r="Q27" s="430"/>
      <c r="R27" s="430"/>
      <c r="S27" s="430"/>
      <c r="T27" s="430"/>
      <c r="U27" s="430"/>
      <c r="V27" s="430"/>
      <c r="W27" s="430"/>
      <c r="X27" s="430"/>
      <c r="Y27" s="430"/>
      <c r="Z27" s="430"/>
      <c r="AA27" s="430"/>
      <c r="AB27" s="430"/>
      <c r="AC27" s="430"/>
      <c r="AD27" s="430"/>
    </row>
    <row r="28" ht="15.75" customHeight="1">
      <c r="A28" s="426"/>
      <c r="B28" s="427" t="s">
        <v>234</v>
      </c>
      <c r="C28" s="428" t="s">
        <v>234</v>
      </c>
      <c r="D28" s="428" t="s">
        <v>234</v>
      </c>
      <c r="E28" s="429" t="s">
        <v>207</v>
      </c>
      <c r="F28" s="428" t="s">
        <v>207</v>
      </c>
      <c r="G28" s="428" t="s">
        <v>207</v>
      </c>
      <c r="H28" s="427" t="s">
        <v>1164</v>
      </c>
      <c r="I28" s="430" t="s">
        <v>1164</v>
      </c>
      <c r="J28" s="430" t="s">
        <v>1164</v>
      </c>
      <c r="K28" s="427" t="s">
        <v>1164</v>
      </c>
      <c r="L28" s="430" t="s">
        <v>1164</v>
      </c>
      <c r="M28" s="431" t="s">
        <v>1164</v>
      </c>
      <c r="N28" s="430"/>
      <c r="O28" s="430"/>
      <c r="P28" s="430"/>
      <c r="Q28" s="430"/>
      <c r="R28" s="430"/>
      <c r="S28" s="430"/>
      <c r="T28" s="430"/>
      <c r="U28" s="430"/>
      <c r="V28" s="430"/>
      <c r="W28" s="430"/>
      <c r="X28" s="430"/>
      <c r="Y28" s="430"/>
      <c r="Z28" s="430"/>
      <c r="AA28" s="430"/>
      <c r="AB28" s="430"/>
      <c r="AC28" s="430"/>
      <c r="AD28" s="430"/>
    </row>
    <row r="29" ht="15.75" customHeight="1">
      <c r="A29" s="426"/>
      <c r="B29" s="427" t="s">
        <v>240</v>
      </c>
      <c r="C29" s="428" t="s">
        <v>240</v>
      </c>
      <c r="D29" s="428" t="s">
        <v>240</v>
      </c>
      <c r="E29" s="427" t="s">
        <v>3805</v>
      </c>
      <c r="F29" s="428" t="s">
        <v>210</v>
      </c>
      <c r="G29" s="428" t="s">
        <v>210</v>
      </c>
      <c r="H29" s="427" t="s">
        <v>180</v>
      </c>
      <c r="I29" s="430" t="s">
        <v>180</v>
      </c>
      <c r="J29" s="430" t="s">
        <v>180</v>
      </c>
      <c r="K29" s="427" t="s">
        <v>180</v>
      </c>
      <c r="L29" s="430" t="s">
        <v>180</v>
      </c>
      <c r="M29" s="431" t="s">
        <v>180</v>
      </c>
      <c r="N29" s="430"/>
      <c r="O29" s="430"/>
      <c r="P29" s="430"/>
      <c r="Q29" s="430"/>
      <c r="R29" s="430"/>
      <c r="S29" s="430"/>
      <c r="T29" s="430"/>
      <c r="U29" s="430"/>
      <c r="V29" s="430"/>
      <c r="W29" s="430"/>
      <c r="X29" s="430"/>
      <c r="Y29" s="430"/>
      <c r="Z29" s="430"/>
      <c r="AA29" s="430"/>
      <c r="AB29" s="430"/>
      <c r="AC29" s="430"/>
      <c r="AD29" s="430"/>
    </row>
    <row r="30" ht="15.75" customHeight="1">
      <c r="A30" s="426"/>
      <c r="B30" s="427" t="s">
        <v>243</v>
      </c>
      <c r="C30" s="428" t="s">
        <v>243</v>
      </c>
      <c r="D30" s="428" t="s">
        <v>243</v>
      </c>
      <c r="E30" s="429" t="s">
        <v>213</v>
      </c>
      <c r="F30" s="428" t="s">
        <v>213</v>
      </c>
      <c r="G30" s="428" t="s">
        <v>213</v>
      </c>
      <c r="H30" s="427" t="s">
        <v>183</v>
      </c>
      <c r="I30" s="430" t="s">
        <v>183</v>
      </c>
      <c r="J30" s="430" t="s">
        <v>183</v>
      </c>
      <c r="K30" s="427" t="s">
        <v>183</v>
      </c>
      <c r="L30" s="430" t="s">
        <v>183</v>
      </c>
      <c r="M30" s="431" t="s">
        <v>183</v>
      </c>
      <c r="N30" s="430"/>
      <c r="O30" s="430"/>
      <c r="P30" s="430"/>
      <c r="Q30" s="430"/>
      <c r="R30" s="430"/>
      <c r="S30" s="430"/>
      <c r="T30" s="430"/>
      <c r="U30" s="430"/>
      <c r="V30" s="430"/>
      <c r="W30" s="430"/>
      <c r="X30" s="430"/>
      <c r="Y30" s="430"/>
      <c r="Z30" s="430"/>
      <c r="AA30" s="430"/>
      <c r="AB30" s="430"/>
      <c r="AC30" s="430"/>
      <c r="AD30" s="430"/>
    </row>
    <row r="31" ht="15.75" customHeight="1">
      <c r="A31" s="426"/>
      <c r="B31" s="427" t="s">
        <v>246</v>
      </c>
      <c r="C31" s="428" t="s">
        <v>246</v>
      </c>
      <c r="D31" s="428" t="s">
        <v>246</v>
      </c>
      <c r="E31" s="429" t="s">
        <v>216</v>
      </c>
      <c r="F31" s="428" t="s">
        <v>216</v>
      </c>
      <c r="G31" s="428" t="s">
        <v>216</v>
      </c>
      <c r="H31" s="427" t="s">
        <v>186</v>
      </c>
      <c r="I31" s="430" t="s">
        <v>186</v>
      </c>
      <c r="J31" s="430" t="s">
        <v>186</v>
      </c>
      <c r="K31" s="427" t="s">
        <v>186</v>
      </c>
      <c r="L31" s="430" t="s">
        <v>186</v>
      </c>
      <c r="M31" s="431" t="s">
        <v>186</v>
      </c>
      <c r="N31" s="430"/>
      <c r="O31" s="430"/>
      <c r="P31" s="430"/>
      <c r="Q31" s="430"/>
      <c r="R31" s="430"/>
      <c r="S31" s="430"/>
      <c r="T31" s="430"/>
      <c r="U31" s="430"/>
      <c r="V31" s="430"/>
      <c r="W31" s="430"/>
      <c r="X31" s="430"/>
      <c r="Y31" s="430"/>
      <c r="Z31" s="430"/>
      <c r="AA31" s="430"/>
      <c r="AB31" s="430"/>
      <c r="AC31" s="430"/>
      <c r="AD31" s="430"/>
    </row>
    <row r="32" ht="15.75" customHeight="1">
      <c r="A32" s="426"/>
      <c r="B32" s="427" t="s">
        <v>249</v>
      </c>
      <c r="C32" s="428" t="s">
        <v>249</v>
      </c>
      <c r="D32" s="428" t="s">
        <v>249</v>
      </c>
      <c r="E32" s="429" t="s">
        <v>219</v>
      </c>
      <c r="F32" s="428" t="s">
        <v>219</v>
      </c>
      <c r="G32" s="428" t="s">
        <v>219</v>
      </c>
      <c r="H32" s="427" t="s">
        <v>189</v>
      </c>
      <c r="I32" s="430" t="s">
        <v>189</v>
      </c>
      <c r="J32" s="430" t="s">
        <v>189</v>
      </c>
      <c r="K32" s="427" t="s">
        <v>189</v>
      </c>
      <c r="L32" s="430" t="s">
        <v>189</v>
      </c>
      <c r="M32" s="431" t="s">
        <v>189</v>
      </c>
      <c r="N32" s="430"/>
      <c r="O32" s="430"/>
      <c r="P32" s="430"/>
      <c r="Q32" s="430"/>
      <c r="R32" s="430"/>
      <c r="S32" s="430"/>
      <c r="T32" s="430"/>
      <c r="U32" s="430"/>
      <c r="V32" s="430"/>
      <c r="W32" s="430"/>
      <c r="X32" s="430"/>
      <c r="Y32" s="430"/>
      <c r="Z32" s="430"/>
      <c r="AA32" s="430"/>
      <c r="AB32" s="430"/>
      <c r="AC32" s="430"/>
      <c r="AD32" s="430"/>
    </row>
    <row r="33" ht="15.75" customHeight="1">
      <c r="A33" s="426"/>
      <c r="B33" s="427" t="s">
        <v>3806</v>
      </c>
      <c r="C33" s="428" t="s">
        <v>252</v>
      </c>
      <c r="D33" s="428" t="s">
        <v>252</v>
      </c>
      <c r="E33" s="429" t="s">
        <v>225</v>
      </c>
      <c r="F33" s="428" t="s">
        <v>225</v>
      </c>
      <c r="G33" s="428" t="s">
        <v>225</v>
      </c>
      <c r="H33" s="427" t="s">
        <v>192</v>
      </c>
      <c r="I33" s="430" t="s">
        <v>192</v>
      </c>
      <c r="J33" s="430" t="s">
        <v>192</v>
      </c>
      <c r="K33" s="427" t="s">
        <v>192</v>
      </c>
      <c r="L33" s="430" t="s">
        <v>192</v>
      </c>
      <c r="M33" s="431" t="s">
        <v>192</v>
      </c>
      <c r="N33" s="430"/>
      <c r="O33" s="430"/>
      <c r="P33" s="430"/>
      <c r="Q33" s="430"/>
      <c r="R33" s="430"/>
      <c r="S33" s="430"/>
      <c r="T33" s="430"/>
      <c r="U33" s="430"/>
      <c r="V33" s="430"/>
      <c r="W33" s="430"/>
      <c r="X33" s="430"/>
      <c r="Y33" s="430"/>
      <c r="Z33" s="430"/>
      <c r="AA33" s="430"/>
      <c r="AB33" s="430"/>
      <c r="AC33" s="430"/>
      <c r="AD33" s="430"/>
    </row>
    <row r="34" ht="15.75" customHeight="1">
      <c r="A34" s="426"/>
      <c r="B34" s="427" t="s">
        <v>265</v>
      </c>
      <c r="C34" s="428" t="s">
        <v>265</v>
      </c>
      <c r="D34" s="428" t="s">
        <v>265</v>
      </c>
      <c r="E34" s="429" t="s">
        <v>231</v>
      </c>
      <c r="F34" s="428" t="s">
        <v>231</v>
      </c>
      <c r="G34" s="428" t="s">
        <v>231</v>
      </c>
      <c r="H34" s="427" t="s">
        <v>195</v>
      </c>
      <c r="I34" s="430" t="s">
        <v>195</v>
      </c>
      <c r="J34" s="430" t="s">
        <v>195</v>
      </c>
      <c r="K34" s="427" t="s">
        <v>195</v>
      </c>
      <c r="L34" s="430" t="s">
        <v>195</v>
      </c>
      <c r="M34" s="431" t="s">
        <v>195</v>
      </c>
      <c r="N34" s="430"/>
      <c r="O34" s="430"/>
      <c r="P34" s="430"/>
      <c r="Q34" s="430"/>
      <c r="R34" s="430"/>
      <c r="S34" s="430"/>
      <c r="T34" s="430"/>
      <c r="U34" s="430"/>
      <c r="V34" s="430"/>
      <c r="W34" s="430"/>
      <c r="X34" s="430"/>
      <c r="Y34" s="430"/>
      <c r="Z34" s="430"/>
      <c r="AA34" s="430"/>
      <c r="AB34" s="430"/>
      <c r="AC34" s="430"/>
      <c r="AD34" s="430"/>
    </row>
    <row r="35" ht="15.75" customHeight="1">
      <c r="A35" s="426"/>
      <c r="B35" s="427" t="s">
        <v>268</v>
      </c>
      <c r="C35" s="428" t="s">
        <v>268</v>
      </c>
      <c r="D35" s="428" t="s">
        <v>268</v>
      </c>
      <c r="E35" s="429" t="s">
        <v>234</v>
      </c>
      <c r="F35" s="428" t="s">
        <v>234</v>
      </c>
      <c r="G35" s="428" t="s">
        <v>234</v>
      </c>
      <c r="H35" s="427" t="s">
        <v>198</v>
      </c>
      <c r="I35" s="430" t="s">
        <v>198</v>
      </c>
      <c r="J35" s="430" t="s">
        <v>198</v>
      </c>
      <c r="K35" s="427" t="s">
        <v>198</v>
      </c>
      <c r="L35" s="430" t="s">
        <v>198</v>
      </c>
      <c r="M35" s="431" t="s">
        <v>198</v>
      </c>
      <c r="N35" s="430"/>
      <c r="O35" s="430"/>
      <c r="P35" s="430"/>
      <c r="Q35" s="430"/>
      <c r="R35" s="430"/>
      <c r="S35" s="430"/>
      <c r="T35" s="430"/>
      <c r="U35" s="430"/>
      <c r="V35" s="430"/>
      <c r="W35" s="430"/>
      <c r="X35" s="430"/>
      <c r="Y35" s="430"/>
      <c r="Z35" s="430"/>
      <c r="AA35" s="430"/>
      <c r="AB35" s="430"/>
      <c r="AC35" s="430"/>
      <c r="AD35" s="430"/>
    </row>
    <row r="36" ht="15.75" customHeight="1">
      <c r="A36" s="426"/>
      <c r="B36" s="427" t="s">
        <v>271</v>
      </c>
      <c r="C36" s="428" t="s">
        <v>271</v>
      </c>
      <c r="D36" s="428" t="s">
        <v>271</v>
      </c>
      <c r="E36" s="429" t="s">
        <v>240</v>
      </c>
      <c r="F36" s="428" t="s">
        <v>240</v>
      </c>
      <c r="G36" s="428" t="s">
        <v>240</v>
      </c>
      <c r="H36" s="427" t="s">
        <v>201</v>
      </c>
      <c r="I36" s="430" t="s">
        <v>201</v>
      </c>
      <c r="J36" s="430" t="s">
        <v>201</v>
      </c>
      <c r="K36" s="427" t="s">
        <v>201</v>
      </c>
      <c r="L36" s="430" t="s">
        <v>201</v>
      </c>
      <c r="M36" s="431" t="s">
        <v>201</v>
      </c>
      <c r="N36" s="430"/>
      <c r="O36" s="430"/>
      <c r="P36" s="430"/>
      <c r="Q36" s="430"/>
      <c r="R36" s="430"/>
      <c r="S36" s="430"/>
      <c r="T36" s="430"/>
      <c r="U36" s="430"/>
      <c r="V36" s="430"/>
      <c r="W36" s="430"/>
      <c r="X36" s="430"/>
      <c r="Y36" s="430"/>
      <c r="Z36" s="430"/>
      <c r="AA36" s="430"/>
      <c r="AB36" s="430"/>
      <c r="AC36" s="430"/>
      <c r="AD36" s="430"/>
    </row>
    <row r="37" ht="15.75" customHeight="1">
      <c r="A37" s="426"/>
      <c r="B37" s="427" t="s">
        <v>274</v>
      </c>
      <c r="C37" s="428" t="s">
        <v>274</v>
      </c>
      <c r="D37" s="428" t="s">
        <v>274</v>
      </c>
      <c r="E37" s="429" t="s">
        <v>243</v>
      </c>
      <c r="F37" s="428" t="s">
        <v>243</v>
      </c>
      <c r="G37" s="428" t="s">
        <v>243</v>
      </c>
      <c r="H37" s="427" t="s">
        <v>207</v>
      </c>
      <c r="I37" s="430" t="s">
        <v>207</v>
      </c>
      <c r="J37" s="430" t="s">
        <v>207</v>
      </c>
      <c r="K37" s="427" t="s">
        <v>207</v>
      </c>
      <c r="L37" s="430" t="s">
        <v>207</v>
      </c>
      <c r="M37" s="431" t="s">
        <v>207</v>
      </c>
      <c r="N37" s="430"/>
      <c r="O37" s="430"/>
      <c r="P37" s="430"/>
      <c r="Q37" s="430"/>
      <c r="R37" s="430"/>
      <c r="S37" s="430"/>
      <c r="T37" s="430"/>
      <c r="U37" s="430"/>
      <c r="V37" s="430"/>
      <c r="W37" s="430"/>
      <c r="X37" s="430"/>
      <c r="Y37" s="430"/>
      <c r="Z37" s="430"/>
      <c r="AA37" s="430"/>
      <c r="AB37" s="430"/>
      <c r="AC37" s="430"/>
      <c r="AD37" s="430"/>
    </row>
    <row r="38" ht="15.75" customHeight="1">
      <c r="A38" s="426"/>
      <c r="B38" s="427" t="s">
        <v>277</v>
      </c>
      <c r="C38" s="428" t="s">
        <v>277</v>
      </c>
      <c r="D38" s="428" t="s">
        <v>277</v>
      </c>
      <c r="E38" s="429" t="s">
        <v>246</v>
      </c>
      <c r="F38" s="428" t="s">
        <v>246</v>
      </c>
      <c r="G38" s="428" t="s">
        <v>246</v>
      </c>
      <c r="H38" s="427" t="s">
        <v>3805</v>
      </c>
      <c r="I38" s="430" t="s">
        <v>210</v>
      </c>
      <c r="J38" s="430" t="s">
        <v>210</v>
      </c>
      <c r="K38" s="427" t="s">
        <v>3805</v>
      </c>
      <c r="L38" s="430" t="s">
        <v>210</v>
      </c>
      <c r="M38" s="431" t="s">
        <v>210</v>
      </c>
      <c r="N38" s="430"/>
      <c r="O38" s="430"/>
      <c r="P38" s="430"/>
      <c r="Q38" s="430"/>
      <c r="R38" s="430"/>
      <c r="S38" s="430"/>
      <c r="T38" s="430"/>
      <c r="U38" s="430"/>
      <c r="V38" s="430"/>
      <c r="W38" s="430"/>
      <c r="X38" s="430"/>
      <c r="Y38" s="430"/>
      <c r="Z38" s="430"/>
      <c r="AA38" s="430"/>
      <c r="AB38" s="430"/>
      <c r="AC38" s="430"/>
      <c r="AD38" s="430"/>
    </row>
    <row r="39" ht="15.75" customHeight="1">
      <c r="A39" s="426"/>
      <c r="B39" s="427" t="s">
        <v>280</v>
      </c>
      <c r="C39" s="428" t="s">
        <v>280</v>
      </c>
      <c r="D39" s="428" t="s">
        <v>280</v>
      </c>
      <c r="E39" s="429" t="s">
        <v>249</v>
      </c>
      <c r="F39" s="428" t="s">
        <v>249</v>
      </c>
      <c r="G39" s="428" t="s">
        <v>249</v>
      </c>
      <c r="H39" s="427" t="s">
        <v>213</v>
      </c>
      <c r="I39" s="430" t="s">
        <v>213</v>
      </c>
      <c r="J39" s="430" t="s">
        <v>213</v>
      </c>
      <c r="K39" s="427" t="s">
        <v>213</v>
      </c>
      <c r="L39" s="430" t="s">
        <v>213</v>
      </c>
      <c r="M39" s="431" t="s">
        <v>213</v>
      </c>
      <c r="N39" s="430"/>
      <c r="O39" s="430"/>
      <c r="P39" s="430"/>
      <c r="Q39" s="430"/>
      <c r="R39" s="430"/>
      <c r="S39" s="430"/>
      <c r="T39" s="430"/>
      <c r="U39" s="430"/>
      <c r="V39" s="430"/>
      <c r="W39" s="430"/>
      <c r="X39" s="430"/>
      <c r="Y39" s="430"/>
      <c r="Z39" s="430"/>
      <c r="AA39" s="430"/>
      <c r="AB39" s="430"/>
      <c r="AC39" s="430"/>
      <c r="AD39" s="430"/>
    </row>
    <row r="40" ht="15.75" customHeight="1">
      <c r="A40" s="426"/>
      <c r="B40" s="427" t="s">
        <v>283</v>
      </c>
      <c r="C40" s="428" t="s">
        <v>283</v>
      </c>
      <c r="D40" s="428" t="s">
        <v>283</v>
      </c>
      <c r="E40" s="427" t="s">
        <v>3806</v>
      </c>
      <c r="F40" s="428" t="s">
        <v>252</v>
      </c>
      <c r="G40" s="428" t="s">
        <v>252</v>
      </c>
      <c r="H40" s="427" t="s">
        <v>216</v>
      </c>
      <c r="I40" s="430" t="s">
        <v>216</v>
      </c>
      <c r="J40" s="430" t="s">
        <v>216</v>
      </c>
      <c r="K40" s="427" t="s">
        <v>216</v>
      </c>
      <c r="L40" s="430" t="s">
        <v>216</v>
      </c>
      <c r="M40" s="431" t="s">
        <v>216</v>
      </c>
      <c r="N40" s="430"/>
      <c r="O40" s="430"/>
      <c r="P40" s="430"/>
      <c r="Q40" s="430"/>
      <c r="R40" s="430"/>
      <c r="S40" s="430"/>
      <c r="T40" s="430"/>
      <c r="U40" s="430"/>
      <c r="V40" s="430"/>
      <c r="W40" s="430"/>
      <c r="X40" s="430"/>
      <c r="Y40" s="430"/>
      <c r="Z40" s="430"/>
      <c r="AA40" s="430"/>
      <c r="AB40" s="430"/>
      <c r="AC40" s="430"/>
      <c r="AD40" s="430"/>
    </row>
    <row r="41" ht="15.75" customHeight="1">
      <c r="A41" s="426"/>
      <c r="B41" s="427" t="s">
        <v>286</v>
      </c>
      <c r="C41" s="428" t="s">
        <v>286</v>
      </c>
      <c r="D41" s="428" t="s">
        <v>286</v>
      </c>
      <c r="E41" s="429" t="s">
        <v>265</v>
      </c>
      <c r="F41" s="428" t="s">
        <v>265</v>
      </c>
      <c r="G41" s="428" t="s">
        <v>265</v>
      </c>
      <c r="H41" s="427" t="s">
        <v>219</v>
      </c>
      <c r="I41" s="430" t="s">
        <v>219</v>
      </c>
      <c r="J41" s="430" t="s">
        <v>219</v>
      </c>
      <c r="K41" s="427" t="s">
        <v>219</v>
      </c>
      <c r="L41" s="430" t="s">
        <v>219</v>
      </c>
      <c r="M41" s="431" t="s">
        <v>219</v>
      </c>
      <c r="N41" s="430"/>
      <c r="O41" s="430"/>
      <c r="P41" s="430"/>
      <c r="Q41" s="430"/>
      <c r="R41" s="430"/>
      <c r="S41" s="430"/>
      <c r="T41" s="430"/>
      <c r="U41" s="430"/>
      <c r="V41" s="430"/>
      <c r="W41" s="430"/>
      <c r="X41" s="430"/>
      <c r="Y41" s="430"/>
      <c r="Z41" s="430"/>
      <c r="AA41" s="430"/>
      <c r="AB41" s="430"/>
      <c r="AC41" s="430"/>
      <c r="AD41" s="430"/>
    </row>
    <row r="42" ht="15.75" customHeight="1">
      <c r="A42" s="426"/>
      <c r="B42" s="427" t="s">
        <v>289</v>
      </c>
      <c r="C42" s="428" t="s">
        <v>289</v>
      </c>
      <c r="D42" s="428" t="s">
        <v>289</v>
      </c>
      <c r="E42" s="429" t="s">
        <v>268</v>
      </c>
      <c r="F42" s="428" t="s">
        <v>268</v>
      </c>
      <c r="G42" s="428" t="s">
        <v>268</v>
      </c>
      <c r="H42" s="427" t="s">
        <v>222</v>
      </c>
      <c r="I42" s="430" t="s">
        <v>222</v>
      </c>
      <c r="J42" s="430" t="s">
        <v>222</v>
      </c>
      <c r="K42" s="427" t="s">
        <v>222</v>
      </c>
      <c r="L42" s="430" t="s">
        <v>222</v>
      </c>
      <c r="M42" s="431" t="s">
        <v>222</v>
      </c>
      <c r="N42" s="430"/>
      <c r="O42" s="430"/>
      <c r="P42" s="430"/>
      <c r="Q42" s="430"/>
      <c r="R42" s="430"/>
      <c r="S42" s="430"/>
      <c r="T42" s="430"/>
      <c r="U42" s="430"/>
      <c r="V42" s="430"/>
      <c r="W42" s="430"/>
      <c r="X42" s="430"/>
      <c r="Y42" s="430"/>
      <c r="Z42" s="430"/>
      <c r="AA42" s="430"/>
      <c r="AB42" s="430"/>
      <c r="AC42" s="430"/>
      <c r="AD42" s="430"/>
    </row>
    <row r="43" ht="15.75" customHeight="1">
      <c r="A43" s="426"/>
      <c r="B43" s="427" t="s">
        <v>300</v>
      </c>
      <c r="C43" s="428" t="s">
        <v>300</v>
      </c>
      <c r="D43" s="428" t="s">
        <v>300</v>
      </c>
      <c r="E43" s="429" t="s">
        <v>271</v>
      </c>
      <c r="F43" s="428" t="s">
        <v>271</v>
      </c>
      <c r="G43" s="428" t="s">
        <v>271</v>
      </c>
      <c r="H43" s="427" t="s">
        <v>225</v>
      </c>
      <c r="I43" s="430" t="s">
        <v>225</v>
      </c>
      <c r="J43" s="430" t="s">
        <v>225</v>
      </c>
      <c r="K43" s="427" t="s">
        <v>225</v>
      </c>
      <c r="L43" s="430" t="s">
        <v>225</v>
      </c>
      <c r="M43" s="431" t="s">
        <v>225</v>
      </c>
      <c r="N43" s="430"/>
      <c r="O43" s="430"/>
      <c r="P43" s="430"/>
      <c r="Q43" s="430"/>
      <c r="R43" s="430"/>
      <c r="S43" s="430"/>
      <c r="T43" s="430"/>
      <c r="U43" s="430"/>
      <c r="V43" s="430"/>
      <c r="W43" s="430"/>
      <c r="X43" s="430"/>
      <c r="Y43" s="430"/>
      <c r="Z43" s="430"/>
      <c r="AA43" s="430"/>
      <c r="AB43" s="430"/>
      <c r="AC43" s="430"/>
      <c r="AD43" s="430"/>
    </row>
    <row r="44" ht="15.75" customHeight="1">
      <c r="A44" s="426"/>
      <c r="B44" s="427" t="s">
        <v>306</v>
      </c>
      <c r="C44" s="428" t="s">
        <v>306</v>
      </c>
      <c r="D44" s="428" t="s">
        <v>306</v>
      </c>
      <c r="E44" s="429" t="s">
        <v>274</v>
      </c>
      <c r="F44" s="428" t="s">
        <v>274</v>
      </c>
      <c r="G44" s="428" t="s">
        <v>274</v>
      </c>
      <c r="H44" s="427" t="s">
        <v>228</v>
      </c>
      <c r="I44" s="430" t="s">
        <v>228</v>
      </c>
      <c r="J44" s="430" t="s">
        <v>228</v>
      </c>
      <c r="K44" s="427" t="s">
        <v>228</v>
      </c>
      <c r="L44" s="430" t="s">
        <v>228</v>
      </c>
      <c r="M44" s="431" t="s">
        <v>228</v>
      </c>
      <c r="N44" s="430"/>
      <c r="O44" s="430"/>
      <c r="P44" s="430"/>
      <c r="Q44" s="430"/>
      <c r="R44" s="430"/>
      <c r="S44" s="430"/>
      <c r="T44" s="430"/>
      <c r="U44" s="430"/>
      <c r="V44" s="430"/>
      <c r="W44" s="430"/>
      <c r="X44" s="430"/>
      <c r="Y44" s="430"/>
      <c r="Z44" s="430"/>
      <c r="AA44" s="430"/>
      <c r="AB44" s="430"/>
      <c r="AC44" s="430"/>
      <c r="AD44" s="430"/>
    </row>
    <row r="45" ht="15.75" customHeight="1">
      <c r="A45" s="426"/>
      <c r="B45" s="427" t="s">
        <v>309</v>
      </c>
      <c r="C45" s="428" t="s">
        <v>309</v>
      </c>
      <c r="D45" s="428" t="s">
        <v>309</v>
      </c>
      <c r="E45" s="429" t="s">
        <v>277</v>
      </c>
      <c r="F45" s="428" t="s">
        <v>277</v>
      </c>
      <c r="G45" s="432" t="s">
        <v>277</v>
      </c>
      <c r="H45" s="427" t="s">
        <v>231</v>
      </c>
      <c r="I45" s="430" t="s">
        <v>231</v>
      </c>
      <c r="J45" s="430" t="s">
        <v>231</v>
      </c>
      <c r="K45" s="427" t="s">
        <v>231</v>
      </c>
      <c r="L45" s="430" t="s">
        <v>231</v>
      </c>
      <c r="M45" s="431" t="s">
        <v>231</v>
      </c>
      <c r="N45" s="430"/>
      <c r="O45" s="430"/>
      <c r="P45" s="430"/>
      <c r="Q45" s="430"/>
      <c r="R45" s="430"/>
      <c r="S45" s="430"/>
      <c r="T45" s="430"/>
      <c r="U45" s="430"/>
      <c r="V45" s="430"/>
      <c r="W45" s="430"/>
      <c r="X45" s="430"/>
      <c r="Y45" s="430"/>
      <c r="Z45" s="430"/>
      <c r="AA45" s="430"/>
      <c r="AB45" s="430"/>
      <c r="AC45" s="430"/>
      <c r="AD45" s="430"/>
    </row>
    <row r="46" ht="15.75" customHeight="1">
      <c r="A46" s="426"/>
      <c r="B46" s="427" t="s">
        <v>315</v>
      </c>
      <c r="C46" s="428" t="s">
        <v>315</v>
      </c>
      <c r="D46" s="428" t="s">
        <v>315</v>
      </c>
      <c r="E46" s="429" t="s">
        <v>280</v>
      </c>
      <c r="F46" s="428" t="s">
        <v>280</v>
      </c>
      <c r="G46" s="428" t="s">
        <v>280</v>
      </c>
      <c r="H46" s="427" t="s">
        <v>234</v>
      </c>
      <c r="I46" s="430" t="s">
        <v>234</v>
      </c>
      <c r="J46" s="430" t="s">
        <v>234</v>
      </c>
      <c r="K46" s="427" t="s">
        <v>234</v>
      </c>
      <c r="L46" s="430" t="s">
        <v>234</v>
      </c>
      <c r="M46" s="431" t="s">
        <v>234</v>
      </c>
      <c r="N46" s="430"/>
      <c r="O46" s="430"/>
      <c r="P46" s="430"/>
      <c r="Q46" s="430"/>
      <c r="R46" s="430"/>
      <c r="S46" s="430"/>
      <c r="T46" s="430"/>
      <c r="U46" s="430"/>
      <c r="V46" s="430"/>
      <c r="W46" s="430"/>
      <c r="X46" s="430"/>
      <c r="Y46" s="430"/>
      <c r="Z46" s="430"/>
      <c r="AA46" s="430"/>
      <c r="AB46" s="430"/>
      <c r="AC46" s="430"/>
      <c r="AD46" s="430"/>
    </row>
    <row r="47" ht="15.75" customHeight="1">
      <c r="A47" s="426"/>
      <c r="B47" s="427" t="s">
        <v>318</v>
      </c>
      <c r="C47" s="428" t="s">
        <v>318</v>
      </c>
      <c r="D47" s="428" t="s">
        <v>318</v>
      </c>
      <c r="E47" s="429" t="s">
        <v>286</v>
      </c>
      <c r="F47" s="428" t="s">
        <v>286</v>
      </c>
      <c r="G47" s="428" t="s">
        <v>286</v>
      </c>
      <c r="H47" s="427" t="s">
        <v>237</v>
      </c>
      <c r="I47" s="430" t="s">
        <v>237</v>
      </c>
      <c r="J47" s="430" t="s">
        <v>237</v>
      </c>
      <c r="K47" s="427" t="s">
        <v>237</v>
      </c>
      <c r="L47" s="430" t="s">
        <v>237</v>
      </c>
      <c r="M47" s="431" t="s">
        <v>237</v>
      </c>
      <c r="N47" s="430"/>
      <c r="O47" s="430"/>
      <c r="P47" s="430"/>
      <c r="Q47" s="430"/>
      <c r="R47" s="430"/>
      <c r="S47" s="430"/>
      <c r="T47" s="430"/>
      <c r="U47" s="430"/>
      <c r="V47" s="430"/>
      <c r="W47" s="430"/>
      <c r="X47" s="430"/>
      <c r="Y47" s="430"/>
      <c r="Z47" s="430"/>
      <c r="AA47" s="430"/>
      <c r="AB47" s="430"/>
      <c r="AC47" s="430"/>
      <c r="AD47" s="430"/>
    </row>
    <row r="48" ht="15.75" customHeight="1">
      <c r="A48" s="426"/>
      <c r="B48" s="427" t="s">
        <v>321</v>
      </c>
      <c r="C48" s="428" t="s">
        <v>321</v>
      </c>
      <c r="D48" s="428" t="s">
        <v>321</v>
      </c>
      <c r="E48" s="429" t="s">
        <v>289</v>
      </c>
      <c r="F48" s="428" t="s">
        <v>289</v>
      </c>
      <c r="G48" s="428" t="s">
        <v>289</v>
      </c>
      <c r="H48" s="427" t="s">
        <v>240</v>
      </c>
      <c r="I48" s="430" t="s">
        <v>240</v>
      </c>
      <c r="J48" s="430" t="s">
        <v>240</v>
      </c>
      <c r="K48" s="427" t="s">
        <v>240</v>
      </c>
      <c r="L48" s="430" t="s">
        <v>240</v>
      </c>
      <c r="M48" s="431" t="s">
        <v>240</v>
      </c>
      <c r="N48" s="430"/>
      <c r="O48" s="430"/>
      <c r="P48" s="430"/>
      <c r="Q48" s="430"/>
      <c r="R48" s="430"/>
      <c r="S48" s="430"/>
      <c r="T48" s="430"/>
      <c r="U48" s="430"/>
      <c r="V48" s="430"/>
      <c r="W48" s="430"/>
      <c r="X48" s="430"/>
      <c r="Y48" s="430"/>
      <c r="Z48" s="430"/>
      <c r="AA48" s="430"/>
      <c r="AB48" s="430"/>
      <c r="AC48" s="430"/>
      <c r="AD48" s="430"/>
    </row>
    <row r="49" ht="15.75" customHeight="1">
      <c r="A49" s="426"/>
      <c r="B49" s="427" t="s">
        <v>324</v>
      </c>
      <c r="C49" s="428" t="s">
        <v>324</v>
      </c>
      <c r="D49" s="428" t="s">
        <v>324</v>
      </c>
      <c r="E49" s="429" t="s">
        <v>300</v>
      </c>
      <c r="F49" s="428" t="s">
        <v>300</v>
      </c>
      <c r="G49" s="428" t="s">
        <v>300</v>
      </c>
      <c r="H49" s="427" t="s">
        <v>243</v>
      </c>
      <c r="I49" s="430" t="s">
        <v>243</v>
      </c>
      <c r="J49" s="430" t="s">
        <v>243</v>
      </c>
      <c r="K49" s="427" t="s">
        <v>243</v>
      </c>
      <c r="L49" s="430" t="s">
        <v>243</v>
      </c>
      <c r="M49" s="431" t="s">
        <v>243</v>
      </c>
      <c r="N49" s="430"/>
      <c r="O49" s="430"/>
      <c r="P49" s="430"/>
      <c r="Q49" s="430"/>
      <c r="R49" s="430"/>
      <c r="S49" s="430"/>
      <c r="T49" s="430"/>
      <c r="U49" s="430"/>
      <c r="V49" s="430"/>
      <c r="W49" s="430"/>
      <c r="X49" s="430"/>
      <c r="Y49" s="430"/>
      <c r="Z49" s="430"/>
      <c r="AA49" s="430"/>
      <c r="AB49" s="430"/>
      <c r="AC49" s="430"/>
      <c r="AD49" s="430"/>
    </row>
    <row r="50" ht="15.75" customHeight="1">
      <c r="A50" s="426"/>
      <c r="B50" s="427" t="s">
        <v>327</v>
      </c>
      <c r="C50" s="428" t="s">
        <v>327</v>
      </c>
      <c r="D50" s="428" t="s">
        <v>327</v>
      </c>
      <c r="E50" s="429" t="s">
        <v>306</v>
      </c>
      <c r="F50" s="428" t="s">
        <v>306</v>
      </c>
      <c r="G50" s="428" t="s">
        <v>306</v>
      </c>
      <c r="H50" s="427" t="s">
        <v>246</v>
      </c>
      <c r="I50" s="430" t="s">
        <v>246</v>
      </c>
      <c r="J50" s="430" t="s">
        <v>246</v>
      </c>
      <c r="K50" s="427" t="s">
        <v>246</v>
      </c>
      <c r="L50" s="430" t="s">
        <v>246</v>
      </c>
      <c r="M50" s="431" t="s">
        <v>246</v>
      </c>
      <c r="N50" s="430"/>
      <c r="O50" s="430"/>
      <c r="P50" s="430"/>
      <c r="Q50" s="430"/>
      <c r="R50" s="430"/>
      <c r="S50" s="430"/>
      <c r="T50" s="430"/>
      <c r="U50" s="430"/>
      <c r="V50" s="430"/>
      <c r="W50" s="430"/>
      <c r="X50" s="430"/>
      <c r="Y50" s="430"/>
      <c r="Z50" s="430"/>
      <c r="AA50" s="430"/>
      <c r="AB50" s="430"/>
      <c r="AC50" s="430"/>
      <c r="AD50" s="430"/>
    </row>
    <row r="51" ht="15.75" customHeight="1">
      <c r="A51" s="426"/>
      <c r="B51" s="427" t="s">
        <v>330</v>
      </c>
      <c r="C51" s="428" t="s">
        <v>330</v>
      </c>
      <c r="D51" s="428" t="s">
        <v>330</v>
      </c>
      <c r="E51" s="429" t="s">
        <v>309</v>
      </c>
      <c r="F51" s="428" t="s">
        <v>309</v>
      </c>
      <c r="G51" s="428" t="s">
        <v>309</v>
      </c>
      <c r="H51" s="427" t="s">
        <v>249</v>
      </c>
      <c r="I51" s="430" t="s">
        <v>249</v>
      </c>
      <c r="J51" s="430" t="s">
        <v>249</v>
      </c>
      <c r="K51" s="427" t="s">
        <v>249</v>
      </c>
      <c r="L51" s="430" t="s">
        <v>249</v>
      </c>
      <c r="M51" s="431" t="s">
        <v>249</v>
      </c>
      <c r="N51" s="430"/>
      <c r="O51" s="430"/>
      <c r="P51" s="430"/>
      <c r="Q51" s="430"/>
      <c r="R51" s="430"/>
      <c r="S51" s="430"/>
      <c r="T51" s="430"/>
      <c r="U51" s="430"/>
      <c r="V51" s="430"/>
      <c r="W51" s="430"/>
      <c r="X51" s="430"/>
      <c r="Y51" s="430"/>
      <c r="Z51" s="430"/>
      <c r="AA51" s="430"/>
      <c r="AB51" s="430"/>
      <c r="AC51" s="430"/>
      <c r="AD51" s="430"/>
    </row>
    <row r="52" ht="15.75" customHeight="1">
      <c r="A52" s="426"/>
      <c r="B52" s="427" t="s">
        <v>333</v>
      </c>
      <c r="C52" s="428" t="s">
        <v>333</v>
      </c>
      <c r="D52" s="428" t="s">
        <v>333</v>
      </c>
      <c r="E52" s="429" t="s">
        <v>315</v>
      </c>
      <c r="F52" s="428" t="s">
        <v>315</v>
      </c>
      <c r="G52" s="428" t="s">
        <v>315</v>
      </c>
      <c r="H52" s="427" t="s">
        <v>3806</v>
      </c>
      <c r="I52" s="430" t="s">
        <v>252</v>
      </c>
      <c r="J52" s="430" t="s">
        <v>252</v>
      </c>
      <c r="K52" s="427" t="s">
        <v>3806</v>
      </c>
      <c r="L52" s="430" t="s">
        <v>252</v>
      </c>
      <c r="M52" s="431" t="s">
        <v>252</v>
      </c>
      <c r="N52" s="430"/>
      <c r="O52" s="430"/>
      <c r="P52" s="430"/>
      <c r="Q52" s="430"/>
      <c r="R52" s="430"/>
      <c r="S52" s="430"/>
      <c r="T52" s="430"/>
      <c r="U52" s="430"/>
      <c r="V52" s="430"/>
      <c r="W52" s="430"/>
      <c r="X52" s="430"/>
      <c r="Y52" s="430"/>
      <c r="Z52" s="430"/>
      <c r="AA52" s="430"/>
      <c r="AB52" s="430"/>
      <c r="AC52" s="430"/>
      <c r="AD52" s="430"/>
    </row>
    <row r="53" ht="15.75" customHeight="1">
      <c r="A53" s="426"/>
      <c r="B53" s="427" t="s">
        <v>339</v>
      </c>
      <c r="C53" s="428" t="s">
        <v>339</v>
      </c>
      <c r="D53" s="428" t="s">
        <v>339</v>
      </c>
      <c r="E53" s="429" t="s">
        <v>318</v>
      </c>
      <c r="F53" s="428" t="s">
        <v>318</v>
      </c>
      <c r="G53" s="428" t="s">
        <v>318</v>
      </c>
      <c r="H53" s="427" t="s">
        <v>3807</v>
      </c>
      <c r="I53" s="430" t="s">
        <v>3808</v>
      </c>
      <c r="J53" s="430" t="s">
        <v>3808</v>
      </c>
      <c r="K53" s="427" t="s">
        <v>260</v>
      </c>
      <c r="L53" s="430" t="s">
        <v>260</v>
      </c>
      <c r="M53" s="431" t="s">
        <v>260</v>
      </c>
      <c r="N53" s="430"/>
      <c r="O53" s="430"/>
      <c r="P53" s="430"/>
      <c r="Q53" s="430"/>
      <c r="R53" s="430"/>
      <c r="S53" s="430"/>
      <c r="T53" s="430"/>
      <c r="U53" s="430"/>
      <c r="V53" s="430"/>
      <c r="W53" s="430"/>
      <c r="X53" s="430"/>
      <c r="Y53" s="430"/>
      <c r="Z53" s="430"/>
      <c r="AA53" s="430"/>
      <c r="AB53" s="430"/>
      <c r="AC53" s="430"/>
      <c r="AD53" s="430"/>
    </row>
    <row r="54" ht="15.75" customHeight="1">
      <c r="A54" s="426"/>
      <c r="B54" s="427" t="s">
        <v>3809</v>
      </c>
      <c r="C54" s="428" t="s">
        <v>342</v>
      </c>
      <c r="D54" s="428" t="s">
        <v>342</v>
      </c>
      <c r="E54" s="429" t="s">
        <v>321</v>
      </c>
      <c r="F54" s="428" t="s">
        <v>321</v>
      </c>
      <c r="G54" s="428" t="s">
        <v>321</v>
      </c>
      <c r="H54" s="427" t="s">
        <v>265</v>
      </c>
      <c r="I54" s="430" t="s">
        <v>265</v>
      </c>
      <c r="J54" s="430" t="s">
        <v>265</v>
      </c>
      <c r="K54" s="427" t="s">
        <v>265</v>
      </c>
      <c r="L54" s="430" t="s">
        <v>265</v>
      </c>
      <c r="M54" s="431" t="s">
        <v>265</v>
      </c>
      <c r="N54" s="430"/>
      <c r="O54" s="430"/>
      <c r="P54" s="430"/>
      <c r="Q54" s="430"/>
      <c r="R54" s="430"/>
      <c r="S54" s="430"/>
      <c r="T54" s="430"/>
      <c r="U54" s="430"/>
      <c r="V54" s="430"/>
      <c r="W54" s="430"/>
      <c r="X54" s="430"/>
      <c r="Y54" s="430"/>
      <c r="Z54" s="430"/>
      <c r="AA54" s="430"/>
      <c r="AB54" s="430"/>
      <c r="AC54" s="430"/>
      <c r="AD54" s="430"/>
    </row>
    <row r="55" ht="15.75" customHeight="1">
      <c r="A55" s="426"/>
      <c r="B55" s="427" t="s">
        <v>357</v>
      </c>
      <c r="C55" s="428" t="s">
        <v>357</v>
      </c>
      <c r="D55" s="428" t="s">
        <v>357</v>
      </c>
      <c r="E55" s="429" t="s">
        <v>324</v>
      </c>
      <c r="F55" s="428" t="s">
        <v>324</v>
      </c>
      <c r="G55" s="428" t="s">
        <v>324</v>
      </c>
      <c r="H55" s="427" t="s">
        <v>268</v>
      </c>
      <c r="I55" s="430" t="s">
        <v>268</v>
      </c>
      <c r="J55" s="430" t="s">
        <v>268</v>
      </c>
      <c r="K55" s="427" t="s">
        <v>268</v>
      </c>
      <c r="L55" s="430" t="s">
        <v>268</v>
      </c>
      <c r="M55" s="431" t="s">
        <v>268</v>
      </c>
      <c r="N55" s="430"/>
      <c r="O55" s="430"/>
      <c r="P55" s="430"/>
      <c r="Q55" s="430"/>
      <c r="R55" s="430"/>
      <c r="S55" s="430"/>
      <c r="T55" s="430"/>
      <c r="U55" s="430"/>
      <c r="V55" s="430"/>
      <c r="W55" s="430"/>
      <c r="X55" s="430"/>
      <c r="Y55" s="430"/>
      <c r="Z55" s="430"/>
      <c r="AA55" s="430"/>
      <c r="AB55" s="430"/>
      <c r="AC55" s="430"/>
      <c r="AD55" s="430"/>
    </row>
    <row r="56" ht="15.75" customHeight="1">
      <c r="A56" s="426"/>
      <c r="B56" s="427" t="s">
        <v>360</v>
      </c>
      <c r="C56" s="428" t="s">
        <v>360</v>
      </c>
      <c r="D56" s="428" t="s">
        <v>360</v>
      </c>
      <c r="E56" s="429" t="s">
        <v>327</v>
      </c>
      <c r="F56" s="428" t="s">
        <v>327</v>
      </c>
      <c r="G56" s="428" t="s">
        <v>327</v>
      </c>
      <c r="H56" s="427" t="s">
        <v>271</v>
      </c>
      <c r="I56" s="430" t="s">
        <v>271</v>
      </c>
      <c r="J56" s="430" t="s">
        <v>271</v>
      </c>
      <c r="K56" s="427" t="s">
        <v>271</v>
      </c>
      <c r="L56" s="430" t="s">
        <v>271</v>
      </c>
      <c r="M56" s="431" t="s">
        <v>271</v>
      </c>
      <c r="N56" s="430"/>
      <c r="O56" s="430"/>
      <c r="P56" s="430"/>
      <c r="Q56" s="430"/>
      <c r="R56" s="430"/>
      <c r="S56" s="430"/>
      <c r="T56" s="430"/>
      <c r="U56" s="430"/>
      <c r="V56" s="430"/>
      <c r="W56" s="430"/>
      <c r="X56" s="430"/>
      <c r="Y56" s="430"/>
      <c r="Z56" s="430"/>
      <c r="AA56" s="430"/>
      <c r="AB56" s="430"/>
      <c r="AC56" s="430"/>
      <c r="AD56" s="430"/>
    </row>
    <row r="57" ht="15.75" customHeight="1">
      <c r="A57" s="426"/>
      <c r="B57" s="427" t="s">
        <v>366</v>
      </c>
      <c r="C57" s="428" t="s">
        <v>366</v>
      </c>
      <c r="D57" s="428" t="s">
        <v>366</v>
      </c>
      <c r="E57" s="429" t="s">
        <v>330</v>
      </c>
      <c r="F57" s="428" t="s">
        <v>330</v>
      </c>
      <c r="G57" s="428" t="s">
        <v>330</v>
      </c>
      <c r="H57" s="427" t="s">
        <v>274</v>
      </c>
      <c r="I57" s="430" t="s">
        <v>274</v>
      </c>
      <c r="J57" s="430" t="s">
        <v>274</v>
      </c>
      <c r="K57" s="427" t="s">
        <v>274</v>
      </c>
      <c r="L57" s="430" t="s">
        <v>274</v>
      </c>
      <c r="M57" s="431" t="s">
        <v>274</v>
      </c>
      <c r="N57" s="430"/>
      <c r="O57" s="430"/>
      <c r="P57" s="430"/>
      <c r="Q57" s="430"/>
      <c r="R57" s="430"/>
      <c r="S57" s="430"/>
      <c r="T57" s="430"/>
      <c r="U57" s="430"/>
      <c r="V57" s="430"/>
      <c r="W57" s="430"/>
      <c r="X57" s="430"/>
      <c r="Y57" s="430"/>
      <c r="Z57" s="430"/>
      <c r="AA57" s="430"/>
      <c r="AB57" s="430"/>
      <c r="AC57" s="430"/>
      <c r="AD57" s="430"/>
    </row>
    <row r="58" ht="15.75" customHeight="1">
      <c r="A58" s="426"/>
      <c r="B58" s="427" t="s">
        <v>372</v>
      </c>
      <c r="C58" s="428" t="s">
        <v>372</v>
      </c>
      <c r="D58" s="428" t="s">
        <v>372</v>
      </c>
      <c r="E58" s="429" t="s">
        <v>333</v>
      </c>
      <c r="F58" s="428" t="s">
        <v>333</v>
      </c>
      <c r="G58" s="428" t="s">
        <v>333</v>
      </c>
      <c r="H58" s="427" t="s">
        <v>277</v>
      </c>
      <c r="I58" s="430" t="s">
        <v>277</v>
      </c>
      <c r="J58" s="430" t="s">
        <v>277</v>
      </c>
      <c r="K58" s="427" t="s">
        <v>277</v>
      </c>
      <c r="L58" s="430" t="s">
        <v>277</v>
      </c>
      <c r="M58" s="431" t="s">
        <v>277</v>
      </c>
      <c r="N58" s="430"/>
      <c r="O58" s="430"/>
      <c r="P58" s="430"/>
      <c r="Q58" s="430"/>
      <c r="R58" s="430"/>
      <c r="S58" s="430"/>
      <c r="T58" s="430"/>
      <c r="U58" s="430"/>
      <c r="V58" s="430"/>
      <c r="W58" s="430"/>
      <c r="X58" s="430"/>
      <c r="Y58" s="430"/>
      <c r="Z58" s="430"/>
      <c r="AA58" s="430"/>
      <c r="AB58" s="430"/>
      <c r="AC58" s="430"/>
      <c r="AD58" s="430"/>
    </row>
    <row r="59" ht="15.75" customHeight="1">
      <c r="A59" s="426"/>
      <c r="B59" s="427" t="s">
        <v>375</v>
      </c>
      <c r="C59" s="428" t="s">
        <v>375</v>
      </c>
      <c r="D59" s="428" t="s">
        <v>375</v>
      </c>
      <c r="E59" s="429" t="s">
        <v>339</v>
      </c>
      <c r="F59" s="428" t="s">
        <v>339</v>
      </c>
      <c r="G59" s="432" t="s">
        <v>339</v>
      </c>
      <c r="H59" s="427" t="s">
        <v>280</v>
      </c>
      <c r="I59" s="430" t="s">
        <v>280</v>
      </c>
      <c r="J59" s="430" t="s">
        <v>280</v>
      </c>
      <c r="K59" s="427" t="s">
        <v>280</v>
      </c>
      <c r="L59" s="430" t="s">
        <v>280</v>
      </c>
      <c r="M59" s="431" t="s">
        <v>280</v>
      </c>
      <c r="N59" s="430"/>
      <c r="O59" s="430"/>
      <c r="P59" s="430"/>
      <c r="Q59" s="430"/>
      <c r="R59" s="430"/>
      <c r="S59" s="430"/>
      <c r="T59" s="430"/>
      <c r="U59" s="430"/>
      <c r="V59" s="430"/>
      <c r="W59" s="430"/>
      <c r="X59" s="430"/>
      <c r="Y59" s="430"/>
      <c r="Z59" s="430"/>
      <c r="AA59" s="430"/>
      <c r="AB59" s="430"/>
      <c r="AC59" s="430"/>
      <c r="AD59" s="430"/>
    </row>
    <row r="60" ht="15.75" customHeight="1">
      <c r="A60" s="426"/>
      <c r="B60" s="427" t="s">
        <v>378</v>
      </c>
      <c r="C60" s="428" t="s">
        <v>378</v>
      </c>
      <c r="D60" s="428" t="s">
        <v>378</v>
      </c>
      <c r="E60" s="427" t="s">
        <v>3809</v>
      </c>
      <c r="F60" s="428" t="s">
        <v>342</v>
      </c>
      <c r="G60" s="428" t="s">
        <v>342</v>
      </c>
      <c r="H60" s="427" t="s">
        <v>283</v>
      </c>
      <c r="I60" s="430" t="s">
        <v>283</v>
      </c>
      <c r="J60" s="430" t="s">
        <v>283</v>
      </c>
      <c r="K60" s="427" t="s">
        <v>283</v>
      </c>
      <c r="L60" s="430" t="s">
        <v>283</v>
      </c>
      <c r="M60" s="431" t="s">
        <v>283</v>
      </c>
      <c r="N60" s="430"/>
      <c r="O60" s="430"/>
      <c r="P60" s="430"/>
      <c r="Q60" s="430"/>
      <c r="R60" s="430"/>
      <c r="S60" s="430"/>
      <c r="T60" s="430"/>
      <c r="U60" s="430"/>
      <c r="V60" s="430"/>
      <c r="W60" s="430"/>
      <c r="X60" s="430"/>
      <c r="Y60" s="430"/>
      <c r="Z60" s="430"/>
      <c r="AA60" s="430"/>
      <c r="AB60" s="430"/>
      <c r="AC60" s="430"/>
      <c r="AD60" s="430"/>
    </row>
    <row r="61" ht="15.75" customHeight="1">
      <c r="A61" s="426"/>
      <c r="B61" s="427" t="s">
        <v>3810</v>
      </c>
      <c r="C61" s="428" t="s">
        <v>381</v>
      </c>
      <c r="D61" s="428" t="s">
        <v>381</v>
      </c>
      <c r="E61" s="429" t="s">
        <v>351</v>
      </c>
      <c r="F61" s="428" t="s">
        <v>351</v>
      </c>
      <c r="G61" s="428" t="s">
        <v>351</v>
      </c>
      <c r="H61" s="427" t="s">
        <v>286</v>
      </c>
      <c r="I61" s="430" t="s">
        <v>286</v>
      </c>
      <c r="J61" s="430" t="s">
        <v>286</v>
      </c>
      <c r="K61" s="427" t="s">
        <v>286</v>
      </c>
      <c r="L61" s="430" t="s">
        <v>286</v>
      </c>
      <c r="M61" s="431" t="s">
        <v>286</v>
      </c>
      <c r="N61" s="430"/>
      <c r="O61" s="430"/>
      <c r="P61" s="430"/>
      <c r="Q61" s="430"/>
      <c r="R61" s="430"/>
      <c r="S61" s="430"/>
      <c r="T61" s="430"/>
      <c r="U61" s="430"/>
      <c r="V61" s="430"/>
      <c r="W61" s="430"/>
      <c r="X61" s="430"/>
      <c r="Y61" s="430"/>
      <c r="Z61" s="430"/>
      <c r="AA61" s="430"/>
      <c r="AB61" s="430"/>
      <c r="AC61" s="430"/>
      <c r="AD61" s="430"/>
    </row>
    <row r="62" ht="15.75" customHeight="1">
      <c r="A62" s="426"/>
      <c r="B62" s="427" t="s">
        <v>384</v>
      </c>
      <c r="C62" s="428" t="s">
        <v>384</v>
      </c>
      <c r="D62" s="428" t="s">
        <v>384</v>
      </c>
      <c r="E62" s="429" t="s">
        <v>354</v>
      </c>
      <c r="F62" s="428" t="s">
        <v>354</v>
      </c>
      <c r="G62" s="428" t="s">
        <v>354</v>
      </c>
      <c r="H62" s="427" t="s">
        <v>289</v>
      </c>
      <c r="I62" s="430" t="s">
        <v>289</v>
      </c>
      <c r="J62" s="430" t="s">
        <v>289</v>
      </c>
      <c r="K62" s="427" t="s">
        <v>289</v>
      </c>
      <c r="L62" s="430" t="s">
        <v>289</v>
      </c>
      <c r="M62" s="431" t="s">
        <v>289</v>
      </c>
      <c r="N62" s="430"/>
      <c r="O62" s="430"/>
      <c r="P62" s="430"/>
      <c r="Q62" s="430"/>
      <c r="R62" s="430"/>
      <c r="S62" s="430"/>
      <c r="T62" s="430"/>
      <c r="U62" s="430"/>
      <c r="V62" s="430"/>
      <c r="W62" s="430"/>
      <c r="X62" s="430"/>
      <c r="Y62" s="430"/>
      <c r="Z62" s="430"/>
      <c r="AA62" s="430"/>
      <c r="AB62" s="430"/>
      <c r="AC62" s="430"/>
      <c r="AD62" s="430"/>
    </row>
    <row r="63" ht="15.75" customHeight="1">
      <c r="A63" s="426"/>
      <c r="B63" s="427" t="s">
        <v>393</v>
      </c>
      <c r="C63" s="428" t="s">
        <v>393</v>
      </c>
      <c r="D63" s="428" t="s">
        <v>393</v>
      </c>
      <c r="E63" s="429" t="s">
        <v>357</v>
      </c>
      <c r="F63" s="428" t="s">
        <v>357</v>
      </c>
      <c r="G63" s="428" t="s">
        <v>357</v>
      </c>
      <c r="H63" s="427" t="s">
        <v>300</v>
      </c>
      <c r="I63" s="430" t="s">
        <v>300</v>
      </c>
      <c r="J63" s="430" t="s">
        <v>300</v>
      </c>
      <c r="K63" s="427" t="s">
        <v>300</v>
      </c>
      <c r="L63" s="430" t="s">
        <v>300</v>
      </c>
      <c r="M63" s="431" t="s">
        <v>300</v>
      </c>
      <c r="N63" s="430"/>
      <c r="O63" s="430"/>
      <c r="P63" s="430"/>
      <c r="Q63" s="430"/>
      <c r="R63" s="430"/>
      <c r="S63" s="430"/>
      <c r="T63" s="430"/>
      <c r="U63" s="430"/>
      <c r="V63" s="430"/>
      <c r="W63" s="430"/>
      <c r="X63" s="430"/>
      <c r="Y63" s="430"/>
      <c r="Z63" s="430"/>
      <c r="AA63" s="430"/>
      <c r="AB63" s="430"/>
      <c r="AC63" s="430"/>
      <c r="AD63" s="430"/>
    </row>
    <row r="64" ht="15.75" customHeight="1">
      <c r="A64" s="426"/>
      <c r="B64" s="427"/>
      <c r="C64" s="428"/>
      <c r="D64" s="428"/>
      <c r="E64" s="429" t="s">
        <v>360</v>
      </c>
      <c r="F64" s="428" t="s">
        <v>360</v>
      </c>
      <c r="G64" s="428" t="s">
        <v>360</v>
      </c>
      <c r="H64" s="427" t="s">
        <v>303</v>
      </c>
      <c r="I64" s="430" t="s">
        <v>303</v>
      </c>
      <c r="J64" s="430" t="s">
        <v>303</v>
      </c>
      <c r="K64" s="427" t="s">
        <v>303</v>
      </c>
      <c r="L64" s="430" t="s">
        <v>303</v>
      </c>
      <c r="M64" s="431" t="s">
        <v>303</v>
      </c>
      <c r="N64" s="430"/>
      <c r="O64" s="430"/>
      <c r="P64" s="430"/>
      <c r="Q64" s="430"/>
      <c r="R64" s="430"/>
      <c r="S64" s="430"/>
      <c r="T64" s="430"/>
      <c r="U64" s="430"/>
      <c r="V64" s="430"/>
      <c r="W64" s="430"/>
      <c r="X64" s="430"/>
      <c r="Y64" s="430"/>
      <c r="Z64" s="430"/>
      <c r="AA64" s="430"/>
      <c r="AB64" s="430"/>
      <c r="AC64" s="430"/>
      <c r="AD64" s="430"/>
    </row>
    <row r="65" ht="15.75" customHeight="1">
      <c r="A65" s="426"/>
      <c r="B65" s="427"/>
      <c r="C65" s="428"/>
      <c r="D65" s="428"/>
      <c r="E65" s="429" t="s">
        <v>3811</v>
      </c>
      <c r="F65" s="428" t="s">
        <v>3812</v>
      </c>
      <c r="G65" s="428" t="s">
        <v>3812</v>
      </c>
      <c r="H65" s="427" t="s">
        <v>306</v>
      </c>
      <c r="I65" s="430" t="s">
        <v>306</v>
      </c>
      <c r="J65" s="430" t="s">
        <v>306</v>
      </c>
      <c r="K65" s="427" t="s">
        <v>306</v>
      </c>
      <c r="L65" s="430" t="s">
        <v>306</v>
      </c>
      <c r="M65" s="431" t="s">
        <v>306</v>
      </c>
      <c r="N65" s="430"/>
      <c r="O65" s="430"/>
      <c r="P65" s="430"/>
      <c r="Q65" s="430"/>
      <c r="R65" s="430"/>
      <c r="S65" s="430"/>
      <c r="T65" s="430"/>
      <c r="U65" s="430"/>
      <c r="V65" s="430"/>
      <c r="W65" s="430"/>
      <c r="X65" s="430"/>
      <c r="Y65" s="430"/>
      <c r="Z65" s="430"/>
      <c r="AA65" s="430"/>
      <c r="AB65" s="430"/>
      <c r="AC65" s="430"/>
      <c r="AD65" s="430"/>
    </row>
    <row r="66" ht="15.75" customHeight="1">
      <c r="A66" s="426"/>
      <c r="B66" s="427"/>
      <c r="C66" s="428"/>
      <c r="D66" s="428"/>
      <c r="E66" s="429" t="s">
        <v>369</v>
      </c>
      <c r="F66" s="428" t="s">
        <v>369</v>
      </c>
      <c r="G66" s="428" t="s">
        <v>369</v>
      </c>
      <c r="H66" s="427" t="s">
        <v>309</v>
      </c>
      <c r="I66" s="430" t="s">
        <v>309</v>
      </c>
      <c r="J66" s="430" t="s">
        <v>309</v>
      </c>
      <c r="K66" s="427" t="s">
        <v>309</v>
      </c>
      <c r="L66" s="430" t="s">
        <v>309</v>
      </c>
      <c r="M66" s="431" t="s">
        <v>309</v>
      </c>
      <c r="N66" s="430"/>
      <c r="O66" s="430"/>
      <c r="P66" s="430"/>
      <c r="Q66" s="430"/>
      <c r="R66" s="430"/>
      <c r="S66" s="430"/>
      <c r="T66" s="430"/>
      <c r="U66" s="430"/>
      <c r="V66" s="430"/>
      <c r="W66" s="430"/>
      <c r="X66" s="430"/>
      <c r="Y66" s="430"/>
      <c r="Z66" s="430"/>
      <c r="AA66" s="430"/>
      <c r="AB66" s="430"/>
      <c r="AC66" s="430"/>
      <c r="AD66" s="430"/>
    </row>
    <row r="67" ht="15.75" customHeight="1">
      <c r="A67" s="426"/>
      <c r="B67" s="427"/>
      <c r="C67" s="428"/>
      <c r="D67" s="428"/>
      <c r="E67" s="429" t="s">
        <v>372</v>
      </c>
      <c r="F67" s="428" t="s">
        <v>372</v>
      </c>
      <c r="G67" s="428" t="s">
        <v>372</v>
      </c>
      <c r="H67" s="427" t="s">
        <v>3813</v>
      </c>
      <c r="I67" s="433" t="s">
        <v>312</v>
      </c>
      <c r="J67" s="433" t="s">
        <v>312</v>
      </c>
      <c r="K67" s="427" t="s">
        <v>3813</v>
      </c>
      <c r="L67" s="433" t="s">
        <v>312</v>
      </c>
      <c r="M67" s="434" t="s">
        <v>312</v>
      </c>
      <c r="N67" s="430"/>
      <c r="O67" s="430"/>
      <c r="P67" s="430"/>
      <c r="Q67" s="430"/>
      <c r="R67" s="430"/>
      <c r="S67" s="430"/>
      <c r="T67" s="430"/>
      <c r="U67" s="430"/>
      <c r="V67" s="430"/>
      <c r="W67" s="430"/>
      <c r="X67" s="430"/>
      <c r="Y67" s="430"/>
      <c r="Z67" s="430"/>
      <c r="AA67" s="430"/>
      <c r="AB67" s="430"/>
      <c r="AC67" s="430"/>
      <c r="AD67" s="430"/>
    </row>
    <row r="68" ht="15.75" customHeight="1">
      <c r="A68" s="426"/>
      <c r="B68" s="427"/>
      <c r="C68" s="428"/>
      <c r="D68" s="428"/>
      <c r="E68" s="429" t="s">
        <v>375</v>
      </c>
      <c r="F68" s="428" t="s">
        <v>375</v>
      </c>
      <c r="G68" s="428" t="s">
        <v>375</v>
      </c>
      <c r="H68" s="427" t="s">
        <v>315</v>
      </c>
      <c r="I68" s="430" t="s">
        <v>315</v>
      </c>
      <c r="J68" s="430" t="s">
        <v>315</v>
      </c>
      <c r="K68" s="427" t="s">
        <v>315</v>
      </c>
      <c r="L68" s="430" t="s">
        <v>315</v>
      </c>
      <c r="M68" s="431" t="s">
        <v>315</v>
      </c>
      <c r="N68" s="430"/>
      <c r="O68" s="430"/>
      <c r="P68" s="430"/>
      <c r="Q68" s="430"/>
      <c r="R68" s="430"/>
      <c r="S68" s="430"/>
      <c r="T68" s="430"/>
      <c r="U68" s="430"/>
      <c r="V68" s="430"/>
      <c r="W68" s="430"/>
      <c r="X68" s="430"/>
      <c r="Y68" s="430"/>
      <c r="Z68" s="430"/>
      <c r="AA68" s="430"/>
      <c r="AB68" s="430"/>
      <c r="AC68" s="430"/>
      <c r="AD68" s="430"/>
    </row>
    <row r="69" ht="15.75" customHeight="1">
      <c r="A69" s="426"/>
      <c r="B69" s="427"/>
      <c r="C69" s="428"/>
      <c r="D69" s="428"/>
      <c r="E69" s="429" t="s">
        <v>378</v>
      </c>
      <c r="F69" s="428" t="s">
        <v>378</v>
      </c>
      <c r="G69" s="428" t="s">
        <v>378</v>
      </c>
      <c r="H69" s="427" t="s">
        <v>318</v>
      </c>
      <c r="I69" s="430" t="s">
        <v>318</v>
      </c>
      <c r="J69" s="430" t="s">
        <v>318</v>
      </c>
      <c r="K69" s="427" t="s">
        <v>318</v>
      </c>
      <c r="L69" s="430" t="s">
        <v>318</v>
      </c>
      <c r="M69" s="431" t="s">
        <v>318</v>
      </c>
      <c r="N69" s="430"/>
      <c r="O69" s="430"/>
      <c r="P69" s="430"/>
      <c r="Q69" s="430"/>
      <c r="R69" s="430"/>
      <c r="S69" s="430"/>
      <c r="T69" s="430"/>
      <c r="U69" s="430"/>
      <c r="V69" s="430"/>
      <c r="W69" s="430"/>
      <c r="X69" s="430"/>
      <c r="Y69" s="430"/>
      <c r="Z69" s="430"/>
      <c r="AA69" s="430"/>
      <c r="AB69" s="430"/>
      <c r="AC69" s="430"/>
      <c r="AD69" s="430"/>
    </row>
    <row r="70" ht="15.75" customHeight="1">
      <c r="A70" s="426"/>
      <c r="B70" s="427"/>
      <c r="C70" s="428"/>
      <c r="D70" s="428"/>
      <c r="E70" s="427" t="s">
        <v>3810</v>
      </c>
      <c r="F70" s="428" t="s">
        <v>381</v>
      </c>
      <c r="G70" s="428" t="s">
        <v>381</v>
      </c>
      <c r="H70" s="427" t="s">
        <v>321</v>
      </c>
      <c r="I70" s="430" t="s">
        <v>321</v>
      </c>
      <c r="J70" s="430" t="s">
        <v>321</v>
      </c>
      <c r="K70" s="427" t="s">
        <v>321</v>
      </c>
      <c r="L70" s="430" t="s">
        <v>321</v>
      </c>
      <c r="M70" s="431" t="s">
        <v>321</v>
      </c>
      <c r="N70" s="430"/>
      <c r="O70" s="430"/>
      <c r="P70" s="430"/>
      <c r="Q70" s="430"/>
      <c r="R70" s="430"/>
      <c r="S70" s="430"/>
      <c r="T70" s="430"/>
      <c r="U70" s="430"/>
      <c r="V70" s="430"/>
      <c r="W70" s="430"/>
      <c r="X70" s="430"/>
      <c r="Y70" s="430"/>
      <c r="Z70" s="430"/>
      <c r="AA70" s="430"/>
      <c r="AB70" s="430"/>
      <c r="AC70" s="430"/>
      <c r="AD70" s="430"/>
    </row>
    <row r="71" ht="15.75" customHeight="1">
      <c r="A71" s="426"/>
      <c r="B71" s="427"/>
      <c r="C71" s="428"/>
      <c r="D71" s="428"/>
      <c r="E71" s="429" t="s">
        <v>390</v>
      </c>
      <c r="F71" s="428" t="s">
        <v>390</v>
      </c>
      <c r="G71" s="428" t="s">
        <v>390</v>
      </c>
      <c r="H71" s="427" t="s">
        <v>324</v>
      </c>
      <c r="I71" s="430" t="s">
        <v>324</v>
      </c>
      <c r="J71" s="430" t="s">
        <v>324</v>
      </c>
      <c r="K71" s="427" t="s">
        <v>324</v>
      </c>
      <c r="L71" s="430" t="s">
        <v>324</v>
      </c>
      <c r="M71" s="431" t="s">
        <v>324</v>
      </c>
      <c r="N71" s="430"/>
      <c r="O71" s="430"/>
      <c r="P71" s="430"/>
      <c r="Q71" s="430"/>
      <c r="R71" s="430"/>
      <c r="S71" s="430"/>
      <c r="T71" s="430"/>
      <c r="U71" s="430"/>
      <c r="V71" s="430"/>
      <c r="W71" s="430"/>
      <c r="X71" s="430"/>
      <c r="Y71" s="430"/>
      <c r="Z71" s="430"/>
      <c r="AA71" s="430"/>
      <c r="AB71" s="430"/>
      <c r="AC71" s="430"/>
      <c r="AD71" s="430"/>
    </row>
    <row r="72" ht="15.75" customHeight="1">
      <c r="A72" s="426"/>
      <c r="B72" s="427"/>
      <c r="C72" s="428"/>
      <c r="D72" s="428"/>
      <c r="E72" s="429" t="s">
        <v>393</v>
      </c>
      <c r="F72" s="428" t="s">
        <v>393</v>
      </c>
      <c r="G72" s="428" t="s">
        <v>393</v>
      </c>
      <c r="H72" s="427" t="s">
        <v>327</v>
      </c>
      <c r="I72" s="430" t="s">
        <v>327</v>
      </c>
      <c r="J72" s="430" t="s">
        <v>327</v>
      </c>
      <c r="K72" s="427" t="s">
        <v>327</v>
      </c>
      <c r="L72" s="430" t="s">
        <v>327</v>
      </c>
      <c r="M72" s="431" t="s">
        <v>327</v>
      </c>
      <c r="N72" s="430"/>
      <c r="O72" s="430"/>
      <c r="P72" s="430"/>
      <c r="Q72" s="430"/>
      <c r="R72" s="430"/>
      <c r="S72" s="430"/>
      <c r="T72" s="430"/>
      <c r="U72" s="430"/>
      <c r="V72" s="430"/>
      <c r="W72" s="430"/>
      <c r="X72" s="430"/>
      <c r="Y72" s="430"/>
      <c r="Z72" s="430"/>
      <c r="AA72" s="430"/>
      <c r="AB72" s="430"/>
      <c r="AC72" s="430"/>
      <c r="AD72" s="430"/>
    </row>
    <row r="73" ht="15.75" customHeight="1">
      <c r="A73" s="426"/>
      <c r="B73" s="427"/>
      <c r="C73" s="428"/>
      <c r="D73" s="428"/>
      <c r="E73" s="429"/>
      <c r="F73" s="428"/>
      <c r="G73" s="428"/>
      <c r="H73" s="427" t="s">
        <v>330</v>
      </c>
      <c r="I73" s="430" t="s">
        <v>330</v>
      </c>
      <c r="J73" s="430" t="s">
        <v>330</v>
      </c>
      <c r="K73" s="427" t="s">
        <v>330</v>
      </c>
      <c r="L73" s="430" t="s">
        <v>330</v>
      </c>
      <c r="M73" s="431" t="s">
        <v>330</v>
      </c>
      <c r="N73" s="430"/>
      <c r="O73" s="430"/>
      <c r="P73" s="430"/>
      <c r="Q73" s="430"/>
      <c r="R73" s="430"/>
      <c r="S73" s="430"/>
      <c r="T73" s="430"/>
      <c r="U73" s="430"/>
      <c r="V73" s="430"/>
      <c r="W73" s="430"/>
      <c r="X73" s="430"/>
      <c r="Y73" s="430"/>
      <c r="Z73" s="430"/>
      <c r="AA73" s="430"/>
      <c r="AB73" s="430"/>
      <c r="AC73" s="430"/>
      <c r="AD73" s="430"/>
    </row>
    <row r="74" ht="15.75" customHeight="1">
      <c r="A74" s="426"/>
      <c r="B74" s="427"/>
      <c r="C74" s="428"/>
      <c r="D74" s="428"/>
      <c r="E74" s="429"/>
      <c r="F74" s="428"/>
      <c r="G74" s="428"/>
      <c r="H74" s="427" t="s">
        <v>333</v>
      </c>
      <c r="I74" s="430" t="s">
        <v>333</v>
      </c>
      <c r="J74" s="430" t="s">
        <v>333</v>
      </c>
      <c r="K74" s="427" t="s">
        <v>333</v>
      </c>
      <c r="L74" s="430" t="s">
        <v>333</v>
      </c>
      <c r="M74" s="431" t="s">
        <v>333</v>
      </c>
      <c r="N74" s="430"/>
      <c r="O74" s="430"/>
      <c r="P74" s="430"/>
      <c r="Q74" s="430"/>
      <c r="R74" s="430"/>
      <c r="S74" s="430"/>
      <c r="T74" s="430"/>
      <c r="U74" s="430"/>
      <c r="V74" s="430"/>
      <c r="W74" s="430"/>
      <c r="X74" s="430"/>
      <c r="Y74" s="430"/>
      <c r="Z74" s="430"/>
      <c r="AA74" s="430"/>
      <c r="AB74" s="430"/>
      <c r="AC74" s="430"/>
      <c r="AD74" s="430"/>
    </row>
    <row r="75" ht="15.75" customHeight="1">
      <c r="A75" s="426"/>
      <c r="B75" s="427"/>
      <c r="C75" s="428"/>
      <c r="D75" s="428"/>
      <c r="E75" s="429"/>
      <c r="F75" s="428"/>
      <c r="G75" s="428"/>
      <c r="H75" s="427" t="s">
        <v>339</v>
      </c>
      <c r="I75" s="430" t="s">
        <v>339</v>
      </c>
      <c r="J75" s="430" t="s">
        <v>339</v>
      </c>
      <c r="K75" s="427" t="s">
        <v>339</v>
      </c>
      <c r="L75" s="430" t="s">
        <v>339</v>
      </c>
      <c r="M75" s="431" t="s">
        <v>339</v>
      </c>
      <c r="N75" s="430"/>
      <c r="O75" s="430"/>
      <c r="P75" s="430"/>
      <c r="Q75" s="430"/>
      <c r="R75" s="430"/>
      <c r="S75" s="430"/>
      <c r="T75" s="430"/>
      <c r="U75" s="430"/>
      <c r="V75" s="430"/>
      <c r="W75" s="430"/>
      <c r="X75" s="430"/>
      <c r="Y75" s="430"/>
      <c r="Z75" s="430"/>
      <c r="AA75" s="430"/>
      <c r="AB75" s="430"/>
      <c r="AC75" s="430"/>
      <c r="AD75" s="430"/>
    </row>
    <row r="76" ht="15.75" customHeight="1">
      <c r="A76" s="426"/>
      <c r="B76" s="427"/>
      <c r="C76" s="428"/>
      <c r="D76" s="428"/>
      <c r="E76" s="429"/>
      <c r="F76" s="428"/>
      <c r="G76" s="428"/>
      <c r="H76" s="427" t="s">
        <v>3809</v>
      </c>
      <c r="I76" s="430" t="s">
        <v>342</v>
      </c>
      <c r="J76" s="430" t="s">
        <v>342</v>
      </c>
      <c r="K76" s="427" t="s">
        <v>3809</v>
      </c>
      <c r="L76" s="430" t="s">
        <v>342</v>
      </c>
      <c r="M76" s="431" t="s">
        <v>342</v>
      </c>
      <c r="N76" s="430"/>
      <c r="O76" s="430"/>
      <c r="P76" s="430"/>
      <c r="Q76" s="430"/>
      <c r="R76" s="430"/>
      <c r="S76" s="430"/>
      <c r="T76" s="430"/>
      <c r="U76" s="430"/>
      <c r="V76" s="430"/>
      <c r="W76" s="430"/>
      <c r="X76" s="430"/>
      <c r="Y76" s="430"/>
      <c r="Z76" s="430"/>
      <c r="AA76" s="430"/>
      <c r="AB76" s="430"/>
      <c r="AC76" s="430"/>
      <c r="AD76" s="430"/>
    </row>
    <row r="77" ht="15.75" customHeight="1">
      <c r="A77" s="426"/>
      <c r="B77" s="427"/>
      <c r="C77" s="428"/>
      <c r="D77" s="428"/>
      <c r="E77" s="429"/>
      <c r="F77" s="428"/>
      <c r="G77" s="428"/>
      <c r="H77" s="427" t="s">
        <v>345</v>
      </c>
      <c r="I77" s="430" t="s">
        <v>345</v>
      </c>
      <c r="J77" s="430" t="s">
        <v>345</v>
      </c>
      <c r="K77" s="427" t="s">
        <v>345</v>
      </c>
      <c r="L77" s="430" t="s">
        <v>345</v>
      </c>
      <c r="M77" s="431" t="s">
        <v>345</v>
      </c>
      <c r="N77" s="430"/>
      <c r="O77" s="430"/>
      <c r="P77" s="430"/>
      <c r="Q77" s="430"/>
      <c r="R77" s="430"/>
      <c r="S77" s="430"/>
      <c r="T77" s="430"/>
      <c r="U77" s="430"/>
      <c r="V77" s="430"/>
      <c r="W77" s="430"/>
      <c r="X77" s="430"/>
      <c r="Y77" s="430"/>
      <c r="Z77" s="430"/>
      <c r="AA77" s="430"/>
      <c r="AB77" s="430"/>
      <c r="AC77" s="430"/>
      <c r="AD77" s="430"/>
    </row>
    <row r="78" ht="15.75" customHeight="1">
      <c r="A78" s="426"/>
      <c r="B78" s="427"/>
      <c r="C78" s="428"/>
      <c r="D78" s="428"/>
      <c r="E78" s="429"/>
      <c r="F78" s="428"/>
      <c r="G78" s="428"/>
      <c r="H78" s="427" t="s">
        <v>348</v>
      </c>
      <c r="I78" s="430" t="s">
        <v>348</v>
      </c>
      <c r="J78" s="430" t="s">
        <v>348</v>
      </c>
      <c r="K78" s="427" t="s">
        <v>348</v>
      </c>
      <c r="L78" s="430" t="s">
        <v>348</v>
      </c>
      <c r="M78" s="431" t="s">
        <v>348</v>
      </c>
      <c r="N78" s="430"/>
      <c r="O78" s="430"/>
      <c r="P78" s="430"/>
      <c r="Q78" s="430"/>
      <c r="R78" s="430"/>
      <c r="S78" s="430"/>
      <c r="T78" s="430"/>
      <c r="U78" s="430"/>
      <c r="V78" s="430"/>
      <c r="W78" s="430"/>
      <c r="X78" s="430"/>
      <c r="Y78" s="430"/>
      <c r="Z78" s="430"/>
      <c r="AA78" s="430"/>
      <c r="AB78" s="430"/>
      <c r="AC78" s="430"/>
      <c r="AD78" s="430"/>
    </row>
    <row r="79" ht="15.75" customHeight="1">
      <c r="A79" s="426"/>
      <c r="B79" s="427"/>
      <c r="C79" s="428"/>
      <c r="D79" s="428"/>
      <c r="E79" s="429"/>
      <c r="F79" s="428"/>
      <c r="G79" s="428"/>
      <c r="H79" s="427" t="s">
        <v>351</v>
      </c>
      <c r="I79" s="430" t="s">
        <v>351</v>
      </c>
      <c r="J79" s="430" t="s">
        <v>351</v>
      </c>
      <c r="K79" s="427" t="s">
        <v>351</v>
      </c>
      <c r="L79" s="430" t="s">
        <v>351</v>
      </c>
      <c r="M79" s="431" t="s">
        <v>351</v>
      </c>
      <c r="N79" s="430"/>
      <c r="O79" s="430"/>
      <c r="P79" s="430"/>
      <c r="Q79" s="430"/>
      <c r="R79" s="430"/>
      <c r="S79" s="430"/>
      <c r="T79" s="430"/>
      <c r="U79" s="430"/>
      <c r="V79" s="430"/>
      <c r="W79" s="430"/>
      <c r="X79" s="430"/>
      <c r="Y79" s="430"/>
      <c r="Z79" s="430"/>
      <c r="AA79" s="430"/>
      <c r="AB79" s="430"/>
      <c r="AC79" s="430"/>
      <c r="AD79" s="430"/>
    </row>
    <row r="80" ht="15.75" customHeight="1">
      <c r="A80" s="426"/>
      <c r="B80" s="427"/>
      <c r="C80" s="428"/>
      <c r="D80" s="428"/>
      <c r="E80" s="429"/>
      <c r="F80" s="428"/>
      <c r="G80" s="428"/>
      <c r="H80" s="427" t="s">
        <v>354</v>
      </c>
      <c r="I80" s="430" t="s">
        <v>354</v>
      </c>
      <c r="J80" s="430" t="s">
        <v>354</v>
      </c>
      <c r="K80" s="427" t="s">
        <v>354</v>
      </c>
      <c r="L80" s="430" t="s">
        <v>354</v>
      </c>
      <c r="M80" s="431" t="s">
        <v>354</v>
      </c>
      <c r="N80" s="430"/>
      <c r="O80" s="430"/>
      <c r="P80" s="430"/>
      <c r="Q80" s="430"/>
      <c r="R80" s="430"/>
      <c r="S80" s="430"/>
      <c r="T80" s="430"/>
      <c r="U80" s="430"/>
      <c r="V80" s="430"/>
      <c r="W80" s="430"/>
      <c r="X80" s="430"/>
      <c r="Y80" s="430"/>
      <c r="Z80" s="430"/>
      <c r="AA80" s="430"/>
      <c r="AB80" s="430"/>
      <c r="AC80" s="430"/>
      <c r="AD80" s="430"/>
    </row>
    <row r="81" ht="15.75" customHeight="1">
      <c r="A81" s="426"/>
      <c r="B81" s="427"/>
      <c r="C81" s="428"/>
      <c r="D81" s="428"/>
      <c r="E81" s="429"/>
      <c r="F81" s="428"/>
      <c r="G81" s="428"/>
      <c r="H81" s="427" t="s">
        <v>357</v>
      </c>
      <c r="I81" s="430" t="s">
        <v>357</v>
      </c>
      <c r="J81" s="430" t="s">
        <v>357</v>
      </c>
      <c r="K81" s="427" t="s">
        <v>357</v>
      </c>
      <c r="L81" s="430" t="s">
        <v>357</v>
      </c>
      <c r="M81" s="431" t="s">
        <v>357</v>
      </c>
      <c r="N81" s="430"/>
      <c r="O81" s="430"/>
      <c r="P81" s="430"/>
      <c r="Q81" s="430"/>
      <c r="R81" s="430"/>
      <c r="S81" s="430"/>
      <c r="T81" s="430"/>
      <c r="U81" s="430"/>
      <c r="V81" s="430"/>
      <c r="W81" s="430"/>
      <c r="X81" s="430"/>
      <c r="Y81" s="430"/>
      <c r="Z81" s="430"/>
      <c r="AA81" s="430"/>
      <c r="AB81" s="430"/>
      <c r="AC81" s="430"/>
      <c r="AD81" s="430"/>
    </row>
    <row r="82" ht="15.75" customHeight="1">
      <c r="A82" s="426"/>
      <c r="B82" s="427"/>
      <c r="C82" s="428"/>
      <c r="D82" s="428"/>
      <c r="E82" s="429"/>
      <c r="F82" s="428"/>
      <c r="G82" s="432"/>
      <c r="H82" s="427" t="s">
        <v>360</v>
      </c>
      <c r="I82" s="430" t="s">
        <v>360</v>
      </c>
      <c r="J82" s="430" t="s">
        <v>360</v>
      </c>
      <c r="K82" s="427" t="s">
        <v>360</v>
      </c>
      <c r="L82" s="430" t="s">
        <v>360</v>
      </c>
      <c r="M82" s="431" t="s">
        <v>360</v>
      </c>
      <c r="N82" s="430"/>
      <c r="O82" s="430"/>
      <c r="P82" s="430"/>
      <c r="Q82" s="430"/>
      <c r="R82" s="430"/>
      <c r="S82" s="430"/>
      <c r="T82" s="430"/>
      <c r="U82" s="430"/>
      <c r="V82" s="430"/>
      <c r="W82" s="430"/>
      <c r="X82" s="430"/>
      <c r="Y82" s="430"/>
      <c r="Z82" s="430"/>
      <c r="AA82" s="430"/>
      <c r="AB82" s="430"/>
      <c r="AC82" s="430"/>
      <c r="AD82" s="430"/>
    </row>
    <row r="83" ht="15.75" customHeight="1">
      <c r="A83" s="426"/>
      <c r="B83" s="427"/>
      <c r="C83" s="428"/>
      <c r="D83" s="428"/>
      <c r="E83" s="429"/>
      <c r="F83" s="428"/>
      <c r="G83" s="428"/>
      <c r="H83" s="427" t="s">
        <v>363</v>
      </c>
      <c r="I83" s="430" t="s">
        <v>363</v>
      </c>
      <c r="J83" s="430" t="s">
        <v>363</v>
      </c>
      <c r="K83" s="427" t="s">
        <v>363</v>
      </c>
      <c r="L83" s="430" t="s">
        <v>363</v>
      </c>
      <c r="M83" s="431" t="s">
        <v>363</v>
      </c>
      <c r="N83" s="430"/>
      <c r="O83" s="430"/>
      <c r="P83" s="430"/>
      <c r="Q83" s="430"/>
      <c r="R83" s="430"/>
      <c r="S83" s="430"/>
      <c r="T83" s="430"/>
      <c r="U83" s="430"/>
      <c r="V83" s="430"/>
      <c r="W83" s="430"/>
      <c r="X83" s="430"/>
      <c r="Y83" s="430"/>
      <c r="Z83" s="430"/>
      <c r="AA83" s="430"/>
      <c r="AB83" s="430"/>
      <c r="AC83" s="430"/>
      <c r="AD83" s="430"/>
    </row>
    <row r="84" ht="15.75" customHeight="1">
      <c r="A84" s="426"/>
      <c r="B84" s="427"/>
      <c r="C84" s="428"/>
      <c r="D84" s="428"/>
      <c r="E84" s="429"/>
      <c r="F84" s="428"/>
      <c r="G84" s="428"/>
      <c r="H84" s="427" t="s">
        <v>366</v>
      </c>
      <c r="I84" s="430" t="s">
        <v>366</v>
      </c>
      <c r="J84" s="430" t="s">
        <v>366</v>
      </c>
      <c r="K84" s="427" t="s">
        <v>366</v>
      </c>
      <c r="L84" s="430" t="s">
        <v>366</v>
      </c>
      <c r="M84" s="431" t="s">
        <v>366</v>
      </c>
      <c r="N84" s="430"/>
      <c r="O84" s="430"/>
      <c r="P84" s="430"/>
      <c r="Q84" s="430"/>
      <c r="R84" s="430"/>
      <c r="S84" s="430"/>
      <c r="T84" s="430"/>
      <c r="U84" s="430"/>
      <c r="V84" s="430"/>
      <c r="W84" s="430"/>
      <c r="X84" s="430"/>
      <c r="Y84" s="430"/>
      <c r="Z84" s="430"/>
      <c r="AA84" s="430"/>
      <c r="AB84" s="430"/>
      <c r="AC84" s="430"/>
      <c r="AD84" s="430"/>
    </row>
    <row r="85" ht="15.75" customHeight="1">
      <c r="A85" s="426"/>
      <c r="B85" s="427"/>
      <c r="C85" s="428"/>
      <c r="D85" s="428"/>
      <c r="E85" s="429"/>
      <c r="F85" s="428"/>
      <c r="G85" s="428"/>
      <c r="H85" s="427" t="s">
        <v>369</v>
      </c>
      <c r="I85" s="430" t="s">
        <v>369</v>
      </c>
      <c r="J85" s="430" t="s">
        <v>369</v>
      </c>
      <c r="K85" s="427" t="s">
        <v>369</v>
      </c>
      <c r="L85" s="430" t="s">
        <v>369</v>
      </c>
      <c r="M85" s="431" t="s">
        <v>369</v>
      </c>
      <c r="N85" s="430"/>
      <c r="O85" s="430"/>
      <c r="P85" s="430"/>
      <c r="Q85" s="430"/>
      <c r="R85" s="430"/>
      <c r="S85" s="430"/>
      <c r="T85" s="430"/>
      <c r="U85" s="430"/>
      <c r="V85" s="430"/>
      <c r="W85" s="430"/>
      <c r="X85" s="430"/>
      <c r="Y85" s="430"/>
      <c r="Z85" s="430"/>
      <c r="AA85" s="430"/>
      <c r="AB85" s="430"/>
      <c r="AC85" s="430"/>
      <c r="AD85" s="430"/>
    </row>
    <row r="86" ht="15.75" customHeight="1">
      <c r="A86" s="426"/>
      <c r="B86" s="427"/>
      <c r="C86" s="428"/>
      <c r="D86" s="428"/>
      <c r="E86" s="429"/>
      <c r="F86" s="428"/>
      <c r="G86" s="428"/>
      <c r="H86" s="427" t="s">
        <v>372</v>
      </c>
      <c r="I86" s="430" t="s">
        <v>372</v>
      </c>
      <c r="J86" s="430" t="s">
        <v>372</v>
      </c>
      <c r="K86" s="427" t="s">
        <v>372</v>
      </c>
      <c r="L86" s="430" t="s">
        <v>372</v>
      </c>
      <c r="M86" s="431" t="s">
        <v>372</v>
      </c>
      <c r="N86" s="430"/>
      <c r="O86" s="430"/>
      <c r="P86" s="430"/>
      <c r="Q86" s="430"/>
      <c r="R86" s="430"/>
      <c r="S86" s="430"/>
      <c r="T86" s="430"/>
      <c r="U86" s="430"/>
      <c r="V86" s="430"/>
      <c r="W86" s="430"/>
      <c r="X86" s="430"/>
      <c r="Y86" s="430"/>
      <c r="Z86" s="430"/>
      <c r="AA86" s="430"/>
      <c r="AB86" s="430"/>
      <c r="AC86" s="430"/>
      <c r="AD86" s="430"/>
    </row>
    <row r="87" ht="15.75" customHeight="1">
      <c r="A87" s="426"/>
      <c r="B87" s="427"/>
      <c r="C87" s="428"/>
      <c r="D87" s="428"/>
      <c r="E87" s="429"/>
      <c r="F87" s="428"/>
      <c r="G87" s="428"/>
      <c r="H87" s="427" t="s">
        <v>375</v>
      </c>
      <c r="I87" s="430" t="s">
        <v>375</v>
      </c>
      <c r="J87" s="430" t="s">
        <v>375</v>
      </c>
      <c r="K87" s="427" t="s">
        <v>375</v>
      </c>
      <c r="L87" s="430" t="s">
        <v>375</v>
      </c>
      <c r="M87" s="431" t="s">
        <v>375</v>
      </c>
      <c r="N87" s="430"/>
      <c r="O87" s="430"/>
      <c r="P87" s="430"/>
      <c r="Q87" s="430"/>
      <c r="R87" s="430"/>
      <c r="S87" s="430"/>
      <c r="T87" s="430"/>
      <c r="U87" s="430"/>
      <c r="V87" s="430"/>
      <c r="W87" s="430"/>
      <c r="X87" s="430"/>
      <c r="Y87" s="430"/>
      <c r="Z87" s="430"/>
      <c r="AA87" s="430"/>
      <c r="AB87" s="430"/>
      <c r="AC87" s="430"/>
      <c r="AD87" s="430"/>
    </row>
    <row r="88" ht="15.75" customHeight="1">
      <c r="A88" s="426"/>
      <c r="B88" s="427"/>
      <c r="C88" s="428"/>
      <c r="D88" s="428"/>
      <c r="E88" s="429"/>
      <c r="F88" s="428"/>
      <c r="G88" s="428"/>
      <c r="H88" s="427" t="s">
        <v>378</v>
      </c>
      <c r="I88" s="430" t="s">
        <v>378</v>
      </c>
      <c r="J88" s="430" t="s">
        <v>378</v>
      </c>
      <c r="K88" s="427" t="s">
        <v>378</v>
      </c>
      <c r="L88" s="430" t="s">
        <v>378</v>
      </c>
      <c r="M88" s="431" t="s">
        <v>378</v>
      </c>
      <c r="N88" s="430"/>
      <c r="O88" s="430"/>
      <c r="P88" s="430"/>
      <c r="Q88" s="430"/>
      <c r="R88" s="430"/>
      <c r="S88" s="430"/>
      <c r="T88" s="430"/>
      <c r="U88" s="430"/>
      <c r="V88" s="430"/>
      <c r="W88" s="430"/>
      <c r="X88" s="430"/>
      <c r="Y88" s="430"/>
      <c r="Z88" s="430"/>
      <c r="AA88" s="430"/>
      <c r="AB88" s="430"/>
      <c r="AC88" s="430"/>
      <c r="AD88" s="430"/>
    </row>
    <row r="89" ht="15.75" customHeight="1">
      <c r="A89" s="426"/>
      <c r="B89" s="427"/>
      <c r="C89" s="428"/>
      <c r="D89" s="428"/>
      <c r="E89" s="429"/>
      <c r="F89" s="428"/>
      <c r="G89" s="428"/>
      <c r="H89" s="427" t="s">
        <v>3810</v>
      </c>
      <c r="I89" s="430" t="s">
        <v>381</v>
      </c>
      <c r="J89" s="430" t="s">
        <v>381</v>
      </c>
      <c r="K89" s="427" t="s">
        <v>3810</v>
      </c>
      <c r="L89" s="430" t="s">
        <v>381</v>
      </c>
      <c r="M89" s="431" t="s">
        <v>381</v>
      </c>
      <c r="N89" s="430"/>
      <c r="O89" s="430"/>
      <c r="P89" s="430"/>
      <c r="Q89" s="430"/>
      <c r="R89" s="430"/>
      <c r="S89" s="430"/>
      <c r="T89" s="430"/>
      <c r="U89" s="430"/>
      <c r="V89" s="430"/>
      <c r="W89" s="430"/>
      <c r="X89" s="430"/>
      <c r="Y89" s="430"/>
      <c r="Z89" s="430"/>
      <c r="AA89" s="430"/>
      <c r="AB89" s="430"/>
      <c r="AC89" s="430"/>
      <c r="AD89" s="430"/>
    </row>
    <row r="90" ht="15.75" customHeight="1">
      <c r="A90" s="426"/>
      <c r="B90" s="427"/>
      <c r="C90" s="428"/>
      <c r="D90" s="428"/>
      <c r="E90" s="429"/>
      <c r="F90" s="428"/>
      <c r="G90" s="428"/>
      <c r="H90" s="427" t="s">
        <v>384</v>
      </c>
      <c r="I90" s="430" t="s">
        <v>384</v>
      </c>
      <c r="J90" s="430" t="s">
        <v>384</v>
      </c>
      <c r="K90" s="427" t="s">
        <v>384</v>
      </c>
      <c r="L90" s="430" t="s">
        <v>384</v>
      </c>
      <c r="M90" s="431" t="s">
        <v>384</v>
      </c>
      <c r="N90" s="430"/>
      <c r="O90" s="430"/>
      <c r="P90" s="430"/>
      <c r="Q90" s="430"/>
      <c r="R90" s="430"/>
      <c r="S90" s="430"/>
      <c r="T90" s="430"/>
      <c r="U90" s="430"/>
      <c r="V90" s="430"/>
      <c r="W90" s="430"/>
      <c r="X90" s="430"/>
      <c r="Y90" s="430"/>
      <c r="Z90" s="430"/>
      <c r="AA90" s="430"/>
      <c r="AB90" s="430"/>
      <c r="AC90" s="430"/>
      <c r="AD90" s="430"/>
    </row>
    <row r="91" ht="15.75" customHeight="1">
      <c r="A91" s="426"/>
      <c r="B91" s="427"/>
      <c r="C91" s="428"/>
      <c r="D91" s="428"/>
      <c r="E91" s="429"/>
      <c r="F91" s="428"/>
      <c r="G91" s="428"/>
      <c r="H91" s="427" t="s">
        <v>390</v>
      </c>
      <c r="I91" s="430" t="s">
        <v>390</v>
      </c>
      <c r="J91" s="430" t="s">
        <v>390</v>
      </c>
      <c r="K91" s="427" t="s">
        <v>390</v>
      </c>
      <c r="L91" s="430" t="s">
        <v>390</v>
      </c>
      <c r="M91" s="431" t="s">
        <v>390</v>
      </c>
      <c r="N91" s="430"/>
      <c r="O91" s="430"/>
      <c r="P91" s="430"/>
      <c r="Q91" s="430"/>
      <c r="R91" s="430"/>
      <c r="S91" s="430"/>
      <c r="T91" s="430"/>
      <c r="U91" s="430"/>
      <c r="V91" s="430"/>
      <c r="W91" s="430"/>
      <c r="X91" s="430"/>
      <c r="Y91" s="430"/>
      <c r="Z91" s="430"/>
      <c r="AA91" s="430"/>
      <c r="AB91" s="430"/>
      <c r="AC91" s="430"/>
      <c r="AD91" s="430"/>
    </row>
    <row r="92" ht="15.75" customHeight="1">
      <c r="A92" s="426"/>
      <c r="B92" s="427"/>
      <c r="C92" s="428"/>
      <c r="D92" s="428"/>
      <c r="E92" s="429"/>
      <c r="F92" s="428"/>
      <c r="G92" s="428"/>
      <c r="H92" s="427" t="s">
        <v>393</v>
      </c>
      <c r="I92" s="430" t="s">
        <v>393</v>
      </c>
      <c r="J92" s="430" t="s">
        <v>393</v>
      </c>
      <c r="K92" s="427" t="s">
        <v>393</v>
      </c>
      <c r="L92" s="430" t="s">
        <v>393</v>
      </c>
      <c r="M92" s="431" t="s">
        <v>393</v>
      </c>
      <c r="N92" s="430"/>
      <c r="O92" s="430"/>
      <c r="P92" s="430"/>
      <c r="Q92" s="430"/>
      <c r="R92" s="430"/>
      <c r="S92" s="430"/>
      <c r="T92" s="430"/>
      <c r="U92" s="430"/>
      <c r="V92" s="430"/>
      <c r="W92" s="430"/>
      <c r="X92" s="430"/>
      <c r="Y92" s="430"/>
      <c r="Z92" s="430"/>
      <c r="AA92" s="430"/>
      <c r="AB92" s="430"/>
      <c r="AC92" s="430"/>
      <c r="AD92" s="430"/>
    </row>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D1"/>
    <mergeCell ref="E1:G1"/>
    <mergeCell ref="H1:J1"/>
    <mergeCell ref="K1:M1"/>
  </mergeCells>
  <conditionalFormatting sqref="A2:A92 B1:M92">
    <cfRule type="containsText" dxfId="30" priority="1" operator="containsText" text="Glycine soja">
      <formula>NOT(ISERROR(SEARCH(("Glycine soja"),(A2))))</formula>
    </cfRule>
  </conditionalFormatting>
  <conditionalFormatting sqref="A2:A92 B1:M92">
    <cfRule type="containsText" dxfId="30" priority="2" operator="containsText" text="Medicago truncatula">
      <formula>NOT(ISERROR(SEARCH(("Medicago truncatula"),(A2))))</formula>
    </cfRule>
  </conditionalFormatting>
  <conditionalFormatting sqref="A2:A92 B1:M92">
    <cfRule type="containsText" dxfId="30" priority="3" operator="containsText" text="Rosa chinensis">
      <formula>NOT(ISERROR(SEARCH(("Rosa chinensis"),(A2))))</formula>
    </cfRule>
  </conditionalFormatting>
  <conditionalFormatting sqref="A2:A92 B1:M92">
    <cfRule type="containsText" dxfId="30" priority="4" operator="containsText" text="Vigna unguiculata">
      <formula>NOT(ISERROR(SEARCH(("Vigna unguiculata"),(A2))))</formula>
    </cfRule>
  </conditionalFormatting>
  <conditionalFormatting sqref="A2:A92 B1:M92">
    <cfRule type="containsText" dxfId="31" priority="5" operator="containsText" text="shouldn't">
      <formula>NOT(ISERROR(SEARCH(("shouldn't"),(A2))))</formula>
    </cfRule>
  </conditionalFormatting>
  <conditionalFormatting sqref="A2:A92 B1:M92">
    <cfRule type="containsText" dxfId="32" priority="6" operator="containsText" text="confirmed ok">
      <formula>NOT(ISERROR(SEARCH(("confirmed ok"),(A2))))</formula>
    </cfRule>
  </conditionalFormatting>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
    <col customWidth="1" min="2" max="6" width="12.63"/>
    <col customWidth="1" min="114" max="114" width="9.5"/>
    <col customWidth="1" min="115" max="115" width="7.38"/>
    <col customWidth="1" min="116" max="116" width="10.5"/>
    <col customWidth="1" min="117" max="117" width="9.88"/>
    <col customWidth="1" min="118" max="118" width="11.5"/>
    <col customWidth="1" min="119" max="119" width="10.5"/>
    <col customWidth="1" min="120" max="120" width="8.25"/>
    <col customWidth="1" min="121" max="121" width="8.75"/>
    <col customWidth="1" min="122" max="122" width="8.63"/>
    <col customWidth="1" min="123" max="123" width="8.5"/>
    <col customWidth="1" min="124" max="124" width="9.13"/>
    <col customWidth="1" min="125" max="125" width="9.63"/>
    <col customWidth="1" min="126" max="126" width="8.38"/>
    <col customWidth="1" min="127" max="127" width="8.13"/>
  </cols>
  <sheetData>
    <row r="1">
      <c r="A1" s="234">
        <v>1.0</v>
      </c>
      <c r="B1" s="198" t="s">
        <v>3814</v>
      </c>
      <c r="C1" s="198" t="s">
        <v>72</v>
      </c>
      <c r="D1" s="198" t="s">
        <v>76</v>
      </c>
      <c r="E1" s="198" t="s">
        <v>80</v>
      </c>
      <c r="F1" s="198" t="s">
        <v>84</v>
      </c>
      <c r="G1" s="198" t="s">
        <v>88</v>
      </c>
      <c r="H1" s="198" t="s">
        <v>92</v>
      </c>
      <c r="I1" s="198" t="s">
        <v>95</v>
      </c>
      <c r="J1" s="198" t="s">
        <v>99</v>
      </c>
      <c r="K1" s="198" t="s">
        <v>103</v>
      </c>
      <c r="L1" s="198" t="s">
        <v>107</v>
      </c>
      <c r="M1" s="198" t="s">
        <v>111</v>
      </c>
      <c r="N1" s="198" t="s">
        <v>114</v>
      </c>
      <c r="O1" s="198" t="s">
        <v>117</v>
      </c>
      <c r="P1" s="198" t="s">
        <v>120</v>
      </c>
      <c r="Q1" s="198" t="s">
        <v>123</v>
      </c>
      <c r="R1" s="198" t="s">
        <v>126</v>
      </c>
      <c r="S1" s="198" t="s">
        <v>129</v>
      </c>
      <c r="T1" s="198" t="s">
        <v>132</v>
      </c>
      <c r="U1" s="198" t="s">
        <v>135</v>
      </c>
      <c r="V1" s="198" t="s">
        <v>138</v>
      </c>
      <c r="W1" s="198" t="s">
        <v>141</v>
      </c>
      <c r="X1" s="198" t="s">
        <v>144</v>
      </c>
      <c r="Y1" s="198" t="s">
        <v>147</v>
      </c>
      <c r="Z1" s="198" t="s">
        <v>150</v>
      </c>
      <c r="AA1" s="198" t="s">
        <v>153</v>
      </c>
      <c r="AB1" s="198" t="s">
        <v>156</v>
      </c>
      <c r="AC1" s="198" t="s">
        <v>159</v>
      </c>
      <c r="AD1" s="198" t="s">
        <v>162</v>
      </c>
      <c r="AE1" s="198" t="s">
        <v>165</v>
      </c>
      <c r="AF1" s="198" t="s">
        <v>168</v>
      </c>
      <c r="AG1" s="198" t="s">
        <v>171</v>
      </c>
      <c r="AH1" s="198" t="s">
        <v>1164</v>
      </c>
      <c r="AI1" s="198" t="s">
        <v>177</v>
      </c>
      <c r="AJ1" s="198" t="s">
        <v>180</v>
      </c>
      <c r="AK1" s="198" t="s">
        <v>183</v>
      </c>
      <c r="AL1" s="198" t="s">
        <v>186</v>
      </c>
      <c r="AM1" s="198" t="s">
        <v>189</v>
      </c>
      <c r="AN1" s="198" t="s">
        <v>192</v>
      </c>
      <c r="AO1" s="198" t="s">
        <v>195</v>
      </c>
      <c r="AP1" s="198" t="s">
        <v>198</v>
      </c>
      <c r="AQ1" s="198" t="s">
        <v>201</v>
      </c>
      <c r="AR1" s="198" t="s">
        <v>204</v>
      </c>
      <c r="AS1" s="198" t="s">
        <v>207</v>
      </c>
      <c r="AT1" s="198" t="s">
        <v>213</v>
      </c>
      <c r="AU1" s="198" t="s">
        <v>216</v>
      </c>
      <c r="AV1" s="198" t="s">
        <v>219</v>
      </c>
      <c r="AW1" s="198" t="s">
        <v>222</v>
      </c>
      <c r="AX1" s="198" t="s">
        <v>225</v>
      </c>
      <c r="AY1" s="198" t="s">
        <v>228</v>
      </c>
      <c r="AZ1" s="198" t="s">
        <v>231</v>
      </c>
      <c r="BA1" s="198" t="s">
        <v>234</v>
      </c>
      <c r="BB1" s="198" t="s">
        <v>237</v>
      </c>
      <c r="BC1" s="198" t="s">
        <v>240</v>
      </c>
      <c r="BD1" s="198" t="s">
        <v>243</v>
      </c>
      <c r="BE1" s="198" t="s">
        <v>246</v>
      </c>
      <c r="BF1" s="198" t="s">
        <v>249</v>
      </c>
      <c r="BG1" s="198" t="s">
        <v>255</v>
      </c>
      <c r="BH1" s="198" t="s">
        <v>258</v>
      </c>
      <c r="BI1" s="198" t="s">
        <v>260</v>
      </c>
      <c r="BJ1" s="198" t="s">
        <v>263</v>
      </c>
      <c r="BK1" s="198" t="s">
        <v>265</v>
      </c>
      <c r="BL1" s="198" t="s">
        <v>268</v>
      </c>
      <c r="BM1" s="198" t="s">
        <v>271</v>
      </c>
      <c r="BN1" s="198" t="s">
        <v>274</v>
      </c>
      <c r="BO1" s="198" t="s">
        <v>277</v>
      </c>
      <c r="BP1" s="198" t="s">
        <v>280</v>
      </c>
      <c r="BQ1" s="198" t="s">
        <v>283</v>
      </c>
      <c r="BR1" s="198" t="s">
        <v>286</v>
      </c>
      <c r="BS1" s="198" t="s">
        <v>1440</v>
      </c>
      <c r="BT1" s="198" t="s">
        <v>1441</v>
      </c>
      <c r="BU1" s="198" t="s">
        <v>294</v>
      </c>
      <c r="BV1" s="198" t="s">
        <v>297</v>
      </c>
      <c r="BW1" s="198" t="s">
        <v>300</v>
      </c>
      <c r="BX1" s="198" t="s">
        <v>303</v>
      </c>
      <c r="BY1" s="198" t="s">
        <v>306</v>
      </c>
      <c r="BZ1" s="198" t="s">
        <v>309</v>
      </c>
      <c r="CA1" s="238" t="s">
        <v>312</v>
      </c>
      <c r="CB1" s="198" t="s">
        <v>318</v>
      </c>
      <c r="CC1" s="198" t="s">
        <v>315</v>
      </c>
      <c r="CD1" s="198" t="s">
        <v>321</v>
      </c>
      <c r="CE1" s="198" t="s">
        <v>324</v>
      </c>
      <c r="CF1" s="198" t="s">
        <v>327</v>
      </c>
      <c r="CG1" s="198" t="s">
        <v>330</v>
      </c>
      <c r="CH1" s="198" t="s">
        <v>333</v>
      </c>
      <c r="CI1" s="198" t="s">
        <v>339</v>
      </c>
      <c r="CJ1" s="198" t="s">
        <v>345</v>
      </c>
      <c r="CK1" s="198" t="s">
        <v>348</v>
      </c>
      <c r="CL1" s="198" t="s">
        <v>351</v>
      </c>
      <c r="CM1" s="198" t="s">
        <v>354</v>
      </c>
      <c r="CN1" s="198" t="s">
        <v>357</v>
      </c>
      <c r="CO1" s="198" t="s">
        <v>360</v>
      </c>
      <c r="CP1" s="198" t="s">
        <v>363</v>
      </c>
      <c r="CQ1" s="198" t="s">
        <v>366</v>
      </c>
      <c r="CR1" s="198" t="s">
        <v>369</v>
      </c>
      <c r="CS1" s="198" t="s">
        <v>372</v>
      </c>
      <c r="CT1" s="198" t="s">
        <v>375</v>
      </c>
      <c r="CU1" s="198" t="s">
        <v>378</v>
      </c>
      <c r="CV1" s="198" t="s">
        <v>384</v>
      </c>
      <c r="CW1" s="198" t="s">
        <v>387</v>
      </c>
      <c r="CX1" s="198" t="s">
        <v>390</v>
      </c>
      <c r="CY1" s="198" t="s">
        <v>393</v>
      </c>
      <c r="CZ1" s="198" t="s">
        <v>210</v>
      </c>
      <c r="DA1" s="198" t="s">
        <v>252</v>
      </c>
      <c r="DB1" s="198" t="s">
        <v>342</v>
      </c>
      <c r="DC1" s="198" t="s">
        <v>381</v>
      </c>
      <c r="DD1" s="198" t="s">
        <v>72</v>
      </c>
      <c r="DE1" s="198" t="s">
        <v>76</v>
      </c>
      <c r="DF1" s="198" t="s">
        <v>80</v>
      </c>
      <c r="DG1" s="198" t="s">
        <v>84</v>
      </c>
      <c r="DH1" s="198" t="s">
        <v>88</v>
      </c>
      <c r="DI1" s="198" t="s">
        <v>92</v>
      </c>
      <c r="DJ1" s="198" t="s">
        <v>95</v>
      </c>
      <c r="DK1" s="198" t="s">
        <v>99</v>
      </c>
      <c r="DL1" s="198" t="s">
        <v>103</v>
      </c>
      <c r="DM1" s="198" t="s">
        <v>107</v>
      </c>
      <c r="DN1" s="198" t="s">
        <v>111</v>
      </c>
      <c r="DO1" s="198" t="s">
        <v>114</v>
      </c>
      <c r="DP1" s="198" t="s">
        <v>117</v>
      </c>
      <c r="DQ1" s="198" t="s">
        <v>120</v>
      </c>
      <c r="DR1" s="198" t="s">
        <v>123</v>
      </c>
      <c r="DS1" s="198" t="s">
        <v>126</v>
      </c>
      <c r="DT1" s="198" t="s">
        <v>129</v>
      </c>
      <c r="DU1" s="198" t="s">
        <v>132</v>
      </c>
      <c r="DV1" s="198" t="s">
        <v>135</v>
      </c>
      <c r="DW1" s="198" t="s">
        <v>138</v>
      </c>
      <c r="DX1" s="198" t="s">
        <v>141</v>
      </c>
      <c r="DY1" s="198" t="s">
        <v>144</v>
      </c>
      <c r="DZ1" s="198" t="s">
        <v>147</v>
      </c>
      <c r="EA1" s="198" t="s">
        <v>150</v>
      </c>
      <c r="EB1" s="198" t="s">
        <v>153</v>
      </c>
      <c r="EC1" s="198" t="s">
        <v>156</v>
      </c>
      <c r="ED1" s="198" t="s">
        <v>159</v>
      </c>
      <c r="EE1" s="198" t="s">
        <v>162</v>
      </c>
      <c r="EF1" s="198" t="s">
        <v>165</v>
      </c>
      <c r="EG1" s="198" t="s">
        <v>168</v>
      </c>
      <c r="EH1" s="198" t="s">
        <v>171</v>
      </c>
      <c r="EI1" s="198" t="s">
        <v>1164</v>
      </c>
      <c r="EJ1" s="198" t="s">
        <v>177</v>
      </c>
      <c r="EK1" s="198" t="s">
        <v>180</v>
      </c>
      <c r="EL1" s="198" t="s">
        <v>183</v>
      </c>
      <c r="EM1" s="198" t="s">
        <v>186</v>
      </c>
      <c r="EN1" s="198" t="s">
        <v>189</v>
      </c>
      <c r="EO1" s="198" t="s">
        <v>192</v>
      </c>
      <c r="EP1" s="198" t="s">
        <v>195</v>
      </c>
      <c r="EQ1" s="198" t="s">
        <v>198</v>
      </c>
      <c r="ER1" s="198" t="s">
        <v>201</v>
      </c>
      <c r="ES1" s="198" t="s">
        <v>204</v>
      </c>
      <c r="ET1" s="198" t="s">
        <v>207</v>
      </c>
      <c r="EU1" s="198" t="s">
        <v>213</v>
      </c>
      <c r="EV1" s="198" t="s">
        <v>216</v>
      </c>
      <c r="EW1" s="198" t="s">
        <v>219</v>
      </c>
      <c r="EX1" s="198" t="s">
        <v>222</v>
      </c>
      <c r="EY1" s="198" t="s">
        <v>225</v>
      </c>
      <c r="EZ1" s="198" t="s">
        <v>228</v>
      </c>
      <c r="FA1" s="198" t="s">
        <v>231</v>
      </c>
      <c r="FB1" s="198" t="s">
        <v>234</v>
      </c>
      <c r="FC1" s="198" t="s">
        <v>237</v>
      </c>
      <c r="FD1" s="198" t="s">
        <v>240</v>
      </c>
      <c r="FE1" s="198" t="s">
        <v>243</v>
      </c>
      <c r="FF1" s="198" t="s">
        <v>246</v>
      </c>
      <c r="FG1" s="198" t="s">
        <v>249</v>
      </c>
      <c r="FH1" s="198" t="s">
        <v>255</v>
      </c>
      <c r="FI1" s="198" t="s">
        <v>258</v>
      </c>
      <c r="FJ1" s="198" t="s">
        <v>260</v>
      </c>
      <c r="FK1" s="198" t="s">
        <v>263</v>
      </c>
      <c r="FL1" s="198" t="s">
        <v>265</v>
      </c>
      <c r="FM1" s="198" t="s">
        <v>268</v>
      </c>
      <c r="FN1" s="198" t="s">
        <v>271</v>
      </c>
      <c r="FO1" s="198" t="s">
        <v>274</v>
      </c>
      <c r="FP1" s="198" t="s">
        <v>277</v>
      </c>
      <c r="FQ1" s="198" t="s">
        <v>280</v>
      </c>
      <c r="FR1" s="198" t="s">
        <v>283</v>
      </c>
      <c r="FS1" s="198" t="s">
        <v>286</v>
      </c>
      <c r="FT1" s="198" t="s">
        <v>1440</v>
      </c>
      <c r="FU1" s="198" t="s">
        <v>1441</v>
      </c>
      <c r="FV1" s="198" t="s">
        <v>294</v>
      </c>
      <c r="FW1" s="198" t="s">
        <v>297</v>
      </c>
      <c r="FX1" s="198" t="s">
        <v>300</v>
      </c>
      <c r="FY1" s="198" t="s">
        <v>303</v>
      </c>
      <c r="FZ1" s="198" t="s">
        <v>306</v>
      </c>
      <c r="GA1" s="198" t="s">
        <v>309</v>
      </c>
      <c r="GB1" s="238" t="s">
        <v>312</v>
      </c>
      <c r="GC1" s="198" t="s">
        <v>318</v>
      </c>
      <c r="GD1" s="198" t="s">
        <v>315</v>
      </c>
      <c r="GE1" s="198" t="s">
        <v>321</v>
      </c>
      <c r="GF1" s="198" t="s">
        <v>324</v>
      </c>
      <c r="GG1" s="198" t="s">
        <v>327</v>
      </c>
      <c r="GH1" s="198" t="s">
        <v>330</v>
      </c>
      <c r="GI1" s="198" t="s">
        <v>333</v>
      </c>
      <c r="GJ1" s="198" t="s">
        <v>339</v>
      </c>
      <c r="GK1" s="198" t="s">
        <v>345</v>
      </c>
      <c r="GL1" s="198" t="s">
        <v>348</v>
      </c>
      <c r="GM1" s="198" t="s">
        <v>351</v>
      </c>
      <c r="GN1" s="198" t="s">
        <v>354</v>
      </c>
      <c r="GO1" s="198" t="s">
        <v>357</v>
      </c>
      <c r="GP1" s="198" t="s">
        <v>360</v>
      </c>
      <c r="GQ1" s="198" t="s">
        <v>363</v>
      </c>
      <c r="GR1" s="198" t="s">
        <v>366</v>
      </c>
      <c r="GS1" s="198" t="s">
        <v>369</v>
      </c>
      <c r="GT1" s="198" t="s">
        <v>372</v>
      </c>
      <c r="GU1" s="198" t="s">
        <v>375</v>
      </c>
      <c r="GV1" s="198" t="s">
        <v>378</v>
      </c>
      <c r="GW1" s="198" t="s">
        <v>384</v>
      </c>
      <c r="GX1" s="198" t="s">
        <v>387</v>
      </c>
      <c r="GY1" s="198" t="s">
        <v>390</v>
      </c>
      <c r="GZ1" s="198" t="s">
        <v>393</v>
      </c>
      <c r="HA1" s="198" t="s">
        <v>210</v>
      </c>
      <c r="HB1" s="198" t="s">
        <v>252</v>
      </c>
      <c r="HC1" s="198" t="s">
        <v>342</v>
      </c>
      <c r="HD1" s="198" t="s">
        <v>381</v>
      </c>
    </row>
    <row r="2">
      <c r="A2" s="234">
        <v>2.0</v>
      </c>
      <c r="B2" s="236" t="s">
        <v>1447</v>
      </c>
      <c r="C2" s="198" t="str">
        <f t="shared" ref="C2:DC2" si="1">if(countif(DD:DD,$B2),INDIRECT(concat("B",$A2)),"")</f>
        <v>1.1.1.195</v>
      </c>
      <c r="D2" s="198" t="str">
        <f t="shared" si="1"/>
        <v>1.1.1.195</v>
      </c>
      <c r="E2" s="198" t="str">
        <f t="shared" si="1"/>
        <v>1.1.1.195</v>
      </c>
      <c r="F2" s="198" t="str">
        <f t="shared" si="1"/>
        <v>1.1.1.195</v>
      </c>
      <c r="G2" s="198" t="str">
        <f t="shared" si="1"/>
        <v>1.1.1.195</v>
      </c>
      <c r="H2" s="198" t="str">
        <f t="shared" si="1"/>
        <v>1.1.1.195</v>
      </c>
      <c r="I2" s="198" t="str">
        <f t="shared" si="1"/>
        <v>1.1.1.195</v>
      </c>
      <c r="J2" s="198" t="str">
        <f t="shared" si="1"/>
        <v/>
      </c>
      <c r="K2" s="198" t="str">
        <f t="shared" si="1"/>
        <v/>
      </c>
      <c r="L2" s="198" t="str">
        <f t="shared" si="1"/>
        <v>1.1.1.195</v>
      </c>
      <c r="M2" s="198" t="str">
        <f t="shared" si="1"/>
        <v>1.1.1.195</v>
      </c>
      <c r="N2" s="198" t="str">
        <f t="shared" si="1"/>
        <v>1.1.1.195</v>
      </c>
      <c r="O2" s="198" t="str">
        <f t="shared" si="1"/>
        <v>1.1.1.195</v>
      </c>
      <c r="P2" s="198" t="str">
        <f t="shared" si="1"/>
        <v>1.1.1.195</v>
      </c>
      <c r="Q2" s="198" t="str">
        <f t="shared" si="1"/>
        <v>1.1.1.195</v>
      </c>
      <c r="R2" s="198" t="str">
        <f t="shared" si="1"/>
        <v>1.1.1.195</v>
      </c>
      <c r="S2" s="198" t="str">
        <f t="shared" si="1"/>
        <v>1.1.1.195</v>
      </c>
      <c r="T2" s="198" t="str">
        <f t="shared" si="1"/>
        <v>1.1.1.195</v>
      </c>
      <c r="U2" s="198" t="str">
        <f t="shared" si="1"/>
        <v>1.1.1.195</v>
      </c>
      <c r="V2" s="198" t="str">
        <f t="shared" si="1"/>
        <v>1.1.1.195</v>
      </c>
      <c r="W2" s="198" t="str">
        <f t="shared" si="1"/>
        <v/>
      </c>
      <c r="X2" s="198" t="str">
        <f t="shared" si="1"/>
        <v/>
      </c>
      <c r="Y2" s="198" t="str">
        <f t="shared" si="1"/>
        <v/>
      </c>
      <c r="Z2" s="198" t="str">
        <f t="shared" si="1"/>
        <v>1.1.1.195</v>
      </c>
      <c r="AA2" s="198" t="str">
        <f t="shared" si="1"/>
        <v>1.1.1.195</v>
      </c>
      <c r="AB2" s="198" t="str">
        <f t="shared" si="1"/>
        <v>1.1.1.195</v>
      </c>
      <c r="AC2" s="198" t="str">
        <f t="shared" si="1"/>
        <v/>
      </c>
      <c r="AD2" s="198" t="str">
        <f t="shared" si="1"/>
        <v>1.1.1.195</v>
      </c>
      <c r="AE2" s="198" t="str">
        <f t="shared" si="1"/>
        <v>1.1.1.195</v>
      </c>
      <c r="AF2" s="198" t="str">
        <f t="shared" si="1"/>
        <v>1.1.1.195</v>
      </c>
      <c r="AG2" s="198" t="str">
        <f t="shared" si="1"/>
        <v>1.1.1.195</v>
      </c>
      <c r="AH2" s="198" t="str">
        <f t="shared" si="1"/>
        <v>1.1.1.195</v>
      </c>
      <c r="AI2" s="198" t="str">
        <f t="shared" si="1"/>
        <v/>
      </c>
      <c r="AJ2" s="198" t="str">
        <f t="shared" si="1"/>
        <v>1.1.1.195</v>
      </c>
      <c r="AK2" s="198" t="str">
        <f t="shared" si="1"/>
        <v>1.1.1.195</v>
      </c>
      <c r="AL2" s="198" t="str">
        <f t="shared" si="1"/>
        <v>1.1.1.195</v>
      </c>
      <c r="AM2" s="198" t="str">
        <f t="shared" si="1"/>
        <v>1.1.1.195</v>
      </c>
      <c r="AN2" s="198" t="str">
        <f t="shared" si="1"/>
        <v>1.1.1.195</v>
      </c>
      <c r="AO2" s="198" t="str">
        <f t="shared" si="1"/>
        <v>1.1.1.195</v>
      </c>
      <c r="AP2" s="198" t="str">
        <f t="shared" si="1"/>
        <v>1.1.1.195</v>
      </c>
      <c r="AQ2" s="198" t="str">
        <f t="shared" si="1"/>
        <v>1.1.1.195</v>
      </c>
      <c r="AR2" s="198" t="str">
        <f t="shared" si="1"/>
        <v/>
      </c>
      <c r="AS2" s="198" t="str">
        <f t="shared" si="1"/>
        <v>1.1.1.195</v>
      </c>
      <c r="AT2" s="198" t="str">
        <f t="shared" si="1"/>
        <v>1.1.1.195</v>
      </c>
      <c r="AU2" s="198" t="str">
        <f t="shared" si="1"/>
        <v>1.1.1.195</v>
      </c>
      <c r="AV2" s="198" t="str">
        <f t="shared" si="1"/>
        <v>1.1.1.195</v>
      </c>
      <c r="AW2" s="198" t="str">
        <f t="shared" si="1"/>
        <v>1.1.1.195</v>
      </c>
      <c r="AX2" s="198" t="str">
        <f t="shared" si="1"/>
        <v>1.1.1.195</v>
      </c>
      <c r="AY2" s="198" t="str">
        <f t="shared" si="1"/>
        <v>1.1.1.195</v>
      </c>
      <c r="AZ2" s="198" t="str">
        <f t="shared" si="1"/>
        <v>1.1.1.195</v>
      </c>
      <c r="BA2" s="198" t="str">
        <f t="shared" si="1"/>
        <v>1.1.1.195</v>
      </c>
      <c r="BB2" s="198" t="str">
        <f t="shared" si="1"/>
        <v>1.1.1.195</v>
      </c>
      <c r="BC2" s="198" t="str">
        <f t="shared" si="1"/>
        <v>1.1.1.195</v>
      </c>
      <c r="BD2" s="198" t="str">
        <f t="shared" si="1"/>
        <v>1.1.1.195</v>
      </c>
      <c r="BE2" s="198" t="str">
        <f t="shared" si="1"/>
        <v>1.1.1.195</v>
      </c>
      <c r="BF2" s="198" t="str">
        <f t="shared" si="1"/>
        <v>1.1.1.195</v>
      </c>
      <c r="BG2" s="198" t="str">
        <f t="shared" si="1"/>
        <v/>
      </c>
      <c r="BH2" s="198" t="str">
        <f t="shared" si="1"/>
        <v/>
      </c>
      <c r="BI2" s="198" t="str">
        <f t="shared" si="1"/>
        <v>1.1.1.195</v>
      </c>
      <c r="BJ2" s="198" t="str">
        <f t="shared" si="1"/>
        <v/>
      </c>
      <c r="BK2" s="198" t="str">
        <f t="shared" si="1"/>
        <v>1.1.1.195</v>
      </c>
      <c r="BL2" s="198" t="str">
        <f t="shared" si="1"/>
        <v>1.1.1.195</v>
      </c>
      <c r="BM2" s="198" t="str">
        <f t="shared" si="1"/>
        <v>1.1.1.195</v>
      </c>
      <c r="BN2" s="198" t="str">
        <f t="shared" si="1"/>
        <v>1.1.1.195</v>
      </c>
      <c r="BO2" s="198" t="str">
        <f t="shared" si="1"/>
        <v>1.1.1.195</v>
      </c>
      <c r="BP2" s="198" t="str">
        <f t="shared" si="1"/>
        <v>1.1.1.195</v>
      </c>
      <c r="BQ2" s="198" t="str">
        <f t="shared" si="1"/>
        <v>1.1.1.195</v>
      </c>
      <c r="BR2" s="198" t="str">
        <f t="shared" si="1"/>
        <v>1.1.1.195</v>
      </c>
      <c r="BS2" s="198" t="str">
        <f t="shared" si="1"/>
        <v>1.1.1.195</v>
      </c>
      <c r="BT2" s="198" t="str">
        <f t="shared" si="1"/>
        <v>1.1.1.195</v>
      </c>
      <c r="BU2" s="198" t="str">
        <f t="shared" si="1"/>
        <v/>
      </c>
      <c r="BV2" s="198" t="str">
        <f t="shared" si="1"/>
        <v/>
      </c>
      <c r="BW2" s="198" t="str">
        <f t="shared" si="1"/>
        <v>1.1.1.195</v>
      </c>
      <c r="BX2" s="198" t="str">
        <f t="shared" si="1"/>
        <v>1.1.1.195</v>
      </c>
      <c r="BY2" s="198" t="str">
        <f t="shared" si="1"/>
        <v>1.1.1.195</v>
      </c>
      <c r="BZ2" s="198" t="str">
        <f t="shared" si="1"/>
        <v>1.1.1.195</v>
      </c>
      <c r="CA2" s="198" t="str">
        <f t="shared" si="1"/>
        <v>1.1.1.195</v>
      </c>
      <c r="CB2" s="198" t="str">
        <f t="shared" si="1"/>
        <v>1.1.1.195</v>
      </c>
      <c r="CC2" s="198" t="str">
        <f t="shared" si="1"/>
        <v>1.1.1.195</v>
      </c>
      <c r="CD2" s="198" t="str">
        <f t="shared" si="1"/>
        <v>1.1.1.195</v>
      </c>
      <c r="CE2" s="198" t="str">
        <f t="shared" si="1"/>
        <v>1.1.1.195</v>
      </c>
      <c r="CF2" s="198" t="str">
        <f t="shared" si="1"/>
        <v>1.1.1.195</v>
      </c>
      <c r="CG2" s="198" t="str">
        <f t="shared" si="1"/>
        <v>1.1.1.195</v>
      </c>
      <c r="CH2" s="198" t="str">
        <f t="shared" si="1"/>
        <v>1.1.1.195</v>
      </c>
      <c r="CI2" s="198" t="str">
        <f t="shared" si="1"/>
        <v>1.1.1.195</v>
      </c>
      <c r="CJ2" s="198" t="str">
        <f t="shared" si="1"/>
        <v>1.1.1.195</v>
      </c>
      <c r="CK2" s="198" t="str">
        <f t="shared" si="1"/>
        <v>1.1.1.195</v>
      </c>
      <c r="CL2" s="198" t="str">
        <f t="shared" si="1"/>
        <v>1.1.1.195</v>
      </c>
      <c r="CM2" s="198" t="str">
        <f t="shared" si="1"/>
        <v>1.1.1.195</v>
      </c>
      <c r="CN2" s="198" t="str">
        <f t="shared" si="1"/>
        <v>1.1.1.195</v>
      </c>
      <c r="CO2" s="198" t="str">
        <f t="shared" si="1"/>
        <v>1.1.1.195</v>
      </c>
      <c r="CP2" s="198" t="str">
        <f t="shared" si="1"/>
        <v>1.1.1.195</v>
      </c>
      <c r="CQ2" s="198" t="str">
        <f t="shared" si="1"/>
        <v>1.1.1.195</v>
      </c>
      <c r="CR2" s="198" t="str">
        <f t="shared" si="1"/>
        <v>1.1.1.195</v>
      </c>
      <c r="CS2" s="198" t="str">
        <f t="shared" si="1"/>
        <v>1.1.1.195</v>
      </c>
      <c r="CT2" s="198" t="str">
        <f t="shared" si="1"/>
        <v>1.1.1.195</v>
      </c>
      <c r="CU2" s="198" t="str">
        <f t="shared" si="1"/>
        <v>1.1.1.195</v>
      </c>
      <c r="CV2" s="198" t="str">
        <f t="shared" si="1"/>
        <v>1.1.1.195</v>
      </c>
      <c r="CW2" s="198" t="str">
        <f t="shared" si="1"/>
        <v/>
      </c>
      <c r="CX2" s="198" t="str">
        <f t="shared" si="1"/>
        <v>1.1.1.195</v>
      </c>
      <c r="CY2" s="198" t="str">
        <f t="shared" si="1"/>
        <v>1.1.1.195</v>
      </c>
      <c r="CZ2" s="198" t="str">
        <f t="shared" si="1"/>
        <v>1.1.1.195</v>
      </c>
      <c r="DA2" s="198" t="str">
        <f t="shared" si="1"/>
        <v>1.1.1.195</v>
      </c>
      <c r="DB2" s="198" t="str">
        <f t="shared" si="1"/>
        <v>1.1.1.195</v>
      </c>
      <c r="DC2" s="198" t="str">
        <f t="shared" si="1"/>
        <v>1.1.1.195</v>
      </c>
      <c r="DD2" s="198" t="s">
        <v>1447</v>
      </c>
      <c r="DE2" s="198" t="s">
        <v>1447</v>
      </c>
      <c r="DF2" s="198" t="s">
        <v>1447</v>
      </c>
      <c r="DG2" s="198" t="s">
        <v>1447</v>
      </c>
      <c r="DH2" s="198" t="s">
        <v>1447</v>
      </c>
      <c r="DI2" s="198" t="s">
        <v>1447</v>
      </c>
      <c r="DJ2" s="198" t="s">
        <v>1447</v>
      </c>
      <c r="DK2" s="198"/>
      <c r="DL2" s="198" t="s">
        <v>1454</v>
      </c>
      <c r="DM2" s="198" t="s">
        <v>1447</v>
      </c>
      <c r="DN2" s="198" t="s">
        <v>1447</v>
      </c>
      <c r="DO2" s="198" t="s">
        <v>1447</v>
      </c>
      <c r="DP2" s="198" t="s">
        <v>1447</v>
      </c>
      <c r="DQ2" s="198" t="s">
        <v>1447</v>
      </c>
      <c r="DR2" s="198" t="s">
        <v>1447</v>
      </c>
      <c r="DS2" s="198" t="s">
        <v>1447</v>
      </c>
      <c r="DT2" s="198" t="s">
        <v>1447</v>
      </c>
      <c r="DU2" s="198" t="s">
        <v>1447</v>
      </c>
      <c r="DV2" s="198" t="s">
        <v>1479</v>
      </c>
      <c r="DW2" s="198" t="s">
        <v>1479</v>
      </c>
      <c r="DX2" s="198"/>
      <c r="DY2" s="198" t="s">
        <v>1455</v>
      </c>
      <c r="DZ2" s="198" t="s">
        <v>1455</v>
      </c>
      <c r="EA2" s="198" t="s">
        <v>1447</v>
      </c>
      <c r="EB2" s="198" t="s">
        <v>1447</v>
      </c>
      <c r="EC2" s="198" t="s">
        <v>1447</v>
      </c>
      <c r="ED2" s="198" t="s">
        <v>1454</v>
      </c>
      <c r="EE2" s="198" t="s">
        <v>1447</v>
      </c>
      <c r="EF2" s="198" t="s">
        <v>1447</v>
      </c>
      <c r="EG2" s="198" t="s">
        <v>1447</v>
      </c>
      <c r="EH2" s="198" t="s">
        <v>1447</v>
      </c>
      <c r="EI2" s="198" t="s">
        <v>1447</v>
      </c>
      <c r="EJ2" s="198" t="s">
        <v>1454</v>
      </c>
      <c r="EK2" s="198" t="s">
        <v>1479</v>
      </c>
      <c r="EL2" s="198" t="s">
        <v>1447</v>
      </c>
      <c r="EM2" s="198" t="s">
        <v>1479</v>
      </c>
      <c r="EN2" s="198" t="s">
        <v>1479</v>
      </c>
      <c r="EO2" s="198" t="s">
        <v>1479</v>
      </c>
      <c r="EP2" s="198" t="s">
        <v>1479</v>
      </c>
      <c r="EQ2" s="198" t="s">
        <v>1479</v>
      </c>
      <c r="ER2" s="198" t="s">
        <v>1479</v>
      </c>
      <c r="ES2" s="198"/>
      <c r="ET2" s="198" t="s">
        <v>1479</v>
      </c>
      <c r="EU2" s="198" t="s">
        <v>1479</v>
      </c>
      <c r="EV2" s="198" t="s">
        <v>1479</v>
      </c>
      <c r="EW2" s="198" t="s">
        <v>1479</v>
      </c>
      <c r="EX2" s="198" t="s">
        <v>1479</v>
      </c>
      <c r="EY2" s="198" t="s">
        <v>1479</v>
      </c>
      <c r="EZ2" s="198" t="s">
        <v>1479</v>
      </c>
      <c r="FA2" s="198" t="s">
        <v>1479</v>
      </c>
      <c r="FB2" s="198" t="s">
        <v>1479</v>
      </c>
      <c r="FC2" s="198" t="s">
        <v>1479</v>
      </c>
      <c r="FD2" s="198" t="s">
        <v>1479</v>
      </c>
      <c r="FE2" s="198" t="s">
        <v>1479</v>
      </c>
      <c r="FF2" s="198" t="s">
        <v>1479</v>
      </c>
      <c r="FG2" s="198" t="s">
        <v>1479</v>
      </c>
      <c r="FH2" s="198"/>
      <c r="FI2" s="198"/>
      <c r="FJ2" s="198" t="s">
        <v>1479</v>
      </c>
      <c r="FK2" s="198" t="s">
        <v>1455</v>
      </c>
      <c r="FL2" s="198" t="s">
        <v>1479</v>
      </c>
      <c r="FM2" s="198" t="s">
        <v>1479</v>
      </c>
      <c r="FN2" s="198" t="s">
        <v>1479</v>
      </c>
      <c r="FO2" s="198" t="s">
        <v>1479</v>
      </c>
      <c r="FP2" s="198" t="s">
        <v>1479</v>
      </c>
      <c r="FQ2" s="198" t="s">
        <v>1479</v>
      </c>
      <c r="FR2" s="198" t="s">
        <v>1479</v>
      </c>
      <c r="FS2" s="198" t="s">
        <v>1479</v>
      </c>
      <c r="FT2" s="198" t="s">
        <v>1479</v>
      </c>
      <c r="FU2" s="198" t="s">
        <v>1479</v>
      </c>
      <c r="FV2" s="198"/>
      <c r="FW2" s="198"/>
      <c r="FX2" s="198" t="s">
        <v>1479</v>
      </c>
      <c r="FY2" s="198" t="s">
        <v>1479</v>
      </c>
      <c r="FZ2" s="198" t="s">
        <v>1479</v>
      </c>
      <c r="GA2" s="198" t="s">
        <v>1479</v>
      </c>
      <c r="GB2" s="198" t="s">
        <v>1479</v>
      </c>
      <c r="GC2" s="198" t="s">
        <v>1479</v>
      </c>
      <c r="GD2" s="198" t="s">
        <v>1479</v>
      </c>
      <c r="GE2" s="198" t="s">
        <v>1479</v>
      </c>
      <c r="GF2" s="198" t="s">
        <v>1479</v>
      </c>
      <c r="GG2" s="198" t="s">
        <v>1479</v>
      </c>
      <c r="GH2" s="198" t="s">
        <v>1479</v>
      </c>
      <c r="GI2" s="198" t="s">
        <v>1479</v>
      </c>
      <c r="GJ2" s="198" t="s">
        <v>1479</v>
      </c>
      <c r="GK2" s="198" t="s">
        <v>1479</v>
      </c>
      <c r="GL2" s="198" t="s">
        <v>1479</v>
      </c>
      <c r="GM2" s="198" t="s">
        <v>1479</v>
      </c>
      <c r="GN2" s="198" t="s">
        <v>1479</v>
      </c>
      <c r="GO2" s="198" t="s">
        <v>1479</v>
      </c>
      <c r="GP2" s="198" t="s">
        <v>1479</v>
      </c>
      <c r="GQ2" s="198" t="s">
        <v>1447</v>
      </c>
      <c r="GR2" s="198" t="s">
        <v>1447</v>
      </c>
      <c r="GS2" s="198" t="s">
        <v>1447</v>
      </c>
      <c r="GT2" s="198" t="s">
        <v>1447</v>
      </c>
      <c r="GU2" s="198" t="s">
        <v>1447</v>
      </c>
      <c r="GV2" s="198" t="s">
        <v>1447</v>
      </c>
      <c r="GW2" s="198" t="s">
        <v>1447</v>
      </c>
      <c r="GX2" s="198"/>
      <c r="GY2" s="198" t="s">
        <v>1479</v>
      </c>
      <c r="GZ2" s="198" t="s">
        <v>1479</v>
      </c>
      <c r="HA2" s="198" t="s">
        <v>1479</v>
      </c>
      <c r="HB2" s="198" t="s">
        <v>1479</v>
      </c>
      <c r="HC2" s="198" t="s">
        <v>1479</v>
      </c>
      <c r="HD2" s="198" t="s">
        <v>1479</v>
      </c>
    </row>
    <row r="3">
      <c r="A3" s="234">
        <v>3.0</v>
      </c>
      <c r="B3" s="198" t="s">
        <v>1451</v>
      </c>
      <c r="C3" s="198" t="str">
        <f t="shared" ref="C3:DC3" si="2">if(countif(DD:DD,$B3),INDIRECT(concat("B",$A3)),"")</f>
        <v>1.1.1.219</v>
      </c>
      <c r="D3" s="198" t="str">
        <f t="shared" si="2"/>
        <v>1.1.1.219</v>
      </c>
      <c r="E3" s="198" t="str">
        <f t="shared" si="2"/>
        <v>1.1.1.219</v>
      </c>
      <c r="F3" s="198" t="str">
        <f t="shared" si="2"/>
        <v>1.1.1.219</v>
      </c>
      <c r="G3" s="198" t="str">
        <f t="shared" si="2"/>
        <v>1.1.1.219</v>
      </c>
      <c r="H3" s="198" t="str">
        <f t="shared" si="2"/>
        <v/>
      </c>
      <c r="I3" s="198" t="str">
        <f t="shared" si="2"/>
        <v>1.1.1.219</v>
      </c>
      <c r="J3" s="198" t="str">
        <f t="shared" si="2"/>
        <v/>
      </c>
      <c r="K3" s="198" t="str">
        <f t="shared" si="2"/>
        <v/>
      </c>
      <c r="L3" s="198" t="str">
        <f t="shared" si="2"/>
        <v>1.1.1.219</v>
      </c>
      <c r="M3" s="198" t="str">
        <f t="shared" si="2"/>
        <v>1.1.1.219</v>
      </c>
      <c r="N3" s="198" t="str">
        <f t="shared" si="2"/>
        <v>1.1.1.219</v>
      </c>
      <c r="O3" s="198" t="str">
        <f t="shared" si="2"/>
        <v>1.1.1.219</v>
      </c>
      <c r="P3" s="198" t="str">
        <f t="shared" si="2"/>
        <v>1.1.1.219</v>
      </c>
      <c r="Q3" s="198" t="str">
        <f t="shared" si="2"/>
        <v>1.1.1.219</v>
      </c>
      <c r="R3" s="198" t="str">
        <f t="shared" si="2"/>
        <v>1.1.1.219</v>
      </c>
      <c r="S3" s="198" t="str">
        <f t="shared" si="2"/>
        <v>1.1.1.219</v>
      </c>
      <c r="T3" s="198" t="str">
        <f t="shared" si="2"/>
        <v>1.1.1.219</v>
      </c>
      <c r="U3" s="198" t="str">
        <f t="shared" si="2"/>
        <v>1.1.1.219</v>
      </c>
      <c r="V3" s="198" t="str">
        <f t="shared" si="2"/>
        <v>1.1.1.219</v>
      </c>
      <c r="W3" s="198" t="str">
        <f t="shared" si="2"/>
        <v/>
      </c>
      <c r="X3" s="198" t="str">
        <f t="shared" si="2"/>
        <v/>
      </c>
      <c r="Y3" s="198" t="str">
        <f t="shared" si="2"/>
        <v/>
      </c>
      <c r="Z3" s="198" t="str">
        <f t="shared" si="2"/>
        <v>1.1.1.219</v>
      </c>
      <c r="AA3" s="198" t="str">
        <f t="shared" si="2"/>
        <v>1.1.1.219</v>
      </c>
      <c r="AB3" s="198" t="str">
        <f t="shared" si="2"/>
        <v>1.1.1.219</v>
      </c>
      <c r="AC3" s="198" t="str">
        <f t="shared" si="2"/>
        <v/>
      </c>
      <c r="AD3" s="198" t="str">
        <f t="shared" si="2"/>
        <v/>
      </c>
      <c r="AE3" s="198" t="str">
        <f t="shared" si="2"/>
        <v/>
      </c>
      <c r="AF3" s="198" t="str">
        <f t="shared" si="2"/>
        <v/>
      </c>
      <c r="AG3" s="198" t="str">
        <f t="shared" si="2"/>
        <v/>
      </c>
      <c r="AH3" s="198" t="str">
        <f t="shared" si="2"/>
        <v/>
      </c>
      <c r="AI3" s="198" t="str">
        <f t="shared" si="2"/>
        <v/>
      </c>
      <c r="AJ3" s="198" t="str">
        <f t="shared" si="2"/>
        <v>1.1.1.219</v>
      </c>
      <c r="AK3" s="198" t="str">
        <f t="shared" si="2"/>
        <v>1.1.1.219</v>
      </c>
      <c r="AL3" s="198" t="str">
        <f t="shared" si="2"/>
        <v>1.1.1.219</v>
      </c>
      <c r="AM3" s="198" t="str">
        <f t="shared" si="2"/>
        <v>1.1.1.219</v>
      </c>
      <c r="AN3" s="198" t="str">
        <f t="shared" si="2"/>
        <v>1.1.1.219</v>
      </c>
      <c r="AO3" s="198" t="str">
        <f t="shared" si="2"/>
        <v>1.1.1.219</v>
      </c>
      <c r="AP3" s="198" t="str">
        <f t="shared" si="2"/>
        <v>1.1.1.219</v>
      </c>
      <c r="AQ3" s="198" t="str">
        <f t="shared" si="2"/>
        <v/>
      </c>
      <c r="AR3" s="198" t="str">
        <f t="shared" si="2"/>
        <v/>
      </c>
      <c r="AS3" s="198" t="str">
        <f t="shared" si="2"/>
        <v>1.1.1.219</v>
      </c>
      <c r="AT3" s="198" t="str">
        <f t="shared" si="2"/>
        <v>1.1.1.219</v>
      </c>
      <c r="AU3" s="198" t="str">
        <f t="shared" si="2"/>
        <v>1.1.1.219</v>
      </c>
      <c r="AV3" s="198" t="str">
        <f t="shared" si="2"/>
        <v>1.1.1.219</v>
      </c>
      <c r="AW3" s="198" t="str">
        <f t="shared" si="2"/>
        <v>1.1.1.219</v>
      </c>
      <c r="AX3" s="198" t="str">
        <f t="shared" si="2"/>
        <v>1.1.1.219</v>
      </c>
      <c r="AY3" s="198" t="str">
        <f t="shared" si="2"/>
        <v>1.1.1.219</v>
      </c>
      <c r="AZ3" s="198" t="str">
        <f t="shared" si="2"/>
        <v>1.1.1.219</v>
      </c>
      <c r="BA3" s="198" t="str">
        <f t="shared" si="2"/>
        <v>1.1.1.219</v>
      </c>
      <c r="BB3" s="198" t="str">
        <f t="shared" si="2"/>
        <v>1.1.1.219</v>
      </c>
      <c r="BC3" s="198" t="str">
        <f t="shared" si="2"/>
        <v>1.1.1.219</v>
      </c>
      <c r="BD3" s="198" t="str">
        <f t="shared" si="2"/>
        <v>1.1.1.219</v>
      </c>
      <c r="BE3" s="198" t="str">
        <f t="shared" si="2"/>
        <v>1.1.1.219</v>
      </c>
      <c r="BF3" s="198" t="str">
        <f t="shared" si="2"/>
        <v>1.1.1.219</v>
      </c>
      <c r="BG3" s="198" t="str">
        <f t="shared" si="2"/>
        <v/>
      </c>
      <c r="BH3" s="198" t="str">
        <f t="shared" si="2"/>
        <v/>
      </c>
      <c r="BI3" s="198" t="str">
        <f t="shared" si="2"/>
        <v/>
      </c>
      <c r="BJ3" s="198" t="str">
        <f t="shared" si="2"/>
        <v/>
      </c>
      <c r="BK3" s="198" t="str">
        <f t="shared" si="2"/>
        <v>1.1.1.219</v>
      </c>
      <c r="BL3" s="198" t="str">
        <f t="shared" si="2"/>
        <v>1.1.1.219</v>
      </c>
      <c r="BM3" s="198" t="str">
        <f t="shared" si="2"/>
        <v>1.1.1.219</v>
      </c>
      <c r="BN3" s="198" t="str">
        <f t="shared" si="2"/>
        <v>1.1.1.219</v>
      </c>
      <c r="BO3" s="198" t="str">
        <f t="shared" si="2"/>
        <v>1.1.1.219</v>
      </c>
      <c r="BP3" s="198" t="str">
        <f t="shared" si="2"/>
        <v>1.1.1.219</v>
      </c>
      <c r="BQ3" s="198" t="str">
        <f t="shared" si="2"/>
        <v>1.1.1.219</v>
      </c>
      <c r="BR3" s="198" t="str">
        <f t="shared" si="2"/>
        <v>1.1.1.219</v>
      </c>
      <c r="BS3" s="198" t="str">
        <f t="shared" si="2"/>
        <v>1.1.1.219</v>
      </c>
      <c r="BT3" s="198" t="str">
        <f t="shared" si="2"/>
        <v/>
      </c>
      <c r="BU3" s="198" t="str">
        <f t="shared" si="2"/>
        <v/>
      </c>
      <c r="BV3" s="198" t="str">
        <f t="shared" si="2"/>
        <v/>
      </c>
      <c r="BW3" s="198" t="str">
        <f t="shared" si="2"/>
        <v>1.1.1.219</v>
      </c>
      <c r="BX3" s="198" t="str">
        <f t="shared" si="2"/>
        <v>1.1.1.219</v>
      </c>
      <c r="BY3" s="198" t="str">
        <f t="shared" si="2"/>
        <v>1.1.1.219</v>
      </c>
      <c r="BZ3" s="198" t="str">
        <f t="shared" si="2"/>
        <v>1.1.1.219</v>
      </c>
      <c r="CA3" s="198" t="str">
        <f t="shared" si="2"/>
        <v/>
      </c>
      <c r="CB3" s="198" t="str">
        <f t="shared" si="2"/>
        <v>1.1.1.219</v>
      </c>
      <c r="CC3" s="198" t="str">
        <f t="shared" si="2"/>
        <v>1.1.1.219</v>
      </c>
      <c r="CD3" s="198" t="str">
        <f t="shared" si="2"/>
        <v>1.1.1.219</v>
      </c>
      <c r="CE3" s="198" t="str">
        <f t="shared" si="2"/>
        <v>1.1.1.219</v>
      </c>
      <c r="CF3" s="198" t="str">
        <f t="shared" si="2"/>
        <v>1.1.1.219</v>
      </c>
      <c r="CG3" s="198" t="str">
        <f t="shared" si="2"/>
        <v>1.1.1.219</v>
      </c>
      <c r="CH3" s="198" t="str">
        <f t="shared" si="2"/>
        <v>1.1.1.219</v>
      </c>
      <c r="CI3" s="198" t="str">
        <f t="shared" si="2"/>
        <v>1.1.1.219</v>
      </c>
      <c r="CJ3" s="198" t="str">
        <f t="shared" si="2"/>
        <v/>
      </c>
      <c r="CK3" s="198" t="str">
        <f t="shared" si="2"/>
        <v>1.1.1.219</v>
      </c>
      <c r="CL3" s="198" t="str">
        <f t="shared" si="2"/>
        <v>1.1.1.219</v>
      </c>
      <c r="CM3" s="198" t="str">
        <f t="shared" si="2"/>
        <v>1.1.1.219</v>
      </c>
      <c r="CN3" s="198" t="str">
        <f t="shared" si="2"/>
        <v>1.1.1.219</v>
      </c>
      <c r="CO3" s="198" t="str">
        <f t="shared" si="2"/>
        <v>1.1.1.219</v>
      </c>
      <c r="CP3" s="198" t="str">
        <f t="shared" si="2"/>
        <v>1.1.1.219</v>
      </c>
      <c r="CQ3" s="198" t="str">
        <f t="shared" si="2"/>
        <v>1.1.1.219</v>
      </c>
      <c r="CR3" s="198" t="str">
        <f t="shared" si="2"/>
        <v>1.1.1.219</v>
      </c>
      <c r="CS3" s="198" t="str">
        <f t="shared" si="2"/>
        <v>1.1.1.219</v>
      </c>
      <c r="CT3" s="198" t="str">
        <f t="shared" si="2"/>
        <v>1.1.1.219</v>
      </c>
      <c r="CU3" s="198" t="str">
        <f t="shared" si="2"/>
        <v>1.1.1.219</v>
      </c>
      <c r="CV3" s="198" t="str">
        <f t="shared" si="2"/>
        <v>1.1.1.219</v>
      </c>
      <c r="CW3" s="198" t="str">
        <f t="shared" si="2"/>
        <v/>
      </c>
      <c r="CX3" s="198" t="str">
        <f t="shared" si="2"/>
        <v>1.1.1.219</v>
      </c>
      <c r="CY3" s="198" t="str">
        <f t="shared" si="2"/>
        <v>1.1.1.219</v>
      </c>
      <c r="CZ3" s="198" t="str">
        <f t="shared" si="2"/>
        <v>1.1.1.219</v>
      </c>
      <c r="DA3" s="198" t="str">
        <f t="shared" si="2"/>
        <v>1.1.1.219</v>
      </c>
      <c r="DB3" s="198" t="str">
        <f t="shared" si="2"/>
        <v>1.1.1.219</v>
      </c>
      <c r="DC3" s="198" t="str">
        <f t="shared" si="2"/>
        <v>1.1.1.219</v>
      </c>
      <c r="DD3" s="198" t="s">
        <v>1451</v>
      </c>
      <c r="DE3" s="198" t="s">
        <v>1451</v>
      </c>
      <c r="DF3" s="198" t="s">
        <v>1451</v>
      </c>
      <c r="DG3" s="198" t="s">
        <v>1451</v>
      </c>
      <c r="DH3" s="198" t="s">
        <v>1451</v>
      </c>
      <c r="DI3" s="198" t="s">
        <v>1490</v>
      </c>
      <c r="DJ3" s="198" t="s">
        <v>1451</v>
      </c>
      <c r="DK3" s="198"/>
      <c r="DL3" s="198" t="s">
        <v>1455</v>
      </c>
      <c r="DM3" s="198" t="s">
        <v>1451</v>
      </c>
      <c r="DN3" s="198" t="s">
        <v>1451</v>
      </c>
      <c r="DO3" s="198" t="s">
        <v>1451</v>
      </c>
      <c r="DP3" s="198" t="s">
        <v>1451</v>
      </c>
      <c r="DQ3" s="198" t="s">
        <v>1451</v>
      </c>
      <c r="DR3" s="198" t="s">
        <v>1451</v>
      </c>
      <c r="DS3" s="198" t="s">
        <v>1451</v>
      </c>
      <c r="DT3" s="198" t="s">
        <v>1451</v>
      </c>
      <c r="DU3" s="198" t="s">
        <v>1451</v>
      </c>
      <c r="DV3" s="198" t="s">
        <v>1460</v>
      </c>
      <c r="DW3" s="198" t="s">
        <v>1460</v>
      </c>
      <c r="DX3" s="198"/>
      <c r="DY3" s="198" t="s">
        <v>1454</v>
      </c>
      <c r="DZ3" s="198" t="s">
        <v>1454</v>
      </c>
      <c r="EA3" s="198" t="s">
        <v>1451</v>
      </c>
      <c r="EB3" s="198" t="s">
        <v>1451</v>
      </c>
      <c r="EC3" s="198" t="s">
        <v>1451</v>
      </c>
      <c r="ED3" s="198" t="s">
        <v>1455</v>
      </c>
      <c r="EE3" s="198" t="s">
        <v>1454</v>
      </c>
      <c r="EF3" s="198" t="s">
        <v>1454</v>
      </c>
      <c r="EG3" s="198" t="s">
        <v>1454</v>
      </c>
      <c r="EH3" s="198" t="s">
        <v>1454</v>
      </c>
      <c r="EI3" s="198" t="s">
        <v>1454</v>
      </c>
      <c r="EJ3" s="198" t="s">
        <v>1455</v>
      </c>
      <c r="EK3" s="198" t="s">
        <v>1460</v>
      </c>
      <c r="EL3" s="198" t="s">
        <v>1451</v>
      </c>
      <c r="EM3" s="198" t="s">
        <v>1460</v>
      </c>
      <c r="EN3" s="198" t="s">
        <v>1460</v>
      </c>
      <c r="EO3" s="198" t="s">
        <v>1460</v>
      </c>
      <c r="EP3" s="198" t="s">
        <v>1460</v>
      </c>
      <c r="EQ3" s="198" t="s">
        <v>1460</v>
      </c>
      <c r="ER3" s="198" t="s">
        <v>1460</v>
      </c>
      <c r="ES3" s="198"/>
      <c r="ET3" s="198" t="s">
        <v>1460</v>
      </c>
      <c r="EU3" s="198" t="s">
        <v>1460</v>
      </c>
      <c r="EV3" s="198" t="s">
        <v>1460</v>
      </c>
      <c r="EW3" s="198" t="s">
        <v>1460</v>
      </c>
      <c r="EX3" s="198" t="s">
        <v>1460</v>
      </c>
      <c r="EY3" s="198" t="s">
        <v>1460</v>
      </c>
      <c r="EZ3" s="198" t="s">
        <v>1460</v>
      </c>
      <c r="FA3" s="198" t="s">
        <v>1460</v>
      </c>
      <c r="FB3" s="198" t="s">
        <v>1460</v>
      </c>
      <c r="FC3" s="198" t="s">
        <v>1460</v>
      </c>
      <c r="FD3" s="198" t="s">
        <v>1460</v>
      </c>
      <c r="FE3" s="198" t="s">
        <v>1460</v>
      </c>
      <c r="FF3" s="198" t="s">
        <v>1460</v>
      </c>
      <c r="FG3" s="198" t="s">
        <v>1460</v>
      </c>
      <c r="FH3" s="198"/>
      <c r="FI3" s="198"/>
      <c r="FJ3" s="198" t="s">
        <v>1460</v>
      </c>
      <c r="FK3" s="198" t="s">
        <v>1454</v>
      </c>
      <c r="FL3" s="198" t="s">
        <v>1460</v>
      </c>
      <c r="FM3" s="198" t="s">
        <v>1460</v>
      </c>
      <c r="FN3" s="198" t="s">
        <v>1460</v>
      </c>
      <c r="FO3" s="198" t="s">
        <v>1460</v>
      </c>
      <c r="FP3" s="198" t="s">
        <v>1460</v>
      </c>
      <c r="FQ3" s="198" t="s">
        <v>1460</v>
      </c>
      <c r="FR3" s="198" t="s">
        <v>1460</v>
      </c>
      <c r="FS3" s="198" t="s">
        <v>1480</v>
      </c>
      <c r="FT3" s="198" t="s">
        <v>1536</v>
      </c>
      <c r="FU3" s="198" t="s">
        <v>1480</v>
      </c>
      <c r="FV3" s="198"/>
      <c r="FW3" s="198"/>
      <c r="FX3" s="198" t="s">
        <v>1460</v>
      </c>
      <c r="FY3" s="198" t="s">
        <v>1460</v>
      </c>
      <c r="FZ3" s="198" t="s">
        <v>1460</v>
      </c>
      <c r="GA3" s="198" t="s">
        <v>1460</v>
      </c>
      <c r="GB3" s="198" t="s">
        <v>1460</v>
      </c>
      <c r="GC3" s="198" t="s">
        <v>1460</v>
      </c>
      <c r="GD3" s="198" t="s">
        <v>1460</v>
      </c>
      <c r="GE3" s="198" t="s">
        <v>1460</v>
      </c>
      <c r="GF3" s="198" t="s">
        <v>1460</v>
      </c>
      <c r="GG3" s="198" t="s">
        <v>1460</v>
      </c>
      <c r="GH3" s="198" t="s">
        <v>1460</v>
      </c>
      <c r="GI3" s="198" t="s">
        <v>1460</v>
      </c>
      <c r="GJ3" s="198" t="s">
        <v>1460</v>
      </c>
      <c r="GK3" s="198" t="s">
        <v>1460</v>
      </c>
      <c r="GL3" s="198" t="s">
        <v>1460</v>
      </c>
      <c r="GM3" s="198" t="s">
        <v>1480</v>
      </c>
      <c r="GN3" s="198" t="s">
        <v>1460</v>
      </c>
      <c r="GO3" s="198" t="s">
        <v>1460</v>
      </c>
      <c r="GP3" s="198" t="s">
        <v>1460</v>
      </c>
      <c r="GQ3" s="198" t="s">
        <v>1451</v>
      </c>
      <c r="GR3" s="198" t="s">
        <v>1451</v>
      </c>
      <c r="GS3" s="198" t="s">
        <v>1451</v>
      </c>
      <c r="GT3" s="198" t="s">
        <v>1451</v>
      </c>
      <c r="GU3" s="198" t="s">
        <v>1451</v>
      </c>
      <c r="GV3" s="198" t="s">
        <v>1451</v>
      </c>
      <c r="GW3" s="198" t="s">
        <v>1451</v>
      </c>
      <c r="GX3" s="198"/>
      <c r="GY3" s="198" t="s">
        <v>1480</v>
      </c>
      <c r="GZ3" s="198" t="s">
        <v>1460</v>
      </c>
      <c r="HA3" s="198" t="s">
        <v>1460</v>
      </c>
      <c r="HB3" s="198" t="s">
        <v>1460</v>
      </c>
      <c r="HC3" s="198" t="s">
        <v>1460</v>
      </c>
      <c r="HD3" s="198" t="s">
        <v>1460</v>
      </c>
    </row>
    <row r="4">
      <c r="A4" s="234">
        <v>4.0</v>
      </c>
      <c r="B4" s="198" t="s">
        <v>1452</v>
      </c>
      <c r="C4" s="198" t="str">
        <f t="shared" ref="C4:DC4" si="3">if(countif(DD:DD,$B4),INDIRECT(concat("B",$A4)),"")</f>
        <v>1.1.1.234</v>
      </c>
      <c r="D4" s="198" t="str">
        <f t="shared" si="3"/>
        <v>1.1.1.234</v>
      </c>
      <c r="E4" s="198" t="str">
        <f t="shared" si="3"/>
        <v>1.1.1.234</v>
      </c>
      <c r="F4" s="198" t="str">
        <f t="shared" si="3"/>
        <v>1.1.1.234</v>
      </c>
      <c r="G4" s="198" t="str">
        <f t="shared" si="3"/>
        <v>1.1.1.234</v>
      </c>
      <c r="H4" s="198" t="str">
        <f t="shared" si="3"/>
        <v/>
      </c>
      <c r="I4" s="198" t="str">
        <f t="shared" si="3"/>
        <v>1.1.1.234</v>
      </c>
      <c r="J4" s="198" t="str">
        <f t="shared" si="3"/>
        <v/>
      </c>
      <c r="K4" s="198" t="str">
        <f t="shared" si="3"/>
        <v/>
      </c>
      <c r="L4" s="198" t="str">
        <f t="shared" si="3"/>
        <v>1.1.1.234</v>
      </c>
      <c r="M4" s="198" t="str">
        <f t="shared" si="3"/>
        <v>1.1.1.234</v>
      </c>
      <c r="N4" s="198" t="str">
        <f t="shared" si="3"/>
        <v>1.1.1.234</v>
      </c>
      <c r="O4" s="198" t="str">
        <f t="shared" si="3"/>
        <v>1.1.1.234</v>
      </c>
      <c r="P4" s="198" t="str">
        <f t="shared" si="3"/>
        <v>1.1.1.234</v>
      </c>
      <c r="Q4" s="198" t="str">
        <f t="shared" si="3"/>
        <v>1.1.1.234</v>
      </c>
      <c r="R4" s="198" t="str">
        <f t="shared" si="3"/>
        <v>1.1.1.234</v>
      </c>
      <c r="S4" s="198" t="str">
        <f t="shared" si="3"/>
        <v>1.1.1.234</v>
      </c>
      <c r="T4" s="198" t="str">
        <f t="shared" si="3"/>
        <v>1.1.1.234</v>
      </c>
      <c r="U4" s="198" t="str">
        <f t="shared" si="3"/>
        <v>1.1.1.234</v>
      </c>
      <c r="V4" s="198" t="str">
        <f t="shared" si="3"/>
        <v>1.1.1.234</v>
      </c>
      <c r="W4" s="198" t="str">
        <f t="shared" si="3"/>
        <v/>
      </c>
      <c r="X4" s="198" t="str">
        <f t="shared" si="3"/>
        <v/>
      </c>
      <c r="Y4" s="198" t="str">
        <f t="shared" si="3"/>
        <v/>
      </c>
      <c r="Z4" s="198" t="str">
        <f t="shared" si="3"/>
        <v>1.1.1.234</v>
      </c>
      <c r="AA4" s="198" t="str">
        <f t="shared" si="3"/>
        <v>1.1.1.234</v>
      </c>
      <c r="AB4" s="198" t="str">
        <f t="shared" si="3"/>
        <v>1.1.1.234</v>
      </c>
      <c r="AC4" s="198" t="str">
        <f t="shared" si="3"/>
        <v/>
      </c>
      <c r="AD4" s="198" t="str">
        <f t="shared" si="3"/>
        <v/>
      </c>
      <c r="AE4" s="198" t="str">
        <f t="shared" si="3"/>
        <v/>
      </c>
      <c r="AF4" s="198" t="str">
        <f t="shared" si="3"/>
        <v/>
      </c>
      <c r="AG4" s="198" t="str">
        <f t="shared" si="3"/>
        <v/>
      </c>
      <c r="AH4" s="198" t="str">
        <f t="shared" si="3"/>
        <v/>
      </c>
      <c r="AI4" s="198" t="str">
        <f t="shared" si="3"/>
        <v/>
      </c>
      <c r="AJ4" s="198" t="str">
        <f t="shared" si="3"/>
        <v>1.1.1.234</v>
      </c>
      <c r="AK4" s="198" t="str">
        <f t="shared" si="3"/>
        <v>1.1.1.234</v>
      </c>
      <c r="AL4" s="198" t="str">
        <f t="shared" si="3"/>
        <v>1.1.1.234</v>
      </c>
      <c r="AM4" s="198" t="str">
        <f t="shared" si="3"/>
        <v>1.1.1.234</v>
      </c>
      <c r="AN4" s="198" t="str">
        <f t="shared" si="3"/>
        <v>1.1.1.234</v>
      </c>
      <c r="AO4" s="198" t="str">
        <f t="shared" si="3"/>
        <v>1.1.1.234</v>
      </c>
      <c r="AP4" s="198" t="str">
        <f t="shared" si="3"/>
        <v>1.1.1.234</v>
      </c>
      <c r="AQ4" s="198" t="str">
        <f t="shared" si="3"/>
        <v/>
      </c>
      <c r="AR4" s="198" t="str">
        <f t="shared" si="3"/>
        <v/>
      </c>
      <c r="AS4" s="198" t="str">
        <f t="shared" si="3"/>
        <v>1.1.1.234</v>
      </c>
      <c r="AT4" s="198" t="str">
        <f t="shared" si="3"/>
        <v>1.1.1.234</v>
      </c>
      <c r="AU4" s="198" t="str">
        <f t="shared" si="3"/>
        <v>1.1.1.234</v>
      </c>
      <c r="AV4" s="198" t="str">
        <f t="shared" si="3"/>
        <v>1.1.1.234</v>
      </c>
      <c r="AW4" s="198" t="str">
        <f t="shared" si="3"/>
        <v>1.1.1.234</v>
      </c>
      <c r="AX4" s="198" t="str">
        <f t="shared" si="3"/>
        <v>1.1.1.234</v>
      </c>
      <c r="AY4" s="198" t="str">
        <f t="shared" si="3"/>
        <v>1.1.1.234</v>
      </c>
      <c r="AZ4" s="198" t="str">
        <f t="shared" si="3"/>
        <v>1.1.1.234</v>
      </c>
      <c r="BA4" s="198" t="str">
        <f t="shared" si="3"/>
        <v>1.1.1.234</v>
      </c>
      <c r="BB4" s="198" t="str">
        <f t="shared" si="3"/>
        <v>1.1.1.234</v>
      </c>
      <c r="BC4" s="198" t="str">
        <f t="shared" si="3"/>
        <v>1.1.1.234</v>
      </c>
      <c r="BD4" s="198" t="str">
        <f t="shared" si="3"/>
        <v>1.1.1.234</v>
      </c>
      <c r="BE4" s="198" t="str">
        <f t="shared" si="3"/>
        <v>1.1.1.234</v>
      </c>
      <c r="BF4" s="198" t="str">
        <f t="shared" si="3"/>
        <v>1.1.1.234</v>
      </c>
      <c r="BG4" s="198" t="str">
        <f t="shared" si="3"/>
        <v/>
      </c>
      <c r="BH4" s="198" t="str">
        <f t="shared" si="3"/>
        <v/>
      </c>
      <c r="BI4" s="198" t="str">
        <f t="shared" si="3"/>
        <v/>
      </c>
      <c r="BJ4" s="198" t="str">
        <f t="shared" si="3"/>
        <v/>
      </c>
      <c r="BK4" s="198" t="str">
        <f t="shared" si="3"/>
        <v>1.1.1.234</v>
      </c>
      <c r="BL4" s="198" t="str">
        <f t="shared" si="3"/>
        <v>1.1.1.234</v>
      </c>
      <c r="BM4" s="198" t="str">
        <f t="shared" si="3"/>
        <v>1.1.1.234</v>
      </c>
      <c r="BN4" s="198" t="str">
        <f t="shared" si="3"/>
        <v>1.1.1.234</v>
      </c>
      <c r="BO4" s="198" t="str">
        <f t="shared" si="3"/>
        <v>1.1.1.234</v>
      </c>
      <c r="BP4" s="198" t="str">
        <f t="shared" si="3"/>
        <v>1.1.1.234</v>
      </c>
      <c r="BQ4" s="198" t="str">
        <f t="shared" si="3"/>
        <v>1.1.1.234</v>
      </c>
      <c r="BR4" s="198" t="str">
        <f t="shared" si="3"/>
        <v>1.1.1.234</v>
      </c>
      <c r="BS4" s="198" t="str">
        <f t="shared" si="3"/>
        <v>1.1.1.234</v>
      </c>
      <c r="BT4" s="198" t="str">
        <f t="shared" si="3"/>
        <v/>
      </c>
      <c r="BU4" s="198" t="str">
        <f t="shared" si="3"/>
        <v/>
      </c>
      <c r="BV4" s="198" t="str">
        <f t="shared" si="3"/>
        <v/>
      </c>
      <c r="BW4" s="198" t="str">
        <f t="shared" si="3"/>
        <v>1.1.1.234</v>
      </c>
      <c r="BX4" s="198" t="str">
        <f t="shared" si="3"/>
        <v>1.1.1.234</v>
      </c>
      <c r="BY4" s="198" t="str">
        <f t="shared" si="3"/>
        <v>1.1.1.234</v>
      </c>
      <c r="BZ4" s="198" t="str">
        <f t="shared" si="3"/>
        <v>1.1.1.234</v>
      </c>
      <c r="CA4" s="198" t="str">
        <f t="shared" si="3"/>
        <v/>
      </c>
      <c r="CB4" s="198" t="str">
        <f t="shared" si="3"/>
        <v>1.1.1.234</v>
      </c>
      <c r="CC4" s="198" t="str">
        <f t="shared" si="3"/>
        <v>1.1.1.234</v>
      </c>
      <c r="CD4" s="198" t="str">
        <f t="shared" si="3"/>
        <v>1.1.1.234</v>
      </c>
      <c r="CE4" s="198" t="str">
        <f t="shared" si="3"/>
        <v>1.1.1.234</v>
      </c>
      <c r="CF4" s="198" t="str">
        <f t="shared" si="3"/>
        <v>1.1.1.234</v>
      </c>
      <c r="CG4" s="198" t="str">
        <f t="shared" si="3"/>
        <v>1.1.1.234</v>
      </c>
      <c r="CH4" s="198" t="str">
        <f t="shared" si="3"/>
        <v>1.1.1.234</v>
      </c>
      <c r="CI4" s="198" t="str">
        <f t="shared" si="3"/>
        <v>1.1.1.234</v>
      </c>
      <c r="CJ4" s="198" t="str">
        <f t="shared" si="3"/>
        <v/>
      </c>
      <c r="CK4" s="198" t="str">
        <f t="shared" si="3"/>
        <v>1.1.1.234</v>
      </c>
      <c r="CL4" s="198" t="str">
        <f t="shared" si="3"/>
        <v>1.1.1.234</v>
      </c>
      <c r="CM4" s="198" t="str">
        <f t="shared" si="3"/>
        <v>1.1.1.234</v>
      </c>
      <c r="CN4" s="198" t="str">
        <f t="shared" si="3"/>
        <v>1.1.1.234</v>
      </c>
      <c r="CO4" s="198" t="str">
        <f t="shared" si="3"/>
        <v>1.1.1.234</v>
      </c>
      <c r="CP4" s="198" t="str">
        <f t="shared" si="3"/>
        <v>1.1.1.234</v>
      </c>
      <c r="CQ4" s="198" t="str">
        <f t="shared" si="3"/>
        <v>1.1.1.234</v>
      </c>
      <c r="CR4" s="198" t="str">
        <f t="shared" si="3"/>
        <v>1.1.1.234</v>
      </c>
      <c r="CS4" s="198" t="str">
        <f t="shared" si="3"/>
        <v>1.1.1.234</v>
      </c>
      <c r="CT4" s="198" t="str">
        <f t="shared" si="3"/>
        <v>1.1.1.234</v>
      </c>
      <c r="CU4" s="198" t="str">
        <f t="shared" si="3"/>
        <v>1.1.1.234</v>
      </c>
      <c r="CV4" s="198" t="str">
        <f t="shared" si="3"/>
        <v>1.1.1.234</v>
      </c>
      <c r="CW4" s="198" t="str">
        <f t="shared" si="3"/>
        <v/>
      </c>
      <c r="CX4" s="198" t="str">
        <f t="shared" si="3"/>
        <v>1.1.1.234</v>
      </c>
      <c r="CY4" s="198" t="str">
        <f t="shared" si="3"/>
        <v>1.1.1.234</v>
      </c>
      <c r="CZ4" s="198" t="str">
        <f t="shared" si="3"/>
        <v>1.1.1.234</v>
      </c>
      <c r="DA4" s="198" t="str">
        <f t="shared" si="3"/>
        <v>1.1.1.234</v>
      </c>
      <c r="DB4" s="198" t="str">
        <f t="shared" si="3"/>
        <v>1.1.1.234</v>
      </c>
      <c r="DC4" s="198" t="str">
        <f t="shared" si="3"/>
        <v>1.1.1.234</v>
      </c>
      <c r="DD4" s="198" t="s">
        <v>1452</v>
      </c>
      <c r="DE4" s="198" t="s">
        <v>1452</v>
      </c>
      <c r="DF4" s="198" t="s">
        <v>1452</v>
      </c>
      <c r="DG4" s="198" t="s">
        <v>1452</v>
      </c>
      <c r="DH4" s="198" t="s">
        <v>1452</v>
      </c>
      <c r="DI4" s="198" t="s">
        <v>1454</v>
      </c>
      <c r="DJ4" s="198" t="s">
        <v>1452</v>
      </c>
      <c r="DK4" s="198"/>
      <c r="DL4" s="198" t="s">
        <v>1477</v>
      </c>
      <c r="DM4" s="198" t="s">
        <v>1452</v>
      </c>
      <c r="DN4" s="198" t="s">
        <v>1452</v>
      </c>
      <c r="DO4" s="198" t="s">
        <v>1452</v>
      </c>
      <c r="DP4" s="198" t="s">
        <v>1452</v>
      </c>
      <c r="DQ4" s="198" t="s">
        <v>1452</v>
      </c>
      <c r="DR4" s="198" t="s">
        <v>1452</v>
      </c>
      <c r="DS4" s="198" t="s">
        <v>1452</v>
      </c>
      <c r="DT4" s="198" t="s">
        <v>1452</v>
      </c>
      <c r="DU4" s="198" t="s">
        <v>1452</v>
      </c>
      <c r="DV4" s="198" t="s">
        <v>1482</v>
      </c>
      <c r="DW4" s="198" t="s">
        <v>1482</v>
      </c>
      <c r="DX4" s="198"/>
      <c r="DY4" s="198" t="s">
        <v>1477</v>
      </c>
      <c r="DZ4" s="198" t="s">
        <v>1477</v>
      </c>
      <c r="EA4" s="198" t="s">
        <v>1452</v>
      </c>
      <c r="EB4" s="198" t="s">
        <v>1452</v>
      </c>
      <c r="EC4" s="198" t="s">
        <v>1452</v>
      </c>
      <c r="ED4" s="198" t="s">
        <v>1477</v>
      </c>
      <c r="EE4" s="198" t="s">
        <v>1455</v>
      </c>
      <c r="EF4" s="198" t="s">
        <v>1455</v>
      </c>
      <c r="EG4" s="198" t="s">
        <v>1455</v>
      </c>
      <c r="EH4" s="198" t="s">
        <v>1455</v>
      </c>
      <c r="EI4" s="198" t="s">
        <v>1455</v>
      </c>
      <c r="EJ4" s="198" t="s">
        <v>1477</v>
      </c>
      <c r="EK4" s="198" t="s">
        <v>1482</v>
      </c>
      <c r="EL4" s="198" t="s">
        <v>1452</v>
      </c>
      <c r="EM4" s="198" t="s">
        <v>1482</v>
      </c>
      <c r="EN4" s="198" t="s">
        <v>1482</v>
      </c>
      <c r="EO4" s="198" t="s">
        <v>1482</v>
      </c>
      <c r="EP4" s="198" t="s">
        <v>1482</v>
      </c>
      <c r="EQ4" s="198" t="s">
        <v>1482</v>
      </c>
      <c r="ER4" s="198" t="s">
        <v>1482</v>
      </c>
      <c r="ES4" s="198"/>
      <c r="ET4" s="198" t="s">
        <v>1482</v>
      </c>
      <c r="EU4" s="198" t="s">
        <v>1482</v>
      </c>
      <c r="EV4" s="198" t="s">
        <v>1482</v>
      </c>
      <c r="EW4" s="198" t="s">
        <v>1482</v>
      </c>
      <c r="EX4" s="198" t="s">
        <v>1482</v>
      </c>
      <c r="EY4" s="198" t="s">
        <v>1482</v>
      </c>
      <c r="EZ4" s="198" t="s">
        <v>1482</v>
      </c>
      <c r="FA4" s="198" t="s">
        <v>1482</v>
      </c>
      <c r="FB4" s="198" t="s">
        <v>1482</v>
      </c>
      <c r="FC4" s="198" t="s">
        <v>1482</v>
      </c>
      <c r="FD4" s="198" t="s">
        <v>1482</v>
      </c>
      <c r="FE4" s="198" t="s">
        <v>1482</v>
      </c>
      <c r="FF4" s="198" t="s">
        <v>1482</v>
      </c>
      <c r="FG4" s="198" t="s">
        <v>1482</v>
      </c>
      <c r="FH4" s="198"/>
      <c r="FI4" s="198"/>
      <c r="FJ4" s="198" t="s">
        <v>1482</v>
      </c>
      <c r="FK4" s="198" t="s">
        <v>1477</v>
      </c>
      <c r="FL4" s="198" t="s">
        <v>1482</v>
      </c>
      <c r="FM4" s="198" t="s">
        <v>1482</v>
      </c>
      <c r="FN4" s="198" t="s">
        <v>1482</v>
      </c>
      <c r="FO4" s="198" t="s">
        <v>1482</v>
      </c>
      <c r="FP4" s="198" t="s">
        <v>1482</v>
      </c>
      <c r="FQ4" s="198" t="s">
        <v>1482</v>
      </c>
      <c r="FR4" s="198" t="s">
        <v>1482</v>
      </c>
      <c r="FS4" s="198" t="s">
        <v>1460</v>
      </c>
      <c r="FT4" s="198" t="s">
        <v>1480</v>
      </c>
      <c r="FU4" s="198" t="s">
        <v>1460</v>
      </c>
      <c r="FV4" s="198"/>
      <c r="FW4" s="198"/>
      <c r="FX4" s="198" t="s">
        <v>1482</v>
      </c>
      <c r="FY4" s="198" t="s">
        <v>1482</v>
      </c>
      <c r="FZ4" s="198" t="s">
        <v>1482</v>
      </c>
      <c r="GA4" s="198" t="s">
        <v>1482</v>
      </c>
      <c r="GB4" s="198" t="s">
        <v>1482</v>
      </c>
      <c r="GC4" s="198" t="s">
        <v>1482</v>
      </c>
      <c r="GD4" s="198" t="s">
        <v>1482</v>
      </c>
      <c r="GE4" s="198" t="s">
        <v>1482</v>
      </c>
      <c r="GF4" s="198" t="s">
        <v>1482</v>
      </c>
      <c r="GG4" s="198" t="s">
        <v>1482</v>
      </c>
      <c r="GH4" s="198" t="s">
        <v>1482</v>
      </c>
      <c r="GI4" s="198" t="s">
        <v>1482</v>
      </c>
      <c r="GJ4" s="198" t="s">
        <v>1482</v>
      </c>
      <c r="GK4" s="198" t="s">
        <v>1482</v>
      </c>
      <c r="GL4" s="198" t="s">
        <v>1482</v>
      </c>
      <c r="GM4" s="198" t="s">
        <v>1460</v>
      </c>
      <c r="GN4" s="198" t="s">
        <v>1482</v>
      </c>
      <c r="GO4" s="198" t="s">
        <v>1482</v>
      </c>
      <c r="GP4" s="198" t="s">
        <v>1482</v>
      </c>
      <c r="GQ4" s="198" t="s">
        <v>1452</v>
      </c>
      <c r="GR4" s="198" t="s">
        <v>1452</v>
      </c>
      <c r="GS4" s="198" t="s">
        <v>1452</v>
      </c>
      <c r="GT4" s="198" t="s">
        <v>1452</v>
      </c>
      <c r="GU4" s="198" t="s">
        <v>1452</v>
      </c>
      <c r="GV4" s="198" t="s">
        <v>1452</v>
      </c>
      <c r="GW4" s="198" t="s">
        <v>1452</v>
      </c>
      <c r="GX4" s="198"/>
      <c r="GY4" s="198" t="s">
        <v>1460</v>
      </c>
      <c r="GZ4" s="198" t="s">
        <v>1482</v>
      </c>
      <c r="HA4" s="198" t="s">
        <v>1482</v>
      </c>
      <c r="HB4" s="198" t="s">
        <v>1482</v>
      </c>
      <c r="HC4" s="198" t="s">
        <v>1482</v>
      </c>
      <c r="HD4" s="198" t="s">
        <v>1482</v>
      </c>
    </row>
    <row r="5">
      <c r="A5" s="234">
        <v>5.0</v>
      </c>
      <c r="B5" s="198" t="s">
        <v>1490</v>
      </c>
      <c r="C5" s="198" t="str">
        <f t="shared" ref="C5:DC5" si="4">if(countif(DD:DD,$B5),INDIRECT(concat("B",$A5)),"")</f>
        <v/>
      </c>
      <c r="D5" s="198" t="str">
        <f t="shared" si="4"/>
        <v/>
      </c>
      <c r="E5" s="198" t="str">
        <f t="shared" si="4"/>
        <v/>
      </c>
      <c r="F5" s="198" t="str">
        <f t="shared" si="4"/>
        <v/>
      </c>
      <c r="G5" s="198" t="str">
        <f t="shared" si="4"/>
        <v>1.1.1.348</v>
      </c>
      <c r="H5" s="198" t="str">
        <f t="shared" si="4"/>
        <v>1.1.1.348</v>
      </c>
      <c r="I5" s="198" t="str">
        <f t="shared" si="4"/>
        <v/>
      </c>
      <c r="J5" s="198" t="str">
        <f t="shared" si="4"/>
        <v/>
      </c>
      <c r="K5" s="198" t="str">
        <f t="shared" si="4"/>
        <v/>
      </c>
      <c r="L5" s="198" t="str">
        <f t="shared" si="4"/>
        <v/>
      </c>
      <c r="M5" s="198" t="str">
        <f t="shared" si="4"/>
        <v/>
      </c>
      <c r="N5" s="198" t="str">
        <f t="shared" si="4"/>
        <v/>
      </c>
      <c r="O5" s="198" t="str">
        <f t="shared" si="4"/>
        <v/>
      </c>
      <c r="P5" s="198" t="str">
        <f t="shared" si="4"/>
        <v/>
      </c>
      <c r="Q5" s="198" t="str">
        <f t="shared" si="4"/>
        <v>1.1.1.348</v>
      </c>
      <c r="R5" s="198" t="str">
        <f t="shared" si="4"/>
        <v/>
      </c>
      <c r="S5" s="198" t="str">
        <f t="shared" si="4"/>
        <v/>
      </c>
      <c r="T5" s="198" t="str">
        <f t="shared" si="4"/>
        <v/>
      </c>
      <c r="U5" s="198" t="str">
        <f t="shared" si="4"/>
        <v/>
      </c>
      <c r="V5" s="198" t="str">
        <f t="shared" si="4"/>
        <v/>
      </c>
      <c r="W5" s="198" t="str">
        <f t="shared" si="4"/>
        <v/>
      </c>
      <c r="X5" s="198" t="str">
        <f t="shared" si="4"/>
        <v/>
      </c>
      <c r="Y5" s="198" t="str">
        <f t="shared" si="4"/>
        <v/>
      </c>
      <c r="Z5" s="198" t="str">
        <f t="shared" si="4"/>
        <v>1.1.1.348</v>
      </c>
      <c r="AA5" s="198" t="str">
        <f t="shared" si="4"/>
        <v/>
      </c>
      <c r="AB5" s="198" t="str">
        <f t="shared" si="4"/>
        <v/>
      </c>
      <c r="AC5" s="198" t="str">
        <f t="shared" si="4"/>
        <v/>
      </c>
      <c r="AD5" s="198" t="str">
        <f t="shared" si="4"/>
        <v/>
      </c>
      <c r="AE5" s="198" t="str">
        <f t="shared" si="4"/>
        <v/>
      </c>
      <c r="AF5" s="198" t="str">
        <f t="shared" si="4"/>
        <v/>
      </c>
      <c r="AG5" s="198" t="str">
        <f t="shared" si="4"/>
        <v/>
      </c>
      <c r="AH5" s="198" t="str">
        <f t="shared" si="4"/>
        <v/>
      </c>
      <c r="AI5" s="198" t="str">
        <f t="shared" si="4"/>
        <v/>
      </c>
      <c r="AJ5" s="198" t="str">
        <f t="shared" si="4"/>
        <v/>
      </c>
      <c r="AK5" s="198" t="str">
        <f t="shared" si="4"/>
        <v/>
      </c>
      <c r="AL5" s="198" t="str">
        <f t="shared" si="4"/>
        <v/>
      </c>
      <c r="AM5" s="198" t="str">
        <f t="shared" si="4"/>
        <v/>
      </c>
      <c r="AN5" s="198" t="str">
        <f t="shared" si="4"/>
        <v/>
      </c>
      <c r="AO5" s="198" t="str">
        <f t="shared" si="4"/>
        <v/>
      </c>
      <c r="AP5" s="198" t="str">
        <f t="shared" si="4"/>
        <v/>
      </c>
      <c r="AQ5" s="198" t="str">
        <f t="shared" si="4"/>
        <v/>
      </c>
      <c r="AR5" s="198" t="str">
        <f t="shared" si="4"/>
        <v/>
      </c>
      <c r="AS5" s="198" t="str">
        <f t="shared" si="4"/>
        <v>1.1.1.348</v>
      </c>
      <c r="AT5" s="198" t="str">
        <f t="shared" si="4"/>
        <v/>
      </c>
      <c r="AU5" s="198" t="str">
        <f t="shared" si="4"/>
        <v/>
      </c>
      <c r="AV5" s="198" t="str">
        <f t="shared" si="4"/>
        <v/>
      </c>
      <c r="AW5" s="198" t="str">
        <f t="shared" si="4"/>
        <v/>
      </c>
      <c r="AX5" s="198" t="str">
        <f t="shared" si="4"/>
        <v/>
      </c>
      <c r="AY5" s="198" t="str">
        <f t="shared" si="4"/>
        <v/>
      </c>
      <c r="AZ5" s="198" t="str">
        <f t="shared" si="4"/>
        <v/>
      </c>
      <c r="BA5" s="198" t="str">
        <f t="shared" si="4"/>
        <v/>
      </c>
      <c r="BB5" s="198" t="str">
        <f t="shared" si="4"/>
        <v/>
      </c>
      <c r="BC5" s="198" t="str">
        <f t="shared" si="4"/>
        <v>1.1.1.348</v>
      </c>
      <c r="BD5" s="198" t="str">
        <f t="shared" si="4"/>
        <v/>
      </c>
      <c r="BE5" s="198" t="str">
        <f t="shared" si="4"/>
        <v/>
      </c>
      <c r="BF5" s="198" t="str">
        <f t="shared" si="4"/>
        <v/>
      </c>
      <c r="BG5" s="198" t="str">
        <f t="shared" si="4"/>
        <v/>
      </c>
      <c r="BH5" s="198" t="str">
        <f t="shared" si="4"/>
        <v/>
      </c>
      <c r="BI5" s="198" t="str">
        <f t="shared" si="4"/>
        <v/>
      </c>
      <c r="BJ5" s="198" t="str">
        <f t="shared" si="4"/>
        <v/>
      </c>
      <c r="BK5" s="198" t="str">
        <f t="shared" si="4"/>
        <v/>
      </c>
      <c r="BL5" s="198" t="str">
        <f t="shared" si="4"/>
        <v/>
      </c>
      <c r="BM5" s="198" t="str">
        <f t="shared" si="4"/>
        <v/>
      </c>
      <c r="BN5" s="198" t="str">
        <f t="shared" si="4"/>
        <v/>
      </c>
      <c r="BO5" s="198" t="str">
        <f t="shared" si="4"/>
        <v/>
      </c>
      <c r="BP5" s="198" t="str">
        <f t="shared" si="4"/>
        <v/>
      </c>
      <c r="BQ5" s="198" t="str">
        <f t="shared" si="4"/>
        <v/>
      </c>
      <c r="BR5" s="198" t="str">
        <f t="shared" si="4"/>
        <v/>
      </c>
      <c r="BS5" s="198" t="str">
        <f t="shared" si="4"/>
        <v/>
      </c>
      <c r="BT5" s="198" t="str">
        <f t="shared" si="4"/>
        <v/>
      </c>
      <c r="BU5" s="198" t="str">
        <f t="shared" si="4"/>
        <v/>
      </c>
      <c r="BV5" s="198" t="str">
        <f t="shared" si="4"/>
        <v/>
      </c>
      <c r="BW5" s="198" t="str">
        <f t="shared" si="4"/>
        <v/>
      </c>
      <c r="BX5" s="198" t="str">
        <f t="shared" si="4"/>
        <v/>
      </c>
      <c r="BY5" s="198" t="str">
        <f t="shared" si="4"/>
        <v>1.1.1.348</v>
      </c>
      <c r="BZ5" s="198" t="str">
        <f t="shared" si="4"/>
        <v/>
      </c>
      <c r="CA5" s="198" t="str">
        <f t="shared" si="4"/>
        <v/>
      </c>
      <c r="CB5" s="198" t="str">
        <f t="shared" si="4"/>
        <v/>
      </c>
      <c r="CC5" s="198" t="str">
        <f t="shared" si="4"/>
        <v/>
      </c>
      <c r="CD5" s="198" t="str">
        <f t="shared" si="4"/>
        <v/>
      </c>
      <c r="CE5" s="198" t="str">
        <f t="shared" si="4"/>
        <v/>
      </c>
      <c r="CF5" s="198" t="str">
        <f t="shared" si="4"/>
        <v/>
      </c>
      <c r="CG5" s="198" t="str">
        <f t="shared" si="4"/>
        <v/>
      </c>
      <c r="CH5" s="198" t="str">
        <f t="shared" si="4"/>
        <v/>
      </c>
      <c r="CI5" s="198" t="str">
        <f t="shared" si="4"/>
        <v/>
      </c>
      <c r="CJ5" s="198" t="str">
        <f t="shared" si="4"/>
        <v/>
      </c>
      <c r="CK5" s="198" t="str">
        <f t="shared" si="4"/>
        <v/>
      </c>
      <c r="CL5" s="198" t="str">
        <f t="shared" si="4"/>
        <v/>
      </c>
      <c r="CM5" s="198" t="str">
        <f t="shared" si="4"/>
        <v/>
      </c>
      <c r="CN5" s="198" t="str">
        <f t="shared" si="4"/>
        <v/>
      </c>
      <c r="CO5" s="198" t="str">
        <f t="shared" si="4"/>
        <v/>
      </c>
      <c r="CP5" s="198" t="str">
        <f t="shared" si="4"/>
        <v/>
      </c>
      <c r="CQ5" s="198" t="str">
        <f t="shared" si="4"/>
        <v/>
      </c>
      <c r="CR5" s="198" t="str">
        <f t="shared" si="4"/>
        <v/>
      </c>
      <c r="CS5" s="198" t="str">
        <f t="shared" si="4"/>
        <v/>
      </c>
      <c r="CT5" s="198" t="str">
        <f t="shared" si="4"/>
        <v>1.1.1.348</v>
      </c>
      <c r="CU5" s="198" t="str">
        <f t="shared" si="4"/>
        <v>1.1.1.348</v>
      </c>
      <c r="CV5" s="198" t="str">
        <f t="shared" si="4"/>
        <v/>
      </c>
      <c r="CW5" s="198" t="str">
        <f t="shared" si="4"/>
        <v/>
      </c>
      <c r="CX5" s="198" t="str">
        <f t="shared" si="4"/>
        <v/>
      </c>
      <c r="CY5" s="198" t="str">
        <f t="shared" si="4"/>
        <v/>
      </c>
      <c r="CZ5" s="198" t="str">
        <f t="shared" si="4"/>
        <v>1.1.1.348</v>
      </c>
      <c r="DA5" s="198" t="str">
        <f t="shared" si="4"/>
        <v>1.1.1.348</v>
      </c>
      <c r="DB5" s="198" t="str">
        <f t="shared" si="4"/>
        <v/>
      </c>
      <c r="DC5" s="198" t="str">
        <f t="shared" si="4"/>
        <v>1.1.1.348</v>
      </c>
      <c r="DD5" s="198" t="s">
        <v>1454</v>
      </c>
      <c r="DE5" s="198" t="s">
        <v>1454</v>
      </c>
      <c r="DF5" s="198" t="s">
        <v>1454</v>
      </c>
      <c r="DG5" s="198" t="s">
        <v>1454</v>
      </c>
      <c r="DH5" s="198" t="s">
        <v>1490</v>
      </c>
      <c r="DI5" s="198" t="s">
        <v>1455</v>
      </c>
      <c r="DJ5" s="198" t="s">
        <v>1454</v>
      </c>
      <c r="DK5" s="198"/>
      <c r="DL5" s="198"/>
      <c r="DM5" s="198" t="s">
        <v>1454</v>
      </c>
      <c r="DN5" s="198" t="s">
        <v>1454</v>
      </c>
      <c r="DO5" s="198" t="s">
        <v>1454</v>
      </c>
      <c r="DP5" s="198" t="s">
        <v>1454</v>
      </c>
      <c r="DQ5" s="198" t="s">
        <v>1454</v>
      </c>
      <c r="DR5" s="198" t="s">
        <v>1490</v>
      </c>
      <c r="DS5" s="198" t="s">
        <v>1454</v>
      </c>
      <c r="DT5" s="198" t="s">
        <v>1454</v>
      </c>
      <c r="DU5" s="198" t="s">
        <v>1454</v>
      </c>
      <c r="DV5" s="198" t="s">
        <v>1470</v>
      </c>
      <c r="DW5" s="198" t="s">
        <v>1470</v>
      </c>
      <c r="DX5" s="198"/>
      <c r="DY5" s="198" t="s">
        <v>1478</v>
      </c>
      <c r="DZ5" s="198"/>
      <c r="EA5" s="198" t="s">
        <v>1490</v>
      </c>
      <c r="EB5" s="198" t="s">
        <v>1454</v>
      </c>
      <c r="EC5" s="198" t="s">
        <v>1454</v>
      </c>
      <c r="ED5" s="198" t="s">
        <v>1478</v>
      </c>
      <c r="EE5" s="198" t="s">
        <v>1456</v>
      </c>
      <c r="EF5" s="198" t="s">
        <v>1456</v>
      </c>
      <c r="EG5" s="198" t="s">
        <v>1456</v>
      </c>
      <c r="EH5" s="198" t="s">
        <v>1456</v>
      </c>
      <c r="EI5" s="198" t="s">
        <v>1456</v>
      </c>
      <c r="EJ5" s="198"/>
      <c r="EK5" s="198" t="s">
        <v>1470</v>
      </c>
      <c r="EL5" s="198" t="s">
        <v>1454</v>
      </c>
      <c r="EM5" s="198" t="s">
        <v>1470</v>
      </c>
      <c r="EN5" s="198" t="s">
        <v>1470</v>
      </c>
      <c r="EO5" s="198" t="s">
        <v>1470</v>
      </c>
      <c r="EP5" s="198" t="s">
        <v>1470</v>
      </c>
      <c r="EQ5" s="198" t="s">
        <v>1470</v>
      </c>
      <c r="ER5" s="198" t="s">
        <v>1470</v>
      </c>
      <c r="ES5" s="198"/>
      <c r="ET5" s="198" t="s">
        <v>1470</v>
      </c>
      <c r="EU5" s="198" t="s">
        <v>1470</v>
      </c>
      <c r="EV5" s="198" t="s">
        <v>1470</v>
      </c>
      <c r="EW5" s="198" t="s">
        <v>1470</v>
      </c>
      <c r="EX5" s="198" t="s">
        <v>1470</v>
      </c>
      <c r="EY5" s="198" t="s">
        <v>1470</v>
      </c>
      <c r="EZ5" s="198" t="s">
        <v>1470</v>
      </c>
      <c r="FA5" s="198" t="s">
        <v>1470</v>
      </c>
      <c r="FB5" s="198" t="s">
        <v>1470</v>
      </c>
      <c r="FC5" s="198" t="s">
        <v>1470</v>
      </c>
      <c r="FD5" s="198" t="s">
        <v>1470</v>
      </c>
      <c r="FE5" s="198" t="s">
        <v>1470</v>
      </c>
      <c r="FF5" s="198" t="s">
        <v>1470</v>
      </c>
      <c r="FG5" s="198" t="s">
        <v>1470</v>
      </c>
      <c r="FH5" s="198"/>
      <c r="FI5" s="198"/>
      <c r="FJ5" s="198" t="s">
        <v>1470</v>
      </c>
      <c r="FK5" s="198"/>
      <c r="FL5" s="198" t="s">
        <v>1470</v>
      </c>
      <c r="FM5" s="198" t="s">
        <v>1470</v>
      </c>
      <c r="FN5" s="198" t="s">
        <v>1470</v>
      </c>
      <c r="FO5" s="198" t="s">
        <v>1470</v>
      </c>
      <c r="FP5" s="198" t="s">
        <v>1470</v>
      </c>
      <c r="FQ5" s="198" t="s">
        <v>1470</v>
      </c>
      <c r="FR5" s="198" t="s">
        <v>1470</v>
      </c>
      <c r="FS5" s="198" t="s">
        <v>1482</v>
      </c>
      <c r="FT5" s="198" t="s">
        <v>1460</v>
      </c>
      <c r="FU5" s="198" t="s">
        <v>1482</v>
      </c>
      <c r="FV5" s="198"/>
      <c r="FW5" s="198"/>
      <c r="FX5" s="198" t="s">
        <v>1470</v>
      </c>
      <c r="FY5" s="198" t="s">
        <v>1470</v>
      </c>
      <c r="FZ5" s="198" t="s">
        <v>1470</v>
      </c>
      <c r="GA5" s="198" t="s">
        <v>1470</v>
      </c>
      <c r="GB5" s="198" t="s">
        <v>1470</v>
      </c>
      <c r="GC5" s="198" t="s">
        <v>1470</v>
      </c>
      <c r="GD5" s="198" t="s">
        <v>1470</v>
      </c>
      <c r="GE5" s="198" t="s">
        <v>1470</v>
      </c>
      <c r="GF5" s="198" t="s">
        <v>1470</v>
      </c>
      <c r="GG5" s="198" t="s">
        <v>1470</v>
      </c>
      <c r="GH5" s="198" t="s">
        <v>1470</v>
      </c>
      <c r="GI5" s="198" t="s">
        <v>1470</v>
      </c>
      <c r="GJ5" s="198" t="s">
        <v>1470</v>
      </c>
      <c r="GK5" s="198" t="s">
        <v>1470</v>
      </c>
      <c r="GL5" s="198" t="s">
        <v>1470</v>
      </c>
      <c r="GM5" s="198" t="s">
        <v>1482</v>
      </c>
      <c r="GN5" s="198" t="s">
        <v>1470</v>
      </c>
      <c r="GO5" s="198" t="s">
        <v>1470</v>
      </c>
      <c r="GP5" s="198" t="s">
        <v>1470</v>
      </c>
      <c r="GQ5" s="198" t="s">
        <v>1454</v>
      </c>
      <c r="GR5" s="198" t="s">
        <v>1454</v>
      </c>
      <c r="GS5" s="198" t="s">
        <v>1454</v>
      </c>
      <c r="GT5" s="198" t="s">
        <v>1454</v>
      </c>
      <c r="GU5" s="198" t="s">
        <v>1490</v>
      </c>
      <c r="GV5" s="198" t="s">
        <v>1490</v>
      </c>
      <c r="GW5" s="198" t="s">
        <v>1454</v>
      </c>
      <c r="GX5" s="198"/>
      <c r="GY5" s="198" t="s">
        <v>1482</v>
      </c>
      <c r="GZ5" s="198" t="s">
        <v>1470</v>
      </c>
      <c r="HA5" s="198" t="s">
        <v>1470</v>
      </c>
      <c r="HB5" s="198" t="s">
        <v>1470</v>
      </c>
      <c r="HC5" s="198" t="s">
        <v>1470</v>
      </c>
      <c r="HD5" s="198" t="s">
        <v>1470</v>
      </c>
    </row>
    <row r="6">
      <c r="A6" s="234">
        <v>6.0</v>
      </c>
      <c r="B6" s="236" t="s">
        <v>1496</v>
      </c>
      <c r="C6" s="198" t="str">
        <f t="shared" ref="C6:DC6" si="5">if(countif(DD:DD,$B6),INDIRECT(concat("B",$A6)),"")</f>
        <v/>
      </c>
      <c r="D6" s="198" t="str">
        <f t="shared" si="5"/>
        <v/>
      </c>
      <c r="E6" s="198" t="str">
        <f t="shared" si="5"/>
        <v/>
      </c>
      <c r="F6" s="198" t="str">
        <f t="shared" si="5"/>
        <v/>
      </c>
      <c r="G6" s="198" t="str">
        <f t="shared" si="5"/>
        <v/>
      </c>
      <c r="H6" s="198" t="str">
        <f t="shared" si="5"/>
        <v/>
      </c>
      <c r="I6" s="198" t="str">
        <f t="shared" si="5"/>
        <v/>
      </c>
      <c r="J6" s="198" t="str">
        <f t="shared" si="5"/>
        <v/>
      </c>
      <c r="K6" s="198" t="str">
        <f t="shared" si="5"/>
        <v/>
      </c>
      <c r="L6" s="198" t="str">
        <f t="shared" si="5"/>
        <v/>
      </c>
      <c r="M6" s="198" t="str">
        <f t="shared" si="5"/>
        <v/>
      </c>
      <c r="N6" s="198" t="str">
        <f t="shared" si="5"/>
        <v/>
      </c>
      <c r="O6" s="198" t="str">
        <f t="shared" si="5"/>
        <v/>
      </c>
      <c r="P6" s="198" t="str">
        <f t="shared" si="5"/>
        <v/>
      </c>
      <c r="Q6" s="198" t="str">
        <f t="shared" si="5"/>
        <v/>
      </c>
      <c r="R6" s="198" t="str">
        <f t="shared" si="5"/>
        <v/>
      </c>
      <c r="S6" s="198" t="str">
        <f t="shared" si="5"/>
        <v/>
      </c>
      <c r="T6" s="198" t="str">
        <f t="shared" si="5"/>
        <v/>
      </c>
      <c r="U6" s="198" t="str">
        <f t="shared" si="5"/>
        <v/>
      </c>
      <c r="V6" s="198" t="str">
        <f t="shared" si="5"/>
        <v/>
      </c>
      <c r="W6" s="198" t="str">
        <f t="shared" si="5"/>
        <v/>
      </c>
      <c r="X6" s="198" t="str">
        <f t="shared" si="5"/>
        <v/>
      </c>
      <c r="Y6" s="198" t="str">
        <f t="shared" si="5"/>
        <v/>
      </c>
      <c r="Z6" s="198" t="str">
        <f t="shared" si="5"/>
        <v/>
      </c>
      <c r="AA6" s="198" t="str">
        <f t="shared" si="5"/>
        <v/>
      </c>
      <c r="AB6" s="198" t="str">
        <f t="shared" si="5"/>
        <v/>
      </c>
      <c r="AC6" s="198" t="str">
        <f t="shared" si="5"/>
        <v/>
      </c>
      <c r="AD6" s="198" t="str">
        <f t="shared" si="5"/>
        <v/>
      </c>
      <c r="AE6" s="198" t="str">
        <f t="shared" si="5"/>
        <v/>
      </c>
      <c r="AF6" s="198" t="str">
        <f t="shared" si="5"/>
        <v/>
      </c>
      <c r="AG6" s="198" t="str">
        <f t="shared" si="5"/>
        <v/>
      </c>
      <c r="AH6" s="198" t="str">
        <f t="shared" si="5"/>
        <v/>
      </c>
      <c r="AI6" s="198" t="str">
        <f t="shared" si="5"/>
        <v/>
      </c>
      <c r="AJ6" s="198" t="str">
        <f t="shared" si="5"/>
        <v/>
      </c>
      <c r="AK6" s="198" t="str">
        <f t="shared" si="5"/>
        <v/>
      </c>
      <c r="AL6" s="198" t="str">
        <f t="shared" si="5"/>
        <v/>
      </c>
      <c r="AM6" s="198" t="str">
        <f t="shared" si="5"/>
        <v/>
      </c>
      <c r="AN6" s="198" t="str">
        <f t="shared" si="5"/>
        <v/>
      </c>
      <c r="AO6" s="198" t="str">
        <f t="shared" si="5"/>
        <v/>
      </c>
      <c r="AP6" s="198" t="str">
        <f t="shared" si="5"/>
        <v/>
      </c>
      <c r="AQ6" s="198" t="str">
        <f t="shared" si="5"/>
        <v/>
      </c>
      <c r="AR6" s="198" t="str">
        <f t="shared" si="5"/>
        <v/>
      </c>
      <c r="AS6" s="198" t="str">
        <f t="shared" si="5"/>
        <v/>
      </c>
      <c r="AT6" s="198" t="str">
        <f t="shared" si="5"/>
        <v/>
      </c>
      <c r="AU6" s="198" t="str">
        <f t="shared" si="5"/>
        <v/>
      </c>
      <c r="AV6" s="198" t="str">
        <f t="shared" si="5"/>
        <v/>
      </c>
      <c r="AW6" s="198" t="str">
        <f t="shared" si="5"/>
        <v/>
      </c>
      <c r="AX6" s="198" t="str">
        <f t="shared" si="5"/>
        <v/>
      </c>
      <c r="AY6" s="198" t="str">
        <f t="shared" si="5"/>
        <v/>
      </c>
      <c r="AZ6" s="198" t="str">
        <f t="shared" si="5"/>
        <v/>
      </c>
      <c r="BA6" s="198" t="str">
        <f t="shared" si="5"/>
        <v/>
      </c>
      <c r="BB6" s="198" t="str">
        <f t="shared" si="5"/>
        <v/>
      </c>
      <c r="BC6" s="198" t="str">
        <f t="shared" si="5"/>
        <v/>
      </c>
      <c r="BD6" s="198" t="str">
        <f t="shared" si="5"/>
        <v/>
      </c>
      <c r="BE6" s="198" t="str">
        <f t="shared" si="5"/>
        <v/>
      </c>
      <c r="BF6" s="198" t="str">
        <f t="shared" si="5"/>
        <v/>
      </c>
      <c r="BG6" s="198" t="str">
        <f t="shared" si="5"/>
        <v/>
      </c>
      <c r="BH6" s="198" t="str">
        <f t="shared" si="5"/>
        <v/>
      </c>
      <c r="BI6" s="198" t="str">
        <f t="shared" si="5"/>
        <v/>
      </c>
      <c r="BJ6" s="198" t="str">
        <f t="shared" si="5"/>
        <v/>
      </c>
      <c r="BK6" s="198" t="str">
        <f t="shared" si="5"/>
        <v/>
      </c>
      <c r="BL6" s="198" t="str">
        <f t="shared" si="5"/>
        <v/>
      </c>
      <c r="BM6" s="198" t="str">
        <f t="shared" si="5"/>
        <v/>
      </c>
      <c r="BN6" s="198" t="str">
        <f t="shared" si="5"/>
        <v/>
      </c>
      <c r="BO6" s="198" t="str">
        <f t="shared" si="5"/>
        <v/>
      </c>
      <c r="BP6" s="198" t="str">
        <f t="shared" si="5"/>
        <v/>
      </c>
      <c r="BQ6" s="198" t="str">
        <f t="shared" si="5"/>
        <v/>
      </c>
      <c r="BR6" s="198" t="str">
        <f t="shared" si="5"/>
        <v/>
      </c>
      <c r="BS6" s="198" t="str">
        <f t="shared" si="5"/>
        <v/>
      </c>
      <c r="BT6" s="198" t="str">
        <f t="shared" si="5"/>
        <v/>
      </c>
      <c r="BU6" s="198" t="str">
        <f t="shared" si="5"/>
        <v/>
      </c>
      <c r="BV6" s="198" t="str">
        <f t="shared" si="5"/>
        <v/>
      </c>
      <c r="BW6" s="198" t="str">
        <f t="shared" si="5"/>
        <v/>
      </c>
      <c r="BX6" s="198" t="str">
        <f t="shared" si="5"/>
        <v/>
      </c>
      <c r="BY6" s="198" t="str">
        <f t="shared" si="5"/>
        <v/>
      </c>
      <c r="BZ6" s="198" t="str">
        <f t="shared" si="5"/>
        <v/>
      </c>
      <c r="CA6" s="198" t="str">
        <f t="shared" si="5"/>
        <v/>
      </c>
      <c r="CB6" s="198" t="str">
        <f t="shared" si="5"/>
        <v/>
      </c>
      <c r="CC6" s="198" t="str">
        <f t="shared" si="5"/>
        <v/>
      </c>
      <c r="CD6" s="198" t="str">
        <f t="shared" si="5"/>
        <v/>
      </c>
      <c r="CE6" s="198" t="str">
        <f t="shared" si="5"/>
        <v/>
      </c>
      <c r="CF6" s="198" t="str">
        <f t="shared" si="5"/>
        <v/>
      </c>
      <c r="CG6" s="198" t="str">
        <f t="shared" si="5"/>
        <v/>
      </c>
      <c r="CH6" s="198" t="str">
        <f t="shared" si="5"/>
        <v>1.11.1.21</v>
      </c>
      <c r="CI6" s="198" t="str">
        <f t="shared" si="5"/>
        <v/>
      </c>
      <c r="CJ6" s="198" t="str">
        <f t="shared" si="5"/>
        <v/>
      </c>
      <c r="CK6" s="198" t="str">
        <f t="shared" si="5"/>
        <v/>
      </c>
      <c r="CL6" s="198" t="str">
        <f t="shared" si="5"/>
        <v/>
      </c>
      <c r="CM6" s="198" t="str">
        <f t="shared" si="5"/>
        <v/>
      </c>
      <c r="CN6" s="198" t="str">
        <f t="shared" si="5"/>
        <v/>
      </c>
      <c r="CO6" s="198" t="str">
        <f t="shared" si="5"/>
        <v/>
      </c>
      <c r="CP6" s="198" t="str">
        <f t="shared" si="5"/>
        <v/>
      </c>
      <c r="CQ6" s="198" t="str">
        <f t="shared" si="5"/>
        <v/>
      </c>
      <c r="CR6" s="198" t="str">
        <f t="shared" si="5"/>
        <v/>
      </c>
      <c r="CS6" s="198" t="str">
        <f t="shared" si="5"/>
        <v/>
      </c>
      <c r="CT6" s="198" t="str">
        <f t="shared" si="5"/>
        <v/>
      </c>
      <c r="CU6" s="198" t="str">
        <f t="shared" si="5"/>
        <v/>
      </c>
      <c r="CV6" s="198" t="str">
        <f t="shared" si="5"/>
        <v/>
      </c>
      <c r="CW6" s="198" t="str">
        <f t="shared" si="5"/>
        <v/>
      </c>
      <c r="CX6" s="198" t="str">
        <f t="shared" si="5"/>
        <v/>
      </c>
      <c r="CY6" s="198" t="str">
        <f t="shared" si="5"/>
        <v/>
      </c>
      <c r="CZ6" s="198" t="str">
        <f t="shared" si="5"/>
        <v/>
      </c>
      <c r="DA6" s="198" t="str">
        <f t="shared" si="5"/>
        <v/>
      </c>
      <c r="DB6" s="198" t="str">
        <f t="shared" si="5"/>
        <v/>
      </c>
      <c r="DC6" s="198" t="str">
        <f t="shared" si="5"/>
        <v/>
      </c>
      <c r="DD6" s="198" t="s">
        <v>1455</v>
      </c>
      <c r="DE6" s="198" t="s">
        <v>1455</v>
      </c>
      <c r="DF6" s="198" t="s">
        <v>1455</v>
      </c>
      <c r="DG6" s="198" t="s">
        <v>1455</v>
      </c>
      <c r="DH6" s="198" t="s">
        <v>1454</v>
      </c>
      <c r="DI6" s="198" t="s">
        <v>1456</v>
      </c>
      <c r="DJ6" s="198" t="s">
        <v>1455</v>
      </c>
      <c r="DK6" s="198"/>
      <c r="DL6" s="198"/>
      <c r="DM6" s="198" t="s">
        <v>1455</v>
      </c>
      <c r="DN6" s="198" t="s">
        <v>1455</v>
      </c>
      <c r="DO6" s="198" t="s">
        <v>1455</v>
      </c>
      <c r="DP6" s="198" t="s">
        <v>1455</v>
      </c>
      <c r="DQ6" s="198" t="s">
        <v>1455</v>
      </c>
      <c r="DR6" s="198" t="s">
        <v>1454</v>
      </c>
      <c r="DS6" s="198" t="s">
        <v>1455</v>
      </c>
      <c r="DT6" s="198" t="s">
        <v>1455</v>
      </c>
      <c r="DU6" s="198" t="s">
        <v>1455</v>
      </c>
      <c r="DV6" s="198" t="s">
        <v>1461</v>
      </c>
      <c r="DW6" s="198" t="s">
        <v>1461</v>
      </c>
      <c r="DX6" s="198"/>
      <c r="DY6" s="198"/>
      <c r="DZ6" s="198"/>
      <c r="EA6" s="198" t="s">
        <v>1454</v>
      </c>
      <c r="EB6" s="198" t="s">
        <v>1455</v>
      </c>
      <c r="EC6" s="198" t="s">
        <v>1455</v>
      </c>
      <c r="ED6" s="198"/>
      <c r="EE6" s="198" t="s">
        <v>1457</v>
      </c>
      <c r="EF6" s="198" t="s">
        <v>1484</v>
      </c>
      <c r="EG6" s="198" t="s">
        <v>1457</v>
      </c>
      <c r="EH6" s="198" t="s">
        <v>1457</v>
      </c>
      <c r="EI6" s="198" t="s">
        <v>1457</v>
      </c>
      <c r="EJ6" s="198"/>
      <c r="EK6" s="198" t="s">
        <v>1461</v>
      </c>
      <c r="EL6" s="198" t="s">
        <v>1455</v>
      </c>
      <c r="EM6" s="198" t="s">
        <v>1461</v>
      </c>
      <c r="EN6" s="198" t="s">
        <v>1461</v>
      </c>
      <c r="EO6" s="198" t="s">
        <v>1461</v>
      </c>
      <c r="EP6" s="198" t="s">
        <v>1461</v>
      </c>
      <c r="EQ6" s="198" t="s">
        <v>1461</v>
      </c>
      <c r="ER6" s="198" t="s">
        <v>1461</v>
      </c>
      <c r="ES6" s="198"/>
      <c r="ET6" s="198" t="s">
        <v>1461</v>
      </c>
      <c r="EU6" s="198" t="s">
        <v>1461</v>
      </c>
      <c r="EV6" s="198" t="s">
        <v>1461</v>
      </c>
      <c r="EW6" s="198" t="s">
        <v>1461</v>
      </c>
      <c r="EX6" s="198" t="s">
        <v>1461</v>
      </c>
      <c r="EY6" s="198" t="s">
        <v>1461</v>
      </c>
      <c r="EZ6" s="198" t="s">
        <v>1461</v>
      </c>
      <c r="FA6" s="198" t="s">
        <v>1461</v>
      </c>
      <c r="FB6" s="198" t="s">
        <v>1461</v>
      </c>
      <c r="FC6" s="198" t="s">
        <v>1461</v>
      </c>
      <c r="FD6" s="198" t="s">
        <v>1461</v>
      </c>
      <c r="FE6" s="198" t="s">
        <v>1461</v>
      </c>
      <c r="FF6" s="198" t="s">
        <v>1461</v>
      </c>
      <c r="FG6" s="198" t="s">
        <v>1461</v>
      </c>
      <c r="FH6" s="198"/>
      <c r="FI6" s="198"/>
      <c r="FJ6" s="198" t="s">
        <v>1477</v>
      </c>
      <c r="FK6" s="198"/>
      <c r="FL6" s="198" t="s">
        <v>1461</v>
      </c>
      <c r="FM6" s="198" t="s">
        <v>1461</v>
      </c>
      <c r="FN6" s="198" t="s">
        <v>1461</v>
      </c>
      <c r="FO6" s="198" t="s">
        <v>1461</v>
      </c>
      <c r="FP6" s="198" t="s">
        <v>1461</v>
      </c>
      <c r="FQ6" s="198" t="s">
        <v>1461</v>
      </c>
      <c r="FR6" s="198" t="s">
        <v>1461</v>
      </c>
      <c r="FS6" s="198" t="s">
        <v>1470</v>
      </c>
      <c r="FT6" s="198" t="s">
        <v>1482</v>
      </c>
      <c r="FU6" s="198" t="s">
        <v>1470</v>
      </c>
      <c r="FV6" s="198"/>
      <c r="FW6" s="198"/>
      <c r="FX6" s="198" t="s">
        <v>1461</v>
      </c>
      <c r="FY6" s="198" t="s">
        <v>1461</v>
      </c>
      <c r="FZ6" s="198" t="s">
        <v>1461</v>
      </c>
      <c r="GA6" s="198" t="s">
        <v>1461</v>
      </c>
      <c r="GB6" s="198" t="s">
        <v>1461</v>
      </c>
      <c r="GC6" s="198" t="s">
        <v>1461</v>
      </c>
      <c r="GD6" s="198" t="s">
        <v>1461</v>
      </c>
      <c r="GE6" s="198" t="s">
        <v>1461</v>
      </c>
      <c r="GF6" s="198" t="s">
        <v>1461</v>
      </c>
      <c r="GG6" s="198" t="s">
        <v>1461</v>
      </c>
      <c r="GH6" s="198" t="s">
        <v>1461</v>
      </c>
      <c r="GI6" s="198" t="s">
        <v>1461</v>
      </c>
      <c r="GJ6" s="198" t="s">
        <v>1461</v>
      </c>
      <c r="GK6" s="198" t="s">
        <v>1461</v>
      </c>
      <c r="GL6" s="198" t="s">
        <v>1461</v>
      </c>
      <c r="GM6" s="198" t="s">
        <v>1470</v>
      </c>
      <c r="GN6" s="198" t="s">
        <v>1461</v>
      </c>
      <c r="GO6" s="198" t="s">
        <v>1461</v>
      </c>
      <c r="GP6" s="198" t="s">
        <v>1461</v>
      </c>
      <c r="GQ6" s="198" t="s">
        <v>1455</v>
      </c>
      <c r="GR6" s="198" t="s">
        <v>1455</v>
      </c>
      <c r="GS6" s="198" t="s">
        <v>1455</v>
      </c>
      <c r="GT6" s="198" t="s">
        <v>1455</v>
      </c>
      <c r="GU6" s="198" t="s">
        <v>1454</v>
      </c>
      <c r="GV6" s="198" t="s">
        <v>1454</v>
      </c>
      <c r="GW6" s="198" t="s">
        <v>1455</v>
      </c>
      <c r="GX6" s="198"/>
      <c r="GY6" s="198" t="s">
        <v>1470</v>
      </c>
      <c r="GZ6" s="198" t="s">
        <v>1461</v>
      </c>
      <c r="HA6" s="198" t="s">
        <v>1461</v>
      </c>
      <c r="HB6" s="198" t="s">
        <v>1477</v>
      </c>
      <c r="HC6" s="198" t="s">
        <v>1461</v>
      </c>
      <c r="HD6" s="198" t="s">
        <v>1461</v>
      </c>
    </row>
    <row r="7">
      <c r="A7" s="234">
        <v>7.0</v>
      </c>
      <c r="B7" s="236" t="s">
        <v>1454</v>
      </c>
      <c r="C7" s="198" t="str">
        <f t="shared" ref="C7:DC7" si="6">if(countif(DD:DD,$B7),INDIRECT(concat("B",$A7)),"")</f>
        <v>1.11.1.27</v>
      </c>
      <c r="D7" s="198" t="str">
        <f t="shared" si="6"/>
        <v>1.11.1.27</v>
      </c>
      <c r="E7" s="198" t="str">
        <f t="shared" si="6"/>
        <v>1.11.1.27</v>
      </c>
      <c r="F7" s="198" t="str">
        <f t="shared" si="6"/>
        <v>1.11.1.27</v>
      </c>
      <c r="G7" s="198" t="str">
        <f t="shared" si="6"/>
        <v>1.11.1.27</v>
      </c>
      <c r="H7" s="198" t="str">
        <f t="shared" si="6"/>
        <v>1.11.1.27</v>
      </c>
      <c r="I7" s="198" t="str">
        <f t="shared" si="6"/>
        <v>1.11.1.27</v>
      </c>
      <c r="J7" s="198" t="str">
        <f t="shared" si="6"/>
        <v/>
      </c>
      <c r="K7" s="198" t="str">
        <f t="shared" si="6"/>
        <v>1.11.1.27</v>
      </c>
      <c r="L7" s="198" t="str">
        <f t="shared" si="6"/>
        <v>1.11.1.27</v>
      </c>
      <c r="M7" s="198" t="str">
        <f t="shared" si="6"/>
        <v>1.11.1.27</v>
      </c>
      <c r="N7" s="198" t="str">
        <f t="shared" si="6"/>
        <v>1.11.1.27</v>
      </c>
      <c r="O7" s="198" t="str">
        <f t="shared" si="6"/>
        <v>1.11.1.27</v>
      </c>
      <c r="P7" s="198" t="str">
        <f t="shared" si="6"/>
        <v>1.11.1.27</v>
      </c>
      <c r="Q7" s="198" t="str">
        <f t="shared" si="6"/>
        <v>1.11.1.27</v>
      </c>
      <c r="R7" s="198" t="str">
        <f t="shared" si="6"/>
        <v>1.11.1.27</v>
      </c>
      <c r="S7" s="198" t="str">
        <f t="shared" si="6"/>
        <v>1.11.1.27</v>
      </c>
      <c r="T7" s="198" t="str">
        <f t="shared" si="6"/>
        <v>1.11.1.27</v>
      </c>
      <c r="U7" s="198" t="str">
        <f t="shared" si="6"/>
        <v>1.11.1.27</v>
      </c>
      <c r="V7" s="198" t="str">
        <f t="shared" si="6"/>
        <v>1.11.1.27</v>
      </c>
      <c r="W7" s="198" t="str">
        <f t="shared" si="6"/>
        <v/>
      </c>
      <c r="X7" s="198" t="str">
        <f t="shared" si="6"/>
        <v>1.11.1.27</v>
      </c>
      <c r="Y7" s="198" t="str">
        <f t="shared" si="6"/>
        <v>1.11.1.27</v>
      </c>
      <c r="Z7" s="198" t="str">
        <f t="shared" si="6"/>
        <v>1.11.1.27</v>
      </c>
      <c r="AA7" s="198" t="str">
        <f t="shared" si="6"/>
        <v>1.11.1.27</v>
      </c>
      <c r="AB7" s="198" t="str">
        <f t="shared" si="6"/>
        <v>1.11.1.27</v>
      </c>
      <c r="AC7" s="198" t="str">
        <f t="shared" si="6"/>
        <v>1.11.1.27</v>
      </c>
      <c r="AD7" s="198" t="str">
        <f t="shared" si="6"/>
        <v>1.11.1.27</v>
      </c>
      <c r="AE7" s="198" t="str">
        <f t="shared" si="6"/>
        <v>1.11.1.27</v>
      </c>
      <c r="AF7" s="198" t="str">
        <f t="shared" si="6"/>
        <v>1.11.1.27</v>
      </c>
      <c r="AG7" s="198" t="str">
        <f t="shared" si="6"/>
        <v>1.11.1.27</v>
      </c>
      <c r="AH7" s="198" t="str">
        <f t="shared" si="6"/>
        <v>1.11.1.27</v>
      </c>
      <c r="AI7" s="198" t="str">
        <f t="shared" si="6"/>
        <v>1.11.1.27</v>
      </c>
      <c r="AJ7" s="198" t="str">
        <f t="shared" si="6"/>
        <v>1.11.1.27</v>
      </c>
      <c r="AK7" s="198" t="str">
        <f t="shared" si="6"/>
        <v>1.11.1.27</v>
      </c>
      <c r="AL7" s="198" t="str">
        <f t="shared" si="6"/>
        <v/>
      </c>
      <c r="AM7" s="198" t="str">
        <f t="shared" si="6"/>
        <v>1.11.1.27</v>
      </c>
      <c r="AN7" s="198" t="str">
        <f t="shared" si="6"/>
        <v>1.11.1.27</v>
      </c>
      <c r="AO7" s="198" t="str">
        <f t="shared" si="6"/>
        <v>1.11.1.27</v>
      </c>
      <c r="AP7" s="198" t="str">
        <f t="shared" si="6"/>
        <v>1.11.1.27</v>
      </c>
      <c r="AQ7" s="198" t="str">
        <f t="shared" si="6"/>
        <v>1.11.1.27</v>
      </c>
      <c r="AR7" s="198" t="str">
        <f t="shared" si="6"/>
        <v/>
      </c>
      <c r="AS7" s="198" t="str">
        <f t="shared" si="6"/>
        <v>1.11.1.27</v>
      </c>
      <c r="AT7" s="198" t="str">
        <f t="shared" si="6"/>
        <v>1.11.1.27</v>
      </c>
      <c r="AU7" s="198" t="str">
        <f t="shared" si="6"/>
        <v>1.11.1.27</v>
      </c>
      <c r="AV7" s="198" t="str">
        <f t="shared" si="6"/>
        <v>1.11.1.27</v>
      </c>
      <c r="AW7" s="198" t="str">
        <f t="shared" si="6"/>
        <v>1.11.1.27</v>
      </c>
      <c r="AX7" s="198" t="str">
        <f t="shared" si="6"/>
        <v>1.11.1.27</v>
      </c>
      <c r="AY7" s="198" t="str">
        <f t="shared" si="6"/>
        <v>1.11.1.27</v>
      </c>
      <c r="AZ7" s="198" t="str">
        <f t="shared" si="6"/>
        <v>1.11.1.27</v>
      </c>
      <c r="BA7" s="198" t="str">
        <f t="shared" si="6"/>
        <v>1.11.1.27</v>
      </c>
      <c r="BB7" s="198" t="str">
        <f t="shared" si="6"/>
        <v>1.11.1.27</v>
      </c>
      <c r="BC7" s="198" t="str">
        <f t="shared" si="6"/>
        <v>1.11.1.27</v>
      </c>
      <c r="BD7" s="198" t="str">
        <f t="shared" si="6"/>
        <v>1.11.1.27</v>
      </c>
      <c r="BE7" s="198" t="str">
        <f t="shared" si="6"/>
        <v>1.11.1.27</v>
      </c>
      <c r="BF7" s="198" t="str">
        <f t="shared" si="6"/>
        <v>1.11.1.27</v>
      </c>
      <c r="BG7" s="198" t="str">
        <f t="shared" si="6"/>
        <v/>
      </c>
      <c r="BH7" s="198" t="str">
        <f t="shared" si="6"/>
        <v/>
      </c>
      <c r="BI7" s="198" t="str">
        <f t="shared" si="6"/>
        <v>1.11.1.27</v>
      </c>
      <c r="BJ7" s="198" t="str">
        <f t="shared" si="6"/>
        <v>1.11.1.27</v>
      </c>
      <c r="BK7" s="198" t="str">
        <f t="shared" si="6"/>
        <v>1.11.1.27</v>
      </c>
      <c r="BL7" s="198" t="str">
        <f t="shared" si="6"/>
        <v>1.11.1.27</v>
      </c>
      <c r="BM7" s="198" t="str">
        <f t="shared" si="6"/>
        <v>1.11.1.27</v>
      </c>
      <c r="BN7" s="198" t="str">
        <f t="shared" si="6"/>
        <v>1.11.1.27</v>
      </c>
      <c r="BO7" s="198" t="str">
        <f t="shared" si="6"/>
        <v>1.11.1.27</v>
      </c>
      <c r="BP7" s="198" t="str">
        <f t="shared" si="6"/>
        <v>1.11.1.27</v>
      </c>
      <c r="BQ7" s="198" t="str">
        <f t="shared" si="6"/>
        <v>1.11.1.27</v>
      </c>
      <c r="BR7" s="198" t="str">
        <f t="shared" si="6"/>
        <v>1.11.1.27</v>
      </c>
      <c r="BS7" s="198" t="str">
        <f t="shared" si="6"/>
        <v>1.11.1.27</v>
      </c>
      <c r="BT7" s="198" t="str">
        <f t="shared" si="6"/>
        <v>1.11.1.27</v>
      </c>
      <c r="BU7" s="198" t="str">
        <f t="shared" si="6"/>
        <v/>
      </c>
      <c r="BV7" s="198" t="str">
        <f t="shared" si="6"/>
        <v/>
      </c>
      <c r="BW7" s="198" t="str">
        <f t="shared" si="6"/>
        <v>1.11.1.27</v>
      </c>
      <c r="BX7" s="198" t="str">
        <f t="shared" si="6"/>
        <v/>
      </c>
      <c r="BY7" s="198" t="str">
        <f t="shared" si="6"/>
        <v>1.11.1.27</v>
      </c>
      <c r="BZ7" s="198" t="str">
        <f t="shared" si="6"/>
        <v>1.11.1.27</v>
      </c>
      <c r="CA7" s="198" t="str">
        <f t="shared" si="6"/>
        <v>1.11.1.27</v>
      </c>
      <c r="CB7" s="198" t="str">
        <f t="shared" si="6"/>
        <v>1.11.1.27</v>
      </c>
      <c r="CC7" s="198" t="str">
        <f t="shared" si="6"/>
        <v>1.11.1.27</v>
      </c>
      <c r="CD7" s="198" t="str">
        <f t="shared" si="6"/>
        <v>1.11.1.27</v>
      </c>
      <c r="CE7" s="198" t="str">
        <f t="shared" si="6"/>
        <v>1.11.1.27</v>
      </c>
      <c r="CF7" s="198" t="str">
        <f t="shared" si="6"/>
        <v>1.11.1.27</v>
      </c>
      <c r="CG7" s="198" t="str">
        <f t="shared" si="6"/>
        <v>1.11.1.27</v>
      </c>
      <c r="CH7" s="198" t="str">
        <f t="shared" si="6"/>
        <v>1.11.1.27</v>
      </c>
      <c r="CI7" s="198" t="str">
        <f t="shared" si="6"/>
        <v>1.11.1.27</v>
      </c>
      <c r="CJ7" s="198" t="str">
        <f t="shared" si="6"/>
        <v>1.11.1.27</v>
      </c>
      <c r="CK7" s="198" t="str">
        <f t="shared" si="6"/>
        <v>1.11.1.27</v>
      </c>
      <c r="CL7" s="198" t="str">
        <f t="shared" si="6"/>
        <v>1.11.1.27</v>
      </c>
      <c r="CM7" s="198" t="str">
        <f t="shared" si="6"/>
        <v>1.11.1.27</v>
      </c>
      <c r="CN7" s="198" t="str">
        <f t="shared" si="6"/>
        <v>1.11.1.27</v>
      </c>
      <c r="CO7" s="198" t="str">
        <f t="shared" si="6"/>
        <v>1.11.1.27</v>
      </c>
      <c r="CP7" s="198" t="str">
        <f t="shared" si="6"/>
        <v>1.11.1.27</v>
      </c>
      <c r="CQ7" s="198" t="str">
        <f t="shared" si="6"/>
        <v>1.11.1.27</v>
      </c>
      <c r="CR7" s="198" t="str">
        <f t="shared" si="6"/>
        <v>1.11.1.27</v>
      </c>
      <c r="CS7" s="198" t="str">
        <f t="shared" si="6"/>
        <v>1.11.1.27</v>
      </c>
      <c r="CT7" s="198" t="str">
        <f t="shared" si="6"/>
        <v>1.11.1.27</v>
      </c>
      <c r="CU7" s="198" t="str">
        <f t="shared" si="6"/>
        <v>1.11.1.27</v>
      </c>
      <c r="CV7" s="198" t="str">
        <f t="shared" si="6"/>
        <v>1.11.1.27</v>
      </c>
      <c r="CW7" s="198" t="str">
        <f t="shared" si="6"/>
        <v/>
      </c>
      <c r="CX7" s="198" t="str">
        <f t="shared" si="6"/>
        <v>1.11.1.27</v>
      </c>
      <c r="CY7" s="198" t="str">
        <f t="shared" si="6"/>
        <v>1.11.1.27</v>
      </c>
      <c r="CZ7" s="198" t="str">
        <f t="shared" si="6"/>
        <v>1.11.1.27</v>
      </c>
      <c r="DA7" s="198" t="str">
        <f t="shared" si="6"/>
        <v>1.11.1.27</v>
      </c>
      <c r="DB7" s="198" t="str">
        <f t="shared" si="6"/>
        <v>1.11.1.27</v>
      </c>
      <c r="DC7" s="198" t="str">
        <f t="shared" si="6"/>
        <v>1.11.1.27</v>
      </c>
      <c r="DD7" s="198" t="s">
        <v>1456</v>
      </c>
      <c r="DE7" s="198" t="s">
        <v>1456</v>
      </c>
      <c r="DF7" s="198" t="s">
        <v>1456</v>
      </c>
      <c r="DG7" s="198" t="s">
        <v>1456</v>
      </c>
      <c r="DH7" s="198" t="s">
        <v>1455</v>
      </c>
      <c r="DI7" s="198" t="s">
        <v>1484</v>
      </c>
      <c r="DJ7" s="198" t="s">
        <v>1456</v>
      </c>
      <c r="DK7" s="198"/>
      <c r="DL7" s="198"/>
      <c r="DM7" s="198" t="s">
        <v>1456</v>
      </c>
      <c r="DN7" s="198" t="s">
        <v>1456</v>
      </c>
      <c r="DO7" s="198" t="s">
        <v>1456</v>
      </c>
      <c r="DP7" s="198" t="s">
        <v>1456</v>
      </c>
      <c r="DQ7" s="198" t="s">
        <v>1456</v>
      </c>
      <c r="DR7" s="198" t="s">
        <v>1455</v>
      </c>
      <c r="DS7" s="198" t="s">
        <v>1456</v>
      </c>
      <c r="DT7" s="198" t="s">
        <v>1456</v>
      </c>
      <c r="DU7" s="198" t="s">
        <v>1456</v>
      </c>
      <c r="DV7" s="198" t="s">
        <v>1477</v>
      </c>
      <c r="DW7" s="198" t="s">
        <v>1477</v>
      </c>
      <c r="DX7" s="198"/>
      <c r="DY7" s="198"/>
      <c r="DZ7" s="198"/>
      <c r="EA7" s="198" t="s">
        <v>1455</v>
      </c>
      <c r="EB7" s="198" t="s">
        <v>1456</v>
      </c>
      <c r="EC7" s="198" t="s">
        <v>1456</v>
      </c>
      <c r="ED7" s="198"/>
      <c r="EE7" s="198" t="s">
        <v>1459</v>
      </c>
      <c r="EF7" s="198" t="s">
        <v>1457</v>
      </c>
      <c r="EG7" s="198" t="s">
        <v>1459</v>
      </c>
      <c r="EH7" s="198" t="s">
        <v>1459</v>
      </c>
      <c r="EI7" s="198" t="s">
        <v>1459</v>
      </c>
      <c r="EJ7" s="198"/>
      <c r="EK7" s="198" t="s">
        <v>1477</v>
      </c>
      <c r="EL7" s="198" t="s">
        <v>1456</v>
      </c>
      <c r="EM7" s="198" t="s">
        <v>1477</v>
      </c>
      <c r="EN7" s="198" t="s">
        <v>1477</v>
      </c>
      <c r="EO7" s="198" t="s">
        <v>1477</v>
      </c>
      <c r="EP7" s="198" t="s">
        <v>1477</v>
      </c>
      <c r="EQ7" s="198" t="s">
        <v>1477</v>
      </c>
      <c r="ER7" s="198" t="s">
        <v>1477</v>
      </c>
      <c r="ES7" s="198"/>
      <c r="ET7" s="198" t="s">
        <v>1477</v>
      </c>
      <c r="EU7" s="198" t="s">
        <v>1477</v>
      </c>
      <c r="EV7" s="198" t="s">
        <v>1477</v>
      </c>
      <c r="EW7" s="198" t="s">
        <v>1477</v>
      </c>
      <c r="EX7" s="198" t="s">
        <v>1477</v>
      </c>
      <c r="EY7" s="198" t="s">
        <v>1477</v>
      </c>
      <c r="EZ7" s="198" t="s">
        <v>1477</v>
      </c>
      <c r="FA7" s="198" t="s">
        <v>1477</v>
      </c>
      <c r="FB7" s="198" t="s">
        <v>1477</v>
      </c>
      <c r="FC7" s="198" t="s">
        <v>1477</v>
      </c>
      <c r="FD7" s="198" t="s">
        <v>1477</v>
      </c>
      <c r="FE7" s="198" t="s">
        <v>1477</v>
      </c>
      <c r="FF7" s="198" t="s">
        <v>1477</v>
      </c>
      <c r="FG7" s="198" t="s">
        <v>1477</v>
      </c>
      <c r="FH7" s="198"/>
      <c r="FI7" s="198"/>
      <c r="FJ7" s="198" t="s">
        <v>1469</v>
      </c>
      <c r="FK7" s="198"/>
      <c r="FL7" s="198" t="s">
        <v>1477</v>
      </c>
      <c r="FM7" s="198" t="s">
        <v>1477</v>
      </c>
      <c r="FN7" s="198" t="s">
        <v>1477</v>
      </c>
      <c r="FO7" s="198" t="s">
        <v>1477</v>
      </c>
      <c r="FP7" s="198" t="s">
        <v>1477</v>
      </c>
      <c r="FQ7" s="198" t="s">
        <v>1477</v>
      </c>
      <c r="FR7" s="198" t="s">
        <v>1477</v>
      </c>
      <c r="FS7" s="198" t="s">
        <v>1461</v>
      </c>
      <c r="FT7" s="198" t="s">
        <v>1470</v>
      </c>
      <c r="FU7" s="198" t="s">
        <v>1461</v>
      </c>
      <c r="FV7" s="198"/>
      <c r="FW7" s="198"/>
      <c r="FX7" s="198" t="s">
        <v>1477</v>
      </c>
      <c r="FY7" s="198" t="s">
        <v>1477</v>
      </c>
      <c r="FZ7" s="198" t="s">
        <v>1477</v>
      </c>
      <c r="GA7" s="198" t="s">
        <v>1477</v>
      </c>
      <c r="GB7" s="198" t="s">
        <v>1477</v>
      </c>
      <c r="GC7" s="198" t="s">
        <v>1477</v>
      </c>
      <c r="GD7" s="198" t="s">
        <v>1477</v>
      </c>
      <c r="GE7" s="198" t="s">
        <v>1477</v>
      </c>
      <c r="GF7" s="198" t="s">
        <v>1477</v>
      </c>
      <c r="GG7" s="198" t="s">
        <v>1477</v>
      </c>
      <c r="GH7" s="198" t="s">
        <v>1477</v>
      </c>
      <c r="GI7" s="198" t="s">
        <v>1477</v>
      </c>
      <c r="GJ7" s="198" t="s">
        <v>1477</v>
      </c>
      <c r="GK7" s="198" t="s">
        <v>1477</v>
      </c>
      <c r="GL7" s="198" t="s">
        <v>1477</v>
      </c>
      <c r="GM7" s="198" t="s">
        <v>1461</v>
      </c>
      <c r="GN7" s="198" t="s">
        <v>1477</v>
      </c>
      <c r="GO7" s="198" t="s">
        <v>1477</v>
      </c>
      <c r="GP7" s="198" t="s">
        <v>1477</v>
      </c>
      <c r="GQ7" s="198" t="s">
        <v>1456</v>
      </c>
      <c r="GR7" s="198" t="s">
        <v>1456</v>
      </c>
      <c r="GS7" s="198" t="s">
        <v>1456</v>
      </c>
      <c r="GT7" s="198" t="s">
        <v>1456</v>
      </c>
      <c r="GU7" s="198" t="s">
        <v>1455</v>
      </c>
      <c r="GV7" s="198" t="s">
        <v>1455</v>
      </c>
      <c r="GW7" s="198" t="s">
        <v>1456</v>
      </c>
      <c r="GX7" s="198"/>
      <c r="GY7" s="198" t="s">
        <v>1461</v>
      </c>
      <c r="GZ7" s="198" t="s">
        <v>1477</v>
      </c>
      <c r="HA7" s="198" t="s">
        <v>1477</v>
      </c>
      <c r="HB7" s="198" t="s">
        <v>1469</v>
      </c>
      <c r="HC7" s="198" t="s">
        <v>1477</v>
      </c>
      <c r="HD7" s="198" t="s">
        <v>1477</v>
      </c>
    </row>
    <row r="8">
      <c r="A8" s="234">
        <v>8.0</v>
      </c>
      <c r="B8" s="236" t="s">
        <v>1455</v>
      </c>
      <c r="C8" s="198" t="str">
        <f t="shared" ref="C8:DC8" si="7">if(countif(DD:DD,$B8),INDIRECT(concat("B",$A8)),"")</f>
        <v>1.11.1.7</v>
      </c>
      <c r="D8" s="198" t="str">
        <f t="shared" si="7"/>
        <v>1.11.1.7</v>
      </c>
      <c r="E8" s="198" t="str">
        <f t="shared" si="7"/>
        <v>1.11.1.7</v>
      </c>
      <c r="F8" s="198" t="str">
        <f t="shared" si="7"/>
        <v>1.11.1.7</v>
      </c>
      <c r="G8" s="198" t="str">
        <f t="shared" si="7"/>
        <v>1.11.1.7</v>
      </c>
      <c r="H8" s="198" t="str">
        <f t="shared" si="7"/>
        <v>1.11.1.7</v>
      </c>
      <c r="I8" s="198" t="str">
        <f t="shared" si="7"/>
        <v>1.11.1.7</v>
      </c>
      <c r="J8" s="198" t="str">
        <f t="shared" si="7"/>
        <v/>
      </c>
      <c r="K8" s="198" t="str">
        <f t="shared" si="7"/>
        <v>1.11.1.7</v>
      </c>
      <c r="L8" s="198" t="str">
        <f t="shared" si="7"/>
        <v>1.11.1.7</v>
      </c>
      <c r="M8" s="198" t="str">
        <f t="shared" si="7"/>
        <v>1.11.1.7</v>
      </c>
      <c r="N8" s="198" t="str">
        <f t="shared" si="7"/>
        <v>1.11.1.7</v>
      </c>
      <c r="O8" s="198" t="str">
        <f t="shared" si="7"/>
        <v>1.11.1.7</v>
      </c>
      <c r="P8" s="198" t="str">
        <f t="shared" si="7"/>
        <v>1.11.1.7</v>
      </c>
      <c r="Q8" s="198" t="str">
        <f t="shared" si="7"/>
        <v>1.11.1.7</v>
      </c>
      <c r="R8" s="198" t="str">
        <f t="shared" si="7"/>
        <v>1.11.1.7</v>
      </c>
      <c r="S8" s="198" t="str">
        <f t="shared" si="7"/>
        <v>1.11.1.7</v>
      </c>
      <c r="T8" s="198" t="str">
        <f t="shared" si="7"/>
        <v>1.11.1.7</v>
      </c>
      <c r="U8" s="198" t="str">
        <f t="shared" si="7"/>
        <v>1.11.1.7</v>
      </c>
      <c r="V8" s="198" t="str">
        <f t="shared" si="7"/>
        <v>1.11.1.7</v>
      </c>
      <c r="W8" s="198" t="str">
        <f t="shared" si="7"/>
        <v/>
      </c>
      <c r="X8" s="198" t="str">
        <f t="shared" si="7"/>
        <v>1.11.1.7</v>
      </c>
      <c r="Y8" s="198" t="str">
        <f t="shared" si="7"/>
        <v>1.11.1.7</v>
      </c>
      <c r="Z8" s="198" t="str">
        <f t="shared" si="7"/>
        <v>1.11.1.7</v>
      </c>
      <c r="AA8" s="198" t="str">
        <f t="shared" si="7"/>
        <v>1.11.1.7</v>
      </c>
      <c r="AB8" s="198" t="str">
        <f t="shared" si="7"/>
        <v>1.11.1.7</v>
      </c>
      <c r="AC8" s="198" t="str">
        <f t="shared" si="7"/>
        <v>1.11.1.7</v>
      </c>
      <c r="AD8" s="198" t="str">
        <f t="shared" si="7"/>
        <v>1.11.1.7</v>
      </c>
      <c r="AE8" s="198" t="str">
        <f t="shared" si="7"/>
        <v>1.11.1.7</v>
      </c>
      <c r="AF8" s="198" t="str">
        <f t="shared" si="7"/>
        <v>1.11.1.7</v>
      </c>
      <c r="AG8" s="198" t="str">
        <f t="shared" si="7"/>
        <v>1.11.1.7</v>
      </c>
      <c r="AH8" s="198" t="str">
        <f t="shared" si="7"/>
        <v>1.11.1.7</v>
      </c>
      <c r="AI8" s="198" t="str">
        <f t="shared" si="7"/>
        <v>1.11.1.7</v>
      </c>
      <c r="AJ8" s="198" t="str">
        <f t="shared" si="7"/>
        <v>1.11.1.7</v>
      </c>
      <c r="AK8" s="198" t="str">
        <f t="shared" si="7"/>
        <v>1.11.1.7</v>
      </c>
      <c r="AL8" s="198" t="str">
        <f t="shared" si="7"/>
        <v>1.11.1.7</v>
      </c>
      <c r="AM8" s="198" t="str">
        <f t="shared" si="7"/>
        <v>1.11.1.7</v>
      </c>
      <c r="AN8" s="198" t="str">
        <f t="shared" si="7"/>
        <v>1.11.1.7</v>
      </c>
      <c r="AO8" s="198" t="str">
        <f t="shared" si="7"/>
        <v>1.11.1.7</v>
      </c>
      <c r="AP8" s="198" t="str">
        <f t="shared" si="7"/>
        <v>1.11.1.7</v>
      </c>
      <c r="AQ8" s="198" t="str">
        <f t="shared" si="7"/>
        <v>1.11.1.7</v>
      </c>
      <c r="AR8" s="198" t="str">
        <f t="shared" si="7"/>
        <v/>
      </c>
      <c r="AS8" s="198" t="str">
        <f t="shared" si="7"/>
        <v>1.11.1.7</v>
      </c>
      <c r="AT8" s="198" t="str">
        <f t="shared" si="7"/>
        <v>1.11.1.7</v>
      </c>
      <c r="AU8" s="198" t="str">
        <f t="shared" si="7"/>
        <v>1.11.1.7</v>
      </c>
      <c r="AV8" s="198" t="str">
        <f t="shared" si="7"/>
        <v>1.11.1.7</v>
      </c>
      <c r="AW8" s="198" t="str">
        <f t="shared" si="7"/>
        <v>1.11.1.7</v>
      </c>
      <c r="AX8" s="198" t="str">
        <f t="shared" si="7"/>
        <v>1.11.1.7</v>
      </c>
      <c r="AY8" s="198" t="str">
        <f t="shared" si="7"/>
        <v>1.11.1.7</v>
      </c>
      <c r="AZ8" s="198" t="str">
        <f t="shared" si="7"/>
        <v>1.11.1.7</v>
      </c>
      <c r="BA8" s="198" t="str">
        <f t="shared" si="7"/>
        <v>1.11.1.7</v>
      </c>
      <c r="BB8" s="198" t="str">
        <f t="shared" si="7"/>
        <v>1.11.1.7</v>
      </c>
      <c r="BC8" s="198" t="str">
        <f t="shared" si="7"/>
        <v>1.11.1.7</v>
      </c>
      <c r="BD8" s="198" t="str">
        <f t="shared" si="7"/>
        <v>1.11.1.7</v>
      </c>
      <c r="BE8" s="198" t="str">
        <f t="shared" si="7"/>
        <v>1.11.1.7</v>
      </c>
      <c r="BF8" s="198" t="str">
        <f t="shared" si="7"/>
        <v>1.11.1.7</v>
      </c>
      <c r="BG8" s="198" t="str">
        <f t="shared" si="7"/>
        <v/>
      </c>
      <c r="BH8" s="198" t="str">
        <f t="shared" si="7"/>
        <v/>
      </c>
      <c r="BI8" s="198" t="str">
        <f t="shared" si="7"/>
        <v>1.11.1.7</v>
      </c>
      <c r="BJ8" s="198" t="str">
        <f t="shared" si="7"/>
        <v>1.11.1.7</v>
      </c>
      <c r="BK8" s="198" t="str">
        <f t="shared" si="7"/>
        <v>1.11.1.7</v>
      </c>
      <c r="BL8" s="198" t="str">
        <f t="shared" si="7"/>
        <v>1.11.1.7</v>
      </c>
      <c r="BM8" s="198" t="str">
        <f t="shared" si="7"/>
        <v>1.11.1.7</v>
      </c>
      <c r="BN8" s="198" t="str">
        <f t="shared" si="7"/>
        <v>1.11.1.7</v>
      </c>
      <c r="BO8" s="198" t="str">
        <f t="shared" si="7"/>
        <v>1.11.1.7</v>
      </c>
      <c r="BP8" s="198" t="str">
        <f t="shared" si="7"/>
        <v>1.11.1.7</v>
      </c>
      <c r="BQ8" s="198" t="str">
        <f t="shared" si="7"/>
        <v>1.11.1.7</v>
      </c>
      <c r="BR8" s="198" t="str">
        <f t="shared" si="7"/>
        <v>1.11.1.7</v>
      </c>
      <c r="BS8" s="198" t="str">
        <f t="shared" si="7"/>
        <v>1.11.1.7</v>
      </c>
      <c r="BT8" s="198" t="str">
        <f t="shared" si="7"/>
        <v>1.11.1.7</v>
      </c>
      <c r="BU8" s="198" t="str">
        <f t="shared" si="7"/>
        <v/>
      </c>
      <c r="BV8" s="198" t="str">
        <f t="shared" si="7"/>
        <v/>
      </c>
      <c r="BW8" s="198" t="str">
        <f t="shared" si="7"/>
        <v>1.11.1.7</v>
      </c>
      <c r="BX8" s="198" t="str">
        <f t="shared" si="7"/>
        <v>1.11.1.7</v>
      </c>
      <c r="BY8" s="198" t="str">
        <f t="shared" si="7"/>
        <v>1.11.1.7</v>
      </c>
      <c r="BZ8" s="198" t="str">
        <f t="shared" si="7"/>
        <v>1.11.1.7</v>
      </c>
      <c r="CA8" s="198" t="str">
        <f t="shared" si="7"/>
        <v>1.11.1.7</v>
      </c>
      <c r="CB8" s="198" t="str">
        <f t="shared" si="7"/>
        <v>1.11.1.7</v>
      </c>
      <c r="CC8" s="198" t="str">
        <f t="shared" si="7"/>
        <v>1.11.1.7</v>
      </c>
      <c r="CD8" s="198" t="str">
        <f t="shared" si="7"/>
        <v>1.11.1.7</v>
      </c>
      <c r="CE8" s="198" t="str">
        <f t="shared" si="7"/>
        <v>1.11.1.7</v>
      </c>
      <c r="CF8" s="198" t="str">
        <f t="shared" si="7"/>
        <v>1.11.1.7</v>
      </c>
      <c r="CG8" s="198" t="str">
        <f t="shared" si="7"/>
        <v>1.11.1.7</v>
      </c>
      <c r="CH8" s="198" t="str">
        <f t="shared" si="7"/>
        <v>1.11.1.7</v>
      </c>
      <c r="CI8" s="198" t="str">
        <f t="shared" si="7"/>
        <v>1.11.1.7</v>
      </c>
      <c r="CJ8" s="198" t="str">
        <f t="shared" si="7"/>
        <v>1.11.1.7</v>
      </c>
      <c r="CK8" s="198" t="str">
        <f t="shared" si="7"/>
        <v>1.11.1.7</v>
      </c>
      <c r="CL8" s="198" t="str">
        <f t="shared" si="7"/>
        <v>1.11.1.7</v>
      </c>
      <c r="CM8" s="198" t="str">
        <f t="shared" si="7"/>
        <v>1.11.1.7</v>
      </c>
      <c r="CN8" s="198" t="str">
        <f t="shared" si="7"/>
        <v>1.11.1.7</v>
      </c>
      <c r="CO8" s="198" t="str">
        <f t="shared" si="7"/>
        <v>1.11.1.7</v>
      </c>
      <c r="CP8" s="198" t="str">
        <f t="shared" si="7"/>
        <v>1.11.1.7</v>
      </c>
      <c r="CQ8" s="198" t="str">
        <f t="shared" si="7"/>
        <v>1.11.1.7</v>
      </c>
      <c r="CR8" s="198" t="str">
        <f t="shared" si="7"/>
        <v>1.11.1.7</v>
      </c>
      <c r="CS8" s="198" t="str">
        <f t="shared" si="7"/>
        <v>1.11.1.7</v>
      </c>
      <c r="CT8" s="198" t="str">
        <f t="shared" si="7"/>
        <v>1.11.1.7</v>
      </c>
      <c r="CU8" s="198" t="str">
        <f t="shared" si="7"/>
        <v>1.11.1.7</v>
      </c>
      <c r="CV8" s="198" t="str">
        <f t="shared" si="7"/>
        <v>1.11.1.7</v>
      </c>
      <c r="CW8" s="198" t="str">
        <f t="shared" si="7"/>
        <v/>
      </c>
      <c r="CX8" s="198" t="str">
        <f t="shared" si="7"/>
        <v>1.11.1.7</v>
      </c>
      <c r="CY8" s="198" t="str">
        <f t="shared" si="7"/>
        <v>1.11.1.7</v>
      </c>
      <c r="CZ8" s="198" t="str">
        <f t="shared" si="7"/>
        <v>1.11.1.7</v>
      </c>
      <c r="DA8" s="198" t="str">
        <f t="shared" si="7"/>
        <v>1.11.1.7</v>
      </c>
      <c r="DB8" s="198" t="str">
        <f t="shared" si="7"/>
        <v>1.11.1.7</v>
      </c>
      <c r="DC8" s="198" t="str">
        <f t="shared" si="7"/>
        <v>1.11.1.7</v>
      </c>
      <c r="DD8" s="198" t="s">
        <v>1457</v>
      </c>
      <c r="DE8" s="198" t="s">
        <v>1457</v>
      </c>
      <c r="DF8" s="198" t="s">
        <v>1484</v>
      </c>
      <c r="DG8" s="198" t="s">
        <v>1484</v>
      </c>
      <c r="DH8" s="198" t="s">
        <v>1456</v>
      </c>
      <c r="DI8" s="198" t="s">
        <v>1457</v>
      </c>
      <c r="DJ8" s="198" t="s">
        <v>1457</v>
      </c>
      <c r="DK8" s="198"/>
      <c r="DL8" s="198"/>
      <c r="DM8" s="198" t="s">
        <v>1484</v>
      </c>
      <c r="DN8" s="198" t="s">
        <v>1457</v>
      </c>
      <c r="DO8" s="198" t="s">
        <v>1484</v>
      </c>
      <c r="DP8" s="198" t="s">
        <v>1484</v>
      </c>
      <c r="DQ8" s="198" t="s">
        <v>1484</v>
      </c>
      <c r="DR8" s="198" t="s">
        <v>1456</v>
      </c>
      <c r="DS8" s="198" t="s">
        <v>1484</v>
      </c>
      <c r="DT8" s="198" t="s">
        <v>1484</v>
      </c>
      <c r="DU8" s="198" t="s">
        <v>1484</v>
      </c>
      <c r="DV8" s="198" t="s">
        <v>1469</v>
      </c>
      <c r="DW8" s="198" t="s">
        <v>1469</v>
      </c>
      <c r="DX8" s="198"/>
      <c r="DY8" s="198"/>
      <c r="DZ8" s="198"/>
      <c r="EA8" s="198" t="s">
        <v>1456</v>
      </c>
      <c r="EB8" s="198" t="s">
        <v>1484</v>
      </c>
      <c r="EC8" s="198" t="s">
        <v>1484</v>
      </c>
      <c r="ED8" s="198"/>
      <c r="EE8" s="198" t="s">
        <v>1500</v>
      </c>
      <c r="EF8" s="198" t="s">
        <v>1459</v>
      </c>
      <c r="EG8" s="198" t="s">
        <v>1500</v>
      </c>
      <c r="EH8" s="198" t="s">
        <v>1500</v>
      </c>
      <c r="EI8" s="198" t="s">
        <v>1500</v>
      </c>
      <c r="EJ8" s="198"/>
      <c r="EK8" s="198" t="s">
        <v>1469</v>
      </c>
      <c r="EL8" s="198" t="s">
        <v>1484</v>
      </c>
      <c r="EM8" s="198" t="s">
        <v>1469</v>
      </c>
      <c r="EN8" s="198" t="s">
        <v>1469</v>
      </c>
      <c r="EO8" s="198" t="s">
        <v>1469</v>
      </c>
      <c r="EP8" s="198" t="s">
        <v>1469</v>
      </c>
      <c r="EQ8" s="198" t="s">
        <v>1469</v>
      </c>
      <c r="ER8" s="198" t="s">
        <v>1469</v>
      </c>
      <c r="ES8" s="198"/>
      <c r="ET8" s="198" t="s">
        <v>1469</v>
      </c>
      <c r="EU8" s="198" t="s">
        <v>1469</v>
      </c>
      <c r="EV8" s="198" t="s">
        <v>1469</v>
      </c>
      <c r="EW8" s="198" t="s">
        <v>1469</v>
      </c>
      <c r="EX8" s="198" t="s">
        <v>1469</v>
      </c>
      <c r="EY8" s="198" t="s">
        <v>1469</v>
      </c>
      <c r="EZ8" s="198" t="s">
        <v>1469</v>
      </c>
      <c r="FA8" s="198" t="s">
        <v>1469</v>
      </c>
      <c r="FB8" s="198" t="s">
        <v>1469</v>
      </c>
      <c r="FC8" s="198" t="s">
        <v>1469</v>
      </c>
      <c r="FD8" s="198" t="s">
        <v>1469</v>
      </c>
      <c r="FE8" s="198" t="s">
        <v>1469</v>
      </c>
      <c r="FF8" s="198" t="s">
        <v>1469</v>
      </c>
      <c r="FG8" s="198" t="s">
        <v>1469</v>
      </c>
      <c r="FH8" s="198"/>
      <c r="FI8" s="198"/>
      <c r="FJ8" s="198" t="s">
        <v>1466</v>
      </c>
      <c r="FK8" s="198"/>
      <c r="FL8" s="198" t="s">
        <v>1469</v>
      </c>
      <c r="FM8" s="198" t="s">
        <v>1469</v>
      </c>
      <c r="FN8" s="198" t="s">
        <v>1469</v>
      </c>
      <c r="FO8" s="198" t="s">
        <v>1469</v>
      </c>
      <c r="FP8" s="198" t="s">
        <v>1469</v>
      </c>
      <c r="FQ8" s="198" t="s">
        <v>1469</v>
      </c>
      <c r="FR8" s="198" t="s">
        <v>1469</v>
      </c>
      <c r="FS8" s="198" t="s">
        <v>1477</v>
      </c>
      <c r="FT8" s="198" t="s">
        <v>1456</v>
      </c>
      <c r="FU8" s="198" t="s">
        <v>1477</v>
      </c>
      <c r="FV8" s="198"/>
      <c r="FW8" s="198"/>
      <c r="FX8" s="198" t="s">
        <v>1469</v>
      </c>
      <c r="FY8" s="198" t="s">
        <v>1469</v>
      </c>
      <c r="FZ8" s="198" t="s">
        <v>1469</v>
      </c>
      <c r="GA8" s="198" t="s">
        <v>1469</v>
      </c>
      <c r="GB8" s="198" t="s">
        <v>1469</v>
      </c>
      <c r="GC8" s="198" t="s">
        <v>1469</v>
      </c>
      <c r="GD8" s="198" t="s">
        <v>1469</v>
      </c>
      <c r="GE8" s="198" t="s">
        <v>1469</v>
      </c>
      <c r="GF8" s="198" t="s">
        <v>1469</v>
      </c>
      <c r="GG8" s="198" t="s">
        <v>1469</v>
      </c>
      <c r="GH8" s="198" t="s">
        <v>1469</v>
      </c>
      <c r="GI8" s="198" t="s">
        <v>1469</v>
      </c>
      <c r="GJ8" s="198" t="s">
        <v>1469</v>
      </c>
      <c r="GK8" s="198" t="s">
        <v>1469</v>
      </c>
      <c r="GL8" s="198" t="s">
        <v>1469</v>
      </c>
      <c r="GM8" s="198" t="s">
        <v>1477</v>
      </c>
      <c r="GN8" s="198" t="s">
        <v>1469</v>
      </c>
      <c r="GO8" s="198" t="s">
        <v>1469</v>
      </c>
      <c r="GP8" s="198" t="s">
        <v>1469</v>
      </c>
      <c r="GQ8" s="198" t="s">
        <v>1458</v>
      </c>
      <c r="GR8" s="198" t="s">
        <v>1484</v>
      </c>
      <c r="GS8" s="198" t="s">
        <v>1484</v>
      </c>
      <c r="GT8" s="198" t="s">
        <v>1484</v>
      </c>
      <c r="GU8" s="198" t="s">
        <v>1456</v>
      </c>
      <c r="GV8" s="198" t="s">
        <v>1456</v>
      </c>
      <c r="GW8" s="198" t="s">
        <v>1484</v>
      </c>
      <c r="GX8" s="198"/>
      <c r="GY8" s="198" t="s">
        <v>1477</v>
      </c>
      <c r="GZ8" s="198" t="s">
        <v>1469</v>
      </c>
      <c r="HA8" s="198" t="s">
        <v>1469</v>
      </c>
      <c r="HB8" s="198" t="s">
        <v>1466</v>
      </c>
      <c r="HC8" s="198" t="s">
        <v>1469</v>
      </c>
      <c r="HD8" s="198" t="s">
        <v>1469</v>
      </c>
    </row>
    <row r="9">
      <c r="A9" s="234">
        <v>9.0</v>
      </c>
      <c r="B9" s="236" t="s">
        <v>1456</v>
      </c>
      <c r="C9" s="198" t="str">
        <f t="shared" ref="C9:DC9" si="8">if(countif(DD:DD,$B9),INDIRECT(concat("B",$A9)),"")</f>
        <v>1.14.-.-</v>
      </c>
      <c r="D9" s="198" t="str">
        <f t="shared" si="8"/>
        <v>1.14.-.-</v>
      </c>
      <c r="E9" s="198" t="str">
        <f t="shared" si="8"/>
        <v>1.14.-.-</v>
      </c>
      <c r="F9" s="198" t="str">
        <f t="shared" si="8"/>
        <v>1.14.-.-</v>
      </c>
      <c r="G9" s="198" t="str">
        <f t="shared" si="8"/>
        <v>1.14.-.-</v>
      </c>
      <c r="H9" s="198" t="str">
        <f t="shared" si="8"/>
        <v>1.14.-.-</v>
      </c>
      <c r="I9" s="198" t="str">
        <f t="shared" si="8"/>
        <v>1.14.-.-</v>
      </c>
      <c r="J9" s="198" t="str">
        <f t="shared" si="8"/>
        <v/>
      </c>
      <c r="K9" s="198" t="str">
        <f t="shared" si="8"/>
        <v/>
      </c>
      <c r="L9" s="198" t="str">
        <f t="shared" si="8"/>
        <v>1.14.-.-</v>
      </c>
      <c r="M9" s="198" t="str">
        <f t="shared" si="8"/>
        <v>1.14.-.-</v>
      </c>
      <c r="N9" s="198" t="str">
        <f t="shared" si="8"/>
        <v>1.14.-.-</v>
      </c>
      <c r="O9" s="198" t="str">
        <f t="shared" si="8"/>
        <v>1.14.-.-</v>
      </c>
      <c r="P9" s="198" t="str">
        <f t="shared" si="8"/>
        <v>1.14.-.-</v>
      </c>
      <c r="Q9" s="198" t="str">
        <f t="shared" si="8"/>
        <v>1.14.-.-</v>
      </c>
      <c r="R9" s="198" t="str">
        <f t="shared" si="8"/>
        <v>1.14.-.-</v>
      </c>
      <c r="S9" s="198" t="str">
        <f t="shared" si="8"/>
        <v>1.14.-.-</v>
      </c>
      <c r="T9" s="198" t="str">
        <f t="shared" si="8"/>
        <v>1.14.-.-</v>
      </c>
      <c r="U9" s="198" t="str">
        <f t="shared" si="8"/>
        <v>1.14.-.-</v>
      </c>
      <c r="V9" s="198" t="str">
        <f t="shared" si="8"/>
        <v>1.14.-.-</v>
      </c>
      <c r="W9" s="198" t="str">
        <f t="shared" si="8"/>
        <v/>
      </c>
      <c r="X9" s="198" t="str">
        <f t="shared" si="8"/>
        <v/>
      </c>
      <c r="Y9" s="198" t="str">
        <f t="shared" si="8"/>
        <v/>
      </c>
      <c r="Z9" s="198" t="str">
        <f t="shared" si="8"/>
        <v>1.14.-.-</v>
      </c>
      <c r="AA9" s="198" t="str">
        <f t="shared" si="8"/>
        <v>1.14.-.-</v>
      </c>
      <c r="AB9" s="198" t="str">
        <f t="shared" si="8"/>
        <v>1.14.-.-</v>
      </c>
      <c r="AC9" s="198" t="str">
        <f t="shared" si="8"/>
        <v/>
      </c>
      <c r="AD9" s="198" t="str">
        <f t="shared" si="8"/>
        <v>1.14.-.-</v>
      </c>
      <c r="AE9" s="198" t="str">
        <f t="shared" si="8"/>
        <v>1.14.-.-</v>
      </c>
      <c r="AF9" s="198" t="str">
        <f t="shared" si="8"/>
        <v>1.14.-.-</v>
      </c>
      <c r="AG9" s="198" t="str">
        <f t="shared" si="8"/>
        <v>1.14.-.-</v>
      </c>
      <c r="AH9" s="198" t="str">
        <f t="shared" si="8"/>
        <v>1.14.-.-</v>
      </c>
      <c r="AI9" s="198" t="str">
        <f t="shared" si="8"/>
        <v/>
      </c>
      <c r="AJ9" s="198" t="str">
        <f t="shared" si="8"/>
        <v>1.14.-.-</v>
      </c>
      <c r="AK9" s="198" t="str">
        <f t="shared" si="8"/>
        <v>1.14.-.-</v>
      </c>
      <c r="AL9" s="198" t="str">
        <f t="shared" si="8"/>
        <v>1.14.-.-</v>
      </c>
      <c r="AM9" s="198" t="str">
        <f t="shared" si="8"/>
        <v>1.14.-.-</v>
      </c>
      <c r="AN9" s="198" t="str">
        <f t="shared" si="8"/>
        <v>1.14.-.-</v>
      </c>
      <c r="AO9" s="198" t="str">
        <f t="shared" si="8"/>
        <v>1.14.-.-</v>
      </c>
      <c r="AP9" s="198" t="str">
        <f t="shared" si="8"/>
        <v>1.14.-.-</v>
      </c>
      <c r="AQ9" s="198" t="str">
        <f t="shared" si="8"/>
        <v>1.14.-.-</v>
      </c>
      <c r="AR9" s="198" t="str">
        <f t="shared" si="8"/>
        <v/>
      </c>
      <c r="AS9" s="198" t="str">
        <f t="shared" si="8"/>
        <v>1.14.-.-</v>
      </c>
      <c r="AT9" s="198" t="str">
        <f t="shared" si="8"/>
        <v>1.14.-.-</v>
      </c>
      <c r="AU9" s="198" t="str">
        <f t="shared" si="8"/>
        <v>1.14.-.-</v>
      </c>
      <c r="AV9" s="198" t="str">
        <f t="shared" si="8"/>
        <v>1.14.-.-</v>
      </c>
      <c r="AW9" s="198" t="str">
        <f t="shared" si="8"/>
        <v>1.14.-.-</v>
      </c>
      <c r="AX9" s="198" t="str">
        <f t="shared" si="8"/>
        <v>1.14.-.-</v>
      </c>
      <c r="AY9" s="198" t="str">
        <f t="shared" si="8"/>
        <v>1.14.-.-</v>
      </c>
      <c r="AZ9" s="198" t="str">
        <f t="shared" si="8"/>
        <v>1.14.-.-</v>
      </c>
      <c r="BA9" s="198" t="str">
        <f t="shared" si="8"/>
        <v>1.14.-.-</v>
      </c>
      <c r="BB9" s="198" t="str">
        <f t="shared" si="8"/>
        <v>1.14.-.-</v>
      </c>
      <c r="BC9" s="198" t="str">
        <f t="shared" si="8"/>
        <v/>
      </c>
      <c r="BD9" s="198" t="str">
        <f t="shared" si="8"/>
        <v>1.14.-.-</v>
      </c>
      <c r="BE9" s="198" t="str">
        <f t="shared" si="8"/>
        <v>1.14.-.-</v>
      </c>
      <c r="BF9" s="198" t="str">
        <f t="shared" si="8"/>
        <v>1.14.-.-</v>
      </c>
      <c r="BG9" s="198" t="str">
        <f t="shared" si="8"/>
        <v/>
      </c>
      <c r="BH9" s="198" t="str">
        <f t="shared" si="8"/>
        <v/>
      </c>
      <c r="BI9" s="198" t="str">
        <f t="shared" si="8"/>
        <v/>
      </c>
      <c r="BJ9" s="198" t="str">
        <f t="shared" si="8"/>
        <v/>
      </c>
      <c r="BK9" s="198" t="str">
        <f t="shared" si="8"/>
        <v>1.14.-.-</v>
      </c>
      <c r="BL9" s="198" t="str">
        <f t="shared" si="8"/>
        <v>1.14.-.-</v>
      </c>
      <c r="BM9" s="198" t="str">
        <f t="shared" si="8"/>
        <v>1.14.-.-</v>
      </c>
      <c r="BN9" s="198" t="str">
        <f t="shared" si="8"/>
        <v>1.14.-.-</v>
      </c>
      <c r="BO9" s="198" t="str">
        <f t="shared" si="8"/>
        <v>1.14.-.-</v>
      </c>
      <c r="BP9" s="198" t="str">
        <f t="shared" si="8"/>
        <v>1.14.-.-</v>
      </c>
      <c r="BQ9" s="198" t="str">
        <f t="shared" si="8"/>
        <v>1.14.-.-</v>
      </c>
      <c r="BR9" s="198" t="str">
        <f t="shared" si="8"/>
        <v>1.14.-.-</v>
      </c>
      <c r="BS9" s="198" t="str">
        <f t="shared" si="8"/>
        <v>1.14.-.-</v>
      </c>
      <c r="BT9" s="198" t="str">
        <f t="shared" si="8"/>
        <v>1.14.-.-</v>
      </c>
      <c r="BU9" s="198" t="str">
        <f t="shared" si="8"/>
        <v/>
      </c>
      <c r="BV9" s="198" t="str">
        <f t="shared" si="8"/>
        <v/>
      </c>
      <c r="BW9" s="198" t="str">
        <f t="shared" si="8"/>
        <v>1.14.-.-</v>
      </c>
      <c r="BX9" s="198" t="str">
        <f t="shared" si="8"/>
        <v>1.14.-.-</v>
      </c>
      <c r="BY9" s="198" t="str">
        <f t="shared" si="8"/>
        <v>1.14.-.-</v>
      </c>
      <c r="BZ9" s="198" t="str">
        <f t="shared" si="8"/>
        <v>1.14.-.-</v>
      </c>
      <c r="CA9" s="198" t="str">
        <f t="shared" si="8"/>
        <v/>
      </c>
      <c r="CB9" s="198" t="str">
        <f t="shared" si="8"/>
        <v>1.14.-.-</v>
      </c>
      <c r="CC9" s="198" t="str">
        <f t="shared" si="8"/>
        <v>1.14.-.-</v>
      </c>
      <c r="CD9" s="198" t="str">
        <f t="shared" si="8"/>
        <v>1.14.-.-</v>
      </c>
      <c r="CE9" s="198" t="str">
        <f t="shared" si="8"/>
        <v>1.14.-.-</v>
      </c>
      <c r="CF9" s="198" t="str">
        <f t="shared" si="8"/>
        <v>1.14.-.-</v>
      </c>
      <c r="CG9" s="198" t="str">
        <f t="shared" si="8"/>
        <v>1.14.-.-</v>
      </c>
      <c r="CH9" s="198" t="str">
        <f t="shared" si="8"/>
        <v>1.14.-.-</v>
      </c>
      <c r="CI9" s="198" t="str">
        <f t="shared" si="8"/>
        <v>1.14.-.-</v>
      </c>
      <c r="CJ9" s="198" t="str">
        <f t="shared" si="8"/>
        <v/>
      </c>
      <c r="CK9" s="198" t="str">
        <f t="shared" si="8"/>
        <v>1.14.-.-</v>
      </c>
      <c r="CL9" s="198" t="str">
        <f t="shared" si="8"/>
        <v>1.14.-.-</v>
      </c>
      <c r="CM9" s="198" t="str">
        <f t="shared" si="8"/>
        <v>1.14.-.-</v>
      </c>
      <c r="CN9" s="198" t="str">
        <f t="shared" si="8"/>
        <v>1.14.-.-</v>
      </c>
      <c r="CO9" s="198" t="str">
        <f t="shared" si="8"/>
        <v>1.14.-.-</v>
      </c>
      <c r="CP9" s="198" t="str">
        <f t="shared" si="8"/>
        <v>1.14.-.-</v>
      </c>
      <c r="CQ9" s="198" t="str">
        <f t="shared" si="8"/>
        <v>1.14.-.-</v>
      </c>
      <c r="CR9" s="198" t="str">
        <f t="shared" si="8"/>
        <v>1.14.-.-</v>
      </c>
      <c r="CS9" s="198" t="str">
        <f t="shared" si="8"/>
        <v>1.14.-.-</v>
      </c>
      <c r="CT9" s="198" t="str">
        <f t="shared" si="8"/>
        <v>1.14.-.-</v>
      </c>
      <c r="CU9" s="198" t="str">
        <f t="shared" si="8"/>
        <v>1.14.-.-</v>
      </c>
      <c r="CV9" s="198" t="str">
        <f t="shared" si="8"/>
        <v>1.14.-.-</v>
      </c>
      <c r="CW9" s="198" t="str">
        <f t="shared" si="8"/>
        <v/>
      </c>
      <c r="CX9" s="198" t="str">
        <f t="shared" si="8"/>
        <v>1.14.-.-</v>
      </c>
      <c r="CY9" s="198" t="str">
        <f t="shared" si="8"/>
        <v>1.14.-.-</v>
      </c>
      <c r="CZ9" s="198" t="str">
        <f t="shared" si="8"/>
        <v>1.14.-.-</v>
      </c>
      <c r="DA9" s="198" t="str">
        <f t="shared" si="8"/>
        <v>1.14.-.-</v>
      </c>
      <c r="DB9" s="198" t="str">
        <f t="shared" si="8"/>
        <v>1.14.-.-</v>
      </c>
      <c r="DC9" s="198" t="str">
        <f t="shared" si="8"/>
        <v>1.14.-.-</v>
      </c>
      <c r="DD9" s="198" t="s">
        <v>1458</v>
      </c>
      <c r="DE9" s="198" t="s">
        <v>1459</v>
      </c>
      <c r="DF9" s="198" t="s">
        <v>1457</v>
      </c>
      <c r="DG9" s="198" t="s">
        <v>1457</v>
      </c>
      <c r="DH9" s="198" t="s">
        <v>1484</v>
      </c>
      <c r="DI9" s="198" t="s">
        <v>1485</v>
      </c>
      <c r="DJ9" s="198" t="s">
        <v>1459</v>
      </c>
      <c r="DK9" s="198"/>
      <c r="DL9" s="198"/>
      <c r="DM9" s="198" t="s">
        <v>1457</v>
      </c>
      <c r="DN9" s="198" t="s">
        <v>1458</v>
      </c>
      <c r="DO9" s="198" t="s">
        <v>1457</v>
      </c>
      <c r="DP9" s="198" t="s">
        <v>1457</v>
      </c>
      <c r="DQ9" s="198" t="s">
        <v>1457</v>
      </c>
      <c r="DR9" s="198" t="s">
        <v>1484</v>
      </c>
      <c r="DS9" s="198" t="s">
        <v>1457</v>
      </c>
      <c r="DT9" s="198" t="s">
        <v>1457</v>
      </c>
      <c r="DU9" s="198" t="s">
        <v>1457</v>
      </c>
      <c r="DV9" s="198" t="s">
        <v>1466</v>
      </c>
      <c r="DW9" s="198" t="s">
        <v>1466</v>
      </c>
      <c r="DX9" s="198"/>
      <c r="DY9" s="198"/>
      <c r="DZ9" s="198"/>
      <c r="EA9" s="198" t="s">
        <v>1457</v>
      </c>
      <c r="EB9" s="198" t="s">
        <v>1509</v>
      </c>
      <c r="EC9" s="198" t="s">
        <v>1509</v>
      </c>
      <c r="ED9" s="198"/>
      <c r="EE9" s="198" t="s">
        <v>1501</v>
      </c>
      <c r="EF9" s="198" t="s">
        <v>1500</v>
      </c>
      <c r="EG9" s="198" t="s">
        <v>1501</v>
      </c>
      <c r="EH9" s="198" t="s">
        <v>1501</v>
      </c>
      <c r="EI9" s="198" t="s">
        <v>1501</v>
      </c>
      <c r="EJ9" s="198"/>
      <c r="EK9" s="198" t="s">
        <v>1466</v>
      </c>
      <c r="EL9" s="198" t="s">
        <v>1457</v>
      </c>
      <c r="EM9" s="198" t="s">
        <v>1466</v>
      </c>
      <c r="EN9" s="198" t="s">
        <v>1466</v>
      </c>
      <c r="EO9" s="198" t="s">
        <v>1466</v>
      </c>
      <c r="EP9" s="198" t="s">
        <v>1466</v>
      </c>
      <c r="EQ9" s="198" t="s">
        <v>1466</v>
      </c>
      <c r="ER9" s="198" t="s">
        <v>1466</v>
      </c>
      <c r="ES9" s="198"/>
      <c r="ET9" s="198" t="s">
        <v>1466</v>
      </c>
      <c r="EU9" s="198" t="s">
        <v>1466</v>
      </c>
      <c r="EV9" s="198" t="s">
        <v>1466</v>
      </c>
      <c r="EW9" s="198" t="s">
        <v>1466</v>
      </c>
      <c r="EX9" s="198" t="s">
        <v>1466</v>
      </c>
      <c r="EY9" s="198" t="s">
        <v>1466</v>
      </c>
      <c r="EZ9" s="198" t="s">
        <v>1466</v>
      </c>
      <c r="FA9" s="198" t="s">
        <v>1466</v>
      </c>
      <c r="FB9" s="198" t="s">
        <v>1466</v>
      </c>
      <c r="FC9" s="198" t="s">
        <v>1466</v>
      </c>
      <c r="FD9" s="198" t="s">
        <v>1466</v>
      </c>
      <c r="FE9" s="198" t="s">
        <v>1466</v>
      </c>
      <c r="FF9" s="198" t="s">
        <v>1466</v>
      </c>
      <c r="FG9" s="198" t="s">
        <v>1466</v>
      </c>
      <c r="FH9" s="198"/>
      <c r="FI9" s="198"/>
      <c r="FJ9" s="198" t="s">
        <v>1467</v>
      </c>
      <c r="FK9" s="198"/>
      <c r="FL9" s="198" t="s">
        <v>1466</v>
      </c>
      <c r="FM9" s="198" t="s">
        <v>1466</v>
      </c>
      <c r="FN9" s="198" t="s">
        <v>1466</v>
      </c>
      <c r="FO9" s="198" t="s">
        <v>1466</v>
      </c>
      <c r="FP9" s="198" t="s">
        <v>1466</v>
      </c>
      <c r="FQ9" s="198" t="s">
        <v>1466</v>
      </c>
      <c r="FR9" s="198" t="s">
        <v>1466</v>
      </c>
      <c r="FS9" s="198" t="s">
        <v>1469</v>
      </c>
      <c r="FT9" s="198" t="s">
        <v>1461</v>
      </c>
      <c r="FU9" s="198" t="s">
        <v>1469</v>
      </c>
      <c r="FV9" s="198"/>
      <c r="FW9" s="198"/>
      <c r="FX9" s="198" t="s">
        <v>1466</v>
      </c>
      <c r="FY9" s="198" t="s">
        <v>1466</v>
      </c>
      <c r="FZ9" s="198" t="s">
        <v>1466</v>
      </c>
      <c r="GA9" s="198" t="s">
        <v>1466</v>
      </c>
      <c r="GB9" s="198" t="s">
        <v>1466</v>
      </c>
      <c r="GC9" s="198" t="s">
        <v>1466</v>
      </c>
      <c r="GD9" s="198" t="s">
        <v>1466</v>
      </c>
      <c r="GE9" s="198" t="s">
        <v>1466</v>
      </c>
      <c r="GF9" s="198" t="s">
        <v>1466</v>
      </c>
      <c r="GG9" s="198" t="s">
        <v>1466</v>
      </c>
      <c r="GH9" s="198" t="s">
        <v>1466</v>
      </c>
      <c r="GI9" s="198" t="s">
        <v>1466</v>
      </c>
      <c r="GJ9" s="198" t="s">
        <v>1466</v>
      </c>
      <c r="GK9" s="198" t="s">
        <v>1466</v>
      </c>
      <c r="GL9" s="198" t="s">
        <v>1466</v>
      </c>
      <c r="GM9" s="198" t="s">
        <v>1469</v>
      </c>
      <c r="GN9" s="198" t="s">
        <v>1466</v>
      </c>
      <c r="GO9" s="198" t="s">
        <v>1466</v>
      </c>
      <c r="GP9" s="198" t="s">
        <v>1466</v>
      </c>
      <c r="GQ9" s="198" t="s">
        <v>1459</v>
      </c>
      <c r="GR9" s="198" t="s">
        <v>1457</v>
      </c>
      <c r="GS9" s="198" t="s">
        <v>1457</v>
      </c>
      <c r="GT9" s="198" t="s">
        <v>1457</v>
      </c>
      <c r="GU9" s="198" t="s">
        <v>1484</v>
      </c>
      <c r="GV9" s="198" t="s">
        <v>1484</v>
      </c>
      <c r="GW9" s="198" t="s">
        <v>1457</v>
      </c>
      <c r="GX9" s="198"/>
      <c r="GY9" s="198" t="s">
        <v>1469</v>
      </c>
      <c r="GZ9" s="198" t="s">
        <v>1466</v>
      </c>
      <c r="HA9" s="198" t="s">
        <v>1466</v>
      </c>
      <c r="HB9" s="198" t="s">
        <v>1467</v>
      </c>
      <c r="HC9" s="198" t="s">
        <v>1466</v>
      </c>
      <c r="HD9" s="198" t="s">
        <v>1466</v>
      </c>
    </row>
    <row r="10">
      <c r="A10" s="234">
        <v>10.0</v>
      </c>
      <c r="B10" s="236" t="s">
        <v>1506</v>
      </c>
      <c r="C10" s="198" t="str">
        <f t="shared" ref="C10:DC10" si="9">if(countif(DD:DD,$B10),INDIRECT(concat("B",$A10)),"")</f>
        <v/>
      </c>
      <c r="D10" s="198" t="str">
        <f t="shared" si="9"/>
        <v/>
      </c>
      <c r="E10" s="198" t="str">
        <f t="shared" si="9"/>
        <v/>
      </c>
      <c r="F10" s="198" t="str">
        <f t="shared" si="9"/>
        <v/>
      </c>
      <c r="G10" s="198" t="str">
        <f t="shared" si="9"/>
        <v/>
      </c>
      <c r="H10" s="198" t="str">
        <f t="shared" si="9"/>
        <v/>
      </c>
      <c r="I10" s="198" t="str">
        <f t="shared" si="9"/>
        <v/>
      </c>
      <c r="J10" s="198" t="str">
        <f t="shared" si="9"/>
        <v/>
      </c>
      <c r="K10" s="198" t="str">
        <f t="shared" si="9"/>
        <v/>
      </c>
      <c r="L10" s="198" t="str">
        <f t="shared" si="9"/>
        <v/>
      </c>
      <c r="M10" s="198" t="str">
        <f t="shared" si="9"/>
        <v/>
      </c>
      <c r="N10" s="198" t="str">
        <f t="shared" si="9"/>
        <v/>
      </c>
      <c r="O10" s="198" t="str">
        <f t="shared" si="9"/>
        <v/>
      </c>
      <c r="P10" s="198" t="str">
        <f t="shared" si="9"/>
        <v/>
      </c>
      <c r="Q10" s="198" t="str">
        <f t="shared" si="9"/>
        <v/>
      </c>
      <c r="R10" s="198" t="str">
        <f t="shared" si="9"/>
        <v/>
      </c>
      <c r="S10" s="198" t="str">
        <f t="shared" si="9"/>
        <v/>
      </c>
      <c r="T10" s="198" t="str">
        <f t="shared" si="9"/>
        <v/>
      </c>
      <c r="U10" s="198" t="str">
        <f t="shared" si="9"/>
        <v/>
      </c>
      <c r="V10" s="198" t="str">
        <f t="shared" si="9"/>
        <v/>
      </c>
      <c r="W10" s="198" t="str">
        <f t="shared" si="9"/>
        <v/>
      </c>
      <c r="X10" s="198" t="str">
        <f t="shared" si="9"/>
        <v/>
      </c>
      <c r="Y10" s="198" t="str">
        <f t="shared" si="9"/>
        <v/>
      </c>
      <c r="Z10" s="198" t="str">
        <f t="shared" si="9"/>
        <v/>
      </c>
      <c r="AA10" s="198" t="str">
        <f t="shared" si="9"/>
        <v/>
      </c>
      <c r="AB10" s="198" t="str">
        <f t="shared" si="9"/>
        <v/>
      </c>
      <c r="AC10" s="198" t="str">
        <f t="shared" si="9"/>
        <v/>
      </c>
      <c r="AD10" s="198" t="str">
        <f t="shared" si="9"/>
        <v/>
      </c>
      <c r="AE10" s="198" t="str">
        <f t="shared" si="9"/>
        <v/>
      </c>
      <c r="AF10" s="198" t="str">
        <f t="shared" si="9"/>
        <v/>
      </c>
      <c r="AG10" s="198" t="str">
        <f t="shared" si="9"/>
        <v/>
      </c>
      <c r="AH10" s="198" t="str">
        <f t="shared" si="9"/>
        <v/>
      </c>
      <c r="AI10" s="198" t="str">
        <f t="shared" si="9"/>
        <v/>
      </c>
      <c r="AJ10" s="198" t="str">
        <f t="shared" si="9"/>
        <v/>
      </c>
      <c r="AK10" s="198" t="str">
        <f t="shared" si="9"/>
        <v/>
      </c>
      <c r="AL10" s="198" t="str">
        <f t="shared" si="9"/>
        <v/>
      </c>
      <c r="AM10" s="198" t="str">
        <f t="shared" si="9"/>
        <v/>
      </c>
      <c r="AN10" s="198" t="str">
        <f t="shared" si="9"/>
        <v/>
      </c>
      <c r="AO10" s="198" t="str">
        <f t="shared" si="9"/>
        <v/>
      </c>
      <c r="AP10" s="198" t="str">
        <f t="shared" si="9"/>
        <v/>
      </c>
      <c r="AQ10" s="198" t="str">
        <f t="shared" si="9"/>
        <v/>
      </c>
      <c r="AR10" s="198" t="str">
        <f t="shared" si="9"/>
        <v/>
      </c>
      <c r="AS10" s="198" t="str">
        <f t="shared" si="9"/>
        <v/>
      </c>
      <c r="AT10" s="198" t="str">
        <f t="shared" si="9"/>
        <v/>
      </c>
      <c r="AU10" s="198" t="str">
        <f t="shared" si="9"/>
        <v/>
      </c>
      <c r="AV10" s="198" t="str">
        <f t="shared" si="9"/>
        <v/>
      </c>
      <c r="AW10" s="198" t="str">
        <f t="shared" si="9"/>
        <v/>
      </c>
      <c r="AX10" s="198" t="str">
        <f t="shared" si="9"/>
        <v/>
      </c>
      <c r="AY10" s="198" t="str">
        <f t="shared" si="9"/>
        <v/>
      </c>
      <c r="AZ10" s="198" t="str">
        <f t="shared" si="9"/>
        <v/>
      </c>
      <c r="BA10" s="198" t="str">
        <f t="shared" si="9"/>
        <v/>
      </c>
      <c r="BB10" s="198" t="str">
        <f t="shared" si="9"/>
        <v/>
      </c>
      <c r="BC10" s="198" t="str">
        <f t="shared" si="9"/>
        <v/>
      </c>
      <c r="BD10" s="198" t="str">
        <f t="shared" si="9"/>
        <v/>
      </c>
      <c r="BE10" s="198" t="str">
        <f t="shared" si="9"/>
        <v/>
      </c>
      <c r="BF10" s="198" t="str">
        <f t="shared" si="9"/>
        <v/>
      </c>
      <c r="BG10" s="198" t="str">
        <f t="shared" si="9"/>
        <v/>
      </c>
      <c r="BH10" s="198" t="str">
        <f t="shared" si="9"/>
        <v/>
      </c>
      <c r="BI10" s="198" t="str">
        <f t="shared" si="9"/>
        <v/>
      </c>
      <c r="BJ10" s="198" t="str">
        <f t="shared" si="9"/>
        <v/>
      </c>
      <c r="BK10" s="198" t="str">
        <f t="shared" si="9"/>
        <v/>
      </c>
      <c r="BL10" s="198" t="str">
        <f t="shared" si="9"/>
        <v/>
      </c>
      <c r="BM10" s="198" t="str">
        <f t="shared" si="9"/>
        <v/>
      </c>
      <c r="BN10" s="198" t="str">
        <f t="shared" si="9"/>
        <v/>
      </c>
      <c r="BO10" s="198" t="str">
        <f t="shared" si="9"/>
        <v/>
      </c>
      <c r="BP10" s="198" t="str">
        <f t="shared" si="9"/>
        <v/>
      </c>
      <c r="BQ10" s="198" t="str">
        <f t="shared" si="9"/>
        <v/>
      </c>
      <c r="BR10" s="198" t="str">
        <f t="shared" si="9"/>
        <v/>
      </c>
      <c r="BS10" s="198" t="str">
        <f t="shared" si="9"/>
        <v>1.14.11.19</v>
      </c>
      <c r="BT10" s="198" t="str">
        <f t="shared" si="9"/>
        <v/>
      </c>
      <c r="BU10" s="198" t="str">
        <f t="shared" si="9"/>
        <v/>
      </c>
      <c r="BV10" s="198" t="str">
        <f t="shared" si="9"/>
        <v/>
      </c>
      <c r="BW10" s="198" t="str">
        <f t="shared" si="9"/>
        <v/>
      </c>
      <c r="BX10" s="198" t="str">
        <f t="shared" si="9"/>
        <v/>
      </c>
      <c r="BY10" s="198" t="str">
        <f t="shared" si="9"/>
        <v/>
      </c>
      <c r="BZ10" s="198" t="str">
        <f t="shared" si="9"/>
        <v/>
      </c>
      <c r="CA10" s="198" t="str">
        <f t="shared" si="9"/>
        <v/>
      </c>
      <c r="CB10" s="198" t="str">
        <f t="shared" si="9"/>
        <v/>
      </c>
      <c r="CC10" s="198" t="str">
        <f t="shared" si="9"/>
        <v/>
      </c>
      <c r="CD10" s="198" t="str">
        <f t="shared" si="9"/>
        <v/>
      </c>
      <c r="CE10" s="198" t="str">
        <f t="shared" si="9"/>
        <v/>
      </c>
      <c r="CF10" s="198" t="str">
        <f t="shared" si="9"/>
        <v/>
      </c>
      <c r="CG10" s="198" t="str">
        <f t="shared" si="9"/>
        <v/>
      </c>
      <c r="CH10" s="198" t="str">
        <f t="shared" si="9"/>
        <v/>
      </c>
      <c r="CI10" s="198" t="str">
        <f t="shared" si="9"/>
        <v/>
      </c>
      <c r="CJ10" s="198" t="str">
        <f t="shared" si="9"/>
        <v/>
      </c>
      <c r="CK10" s="198" t="str">
        <f t="shared" si="9"/>
        <v/>
      </c>
      <c r="CL10" s="198" t="str">
        <f t="shared" si="9"/>
        <v/>
      </c>
      <c r="CM10" s="198" t="str">
        <f t="shared" si="9"/>
        <v/>
      </c>
      <c r="CN10" s="198" t="str">
        <f t="shared" si="9"/>
        <v/>
      </c>
      <c r="CO10" s="198" t="str">
        <f t="shared" si="9"/>
        <v/>
      </c>
      <c r="CP10" s="198" t="str">
        <f t="shared" si="9"/>
        <v/>
      </c>
      <c r="CQ10" s="198" t="str">
        <f t="shared" si="9"/>
        <v/>
      </c>
      <c r="CR10" s="198" t="str">
        <f t="shared" si="9"/>
        <v/>
      </c>
      <c r="CS10" s="198" t="str">
        <f t="shared" si="9"/>
        <v/>
      </c>
      <c r="CT10" s="198" t="str">
        <f t="shared" si="9"/>
        <v/>
      </c>
      <c r="CU10" s="198" t="str">
        <f t="shared" si="9"/>
        <v/>
      </c>
      <c r="CV10" s="198" t="str">
        <f t="shared" si="9"/>
        <v/>
      </c>
      <c r="CW10" s="198" t="str">
        <f t="shared" si="9"/>
        <v/>
      </c>
      <c r="CX10" s="198" t="str">
        <f t="shared" si="9"/>
        <v/>
      </c>
      <c r="CY10" s="198" t="str">
        <f t="shared" si="9"/>
        <v/>
      </c>
      <c r="CZ10" s="198" t="str">
        <f t="shared" si="9"/>
        <v/>
      </c>
      <c r="DA10" s="198" t="str">
        <f t="shared" si="9"/>
        <v/>
      </c>
      <c r="DB10" s="198" t="str">
        <f t="shared" si="9"/>
        <v/>
      </c>
      <c r="DC10" s="198" t="str">
        <f t="shared" si="9"/>
        <v/>
      </c>
      <c r="DD10" s="198" t="s">
        <v>1459</v>
      </c>
      <c r="DE10" s="198" t="s">
        <v>1460</v>
      </c>
      <c r="DF10" s="198" t="s">
        <v>1485</v>
      </c>
      <c r="DG10" s="198" t="s">
        <v>1485</v>
      </c>
      <c r="DH10" s="198" t="s">
        <v>1457</v>
      </c>
      <c r="DI10" s="198" t="s">
        <v>1459</v>
      </c>
      <c r="DJ10" s="198" t="s">
        <v>1460</v>
      </c>
      <c r="DK10" s="198"/>
      <c r="DL10" s="198"/>
      <c r="DM10" s="198" t="s">
        <v>1459</v>
      </c>
      <c r="DN10" s="198" t="s">
        <v>1459</v>
      </c>
      <c r="DO10" s="198" t="s">
        <v>1485</v>
      </c>
      <c r="DP10" s="198" t="s">
        <v>1485</v>
      </c>
      <c r="DQ10" s="198" t="s">
        <v>1485</v>
      </c>
      <c r="DR10" s="198" t="s">
        <v>1485</v>
      </c>
      <c r="DS10" s="198" t="s">
        <v>1485</v>
      </c>
      <c r="DT10" s="198" t="s">
        <v>1485</v>
      </c>
      <c r="DU10" s="198" t="s">
        <v>1458</v>
      </c>
      <c r="DV10" s="198" t="s">
        <v>1467</v>
      </c>
      <c r="DW10" s="198" t="s">
        <v>1467</v>
      </c>
      <c r="DX10" s="198"/>
      <c r="DY10" s="198"/>
      <c r="DZ10" s="198"/>
      <c r="EA10" s="198" t="s">
        <v>1485</v>
      </c>
      <c r="EB10" s="198" t="s">
        <v>1457</v>
      </c>
      <c r="EC10" s="198" t="s">
        <v>1457</v>
      </c>
      <c r="ED10" s="198"/>
      <c r="EE10" s="198" t="s">
        <v>1460</v>
      </c>
      <c r="EF10" s="198" t="s">
        <v>1501</v>
      </c>
      <c r="EG10" s="198" t="s">
        <v>1460</v>
      </c>
      <c r="EH10" s="198" t="s">
        <v>1460</v>
      </c>
      <c r="EI10" s="198" t="s">
        <v>1460</v>
      </c>
      <c r="EJ10" s="198"/>
      <c r="EK10" s="198" t="s">
        <v>1467</v>
      </c>
      <c r="EL10" s="198" t="s">
        <v>1459</v>
      </c>
      <c r="EM10" s="198" t="s">
        <v>1467</v>
      </c>
      <c r="EN10" s="198" t="s">
        <v>1467</v>
      </c>
      <c r="EO10" s="198" t="s">
        <v>1467</v>
      </c>
      <c r="EP10" s="198" t="s">
        <v>1467</v>
      </c>
      <c r="EQ10" s="198" t="s">
        <v>1467</v>
      </c>
      <c r="ER10" s="198" t="s">
        <v>1467</v>
      </c>
      <c r="ES10" s="198"/>
      <c r="ET10" s="198" t="s">
        <v>1467</v>
      </c>
      <c r="EU10" s="198" t="s">
        <v>1467</v>
      </c>
      <c r="EV10" s="198" t="s">
        <v>1467</v>
      </c>
      <c r="EW10" s="198" t="s">
        <v>1467</v>
      </c>
      <c r="EX10" s="198" t="s">
        <v>1467</v>
      </c>
      <c r="EY10" s="198" t="s">
        <v>1467</v>
      </c>
      <c r="EZ10" s="198" t="s">
        <v>1467</v>
      </c>
      <c r="FA10" s="198" t="s">
        <v>1467</v>
      </c>
      <c r="FB10" s="198" t="s">
        <v>1467</v>
      </c>
      <c r="FC10" s="198" t="s">
        <v>1467</v>
      </c>
      <c r="FD10" s="198" t="s">
        <v>1467</v>
      </c>
      <c r="FE10" s="198" t="s">
        <v>1467</v>
      </c>
      <c r="FF10" s="198" t="s">
        <v>1467</v>
      </c>
      <c r="FG10" s="198" t="s">
        <v>1467</v>
      </c>
      <c r="FH10" s="198"/>
      <c r="FI10" s="198"/>
      <c r="FJ10" s="198" t="s">
        <v>1483</v>
      </c>
      <c r="FK10" s="198"/>
      <c r="FL10" s="198" t="s">
        <v>1467</v>
      </c>
      <c r="FM10" s="198" t="s">
        <v>1467</v>
      </c>
      <c r="FN10" s="198" t="s">
        <v>1467</v>
      </c>
      <c r="FO10" s="198" t="s">
        <v>1467</v>
      </c>
      <c r="FP10" s="198" t="s">
        <v>1467</v>
      </c>
      <c r="FQ10" s="198" t="s">
        <v>1467</v>
      </c>
      <c r="FR10" s="198" t="s">
        <v>1467</v>
      </c>
      <c r="FS10" s="198" t="s">
        <v>1466</v>
      </c>
      <c r="FT10" s="198" t="s">
        <v>1477</v>
      </c>
      <c r="FU10" s="198" t="s">
        <v>1466</v>
      </c>
      <c r="FV10" s="198"/>
      <c r="FW10" s="198"/>
      <c r="FX10" s="198" t="s">
        <v>1467</v>
      </c>
      <c r="FY10" s="198" t="s">
        <v>1467</v>
      </c>
      <c r="FZ10" s="198" t="s">
        <v>1467</v>
      </c>
      <c r="GA10" s="198" t="s">
        <v>1467</v>
      </c>
      <c r="GB10" s="198" t="s">
        <v>1483</v>
      </c>
      <c r="GC10" s="198" t="s">
        <v>1467</v>
      </c>
      <c r="GD10" s="198" t="s">
        <v>1467</v>
      </c>
      <c r="GE10" s="198" t="s">
        <v>1467</v>
      </c>
      <c r="GF10" s="198" t="s">
        <v>1467</v>
      </c>
      <c r="GG10" s="198" t="s">
        <v>1467</v>
      </c>
      <c r="GH10" s="198" t="s">
        <v>1467</v>
      </c>
      <c r="GI10" s="198" t="s">
        <v>1467</v>
      </c>
      <c r="GJ10" s="198" t="s">
        <v>1467</v>
      </c>
      <c r="GK10" s="198" t="s">
        <v>1467</v>
      </c>
      <c r="GL10" s="198" t="s">
        <v>1467</v>
      </c>
      <c r="GM10" s="198" t="s">
        <v>1466</v>
      </c>
      <c r="GN10" s="198" t="s">
        <v>1467</v>
      </c>
      <c r="GO10" s="198" t="s">
        <v>1467</v>
      </c>
      <c r="GP10" s="198" t="s">
        <v>1467</v>
      </c>
      <c r="GQ10" s="198" t="s">
        <v>1460</v>
      </c>
      <c r="GR10" s="198" t="s">
        <v>1459</v>
      </c>
      <c r="GS10" s="198" t="s">
        <v>1485</v>
      </c>
      <c r="GT10" s="198" t="s">
        <v>1458</v>
      </c>
      <c r="GU10" s="198" t="s">
        <v>1457</v>
      </c>
      <c r="GV10" s="198" t="s">
        <v>1457</v>
      </c>
      <c r="GW10" s="198" t="s">
        <v>1458</v>
      </c>
      <c r="GX10" s="198"/>
      <c r="GY10" s="198" t="s">
        <v>1466</v>
      </c>
      <c r="GZ10" s="198" t="s">
        <v>1467</v>
      </c>
      <c r="HA10" s="198" t="s">
        <v>1467</v>
      </c>
      <c r="HB10" s="198" t="s">
        <v>1456</v>
      </c>
      <c r="HC10" s="198" t="s">
        <v>1467</v>
      </c>
      <c r="HD10" s="198" t="s">
        <v>1467</v>
      </c>
    </row>
    <row r="11">
      <c r="A11" s="234">
        <v>11.0</v>
      </c>
      <c r="B11" s="236" t="s">
        <v>1507</v>
      </c>
      <c r="C11" s="198" t="str">
        <f t="shared" ref="C11:DC11" si="10">if(countif(DD:DD,$B11),INDIRECT(concat("B",$A11)),"")</f>
        <v/>
      </c>
      <c r="D11" s="198" t="str">
        <f t="shared" si="10"/>
        <v/>
      </c>
      <c r="E11" s="198" t="str">
        <f t="shared" si="10"/>
        <v/>
      </c>
      <c r="F11" s="198" t="str">
        <f t="shared" si="10"/>
        <v/>
      </c>
      <c r="G11" s="198" t="str">
        <f t="shared" si="10"/>
        <v/>
      </c>
      <c r="H11" s="198" t="str">
        <f t="shared" si="10"/>
        <v/>
      </c>
      <c r="I11" s="198" t="str">
        <f t="shared" si="10"/>
        <v/>
      </c>
      <c r="J11" s="198" t="str">
        <f t="shared" si="10"/>
        <v/>
      </c>
      <c r="K11" s="198" t="str">
        <f t="shared" si="10"/>
        <v/>
      </c>
      <c r="L11" s="198" t="str">
        <f t="shared" si="10"/>
        <v/>
      </c>
      <c r="M11" s="198" t="str">
        <f t="shared" si="10"/>
        <v/>
      </c>
      <c r="N11" s="198" t="str">
        <f t="shared" si="10"/>
        <v/>
      </c>
      <c r="O11" s="198" t="str">
        <f t="shared" si="10"/>
        <v/>
      </c>
      <c r="P11" s="198" t="str">
        <f t="shared" si="10"/>
        <v/>
      </c>
      <c r="Q11" s="198" t="str">
        <f t="shared" si="10"/>
        <v/>
      </c>
      <c r="R11" s="198" t="str">
        <f t="shared" si="10"/>
        <v/>
      </c>
      <c r="S11" s="198" t="str">
        <f t="shared" si="10"/>
        <v/>
      </c>
      <c r="T11" s="198" t="str">
        <f t="shared" si="10"/>
        <v/>
      </c>
      <c r="U11" s="198" t="str">
        <f t="shared" si="10"/>
        <v/>
      </c>
      <c r="V11" s="198" t="str">
        <f t="shared" si="10"/>
        <v/>
      </c>
      <c r="W11" s="198" t="str">
        <f t="shared" si="10"/>
        <v/>
      </c>
      <c r="X11" s="198" t="str">
        <f t="shared" si="10"/>
        <v/>
      </c>
      <c r="Y11" s="198" t="str">
        <f t="shared" si="10"/>
        <v/>
      </c>
      <c r="Z11" s="198" t="str">
        <f t="shared" si="10"/>
        <v/>
      </c>
      <c r="AA11" s="198" t="str">
        <f t="shared" si="10"/>
        <v/>
      </c>
      <c r="AB11" s="198" t="str">
        <f t="shared" si="10"/>
        <v/>
      </c>
      <c r="AC11" s="198" t="str">
        <f t="shared" si="10"/>
        <v/>
      </c>
      <c r="AD11" s="198" t="str">
        <f t="shared" si="10"/>
        <v/>
      </c>
      <c r="AE11" s="198" t="str">
        <f t="shared" si="10"/>
        <v/>
      </c>
      <c r="AF11" s="198" t="str">
        <f t="shared" si="10"/>
        <v/>
      </c>
      <c r="AG11" s="198" t="str">
        <f t="shared" si="10"/>
        <v/>
      </c>
      <c r="AH11" s="198" t="str">
        <f t="shared" si="10"/>
        <v/>
      </c>
      <c r="AI11" s="198" t="str">
        <f t="shared" si="10"/>
        <v/>
      </c>
      <c r="AJ11" s="198" t="str">
        <f t="shared" si="10"/>
        <v/>
      </c>
      <c r="AK11" s="198" t="str">
        <f t="shared" si="10"/>
        <v/>
      </c>
      <c r="AL11" s="198" t="str">
        <f t="shared" si="10"/>
        <v/>
      </c>
      <c r="AM11" s="198" t="str">
        <f t="shared" si="10"/>
        <v/>
      </c>
      <c r="AN11" s="198" t="str">
        <f t="shared" si="10"/>
        <v/>
      </c>
      <c r="AO11" s="198" t="str">
        <f t="shared" si="10"/>
        <v/>
      </c>
      <c r="AP11" s="198" t="str">
        <f t="shared" si="10"/>
        <v/>
      </c>
      <c r="AQ11" s="198" t="str">
        <f t="shared" si="10"/>
        <v/>
      </c>
      <c r="AR11" s="198" t="str">
        <f t="shared" si="10"/>
        <v/>
      </c>
      <c r="AS11" s="198" t="str">
        <f t="shared" si="10"/>
        <v/>
      </c>
      <c r="AT11" s="198" t="str">
        <f t="shared" si="10"/>
        <v/>
      </c>
      <c r="AU11" s="198" t="str">
        <f t="shared" si="10"/>
        <v/>
      </c>
      <c r="AV11" s="198" t="str">
        <f t="shared" si="10"/>
        <v/>
      </c>
      <c r="AW11" s="198" t="str">
        <f t="shared" si="10"/>
        <v/>
      </c>
      <c r="AX11" s="198" t="str">
        <f t="shared" si="10"/>
        <v/>
      </c>
      <c r="AY11" s="198" t="str">
        <f t="shared" si="10"/>
        <v/>
      </c>
      <c r="AZ11" s="198" t="str">
        <f t="shared" si="10"/>
        <v/>
      </c>
      <c r="BA11" s="198" t="str">
        <f t="shared" si="10"/>
        <v/>
      </c>
      <c r="BB11" s="198" t="str">
        <f t="shared" si="10"/>
        <v/>
      </c>
      <c r="BC11" s="198" t="str">
        <f t="shared" si="10"/>
        <v/>
      </c>
      <c r="BD11" s="198" t="str">
        <f t="shared" si="10"/>
        <v/>
      </c>
      <c r="BE11" s="198" t="str">
        <f t="shared" si="10"/>
        <v/>
      </c>
      <c r="BF11" s="198" t="str">
        <f t="shared" si="10"/>
        <v/>
      </c>
      <c r="BG11" s="198" t="str">
        <f t="shared" si="10"/>
        <v/>
      </c>
      <c r="BH11" s="198" t="str">
        <f t="shared" si="10"/>
        <v/>
      </c>
      <c r="BI11" s="198" t="str">
        <f t="shared" si="10"/>
        <v/>
      </c>
      <c r="BJ11" s="198" t="str">
        <f t="shared" si="10"/>
        <v/>
      </c>
      <c r="BK11" s="198" t="str">
        <f t="shared" si="10"/>
        <v/>
      </c>
      <c r="BL11" s="198" t="str">
        <f t="shared" si="10"/>
        <v/>
      </c>
      <c r="BM11" s="198" t="str">
        <f t="shared" si="10"/>
        <v/>
      </c>
      <c r="BN11" s="198" t="str">
        <f t="shared" si="10"/>
        <v/>
      </c>
      <c r="BO11" s="198" t="str">
        <f t="shared" si="10"/>
        <v/>
      </c>
      <c r="BP11" s="198" t="str">
        <f t="shared" si="10"/>
        <v/>
      </c>
      <c r="BQ11" s="198" t="str">
        <f t="shared" si="10"/>
        <v/>
      </c>
      <c r="BR11" s="198" t="str">
        <f t="shared" si="10"/>
        <v/>
      </c>
      <c r="BS11" s="198" t="str">
        <f t="shared" si="10"/>
        <v>1.14.11.23</v>
      </c>
      <c r="BT11" s="198" t="str">
        <f t="shared" si="10"/>
        <v/>
      </c>
      <c r="BU11" s="198" t="str">
        <f t="shared" si="10"/>
        <v/>
      </c>
      <c r="BV11" s="198" t="str">
        <f t="shared" si="10"/>
        <v/>
      </c>
      <c r="BW11" s="198" t="str">
        <f t="shared" si="10"/>
        <v/>
      </c>
      <c r="BX11" s="198" t="str">
        <f t="shared" si="10"/>
        <v/>
      </c>
      <c r="BY11" s="198" t="str">
        <f t="shared" si="10"/>
        <v/>
      </c>
      <c r="BZ11" s="198" t="str">
        <f t="shared" si="10"/>
        <v/>
      </c>
      <c r="CA11" s="198" t="str">
        <f t="shared" si="10"/>
        <v/>
      </c>
      <c r="CB11" s="198" t="str">
        <f t="shared" si="10"/>
        <v/>
      </c>
      <c r="CC11" s="198" t="str">
        <f t="shared" si="10"/>
        <v/>
      </c>
      <c r="CD11" s="198" t="str">
        <f t="shared" si="10"/>
        <v/>
      </c>
      <c r="CE11" s="198" t="str">
        <f t="shared" si="10"/>
        <v/>
      </c>
      <c r="CF11" s="198" t="str">
        <f t="shared" si="10"/>
        <v/>
      </c>
      <c r="CG11" s="198" t="str">
        <f t="shared" si="10"/>
        <v/>
      </c>
      <c r="CH11" s="198" t="str">
        <f t="shared" si="10"/>
        <v/>
      </c>
      <c r="CI11" s="198" t="str">
        <f t="shared" si="10"/>
        <v/>
      </c>
      <c r="CJ11" s="198" t="str">
        <f t="shared" si="10"/>
        <v/>
      </c>
      <c r="CK11" s="198" t="str">
        <f t="shared" si="10"/>
        <v/>
      </c>
      <c r="CL11" s="198" t="str">
        <f t="shared" si="10"/>
        <v/>
      </c>
      <c r="CM11" s="198" t="str">
        <f t="shared" si="10"/>
        <v/>
      </c>
      <c r="CN11" s="198" t="str">
        <f t="shared" si="10"/>
        <v/>
      </c>
      <c r="CO11" s="198" t="str">
        <f t="shared" si="10"/>
        <v/>
      </c>
      <c r="CP11" s="198" t="str">
        <f t="shared" si="10"/>
        <v/>
      </c>
      <c r="CQ11" s="198" t="str">
        <f t="shared" si="10"/>
        <v/>
      </c>
      <c r="CR11" s="198" t="str">
        <f t="shared" si="10"/>
        <v/>
      </c>
      <c r="CS11" s="198" t="str">
        <f t="shared" si="10"/>
        <v/>
      </c>
      <c r="CT11" s="198" t="str">
        <f t="shared" si="10"/>
        <v/>
      </c>
      <c r="CU11" s="198" t="str">
        <f t="shared" si="10"/>
        <v/>
      </c>
      <c r="CV11" s="198" t="str">
        <f t="shared" si="10"/>
        <v/>
      </c>
      <c r="CW11" s="198" t="str">
        <f t="shared" si="10"/>
        <v/>
      </c>
      <c r="CX11" s="198" t="str">
        <f t="shared" si="10"/>
        <v/>
      </c>
      <c r="CY11" s="198" t="str">
        <f t="shared" si="10"/>
        <v/>
      </c>
      <c r="CZ11" s="198" t="str">
        <f t="shared" si="10"/>
        <v/>
      </c>
      <c r="DA11" s="198" t="str">
        <f t="shared" si="10"/>
        <v/>
      </c>
      <c r="DB11" s="198" t="str">
        <f t="shared" si="10"/>
        <v/>
      </c>
      <c r="DC11" s="198" t="str">
        <f t="shared" si="10"/>
        <v/>
      </c>
      <c r="DD11" s="198" t="s">
        <v>1460</v>
      </c>
      <c r="DE11" s="198" t="s">
        <v>1461</v>
      </c>
      <c r="DF11" s="198" t="s">
        <v>1459</v>
      </c>
      <c r="DG11" s="198" t="s">
        <v>1459</v>
      </c>
      <c r="DH11" s="198" t="s">
        <v>1485</v>
      </c>
      <c r="DI11" s="198" t="s">
        <v>1498</v>
      </c>
      <c r="DJ11" s="198" t="s">
        <v>1461</v>
      </c>
      <c r="DK11" s="198"/>
      <c r="DL11" s="198"/>
      <c r="DM11" s="198" t="s">
        <v>1460</v>
      </c>
      <c r="DN11" s="198" t="s">
        <v>1460</v>
      </c>
      <c r="DO11" s="198" t="s">
        <v>1459</v>
      </c>
      <c r="DP11" s="198" t="s">
        <v>1459</v>
      </c>
      <c r="DQ11" s="198" t="s">
        <v>1459</v>
      </c>
      <c r="DR11" s="198" t="s">
        <v>1458</v>
      </c>
      <c r="DS11" s="198" t="s">
        <v>1459</v>
      </c>
      <c r="DT11" s="198" t="s">
        <v>1459</v>
      </c>
      <c r="DU11" s="198" t="s">
        <v>1459</v>
      </c>
      <c r="DV11" s="198" t="s">
        <v>1456</v>
      </c>
      <c r="DW11" s="198" t="s">
        <v>1456</v>
      </c>
      <c r="DX11" s="198"/>
      <c r="DY11" s="198"/>
      <c r="DZ11" s="198"/>
      <c r="EA11" s="198" t="s">
        <v>1458</v>
      </c>
      <c r="EB11" s="198" t="s">
        <v>1458</v>
      </c>
      <c r="EC11" s="198" t="s">
        <v>1458</v>
      </c>
      <c r="ED11" s="198"/>
      <c r="EE11" s="198" t="s">
        <v>1461</v>
      </c>
      <c r="EF11" s="198" t="s">
        <v>1460</v>
      </c>
      <c r="EG11" s="198" t="s">
        <v>1461</v>
      </c>
      <c r="EH11" s="198" t="s">
        <v>1461</v>
      </c>
      <c r="EI11" s="198" t="s">
        <v>1461</v>
      </c>
      <c r="EJ11" s="198"/>
      <c r="EK11" s="198" t="s">
        <v>1456</v>
      </c>
      <c r="EL11" s="198" t="s">
        <v>1500</v>
      </c>
      <c r="EM11" s="198" t="s">
        <v>1456</v>
      </c>
      <c r="EN11" s="198" t="s">
        <v>1456</v>
      </c>
      <c r="EO11" s="198" t="s">
        <v>1456</v>
      </c>
      <c r="EP11" s="198" t="s">
        <v>1456</v>
      </c>
      <c r="EQ11" s="198" t="s">
        <v>1456</v>
      </c>
      <c r="ER11" s="198" t="s">
        <v>1456</v>
      </c>
      <c r="ES11" s="198"/>
      <c r="ET11" s="198" t="s">
        <v>1456</v>
      </c>
      <c r="EU11" s="198" t="s">
        <v>1456</v>
      </c>
      <c r="EV11" s="198" t="s">
        <v>1456</v>
      </c>
      <c r="EW11" s="198" t="s">
        <v>1456</v>
      </c>
      <c r="EX11" s="198" t="s">
        <v>1456</v>
      </c>
      <c r="EY11" s="198" t="s">
        <v>1456</v>
      </c>
      <c r="EZ11" s="198" t="s">
        <v>1456</v>
      </c>
      <c r="FA11" s="198" t="s">
        <v>1456</v>
      </c>
      <c r="FB11" s="198" t="s">
        <v>1456</v>
      </c>
      <c r="FC11" s="198" t="s">
        <v>1456</v>
      </c>
      <c r="FD11" s="198" t="s">
        <v>1483</v>
      </c>
      <c r="FE11" s="198" t="s">
        <v>1456</v>
      </c>
      <c r="FF11" s="198" t="s">
        <v>1456</v>
      </c>
      <c r="FG11" s="198" t="s">
        <v>1456</v>
      </c>
      <c r="FH11" s="198"/>
      <c r="FI11" s="198"/>
      <c r="FJ11" s="198" t="s">
        <v>1447</v>
      </c>
      <c r="FK11" s="198"/>
      <c r="FL11" s="198" t="s">
        <v>1456</v>
      </c>
      <c r="FM11" s="198" t="s">
        <v>1456</v>
      </c>
      <c r="FN11" s="198" t="s">
        <v>1456</v>
      </c>
      <c r="FO11" s="198" t="s">
        <v>1456</v>
      </c>
      <c r="FP11" s="198" t="s">
        <v>1456</v>
      </c>
      <c r="FQ11" s="198" t="s">
        <v>1456</v>
      </c>
      <c r="FR11" s="198" t="s">
        <v>1456</v>
      </c>
      <c r="FS11" s="198" t="s">
        <v>1467</v>
      </c>
      <c r="FT11" s="198" t="s">
        <v>1469</v>
      </c>
      <c r="FU11" s="198" t="s">
        <v>1467</v>
      </c>
      <c r="FV11" s="198"/>
      <c r="FW11" s="198"/>
      <c r="FX11" s="198" t="s">
        <v>1456</v>
      </c>
      <c r="FY11" s="198" t="s">
        <v>1456</v>
      </c>
      <c r="FZ11" s="198" t="s">
        <v>1456</v>
      </c>
      <c r="GA11" s="198" t="s">
        <v>1456</v>
      </c>
      <c r="GB11" s="198" t="s">
        <v>1447</v>
      </c>
      <c r="GC11" s="198" t="s">
        <v>1456</v>
      </c>
      <c r="GD11" s="198" t="s">
        <v>1456</v>
      </c>
      <c r="GE11" s="198" t="s">
        <v>1456</v>
      </c>
      <c r="GF11" s="198" t="s">
        <v>1456</v>
      </c>
      <c r="GG11" s="198" t="s">
        <v>1456</v>
      </c>
      <c r="GH11" s="198" t="s">
        <v>1456</v>
      </c>
      <c r="GI11" s="198" t="s">
        <v>1456</v>
      </c>
      <c r="GJ11" s="198" t="s">
        <v>1456</v>
      </c>
      <c r="GK11" s="198" t="s">
        <v>1483</v>
      </c>
      <c r="GL11" s="198" t="s">
        <v>1456</v>
      </c>
      <c r="GM11" s="198" t="s">
        <v>1467</v>
      </c>
      <c r="GN11" s="198" t="s">
        <v>1456</v>
      </c>
      <c r="GO11" s="198" t="s">
        <v>1456</v>
      </c>
      <c r="GP11" s="198" t="s">
        <v>1456</v>
      </c>
      <c r="GQ11" s="198" t="s">
        <v>1461</v>
      </c>
      <c r="GR11" s="198" t="s">
        <v>1460</v>
      </c>
      <c r="GS11" s="198" t="s">
        <v>1459</v>
      </c>
      <c r="GT11" s="198" t="s">
        <v>1459</v>
      </c>
      <c r="GU11" s="198" t="s">
        <v>1485</v>
      </c>
      <c r="GV11" s="198" t="s">
        <v>1485</v>
      </c>
      <c r="GW11" s="198" t="s">
        <v>1459</v>
      </c>
      <c r="GX11" s="198"/>
      <c r="GY11" s="198" t="s">
        <v>1467</v>
      </c>
      <c r="GZ11" s="198" t="s">
        <v>1456</v>
      </c>
      <c r="HA11" s="198" t="s">
        <v>1456</v>
      </c>
      <c r="HB11" s="198" t="s">
        <v>1483</v>
      </c>
      <c r="HC11" s="198" t="s">
        <v>1456</v>
      </c>
      <c r="HD11" s="198" t="s">
        <v>1456</v>
      </c>
    </row>
    <row r="12">
      <c r="A12" s="234">
        <v>12.0</v>
      </c>
      <c r="B12" s="198" t="s">
        <v>1484</v>
      </c>
      <c r="C12" s="198" t="str">
        <f t="shared" ref="C12:DC12" si="11">if(countif(DD:DD,$B12),INDIRECT(concat("B",$A12)),"")</f>
        <v/>
      </c>
      <c r="D12" s="198" t="str">
        <f t="shared" si="11"/>
        <v/>
      </c>
      <c r="E12" s="198" t="str">
        <f t="shared" si="11"/>
        <v>1.14.11.61</v>
      </c>
      <c r="F12" s="198" t="str">
        <f t="shared" si="11"/>
        <v>1.14.11.61</v>
      </c>
      <c r="G12" s="198" t="str">
        <f t="shared" si="11"/>
        <v>1.14.11.61</v>
      </c>
      <c r="H12" s="198" t="str">
        <f t="shared" si="11"/>
        <v>1.14.11.61</v>
      </c>
      <c r="I12" s="198" t="str">
        <f t="shared" si="11"/>
        <v/>
      </c>
      <c r="J12" s="198" t="str">
        <f t="shared" si="11"/>
        <v/>
      </c>
      <c r="K12" s="198" t="str">
        <f t="shared" si="11"/>
        <v/>
      </c>
      <c r="L12" s="198" t="str">
        <f t="shared" si="11"/>
        <v>1.14.11.61</v>
      </c>
      <c r="M12" s="198" t="str">
        <f t="shared" si="11"/>
        <v/>
      </c>
      <c r="N12" s="198" t="str">
        <f t="shared" si="11"/>
        <v>1.14.11.61</v>
      </c>
      <c r="O12" s="198" t="str">
        <f t="shared" si="11"/>
        <v>1.14.11.61</v>
      </c>
      <c r="P12" s="198" t="str">
        <f t="shared" si="11"/>
        <v>1.14.11.61</v>
      </c>
      <c r="Q12" s="198" t="str">
        <f t="shared" si="11"/>
        <v>1.14.11.61</v>
      </c>
      <c r="R12" s="198" t="str">
        <f t="shared" si="11"/>
        <v>1.14.11.61</v>
      </c>
      <c r="S12" s="198" t="str">
        <f t="shared" si="11"/>
        <v>1.14.11.61</v>
      </c>
      <c r="T12" s="198" t="str">
        <f t="shared" si="11"/>
        <v>1.14.11.61</v>
      </c>
      <c r="U12" s="198" t="str">
        <f t="shared" si="11"/>
        <v>1.14.11.61</v>
      </c>
      <c r="V12" s="198" t="str">
        <f t="shared" si="11"/>
        <v>1.14.11.61</v>
      </c>
      <c r="W12" s="198" t="str">
        <f t="shared" si="11"/>
        <v/>
      </c>
      <c r="X12" s="198" t="str">
        <f t="shared" si="11"/>
        <v/>
      </c>
      <c r="Y12" s="198" t="str">
        <f t="shared" si="11"/>
        <v/>
      </c>
      <c r="Z12" s="198" t="str">
        <f t="shared" si="11"/>
        <v/>
      </c>
      <c r="AA12" s="198" t="str">
        <f t="shared" si="11"/>
        <v>1.14.11.61</v>
      </c>
      <c r="AB12" s="198" t="str">
        <f t="shared" si="11"/>
        <v>1.14.11.61</v>
      </c>
      <c r="AC12" s="198" t="str">
        <f t="shared" si="11"/>
        <v/>
      </c>
      <c r="AD12" s="198" t="str">
        <f t="shared" si="11"/>
        <v/>
      </c>
      <c r="AE12" s="198" t="str">
        <f t="shared" si="11"/>
        <v>1.14.11.61</v>
      </c>
      <c r="AF12" s="198" t="str">
        <f t="shared" si="11"/>
        <v/>
      </c>
      <c r="AG12" s="198" t="str">
        <f t="shared" si="11"/>
        <v/>
      </c>
      <c r="AH12" s="198" t="str">
        <f t="shared" si="11"/>
        <v/>
      </c>
      <c r="AI12" s="198" t="str">
        <f t="shared" si="11"/>
        <v/>
      </c>
      <c r="AJ12" s="198" t="str">
        <f t="shared" si="11"/>
        <v>1.14.11.61</v>
      </c>
      <c r="AK12" s="198" t="str">
        <f t="shared" si="11"/>
        <v>1.14.11.61</v>
      </c>
      <c r="AL12" s="198" t="str">
        <f t="shared" si="11"/>
        <v/>
      </c>
      <c r="AM12" s="198" t="str">
        <f t="shared" si="11"/>
        <v>1.14.11.61</v>
      </c>
      <c r="AN12" s="198" t="str">
        <f t="shared" si="11"/>
        <v/>
      </c>
      <c r="AO12" s="198" t="str">
        <f t="shared" si="11"/>
        <v/>
      </c>
      <c r="AP12" s="198" t="str">
        <f t="shared" si="11"/>
        <v>1.14.11.61</v>
      </c>
      <c r="AQ12" s="198" t="str">
        <f t="shared" si="11"/>
        <v>1.14.11.61</v>
      </c>
      <c r="AR12" s="198" t="str">
        <f t="shared" si="11"/>
        <v/>
      </c>
      <c r="AS12" s="198" t="str">
        <f t="shared" si="11"/>
        <v>1.14.11.61</v>
      </c>
      <c r="AT12" s="198" t="str">
        <f t="shared" si="11"/>
        <v>1.14.11.61</v>
      </c>
      <c r="AU12" s="198" t="str">
        <f t="shared" si="11"/>
        <v>1.14.11.61</v>
      </c>
      <c r="AV12" s="198" t="str">
        <f t="shared" si="11"/>
        <v>1.14.11.61</v>
      </c>
      <c r="AW12" s="198" t="str">
        <f t="shared" si="11"/>
        <v>1.14.11.61</v>
      </c>
      <c r="AX12" s="198" t="str">
        <f t="shared" si="11"/>
        <v>1.14.11.61</v>
      </c>
      <c r="AY12" s="198" t="str">
        <f t="shared" si="11"/>
        <v>1.14.11.61</v>
      </c>
      <c r="AZ12" s="198" t="str">
        <f t="shared" si="11"/>
        <v>1.14.11.61</v>
      </c>
      <c r="BA12" s="198" t="str">
        <f t="shared" si="11"/>
        <v>1.14.11.61</v>
      </c>
      <c r="BB12" s="198" t="str">
        <f t="shared" si="11"/>
        <v>1.14.11.61</v>
      </c>
      <c r="BC12" s="198" t="str">
        <f t="shared" si="11"/>
        <v>1.14.11.61</v>
      </c>
      <c r="BD12" s="198" t="str">
        <f t="shared" si="11"/>
        <v>1.14.11.61</v>
      </c>
      <c r="BE12" s="198" t="str">
        <f t="shared" si="11"/>
        <v>1.14.11.61</v>
      </c>
      <c r="BF12" s="198" t="str">
        <f t="shared" si="11"/>
        <v>1.14.11.61</v>
      </c>
      <c r="BG12" s="198" t="str">
        <f t="shared" si="11"/>
        <v/>
      </c>
      <c r="BH12" s="198" t="str">
        <f t="shared" si="11"/>
        <v/>
      </c>
      <c r="BI12" s="198" t="str">
        <f t="shared" si="11"/>
        <v>1.14.11.61</v>
      </c>
      <c r="BJ12" s="198" t="str">
        <f t="shared" si="11"/>
        <v/>
      </c>
      <c r="BK12" s="198" t="str">
        <f t="shared" si="11"/>
        <v/>
      </c>
      <c r="BL12" s="198" t="str">
        <f t="shared" si="11"/>
        <v>1.14.11.61</v>
      </c>
      <c r="BM12" s="198" t="str">
        <f t="shared" si="11"/>
        <v>1.14.11.61</v>
      </c>
      <c r="BN12" s="198" t="str">
        <f t="shared" si="11"/>
        <v>1.14.11.61</v>
      </c>
      <c r="BO12" s="198" t="str">
        <f t="shared" si="11"/>
        <v>1.14.11.61</v>
      </c>
      <c r="BP12" s="198" t="str">
        <f t="shared" si="11"/>
        <v>1.14.11.61</v>
      </c>
      <c r="BQ12" s="198" t="str">
        <f t="shared" si="11"/>
        <v>1.14.11.61</v>
      </c>
      <c r="BR12" s="198" t="str">
        <f t="shared" si="11"/>
        <v/>
      </c>
      <c r="BS12" s="198" t="str">
        <f t="shared" si="11"/>
        <v/>
      </c>
      <c r="BT12" s="198" t="str">
        <f t="shared" si="11"/>
        <v/>
      </c>
      <c r="BU12" s="198" t="str">
        <f t="shared" si="11"/>
        <v/>
      </c>
      <c r="BV12" s="198" t="str">
        <f t="shared" si="11"/>
        <v/>
      </c>
      <c r="BW12" s="198" t="str">
        <f t="shared" si="11"/>
        <v/>
      </c>
      <c r="BX12" s="198" t="str">
        <f t="shared" si="11"/>
        <v/>
      </c>
      <c r="BY12" s="198" t="str">
        <f t="shared" si="11"/>
        <v>1.14.11.61</v>
      </c>
      <c r="BZ12" s="198" t="str">
        <f t="shared" si="11"/>
        <v/>
      </c>
      <c r="CA12" s="198" t="str">
        <f t="shared" si="11"/>
        <v/>
      </c>
      <c r="CB12" s="198" t="str">
        <f t="shared" si="11"/>
        <v>1.14.11.61</v>
      </c>
      <c r="CC12" s="198" t="str">
        <f t="shared" si="11"/>
        <v>1.14.11.61</v>
      </c>
      <c r="CD12" s="198" t="str">
        <f t="shared" si="11"/>
        <v/>
      </c>
      <c r="CE12" s="198" t="str">
        <f t="shared" si="11"/>
        <v>1.14.11.61</v>
      </c>
      <c r="CF12" s="198" t="str">
        <f t="shared" si="11"/>
        <v>1.14.11.61</v>
      </c>
      <c r="CG12" s="198" t="str">
        <f t="shared" si="11"/>
        <v>1.14.11.61</v>
      </c>
      <c r="CH12" s="198" t="str">
        <f t="shared" si="11"/>
        <v>1.14.11.61</v>
      </c>
      <c r="CI12" s="198" t="str">
        <f t="shared" si="11"/>
        <v>1.14.11.61</v>
      </c>
      <c r="CJ12" s="198" t="str">
        <f t="shared" si="11"/>
        <v/>
      </c>
      <c r="CK12" s="198" t="str">
        <f t="shared" si="11"/>
        <v>1.14.11.61</v>
      </c>
      <c r="CL12" s="198" t="str">
        <f t="shared" si="11"/>
        <v/>
      </c>
      <c r="CM12" s="198" t="str">
        <f t="shared" si="11"/>
        <v>1.14.11.61</v>
      </c>
      <c r="CN12" s="198" t="str">
        <f t="shared" si="11"/>
        <v>1.14.11.61</v>
      </c>
      <c r="CO12" s="198" t="str">
        <f t="shared" si="11"/>
        <v>1.14.11.61</v>
      </c>
      <c r="CP12" s="198" t="str">
        <f t="shared" si="11"/>
        <v/>
      </c>
      <c r="CQ12" s="198" t="str">
        <f t="shared" si="11"/>
        <v>1.14.11.61</v>
      </c>
      <c r="CR12" s="198" t="str">
        <f t="shared" si="11"/>
        <v>1.14.11.61</v>
      </c>
      <c r="CS12" s="198" t="str">
        <f t="shared" si="11"/>
        <v>1.14.11.61</v>
      </c>
      <c r="CT12" s="198" t="str">
        <f t="shared" si="11"/>
        <v>1.14.11.61</v>
      </c>
      <c r="CU12" s="198" t="str">
        <f t="shared" si="11"/>
        <v>1.14.11.61</v>
      </c>
      <c r="CV12" s="198" t="str">
        <f t="shared" si="11"/>
        <v>1.14.11.61</v>
      </c>
      <c r="CW12" s="198" t="str">
        <f t="shared" si="11"/>
        <v/>
      </c>
      <c r="CX12" s="198" t="str">
        <f t="shared" si="11"/>
        <v/>
      </c>
      <c r="CY12" s="198" t="str">
        <f t="shared" si="11"/>
        <v>1.14.11.61</v>
      </c>
      <c r="CZ12" s="198" t="str">
        <f t="shared" si="11"/>
        <v>1.14.11.61</v>
      </c>
      <c r="DA12" s="198" t="str">
        <f t="shared" si="11"/>
        <v>1.14.11.61</v>
      </c>
      <c r="DB12" s="198" t="str">
        <f t="shared" si="11"/>
        <v>1.14.11.61</v>
      </c>
      <c r="DC12" s="198" t="str">
        <f t="shared" si="11"/>
        <v>1.14.11.61</v>
      </c>
      <c r="DD12" s="198" t="s">
        <v>1461</v>
      </c>
      <c r="DE12" s="198" t="s">
        <v>1463</v>
      </c>
      <c r="DF12" s="198" t="s">
        <v>1460</v>
      </c>
      <c r="DG12" s="198" t="s">
        <v>1460</v>
      </c>
      <c r="DH12" s="198" t="s">
        <v>1459</v>
      </c>
      <c r="DI12" s="198" t="s">
        <v>1499</v>
      </c>
      <c r="DJ12" s="198" t="s">
        <v>1463</v>
      </c>
      <c r="DK12" s="198"/>
      <c r="DL12" s="198"/>
      <c r="DM12" s="198" t="s">
        <v>1461</v>
      </c>
      <c r="DN12" s="198" t="s">
        <v>1461</v>
      </c>
      <c r="DO12" s="198" t="s">
        <v>1460</v>
      </c>
      <c r="DP12" s="198" t="s">
        <v>1460</v>
      </c>
      <c r="DQ12" s="198" t="s">
        <v>1460</v>
      </c>
      <c r="DR12" s="198" t="s">
        <v>1459</v>
      </c>
      <c r="DS12" s="198" t="s">
        <v>1460</v>
      </c>
      <c r="DT12" s="198" t="s">
        <v>1460</v>
      </c>
      <c r="DU12" s="198" t="s">
        <v>1500</v>
      </c>
      <c r="DV12" s="198" t="s">
        <v>1483</v>
      </c>
      <c r="DW12" s="198" t="s">
        <v>1483</v>
      </c>
      <c r="DX12" s="198"/>
      <c r="DY12" s="198"/>
      <c r="DZ12" s="198"/>
      <c r="EA12" s="198" t="s">
        <v>1459</v>
      </c>
      <c r="EB12" s="198" t="s">
        <v>1459</v>
      </c>
      <c r="EC12" s="198" t="s">
        <v>1459</v>
      </c>
      <c r="ED12" s="198"/>
      <c r="EE12" s="198" t="s">
        <v>1464</v>
      </c>
      <c r="EF12" s="198" t="s">
        <v>1461</v>
      </c>
      <c r="EG12" s="198" t="s">
        <v>1464</v>
      </c>
      <c r="EH12" s="198" t="s">
        <v>1464</v>
      </c>
      <c r="EI12" s="198" t="s">
        <v>1464</v>
      </c>
      <c r="EJ12" s="198"/>
      <c r="EK12" s="198" t="s">
        <v>1483</v>
      </c>
      <c r="EL12" s="198" t="s">
        <v>1501</v>
      </c>
      <c r="EM12" s="198" t="s">
        <v>1483</v>
      </c>
      <c r="EN12" s="198" t="s">
        <v>1483</v>
      </c>
      <c r="EO12" s="198" t="s">
        <v>1483</v>
      </c>
      <c r="EP12" s="198" t="s">
        <v>1483</v>
      </c>
      <c r="EQ12" s="198" t="s">
        <v>1483</v>
      </c>
      <c r="ER12" s="198" t="s">
        <v>1483</v>
      </c>
      <c r="ES12" s="198"/>
      <c r="ET12" s="198" t="s">
        <v>1483</v>
      </c>
      <c r="EU12" s="198" t="s">
        <v>1483</v>
      </c>
      <c r="EV12" s="198" t="s">
        <v>1483</v>
      </c>
      <c r="EW12" s="198" t="s">
        <v>1483</v>
      </c>
      <c r="EX12" s="198" t="s">
        <v>1483</v>
      </c>
      <c r="EY12" s="198" t="s">
        <v>1483</v>
      </c>
      <c r="EZ12" s="198" t="s">
        <v>1483</v>
      </c>
      <c r="FA12" s="198" t="s">
        <v>1483</v>
      </c>
      <c r="FB12" s="198" t="s">
        <v>1483</v>
      </c>
      <c r="FC12" s="198" t="s">
        <v>1483</v>
      </c>
      <c r="FD12" s="198" t="s">
        <v>1447</v>
      </c>
      <c r="FE12" s="198" t="s">
        <v>1483</v>
      </c>
      <c r="FF12" s="198" t="s">
        <v>1483</v>
      </c>
      <c r="FG12" s="198" t="s">
        <v>1483</v>
      </c>
      <c r="FH12" s="198"/>
      <c r="FI12" s="198"/>
      <c r="FJ12" s="198" t="s">
        <v>1455</v>
      </c>
      <c r="FK12" s="198"/>
      <c r="FL12" s="198" t="s">
        <v>1483</v>
      </c>
      <c r="FM12" s="198" t="s">
        <v>1483</v>
      </c>
      <c r="FN12" s="198" t="s">
        <v>1483</v>
      </c>
      <c r="FO12" s="198" t="s">
        <v>1483</v>
      </c>
      <c r="FP12" s="198" t="s">
        <v>1483</v>
      </c>
      <c r="FQ12" s="198" t="s">
        <v>1483</v>
      </c>
      <c r="FR12" s="198" t="s">
        <v>1483</v>
      </c>
      <c r="FS12" s="198" t="s">
        <v>1456</v>
      </c>
      <c r="FT12" s="198" t="s">
        <v>1466</v>
      </c>
      <c r="FU12" s="198" t="s">
        <v>1456</v>
      </c>
      <c r="FV12" s="198"/>
      <c r="FW12" s="198"/>
      <c r="FX12" s="198" t="s">
        <v>1483</v>
      </c>
      <c r="FY12" s="198" t="s">
        <v>1483</v>
      </c>
      <c r="FZ12" s="198" t="s">
        <v>1483</v>
      </c>
      <c r="GA12" s="198" t="s">
        <v>1483</v>
      </c>
      <c r="GB12" s="198" t="s">
        <v>1455</v>
      </c>
      <c r="GC12" s="198" t="s">
        <v>1483</v>
      </c>
      <c r="GD12" s="198" t="s">
        <v>1483</v>
      </c>
      <c r="GE12" s="198" t="s">
        <v>1483</v>
      </c>
      <c r="GF12" s="198" t="s">
        <v>1483</v>
      </c>
      <c r="GG12" s="198" t="s">
        <v>1483</v>
      </c>
      <c r="GH12" s="198" t="s">
        <v>1483</v>
      </c>
      <c r="GI12" s="198" t="s">
        <v>1483</v>
      </c>
      <c r="GJ12" s="198" t="s">
        <v>1483</v>
      </c>
      <c r="GK12" s="198" t="s">
        <v>1447</v>
      </c>
      <c r="GL12" s="198" t="s">
        <v>1483</v>
      </c>
      <c r="GM12" s="198" t="s">
        <v>1456</v>
      </c>
      <c r="GN12" s="198" t="s">
        <v>1483</v>
      </c>
      <c r="GO12" s="198" t="s">
        <v>1483</v>
      </c>
      <c r="GP12" s="198" t="s">
        <v>1483</v>
      </c>
      <c r="GQ12" s="198" t="s">
        <v>1462</v>
      </c>
      <c r="GR12" s="198" t="s">
        <v>1461</v>
      </c>
      <c r="GS12" s="198" t="s">
        <v>1460</v>
      </c>
      <c r="GT12" s="198" t="s">
        <v>1500</v>
      </c>
      <c r="GU12" s="198" t="s">
        <v>1458</v>
      </c>
      <c r="GV12" s="198" t="s">
        <v>1458</v>
      </c>
      <c r="GW12" s="198" t="s">
        <v>1500</v>
      </c>
      <c r="GX12" s="198"/>
      <c r="GY12" s="198" t="s">
        <v>1456</v>
      </c>
      <c r="GZ12" s="198" t="s">
        <v>1483</v>
      </c>
      <c r="HA12" s="198" t="s">
        <v>1483</v>
      </c>
      <c r="HB12" s="198" t="s">
        <v>1447</v>
      </c>
      <c r="HC12" s="198" t="s">
        <v>1483</v>
      </c>
      <c r="HD12" s="198" t="s">
        <v>1483</v>
      </c>
    </row>
    <row r="13">
      <c r="A13" s="234">
        <v>13.0</v>
      </c>
      <c r="B13" s="198" t="s">
        <v>1509</v>
      </c>
      <c r="C13" s="198" t="str">
        <f t="shared" ref="C13:DC13" si="12">if(countif(DD:DD,$B13),INDIRECT(concat("B",$A13)),"")</f>
        <v/>
      </c>
      <c r="D13" s="198" t="str">
        <f t="shared" si="12"/>
        <v/>
      </c>
      <c r="E13" s="198" t="str">
        <f t="shared" si="12"/>
        <v/>
      </c>
      <c r="F13" s="198" t="str">
        <f t="shared" si="12"/>
        <v/>
      </c>
      <c r="G13" s="198" t="str">
        <f t="shared" si="12"/>
        <v/>
      </c>
      <c r="H13" s="198" t="str">
        <f t="shared" si="12"/>
        <v/>
      </c>
      <c r="I13" s="198" t="str">
        <f t="shared" si="12"/>
        <v/>
      </c>
      <c r="J13" s="198" t="str">
        <f t="shared" si="12"/>
        <v/>
      </c>
      <c r="K13" s="198" t="str">
        <f t="shared" si="12"/>
        <v/>
      </c>
      <c r="L13" s="198" t="str">
        <f t="shared" si="12"/>
        <v/>
      </c>
      <c r="M13" s="198" t="str">
        <f t="shared" si="12"/>
        <v/>
      </c>
      <c r="N13" s="198" t="str">
        <f t="shared" si="12"/>
        <v/>
      </c>
      <c r="O13" s="198" t="str">
        <f t="shared" si="12"/>
        <v/>
      </c>
      <c r="P13" s="198" t="str">
        <f t="shared" si="12"/>
        <v/>
      </c>
      <c r="Q13" s="198" t="str">
        <f t="shared" si="12"/>
        <v/>
      </c>
      <c r="R13" s="198" t="str">
        <f t="shared" si="12"/>
        <v/>
      </c>
      <c r="S13" s="198" t="str">
        <f t="shared" si="12"/>
        <v/>
      </c>
      <c r="T13" s="198" t="str">
        <f t="shared" si="12"/>
        <v/>
      </c>
      <c r="U13" s="198" t="str">
        <f t="shared" si="12"/>
        <v/>
      </c>
      <c r="V13" s="198" t="str">
        <f t="shared" si="12"/>
        <v/>
      </c>
      <c r="W13" s="198" t="str">
        <f t="shared" si="12"/>
        <v/>
      </c>
      <c r="X13" s="198" t="str">
        <f t="shared" si="12"/>
        <v/>
      </c>
      <c r="Y13" s="198" t="str">
        <f t="shared" si="12"/>
        <v/>
      </c>
      <c r="Z13" s="198" t="str">
        <f t="shared" si="12"/>
        <v/>
      </c>
      <c r="AA13" s="198" t="str">
        <f t="shared" si="12"/>
        <v>1.14.11.62</v>
      </c>
      <c r="AB13" s="198" t="str">
        <f t="shared" si="12"/>
        <v>1.14.11.62</v>
      </c>
      <c r="AC13" s="198" t="str">
        <f t="shared" si="12"/>
        <v/>
      </c>
      <c r="AD13" s="198" t="str">
        <f t="shared" si="12"/>
        <v/>
      </c>
      <c r="AE13" s="198" t="str">
        <f t="shared" si="12"/>
        <v/>
      </c>
      <c r="AF13" s="198" t="str">
        <f t="shared" si="12"/>
        <v/>
      </c>
      <c r="AG13" s="198" t="str">
        <f t="shared" si="12"/>
        <v/>
      </c>
      <c r="AH13" s="198" t="str">
        <f t="shared" si="12"/>
        <v/>
      </c>
      <c r="AI13" s="198" t="str">
        <f t="shared" si="12"/>
        <v/>
      </c>
      <c r="AJ13" s="198" t="str">
        <f t="shared" si="12"/>
        <v/>
      </c>
      <c r="AK13" s="198" t="str">
        <f t="shared" si="12"/>
        <v/>
      </c>
      <c r="AL13" s="198" t="str">
        <f t="shared" si="12"/>
        <v/>
      </c>
      <c r="AM13" s="198" t="str">
        <f t="shared" si="12"/>
        <v/>
      </c>
      <c r="AN13" s="198" t="str">
        <f t="shared" si="12"/>
        <v/>
      </c>
      <c r="AO13" s="198" t="str">
        <f t="shared" si="12"/>
        <v/>
      </c>
      <c r="AP13" s="198" t="str">
        <f t="shared" si="12"/>
        <v/>
      </c>
      <c r="AQ13" s="198" t="str">
        <f t="shared" si="12"/>
        <v/>
      </c>
      <c r="AR13" s="198" t="str">
        <f t="shared" si="12"/>
        <v/>
      </c>
      <c r="AS13" s="198" t="str">
        <f t="shared" si="12"/>
        <v/>
      </c>
      <c r="AT13" s="198" t="str">
        <f t="shared" si="12"/>
        <v/>
      </c>
      <c r="AU13" s="198" t="str">
        <f t="shared" si="12"/>
        <v/>
      </c>
      <c r="AV13" s="198" t="str">
        <f t="shared" si="12"/>
        <v/>
      </c>
      <c r="AW13" s="198" t="str">
        <f t="shared" si="12"/>
        <v/>
      </c>
      <c r="AX13" s="198" t="str">
        <f t="shared" si="12"/>
        <v/>
      </c>
      <c r="AY13" s="198" t="str">
        <f t="shared" si="12"/>
        <v>1.14.11.62</v>
      </c>
      <c r="AZ13" s="198" t="str">
        <f t="shared" si="12"/>
        <v/>
      </c>
      <c r="BA13" s="198" t="str">
        <f t="shared" si="12"/>
        <v/>
      </c>
      <c r="BB13" s="198" t="str">
        <f t="shared" si="12"/>
        <v/>
      </c>
      <c r="BC13" s="198" t="str">
        <f t="shared" si="12"/>
        <v/>
      </c>
      <c r="BD13" s="198" t="str">
        <f t="shared" si="12"/>
        <v/>
      </c>
      <c r="BE13" s="198" t="str">
        <f t="shared" si="12"/>
        <v/>
      </c>
      <c r="BF13" s="198" t="str">
        <f t="shared" si="12"/>
        <v/>
      </c>
      <c r="BG13" s="198" t="str">
        <f t="shared" si="12"/>
        <v/>
      </c>
      <c r="BH13" s="198" t="str">
        <f t="shared" si="12"/>
        <v/>
      </c>
      <c r="BI13" s="198" t="str">
        <f t="shared" si="12"/>
        <v/>
      </c>
      <c r="BJ13" s="198" t="str">
        <f t="shared" si="12"/>
        <v/>
      </c>
      <c r="BK13" s="198" t="str">
        <f t="shared" si="12"/>
        <v/>
      </c>
      <c r="BL13" s="198" t="str">
        <f t="shared" si="12"/>
        <v/>
      </c>
      <c r="BM13" s="198" t="str">
        <f t="shared" si="12"/>
        <v/>
      </c>
      <c r="BN13" s="198" t="str">
        <f t="shared" si="12"/>
        <v/>
      </c>
      <c r="BO13" s="198" t="str">
        <f t="shared" si="12"/>
        <v/>
      </c>
      <c r="BP13" s="198" t="str">
        <f t="shared" si="12"/>
        <v/>
      </c>
      <c r="BQ13" s="198" t="str">
        <f t="shared" si="12"/>
        <v/>
      </c>
      <c r="BR13" s="198" t="str">
        <f t="shared" si="12"/>
        <v/>
      </c>
      <c r="BS13" s="198" t="str">
        <f t="shared" si="12"/>
        <v/>
      </c>
      <c r="BT13" s="198" t="str">
        <f t="shared" si="12"/>
        <v/>
      </c>
      <c r="BU13" s="198" t="str">
        <f t="shared" si="12"/>
        <v/>
      </c>
      <c r="BV13" s="198" t="str">
        <f t="shared" si="12"/>
        <v/>
      </c>
      <c r="BW13" s="198" t="str">
        <f t="shared" si="12"/>
        <v/>
      </c>
      <c r="BX13" s="198" t="str">
        <f t="shared" si="12"/>
        <v/>
      </c>
      <c r="BY13" s="198" t="str">
        <f t="shared" si="12"/>
        <v/>
      </c>
      <c r="BZ13" s="198" t="str">
        <f t="shared" si="12"/>
        <v/>
      </c>
      <c r="CA13" s="198" t="str">
        <f t="shared" si="12"/>
        <v/>
      </c>
      <c r="CB13" s="198" t="str">
        <f t="shared" si="12"/>
        <v/>
      </c>
      <c r="CC13" s="198" t="str">
        <f t="shared" si="12"/>
        <v/>
      </c>
      <c r="CD13" s="198" t="str">
        <f t="shared" si="12"/>
        <v/>
      </c>
      <c r="CE13" s="198" t="str">
        <f t="shared" si="12"/>
        <v/>
      </c>
      <c r="CF13" s="198" t="str">
        <f t="shared" si="12"/>
        <v/>
      </c>
      <c r="CG13" s="198" t="str">
        <f t="shared" si="12"/>
        <v/>
      </c>
      <c r="CH13" s="198" t="str">
        <f t="shared" si="12"/>
        <v/>
      </c>
      <c r="CI13" s="198" t="str">
        <f t="shared" si="12"/>
        <v/>
      </c>
      <c r="CJ13" s="198" t="str">
        <f t="shared" si="12"/>
        <v/>
      </c>
      <c r="CK13" s="198" t="str">
        <f t="shared" si="12"/>
        <v/>
      </c>
      <c r="CL13" s="198" t="str">
        <f t="shared" si="12"/>
        <v/>
      </c>
      <c r="CM13" s="198" t="str">
        <f t="shared" si="12"/>
        <v/>
      </c>
      <c r="CN13" s="198" t="str">
        <f t="shared" si="12"/>
        <v/>
      </c>
      <c r="CO13" s="198" t="str">
        <f t="shared" si="12"/>
        <v/>
      </c>
      <c r="CP13" s="198" t="str">
        <f t="shared" si="12"/>
        <v/>
      </c>
      <c r="CQ13" s="198" t="str">
        <f t="shared" si="12"/>
        <v/>
      </c>
      <c r="CR13" s="198" t="str">
        <f t="shared" si="12"/>
        <v/>
      </c>
      <c r="CS13" s="198" t="str">
        <f t="shared" si="12"/>
        <v/>
      </c>
      <c r="CT13" s="198" t="str">
        <f t="shared" si="12"/>
        <v/>
      </c>
      <c r="CU13" s="198" t="str">
        <f t="shared" si="12"/>
        <v/>
      </c>
      <c r="CV13" s="198" t="str">
        <f t="shared" si="12"/>
        <v/>
      </c>
      <c r="CW13" s="198" t="str">
        <f t="shared" si="12"/>
        <v/>
      </c>
      <c r="CX13" s="198" t="str">
        <f t="shared" si="12"/>
        <v/>
      </c>
      <c r="CY13" s="198" t="str">
        <f t="shared" si="12"/>
        <v/>
      </c>
      <c r="CZ13" s="198" t="str">
        <f t="shared" si="12"/>
        <v/>
      </c>
      <c r="DA13" s="198" t="str">
        <f t="shared" si="12"/>
        <v/>
      </c>
      <c r="DB13" s="198" t="str">
        <f t="shared" si="12"/>
        <v/>
      </c>
      <c r="DC13" s="198" t="str">
        <f t="shared" si="12"/>
        <v/>
      </c>
      <c r="DD13" s="198" t="s">
        <v>1462</v>
      </c>
      <c r="DE13" s="198" t="s">
        <v>1464</v>
      </c>
      <c r="DF13" s="198" t="s">
        <v>1461</v>
      </c>
      <c r="DG13" s="198" t="s">
        <v>1461</v>
      </c>
      <c r="DH13" s="198" t="s">
        <v>1498</v>
      </c>
      <c r="DI13" s="198" t="s">
        <v>1500</v>
      </c>
      <c r="DJ13" s="198" t="s">
        <v>1464</v>
      </c>
      <c r="DK13" s="198"/>
      <c r="DL13" s="198"/>
      <c r="DM13" s="198" t="s">
        <v>1463</v>
      </c>
      <c r="DN13" s="198" t="s">
        <v>1462</v>
      </c>
      <c r="DO13" s="198" t="s">
        <v>1461</v>
      </c>
      <c r="DP13" s="198" t="s">
        <v>1461</v>
      </c>
      <c r="DQ13" s="198" t="s">
        <v>1461</v>
      </c>
      <c r="DR13" s="198" t="s">
        <v>1498</v>
      </c>
      <c r="DS13" s="198" t="s">
        <v>1461</v>
      </c>
      <c r="DT13" s="198" t="s">
        <v>1461</v>
      </c>
      <c r="DU13" s="198" t="s">
        <v>1501</v>
      </c>
      <c r="DV13" s="198" t="s">
        <v>1447</v>
      </c>
      <c r="DW13" s="198" t="s">
        <v>1447</v>
      </c>
      <c r="DX13" s="198"/>
      <c r="DY13" s="198"/>
      <c r="DZ13" s="198"/>
      <c r="EA13" s="198" t="s">
        <v>1498</v>
      </c>
      <c r="EB13" s="198" t="s">
        <v>1500</v>
      </c>
      <c r="EC13" s="198" t="s">
        <v>1500</v>
      </c>
      <c r="ED13" s="198"/>
      <c r="EE13" s="198" t="s">
        <v>1466</v>
      </c>
      <c r="EF13" s="198" t="s">
        <v>1464</v>
      </c>
      <c r="EG13" s="198" t="s">
        <v>1466</v>
      </c>
      <c r="EH13" s="198" t="s">
        <v>1466</v>
      </c>
      <c r="EI13" s="198" t="s">
        <v>1466</v>
      </c>
      <c r="EJ13" s="198"/>
      <c r="EK13" s="198" t="s">
        <v>1447</v>
      </c>
      <c r="EL13" s="198" t="s">
        <v>1460</v>
      </c>
      <c r="EM13" s="198" t="s">
        <v>1447</v>
      </c>
      <c r="EN13" s="198" t="s">
        <v>1447</v>
      </c>
      <c r="EO13" s="198" t="s">
        <v>1447</v>
      </c>
      <c r="EP13" s="198" t="s">
        <v>1447</v>
      </c>
      <c r="EQ13" s="198" t="s">
        <v>1447</v>
      </c>
      <c r="ER13" s="198" t="s">
        <v>1447</v>
      </c>
      <c r="ES13" s="198"/>
      <c r="ET13" s="198" t="s">
        <v>1447</v>
      </c>
      <c r="EU13" s="198" t="s">
        <v>1447</v>
      </c>
      <c r="EV13" s="198" t="s">
        <v>1447</v>
      </c>
      <c r="EW13" s="198" t="s">
        <v>1447</v>
      </c>
      <c r="EX13" s="198" t="s">
        <v>1447</v>
      </c>
      <c r="EY13" s="198" t="s">
        <v>1447</v>
      </c>
      <c r="EZ13" s="198" t="s">
        <v>1447</v>
      </c>
      <c r="FA13" s="198" t="s">
        <v>1447</v>
      </c>
      <c r="FB13" s="198" t="s">
        <v>1447</v>
      </c>
      <c r="FC13" s="198" t="s">
        <v>1447</v>
      </c>
      <c r="FD13" s="198" t="s">
        <v>1455</v>
      </c>
      <c r="FE13" s="198" t="s">
        <v>1447</v>
      </c>
      <c r="FF13" s="198" t="s">
        <v>1447</v>
      </c>
      <c r="FG13" s="198" t="s">
        <v>1447</v>
      </c>
      <c r="FH13" s="198"/>
      <c r="FI13" s="198"/>
      <c r="FJ13" s="198" t="s">
        <v>1454</v>
      </c>
      <c r="FK13" s="198"/>
      <c r="FL13" s="198" t="s">
        <v>1447</v>
      </c>
      <c r="FM13" s="198" t="s">
        <v>1447</v>
      </c>
      <c r="FN13" s="198" t="s">
        <v>1447</v>
      </c>
      <c r="FO13" s="198" t="s">
        <v>1447</v>
      </c>
      <c r="FP13" s="198" t="s">
        <v>1447</v>
      </c>
      <c r="FQ13" s="198" t="s">
        <v>1447</v>
      </c>
      <c r="FR13" s="198" t="s">
        <v>1447</v>
      </c>
      <c r="FS13" s="198" t="s">
        <v>1447</v>
      </c>
      <c r="FT13" s="198" t="s">
        <v>1467</v>
      </c>
      <c r="FU13" s="198" t="s">
        <v>1447</v>
      </c>
      <c r="FV13" s="198"/>
      <c r="FW13" s="198"/>
      <c r="FX13" s="198" t="s">
        <v>1447</v>
      </c>
      <c r="FY13" s="198" t="s">
        <v>1447</v>
      </c>
      <c r="FZ13" s="198" t="s">
        <v>1447</v>
      </c>
      <c r="GA13" s="198" t="s">
        <v>1447</v>
      </c>
      <c r="GB13" s="198" t="s">
        <v>1454</v>
      </c>
      <c r="GC13" s="198" t="s">
        <v>1447</v>
      </c>
      <c r="GD13" s="198" t="s">
        <v>1447</v>
      </c>
      <c r="GE13" s="198" t="s">
        <v>1447</v>
      </c>
      <c r="GF13" s="198" t="s">
        <v>1447</v>
      </c>
      <c r="GG13" s="198" t="s">
        <v>1447</v>
      </c>
      <c r="GH13" s="198" t="s">
        <v>1447</v>
      </c>
      <c r="GI13" s="198" t="s">
        <v>1447</v>
      </c>
      <c r="GJ13" s="198" t="s">
        <v>1447</v>
      </c>
      <c r="GK13" s="198" t="s">
        <v>1455</v>
      </c>
      <c r="GL13" s="198" t="s">
        <v>1447</v>
      </c>
      <c r="GM13" s="198" t="s">
        <v>1447</v>
      </c>
      <c r="GN13" s="198" t="s">
        <v>1447</v>
      </c>
      <c r="GO13" s="198" t="s">
        <v>1447</v>
      </c>
      <c r="GP13" s="198" t="s">
        <v>1447</v>
      </c>
      <c r="GQ13" s="198" t="s">
        <v>1463</v>
      </c>
      <c r="GR13" s="198" t="s">
        <v>1463</v>
      </c>
      <c r="GS13" s="198" t="s">
        <v>1461</v>
      </c>
      <c r="GT13" s="198" t="s">
        <v>1501</v>
      </c>
      <c r="GU13" s="198" t="s">
        <v>1459</v>
      </c>
      <c r="GV13" s="198" t="s">
        <v>1459</v>
      </c>
      <c r="GW13" s="198" t="s">
        <v>1501</v>
      </c>
      <c r="GX13" s="198"/>
      <c r="GY13" s="198" t="s">
        <v>1447</v>
      </c>
      <c r="GZ13" s="198" t="s">
        <v>1447</v>
      </c>
      <c r="HA13" s="198" t="s">
        <v>1447</v>
      </c>
      <c r="HB13" s="198" t="s">
        <v>1455</v>
      </c>
      <c r="HC13" s="198" t="s">
        <v>1447</v>
      </c>
      <c r="HD13" s="198" t="s">
        <v>1447</v>
      </c>
    </row>
    <row r="14">
      <c r="A14" s="234">
        <v>14.0</v>
      </c>
      <c r="B14" s="236" t="s">
        <v>1457</v>
      </c>
      <c r="C14" s="198" t="str">
        <f t="shared" ref="C14:DC14" si="13">if(countif(DD:DD,$B14),INDIRECT(concat("B",$A14)),"")</f>
        <v>1.14.11.9</v>
      </c>
      <c r="D14" s="198" t="str">
        <f t="shared" si="13"/>
        <v>1.14.11.9</v>
      </c>
      <c r="E14" s="198" t="str">
        <f t="shared" si="13"/>
        <v>1.14.11.9</v>
      </c>
      <c r="F14" s="198" t="str">
        <f t="shared" si="13"/>
        <v>1.14.11.9</v>
      </c>
      <c r="G14" s="198" t="str">
        <f t="shared" si="13"/>
        <v>1.14.11.9</v>
      </c>
      <c r="H14" s="198" t="str">
        <f t="shared" si="13"/>
        <v>1.14.11.9</v>
      </c>
      <c r="I14" s="198" t="str">
        <f t="shared" si="13"/>
        <v>1.14.11.9</v>
      </c>
      <c r="J14" s="198" t="str">
        <f t="shared" si="13"/>
        <v/>
      </c>
      <c r="K14" s="198" t="str">
        <f t="shared" si="13"/>
        <v/>
      </c>
      <c r="L14" s="198" t="str">
        <f t="shared" si="13"/>
        <v>1.14.11.9</v>
      </c>
      <c r="M14" s="198" t="str">
        <f t="shared" si="13"/>
        <v>1.14.11.9</v>
      </c>
      <c r="N14" s="198" t="str">
        <f t="shared" si="13"/>
        <v>1.14.11.9</v>
      </c>
      <c r="O14" s="198" t="str">
        <f t="shared" si="13"/>
        <v>1.14.11.9</v>
      </c>
      <c r="P14" s="198" t="str">
        <f t="shared" si="13"/>
        <v>1.14.11.9</v>
      </c>
      <c r="Q14" s="198" t="str">
        <f t="shared" si="13"/>
        <v/>
      </c>
      <c r="R14" s="198" t="str">
        <f t="shared" si="13"/>
        <v>1.14.11.9</v>
      </c>
      <c r="S14" s="198" t="str">
        <f t="shared" si="13"/>
        <v>1.14.11.9</v>
      </c>
      <c r="T14" s="198" t="str">
        <f t="shared" si="13"/>
        <v>1.14.11.9</v>
      </c>
      <c r="U14" s="198" t="str">
        <f t="shared" si="13"/>
        <v>1.14.11.9</v>
      </c>
      <c r="V14" s="198" t="str">
        <f t="shared" si="13"/>
        <v>1.14.11.9</v>
      </c>
      <c r="W14" s="198" t="str">
        <f t="shared" si="13"/>
        <v/>
      </c>
      <c r="X14" s="198" t="str">
        <f t="shared" si="13"/>
        <v/>
      </c>
      <c r="Y14" s="198" t="str">
        <f t="shared" si="13"/>
        <v/>
      </c>
      <c r="Z14" s="198" t="str">
        <f t="shared" si="13"/>
        <v>1.14.11.9</v>
      </c>
      <c r="AA14" s="198" t="str">
        <f t="shared" si="13"/>
        <v>1.14.11.9</v>
      </c>
      <c r="AB14" s="198" t="str">
        <f t="shared" si="13"/>
        <v>1.14.11.9</v>
      </c>
      <c r="AC14" s="198" t="str">
        <f t="shared" si="13"/>
        <v/>
      </c>
      <c r="AD14" s="198" t="str">
        <f t="shared" si="13"/>
        <v>1.14.11.9</v>
      </c>
      <c r="AE14" s="198" t="str">
        <f t="shared" si="13"/>
        <v>1.14.11.9</v>
      </c>
      <c r="AF14" s="198" t="str">
        <f t="shared" si="13"/>
        <v>1.14.11.9</v>
      </c>
      <c r="AG14" s="198" t="str">
        <f t="shared" si="13"/>
        <v>1.14.11.9</v>
      </c>
      <c r="AH14" s="198" t="str">
        <f t="shared" si="13"/>
        <v>1.14.11.9</v>
      </c>
      <c r="AI14" s="198" t="str">
        <f t="shared" si="13"/>
        <v/>
      </c>
      <c r="AJ14" s="198" t="str">
        <f t="shared" si="13"/>
        <v>1.14.11.9</v>
      </c>
      <c r="AK14" s="198" t="str">
        <f t="shared" si="13"/>
        <v>1.14.11.9</v>
      </c>
      <c r="AL14" s="198" t="str">
        <f t="shared" si="13"/>
        <v>1.14.11.9</v>
      </c>
      <c r="AM14" s="198" t="str">
        <f t="shared" si="13"/>
        <v>1.14.11.9</v>
      </c>
      <c r="AN14" s="198" t="str">
        <f t="shared" si="13"/>
        <v>1.14.11.9</v>
      </c>
      <c r="AO14" s="198" t="str">
        <f t="shared" si="13"/>
        <v>1.14.11.9</v>
      </c>
      <c r="AP14" s="198" t="str">
        <f t="shared" si="13"/>
        <v>1.14.11.9</v>
      </c>
      <c r="AQ14" s="198" t="str">
        <f t="shared" si="13"/>
        <v>1.14.11.9</v>
      </c>
      <c r="AR14" s="198" t="str">
        <f t="shared" si="13"/>
        <v/>
      </c>
      <c r="AS14" s="198" t="str">
        <f t="shared" si="13"/>
        <v>1.14.11.9</v>
      </c>
      <c r="AT14" s="198" t="str">
        <f t="shared" si="13"/>
        <v>1.14.11.9</v>
      </c>
      <c r="AU14" s="198" t="str">
        <f t="shared" si="13"/>
        <v>1.14.11.9</v>
      </c>
      <c r="AV14" s="198" t="str">
        <f t="shared" si="13"/>
        <v>1.14.11.9</v>
      </c>
      <c r="AW14" s="198" t="str">
        <f t="shared" si="13"/>
        <v>1.14.11.9</v>
      </c>
      <c r="AX14" s="198" t="str">
        <f t="shared" si="13"/>
        <v>1.14.11.9</v>
      </c>
      <c r="AY14" s="198" t="str">
        <f t="shared" si="13"/>
        <v>1.14.11.9</v>
      </c>
      <c r="AZ14" s="198" t="str">
        <f t="shared" si="13"/>
        <v>1.14.11.9</v>
      </c>
      <c r="BA14" s="198" t="str">
        <f t="shared" si="13"/>
        <v>1.14.11.9</v>
      </c>
      <c r="BB14" s="198" t="str">
        <f t="shared" si="13"/>
        <v>1.14.11.9</v>
      </c>
      <c r="BC14" s="198" t="str">
        <f t="shared" si="13"/>
        <v>1.14.11.9</v>
      </c>
      <c r="BD14" s="198" t="str">
        <f t="shared" si="13"/>
        <v>1.14.11.9</v>
      </c>
      <c r="BE14" s="198" t="str">
        <f t="shared" si="13"/>
        <v>1.14.11.9</v>
      </c>
      <c r="BF14" s="198" t="str">
        <f t="shared" si="13"/>
        <v>1.14.11.9</v>
      </c>
      <c r="BG14" s="198" t="str">
        <f t="shared" si="13"/>
        <v/>
      </c>
      <c r="BH14" s="198" t="str">
        <f t="shared" si="13"/>
        <v/>
      </c>
      <c r="BI14" s="198" t="str">
        <f t="shared" si="13"/>
        <v>1.14.11.9</v>
      </c>
      <c r="BJ14" s="198" t="str">
        <f t="shared" si="13"/>
        <v/>
      </c>
      <c r="BK14" s="198" t="str">
        <f t="shared" si="13"/>
        <v>1.14.11.9</v>
      </c>
      <c r="BL14" s="198" t="str">
        <f t="shared" si="13"/>
        <v>1.14.11.9</v>
      </c>
      <c r="BM14" s="198" t="str">
        <f t="shared" si="13"/>
        <v>1.14.11.9</v>
      </c>
      <c r="BN14" s="198" t="str">
        <f t="shared" si="13"/>
        <v>1.14.11.9</v>
      </c>
      <c r="BO14" s="198" t="str">
        <f t="shared" si="13"/>
        <v>1.14.11.9</v>
      </c>
      <c r="BP14" s="198" t="str">
        <f t="shared" si="13"/>
        <v>1.14.11.9</v>
      </c>
      <c r="BQ14" s="198" t="str">
        <f t="shared" si="13"/>
        <v>1.14.11.9</v>
      </c>
      <c r="BR14" s="198" t="str">
        <f t="shared" si="13"/>
        <v>1.14.11.9</v>
      </c>
      <c r="BS14" s="198" t="str">
        <f t="shared" si="13"/>
        <v>1.14.11.9</v>
      </c>
      <c r="BT14" s="198" t="str">
        <f t="shared" si="13"/>
        <v>1.14.11.9</v>
      </c>
      <c r="BU14" s="198" t="str">
        <f t="shared" si="13"/>
        <v/>
      </c>
      <c r="BV14" s="198" t="str">
        <f t="shared" si="13"/>
        <v/>
      </c>
      <c r="BW14" s="198" t="str">
        <f t="shared" si="13"/>
        <v>1.14.11.9</v>
      </c>
      <c r="BX14" s="198" t="str">
        <f t="shared" si="13"/>
        <v>1.14.11.9</v>
      </c>
      <c r="BY14" s="198" t="str">
        <f t="shared" si="13"/>
        <v>1.14.11.9</v>
      </c>
      <c r="BZ14" s="198" t="str">
        <f t="shared" si="13"/>
        <v>1.14.11.9</v>
      </c>
      <c r="CA14" s="198" t="str">
        <f t="shared" si="13"/>
        <v/>
      </c>
      <c r="CB14" s="198" t="str">
        <f t="shared" si="13"/>
        <v>1.14.11.9</v>
      </c>
      <c r="CC14" s="198" t="str">
        <f t="shared" si="13"/>
        <v>1.14.11.9</v>
      </c>
      <c r="CD14" s="198" t="str">
        <f t="shared" si="13"/>
        <v>1.14.11.9</v>
      </c>
      <c r="CE14" s="198" t="str">
        <f t="shared" si="13"/>
        <v>1.14.11.9</v>
      </c>
      <c r="CF14" s="198" t="str">
        <f t="shared" si="13"/>
        <v>1.14.11.9</v>
      </c>
      <c r="CG14" s="198" t="str">
        <f t="shared" si="13"/>
        <v>1.14.11.9</v>
      </c>
      <c r="CH14" s="198" t="str">
        <f t="shared" si="13"/>
        <v>1.14.11.9</v>
      </c>
      <c r="CI14" s="198" t="str">
        <f t="shared" si="13"/>
        <v>1.14.11.9</v>
      </c>
      <c r="CJ14" s="198" t="str">
        <f t="shared" si="13"/>
        <v/>
      </c>
      <c r="CK14" s="198" t="str">
        <f t="shared" si="13"/>
        <v>1.14.11.9</v>
      </c>
      <c r="CL14" s="198" t="str">
        <f t="shared" si="13"/>
        <v>1.14.11.9</v>
      </c>
      <c r="CM14" s="198" t="str">
        <f t="shared" si="13"/>
        <v>1.14.11.9</v>
      </c>
      <c r="CN14" s="198" t="str">
        <f t="shared" si="13"/>
        <v>1.14.11.9</v>
      </c>
      <c r="CO14" s="198" t="str">
        <f t="shared" si="13"/>
        <v>1.14.11.9</v>
      </c>
      <c r="CP14" s="198" t="str">
        <f t="shared" si="13"/>
        <v/>
      </c>
      <c r="CQ14" s="198" t="str">
        <f t="shared" si="13"/>
        <v>1.14.11.9</v>
      </c>
      <c r="CR14" s="198" t="str">
        <f t="shared" si="13"/>
        <v>1.14.11.9</v>
      </c>
      <c r="CS14" s="198" t="str">
        <f t="shared" si="13"/>
        <v>1.14.11.9</v>
      </c>
      <c r="CT14" s="198" t="str">
        <f t="shared" si="13"/>
        <v>1.14.11.9</v>
      </c>
      <c r="CU14" s="198" t="str">
        <f t="shared" si="13"/>
        <v>1.14.11.9</v>
      </c>
      <c r="CV14" s="198" t="str">
        <f t="shared" si="13"/>
        <v>1.14.11.9</v>
      </c>
      <c r="CW14" s="198" t="str">
        <f t="shared" si="13"/>
        <v/>
      </c>
      <c r="CX14" s="198" t="str">
        <f t="shared" si="13"/>
        <v>1.14.11.9</v>
      </c>
      <c r="CY14" s="198" t="str">
        <f t="shared" si="13"/>
        <v>1.14.11.9</v>
      </c>
      <c r="CZ14" s="198" t="str">
        <f t="shared" si="13"/>
        <v>1.14.11.9</v>
      </c>
      <c r="DA14" s="198" t="str">
        <f t="shared" si="13"/>
        <v>1.14.11.9</v>
      </c>
      <c r="DB14" s="198" t="str">
        <f t="shared" si="13"/>
        <v>1.14.11.9</v>
      </c>
      <c r="DC14" s="198" t="str">
        <f t="shared" si="13"/>
        <v>1.14.11.9</v>
      </c>
      <c r="DD14" s="198" t="s">
        <v>1463</v>
      </c>
      <c r="DE14" s="198" t="s">
        <v>1465</v>
      </c>
      <c r="DF14" s="198" t="s">
        <v>1463</v>
      </c>
      <c r="DG14" s="198" t="s">
        <v>1463</v>
      </c>
      <c r="DH14" s="198" t="s">
        <v>1499</v>
      </c>
      <c r="DI14" s="198" t="s">
        <v>1501</v>
      </c>
      <c r="DJ14" s="198" t="s">
        <v>1465</v>
      </c>
      <c r="DK14" s="198"/>
      <c r="DL14" s="198"/>
      <c r="DM14" s="198" t="s">
        <v>1464</v>
      </c>
      <c r="DN14" s="198" t="s">
        <v>1464</v>
      </c>
      <c r="DO14" s="198" t="s">
        <v>1463</v>
      </c>
      <c r="DP14" s="198" t="s">
        <v>1463</v>
      </c>
      <c r="DQ14" s="198" t="s">
        <v>1463</v>
      </c>
      <c r="DR14" s="198" t="s">
        <v>1499</v>
      </c>
      <c r="DS14" s="198" t="s">
        <v>1463</v>
      </c>
      <c r="DT14" s="198" t="s">
        <v>1463</v>
      </c>
      <c r="DU14" s="198" t="s">
        <v>1460</v>
      </c>
      <c r="DV14" s="198" t="s">
        <v>1455</v>
      </c>
      <c r="DW14" s="198" t="s">
        <v>1455</v>
      </c>
      <c r="DX14" s="198"/>
      <c r="DY14" s="198"/>
      <c r="DZ14" s="198"/>
      <c r="EA14" s="198" t="s">
        <v>1499</v>
      </c>
      <c r="EB14" s="198" t="s">
        <v>1501</v>
      </c>
      <c r="EC14" s="198" t="s">
        <v>1501</v>
      </c>
      <c r="ED14" s="198"/>
      <c r="EE14" s="198" t="s">
        <v>1467</v>
      </c>
      <c r="EF14" s="198" t="s">
        <v>1466</v>
      </c>
      <c r="EG14" s="198" t="s">
        <v>1467</v>
      </c>
      <c r="EH14" s="198" t="s">
        <v>1467</v>
      </c>
      <c r="EI14" s="198" t="s">
        <v>1467</v>
      </c>
      <c r="EJ14" s="198"/>
      <c r="EK14" s="198" t="s">
        <v>1455</v>
      </c>
      <c r="EL14" s="198" t="s">
        <v>1461</v>
      </c>
      <c r="EM14" s="198" t="s">
        <v>1455</v>
      </c>
      <c r="EN14" s="198" t="s">
        <v>1455</v>
      </c>
      <c r="EO14" s="198" t="s">
        <v>1455</v>
      </c>
      <c r="EP14" s="198" t="s">
        <v>1455</v>
      </c>
      <c r="EQ14" s="198" t="s">
        <v>1455</v>
      </c>
      <c r="ER14" s="198" t="s">
        <v>1455</v>
      </c>
      <c r="ES14" s="198"/>
      <c r="ET14" s="198" t="s">
        <v>1455</v>
      </c>
      <c r="EU14" s="198" t="s">
        <v>1455</v>
      </c>
      <c r="EV14" s="198" t="s">
        <v>1455</v>
      </c>
      <c r="EW14" s="198" t="s">
        <v>1455</v>
      </c>
      <c r="EX14" s="198" t="s">
        <v>1455</v>
      </c>
      <c r="EY14" s="198" t="s">
        <v>1455</v>
      </c>
      <c r="EZ14" s="198" t="s">
        <v>1455</v>
      </c>
      <c r="FA14" s="198" t="s">
        <v>1455</v>
      </c>
      <c r="FB14" s="198" t="s">
        <v>1455</v>
      </c>
      <c r="FC14" s="198" t="s">
        <v>1455</v>
      </c>
      <c r="FD14" s="198" t="s">
        <v>1454</v>
      </c>
      <c r="FE14" s="198" t="s">
        <v>1455</v>
      </c>
      <c r="FF14" s="198" t="s">
        <v>1455</v>
      </c>
      <c r="FG14" s="198" t="s">
        <v>1455</v>
      </c>
      <c r="FH14" s="198"/>
      <c r="FI14" s="198"/>
      <c r="FJ14" s="198" t="s">
        <v>1478</v>
      </c>
      <c r="FK14" s="198"/>
      <c r="FL14" s="198" t="s">
        <v>1455</v>
      </c>
      <c r="FM14" s="198" t="s">
        <v>1455</v>
      </c>
      <c r="FN14" s="198" t="s">
        <v>1455</v>
      </c>
      <c r="FO14" s="198" t="s">
        <v>1455</v>
      </c>
      <c r="FP14" s="198" t="s">
        <v>1455</v>
      </c>
      <c r="FQ14" s="198" t="s">
        <v>1455</v>
      </c>
      <c r="FR14" s="198" t="s">
        <v>1455</v>
      </c>
      <c r="FS14" s="198" t="s">
        <v>1455</v>
      </c>
      <c r="FT14" s="198" t="s">
        <v>1483</v>
      </c>
      <c r="FU14" s="198" t="s">
        <v>1455</v>
      </c>
      <c r="FV14" s="198"/>
      <c r="FW14" s="198"/>
      <c r="FX14" s="198" t="s">
        <v>1455</v>
      </c>
      <c r="FY14" s="198" t="s">
        <v>1455</v>
      </c>
      <c r="FZ14" s="198" t="s">
        <v>1455</v>
      </c>
      <c r="GA14" s="198" t="s">
        <v>1455</v>
      </c>
      <c r="GB14" s="198" t="s">
        <v>1478</v>
      </c>
      <c r="GC14" s="198" t="s">
        <v>1455</v>
      </c>
      <c r="GD14" s="198" t="s">
        <v>1455</v>
      </c>
      <c r="GE14" s="198" t="s">
        <v>1455</v>
      </c>
      <c r="GF14" s="198" t="s">
        <v>1455</v>
      </c>
      <c r="GG14" s="198" t="s">
        <v>1455</v>
      </c>
      <c r="GH14" s="198" t="s">
        <v>1455</v>
      </c>
      <c r="GI14" s="198" t="s">
        <v>1455</v>
      </c>
      <c r="GJ14" s="198" t="s">
        <v>1455</v>
      </c>
      <c r="GK14" s="198" t="s">
        <v>1454</v>
      </c>
      <c r="GL14" s="198" t="s">
        <v>1455</v>
      </c>
      <c r="GM14" s="198" t="s">
        <v>1455</v>
      </c>
      <c r="GN14" s="198" t="s">
        <v>1455</v>
      </c>
      <c r="GO14" s="198" t="s">
        <v>1455</v>
      </c>
      <c r="GP14" s="198" t="s">
        <v>1455</v>
      </c>
      <c r="GQ14" s="198" t="s">
        <v>1464</v>
      </c>
      <c r="GR14" s="198" t="s">
        <v>1464</v>
      </c>
      <c r="GS14" s="198" t="s">
        <v>1463</v>
      </c>
      <c r="GT14" s="198" t="s">
        <v>1460</v>
      </c>
      <c r="GU14" s="198" t="s">
        <v>1498</v>
      </c>
      <c r="GV14" s="198" t="s">
        <v>1498</v>
      </c>
      <c r="GW14" s="198" t="s">
        <v>1460</v>
      </c>
      <c r="GX14" s="198"/>
      <c r="GY14" s="198" t="s">
        <v>1455</v>
      </c>
      <c r="GZ14" s="198" t="s">
        <v>1455</v>
      </c>
      <c r="HA14" s="198" t="s">
        <v>1455</v>
      </c>
      <c r="HB14" s="198" t="s">
        <v>1454</v>
      </c>
      <c r="HC14" s="198" t="s">
        <v>1455</v>
      </c>
      <c r="HD14" s="198" t="s">
        <v>1455</v>
      </c>
    </row>
    <row r="15">
      <c r="A15" s="234">
        <v>15.0</v>
      </c>
      <c r="B15" s="198" t="s">
        <v>1485</v>
      </c>
      <c r="C15" s="198" t="str">
        <f t="shared" ref="C15:DC15" si="14">if(countif(DD:DD,$B15),INDIRECT(concat("B",$A15)),"")</f>
        <v/>
      </c>
      <c r="D15" s="198" t="str">
        <f t="shared" si="14"/>
        <v/>
      </c>
      <c r="E15" s="198" t="str">
        <f t="shared" si="14"/>
        <v>1.14.13.-</v>
      </c>
      <c r="F15" s="198" t="str">
        <f t="shared" si="14"/>
        <v>1.14.13.-</v>
      </c>
      <c r="G15" s="198" t="str">
        <f t="shared" si="14"/>
        <v>1.14.13.-</v>
      </c>
      <c r="H15" s="198" t="str">
        <f t="shared" si="14"/>
        <v>1.14.13.-</v>
      </c>
      <c r="I15" s="198" t="str">
        <f t="shared" si="14"/>
        <v/>
      </c>
      <c r="J15" s="198" t="str">
        <f t="shared" si="14"/>
        <v/>
      </c>
      <c r="K15" s="198" t="str">
        <f t="shared" si="14"/>
        <v/>
      </c>
      <c r="L15" s="198" t="str">
        <f t="shared" si="14"/>
        <v/>
      </c>
      <c r="M15" s="198" t="str">
        <f t="shared" si="14"/>
        <v/>
      </c>
      <c r="N15" s="198" t="str">
        <f t="shared" si="14"/>
        <v>1.14.13.-</v>
      </c>
      <c r="O15" s="198" t="str">
        <f t="shared" si="14"/>
        <v>1.14.13.-</v>
      </c>
      <c r="P15" s="198" t="str">
        <f t="shared" si="14"/>
        <v>1.14.13.-</v>
      </c>
      <c r="Q15" s="198" t="str">
        <f t="shared" si="14"/>
        <v>1.14.13.-</v>
      </c>
      <c r="R15" s="198" t="str">
        <f t="shared" si="14"/>
        <v>1.14.13.-</v>
      </c>
      <c r="S15" s="198" t="str">
        <f t="shared" si="14"/>
        <v>1.14.13.-</v>
      </c>
      <c r="T15" s="198" t="str">
        <f t="shared" si="14"/>
        <v/>
      </c>
      <c r="U15" s="198" t="str">
        <f t="shared" si="14"/>
        <v/>
      </c>
      <c r="V15" s="198" t="str">
        <f t="shared" si="14"/>
        <v/>
      </c>
      <c r="W15" s="198" t="str">
        <f t="shared" si="14"/>
        <v/>
      </c>
      <c r="X15" s="198" t="str">
        <f t="shared" si="14"/>
        <v/>
      </c>
      <c r="Y15" s="198" t="str">
        <f t="shared" si="14"/>
        <v/>
      </c>
      <c r="Z15" s="198" t="str">
        <f t="shared" si="14"/>
        <v>1.14.13.-</v>
      </c>
      <c r="AA15" s="198" t="str">
        <f t="shared" si="14"/>
        <v/>
      </c>
      <c r="AB15" s="198" t="str">
        <f t="shared" si="14"/>
        <v/>
      </c>
      <c r="AC15" s="198" t="str">
        <f t="shared" si="14"/>
        <v/>
      </c>
      <c r="AD15" s="198" t="str">
        <f t="shared" si="14"/>
        <v/>
      </c>
      <c r="AE15" s="198" t="str">
        <f t="shared" si="14"/>
        <v/>
      </c>
      <c r="AF15" s="198" t="str">
        <f t="shared" si="14"/>
        <v/>
      </c>
      <c r="AG15" s="198" t="str">
        <f t="shared" si="14"/>
        <v/>
      </c>
      <c r="AH15" s="198" t="str">
        <f t="shared" si="14"/>
        <v/>
      </c>
      <c r="AI15" s="198" t="str">
        <f t="shared" si="14"/>
        <v/>
      </c>
      <c r="AJ15" s="198" t="str">
        <f t="shared" si="14"/>
        <v/>
      </c>
      <c r="AK15" s="198" t="str">
        <f t="shared" si="14"/>
        <v/>
      </c>
      <c r="AL15" s="198" t="str">
        <f t="shared" si="14"/>
        <v/>
      </c>
      <c r="AM15" s="198" t="str">
        <f t="shared" si="14"/>
        <v/>
      </c>
      <c r="AN15" s="198" t="str">
        <f t="shared" si="14"/>
        <v/>
      </c>
      <c r="AO15" s="198" t="str">
        <f t="shared" si="14"/>
        <v/>
      </c>
      <c r="AP15" s="198" t="str">
        <f t="shared" si="14"/>
        <v>1.14.13.-</v>
      </c>
      <c r="AQ15" s="198" t="str">
        <f t="shared" si="14"/>
        <v/>
      </c>
      <c r="AR15" s="198" t="str">
        <f t="shared" si="14"/>
        <v/>
      </c>
      <c r="AS15" s="198" t="str">
        <f t="shared" si="14"/>
        <v>1.14.13.-</v>
      </c>
      <c r="AT15" s="198" t="str">
        <f t="shared" si="14"/>
        <v/>
      </c>
      <c r="AU15" s="198" t="str">
        <f t="shared" si="14"/>
        <v/>
      </c>
      <c r="AV15" s="198" t="str">
        <f t="shared" si="14"/>
        <v/>
      </c>
      <c r="AW15" s="198" t="str">
        <f t="shared" si="14"/>
        <v/>
      </c>
      <c r="AX15" s="198" t="str">
        <f t="shared" si="14"/>
        <v/>
      </c>
      <c r="AY15" s="198" t="str">
        <f t="shared" si="14"/>
        <v/>
      </c>
      <c r="AZ15" s="198" t="str">
        <f t="shared" si="14"/>
        <v/>
      </c>
      <c r="BA15" s="198" t="str">
        <f t="shared" si="14"/>
        <v/>
      </c>
      <c r="BB15" s="198" t="str">
        <f t="shared" si="14"/>
        <v/>
      </c>
      <c r="BC15" s="198" t="str">
        <f t="shared" si="14"/>
        <v/>
      </c>
      <c r="BD15" s="198" t="str">
        <f t="shared" si="14"/>
        <v>1.14.13.-</v>
      </c>
      <c r="BE15" s="198" t="str">
        <f t="shared" si="14"/>
        <v/>
      </c>
      <c r="BF15" s="198" t="str">
        <f t="shared" si="14"/>
        <v/>
      </c>
      <c r="BG15" s="198" t="str">
        <f t="shared" si="14"/>
        <v/>
      </c>
      <c r="BH15" s="198" t="str">
        <f t="shared" si="14"/>
        <v/>
      </c>
      <c r="BI15" s="198" t="str">
        <f t="shared" si="14"/>
        <v/>
      </c>
      <c r="BJ15" s="198" t="str">
        <f t="shared" si="14"/>
        <v/>
      </c>
      <c r="BK15" s="198" t="str">
        <f t="shared" si="14"/>
        <v/>
      </c>
      <c r="BL15" s="198" t="str">
        <f t="shared" si="14"/>
        <v/>
      </c>
      <c r="BM15" s="198" t="str">
        <f t="shared" si="14"/>
        <v/>
      </c>
      <c r="BN15" s="198" t="str">
        <f t="shared" si="14"/>
        <v/>
      </c>
      <c r="BO15" s="198" t="str">
        <f t="shared" si="14"/>
        <v/>
      </c>
      <c r="BP15" s="198" t="str">
        <f t="shared" si="14"/>
        <v/>
      </c>
      <c r="BQ15" s="198" t="str">
        <f t="shared" si="14"/>
        <v/>
      </c>
      <c r="BR15" s="198" t="str">
        <f t="shared" si="14"/>
        <v/>
      </c>
      <c r="BS15" s="198" t="str">
        <f t="shared" si="14"/>
        <v/>
      </c>
      <c r="BT15" s="198" t="str">
        <f t="shared" si="14"/>
        <v/>
      </c>
      <c r="BU15" s="198" t="str">
        <f t="shared" si="14"/>
        <v/>
      </c>
      <c r="BV15" s="198" t="str">
        <f t="shared" si="14"/>
        <v/>
      </c>
      <c r="BW15" s="198" t="str">
        <f t="shared" si="14"/>
        <v/>
      </c>
      <c r="BX15" s="198" t="str">
        <f t="shared" si="14"/>
        <v/>
      </c>
      <c r="BY15" s="198" t="str">
        <f t="shared" si="14"/>
        <v>1.14.13.-</v>
      </c>
      <c r="BZ15" s="198" t="str">
        <f t="shared" si="14"/>
        <v/>
      </c>
      <c r="CA15" s="198" t="str">
        <f t="shared" si="14"/>
        <v/>
      </c>
      <c r="CB15" s="198" t="str">
        <f t="shared" si="14"/>
        <v/>
      </c>
      <c r="CC15" s="198" t="str">
        <f t="shared" si="14"/>
        <v/>
      </c>
      <c r="CD15" s="198" t="str">
        <f t="shared" si="14"/>
        <v/>
      </c>
      <c r="CE15" s="198" t="str">
        <f t="shared" si="14"/>
        <v/>
      </c>
      <c r="CF15" s="198" t="str">
        <f t="shared" si="14"/>
        <v/>
      </c>
      <c r="CG15" s="198" t="str">
        <f t="shared" si="14"/>
        <v/>
      </c>
      <c r="CH15" s="198" t="str">
        <f t="shared" si="14"/>
        <v/>
      </c>
      <c r="CI15" s="198" t="str">
        <f t="shared" si="14"/>
        <v/>
      </c>
      <c r="CJ15" s="198" t="str">
        <f t="shared" si="14"/>
        <v/>
      </c>
      <c r="CK15" s="198" t="str">
        <f t="shared" si="14"/>
        <v/>
      </c>
      <c r="CL15" s="198" t="str">
        <f t="shared" si="14"/>
        <v/>
      </c>
      <c r="CM15" s="198" t="str">
        <f t="shared" si="14"/>
        <v/>
      </c>
      <c r="CN15" s="198" t="str">
        <f t="shared" si="14"/>
        <v/>
      </c>
      <c r="CO15" s="198" t="str">
        <f t="shared" si="14"/>
        <v/>
      </c>
      <c r="CP15" s="198" t="str">
        <f t="shared" si="14"/>
        <v/>
      </c>
      <c r="CQ15" s="198" t="str">
        <f t="shared" si="14"/>
        <v/>
      </c>
      <c r="CR15" s="198" t="str">
        <f t="shared" si="14"/>
        <v>1.14.13.-</v>
      </c>
      <c r="CS15" s="198" t="str">
        <f t="shared" si="14"/>
        <v/>
      </c>
      <c r="CT15" s="198" t="str">
        <f t="shared" si="14"/>
        <v>1.14.13.-</v>
      </c>
      <c r="CU15" s="198" t="str">
        <f t="shared" si="14"/>
        <v>1.14.13.-</v>
      </c>
      <c r="CV15" s="198" t="str">
        <f t="shared" si="14"/>
        <v/>
      </c>
      <c r="CW15" s="198" t="str">
        <f t="shared" si="14"/>
        <v/>
      </c>
      <c r="CX15" s="198" t="str">
        <f t="shared" si="14"/>
        <v/>
      </c>
      <c r="CY15" s="198" t="str">
        <f t="shared" si="14"/>
        <v/>
      </c>
      <c r="CZ15" s="198" t="str">
        <f t="shared" si="14"/>
        <v>1.14.13.-</v>
      </c>
      <c r="DA15" s="198" t="str">
        <f t="shared" si="14"/>
        <v>1.14.13.-</v>
      </c>
      <c r="DB15" s="198" t="str">
        <f t="shared" si="14"/>
        <v/>
      </c>
      <c r="DC15" s="198" t="str">
        <f t="shared" si="14"/>
        <v>1.14.13.-</v>
      </c>
      <c r="DD15" s="198" t="s">
        <v>1464</v>
      </c>
      <c r="DE15" s="198" t="s">
        <v>1466</v>
      </c>
      <c r="DF15" s="198" t="s">
        <v>1464</v>
      </c>
      <c r="DG15" s="198" t="s">
        <v>1464</v>
      </c>
      <c r="DH15" s="198" t="s">
        <v>1500</v>
      </c>
      <c r="DI15" s="198" t="s">
        <v>1460</v>
      </c>
      <c r="DJ15" s="198" t="s">
        <v>1466</v>
      </c>
      <c r="DK15" s="198"/>
      <c r="DL15" s="198"/>
      <c r="DM15" s="198" t="s">
        <v>1465</v>
      </c>
      <c r="DN15" s="198" t="s">
        <v>1465</v>
      </c>
      <c r="DO15" s="198" t="s">
        <v>1464</v>
      </c>
      <c r="DP15" s="198" t="s">
        <v>1464</v>
      </c>
      <c r="DQ15" s="198" t="s">
        <v>1464</v>
      </c>
      <c r="DR15" s="198" t="s">
        <v>1500</v>
      </c>
      <c r="DS15" s="198" t="s">
        <v>1464</v>
      </c>
      <c r="DT15" s="198" t="s">
        <v>1464</v>
      </c>
      <c r="DU15" s="198" t="s">
        <v>1461</v>
      </c>
      <c r="DV15" s="198" t="s">
        <v>1454</v>
      </c>
      <c r="DW15" s="198" t="s">
        <v>1454</v>
      </c>
      <c r="DX15" s="198"/>
      <c r="DY15" s="198"/>
      <c r="DZ15" s="198"/>
      <c r="EA15" s="198" t="s">
        <v>1500</v>
      </c>
      <c r="EB15" s="198" t="s">
        <v>1460</v>
      </c>
      <c r="EC15" s="198" t="s">
        <v>1460</v>
      </c>
      <c r="ED15" s="198"/>
      <c r="EE15" s="198" t="s">
        <v>1469</v>
      </c>
      <c r="EF15" s="198" t="s">
        <v>1467</v>
      </c>
      <c r="EG15" s="198" t="s">
        <v>1469</v>
      </c>
      <c r="EH15" s="198" t="s">
        <v>1469</v>
      </c>
      <c r="EI15" s="198" t="s">
        <v>1469</v>
      </c>
      <c r="EJ15" s="198"/>
      <c r="EK15" s="198" t="s">
        <v>1454</v>
      </c>
      <c r="EL15" s="198" t="s">
        <v>1463</v>
      </c>
      <c r="EM15" s="198" t="s">
        <v>1478</v>
      </c>
      <c r="EN15" s="198" t="s">
        <v>1454</v>
      </c>
      <c r="EO15" s="198" t="s">
        <v>1454</v>
      </c>
      <c r="EP15" s="198" t="s">
        <v>1454</v>
      </c>
      <c r="EQ15" s="198" t="s">
        <v>1454</v>
      </c>
      <c r="ER15" s="198" t="s">
        <v>1454</v>
      </c>
      <c r="ES15" s="198"/>
      <c r="ET15" s="198" t="s">
        <v>1454</v>
      </c>
      <c r="EU15" s="198" t="s">
        <v>1454</v>
      </c>
      <c r="EV15" s="198" t="s">
        <v>1454</v>
      </c>
      <c r="EW15" s="198" t="s">
        <v>1454</v>
      </c>
      <c r="EX15" s="198" t="s">
        <v>1454</v>
      </c>
      <c r="EY15" s="198" t="s">
        <v>1454</v>
      </c>
      <c r="EZ15" s="198" t="s">
        <v>1454</v>
      </c>
      <c r="FA15" s="198" t="s">
        <v>1454</v>
      </c>
      <c r="FB15" s="198" t="s">
        <v>1454</v>
      </c>
      <c r="FC15" s="198" t="s">
        <v>1454</v>
      </c>
      <c r="FD15" s="198" t="s">
        <v>1487</v>
      </c>
      <c r="FE15" s="198" t="s">
        <v>1454</v>
      </c>
      <c r="FF15" s="198" t="s">
        <v>1454</v>
      </c>
      <c r="FG15" s="198" t="s">
        <v>1454</v>
      </c>
      <c r="FH15" s="198"/>
      <c r="FI15" s="198"/>
      <c r="FJ15" s="198" t="s">
        <v>1484</v>
      </c>
      <c r="FK15" s="198"/>
      <c r="FL15" s="198" t="s">
        <v>1454</v>
      </c>
      <c r="FM15" s="198" t="s">
        <v>1454</v>
      </c>
      <c r="FN15" s="198" t="s">
        <v>1454</v>
      </c>
      <c r="FO15" s="198" t="s">
        <v>1454</v>
      </c>
      <c r="FP15" s="198" t="s">
        <v>1454</v>
      </c>
      <c r="FQ15" s="198" t="s">
        <v>1454</v>
      </c>
      <c r="FR15" s="198" t="s">
        <v>1454</v>
      </c>
      <c r="FS15" s="198" t="s">
        <v>1454</v>
      </c>
      <c r="FT15" s="198" t="s">
        <v>1447</v>
      </c>
      <c r="FU15" s="198" t="s">
        <v>1454</v>
      </c>
      <c r="FV15" s="198"/>
      <c r="FW15" s="198"/>
      <c r="FX15" s="198" t="s">
        <v>1454</v>
      </c>
      <c r="FY15" s="198" t="s">
        <v>1478</v>
      </c>
      <c r="FZ15" s="198" t="s">
        <v>1454</v>
      </c>
      <c r="GA15" s="198" t="s">
        <v>1454</v>
      </c>
      <c r="GB15" s="198" t="s">
        <v>1471</v>
      </c>
      <c r="GC15" s="198" t="s">
        <v>1454</v>
      </c>
      <c r="GD15" s="198" t="s">
        <v>1454</v>
      </c>
      <c r="GE15" s="198" t="s">
        <v>1454</v>
      </c>
      <c r="GF15" s="198" t="s">
        <v>1454</v>
      </c>
      <c r="GG15" s="198" t="s">
        <v>1454</v>
      </c>
      <c r="GH15" s="198" t="s">
        <v>1454</v>
      </c>
      <c r="GI15" s="198" t="s">
        <v>1454</v>
      </c>
      <c r="GJ15" s="198" t="s">
        <v>1454</v>
      </c>
      <c r="GK15" s="198" t="s">
        <v>1478</v>
      </c>
      <c r="GL15" s="198" t="s">
        <v>1454</v>
      </c>
      <c r="GM15" s="198" t="s">
        <v>1454</v>
      </c>
      <c r="GN15" s="198" t="s">
        <v>1454</v>
      </c>
      <c r="GO15" s="198" t="s">
        <v>1454</v>
      </c>
      <c r="GP15" s="198" t="s">
        <v>1454</v>
      </c>
      <c r="GQ15" s="198" t="s">
        <v>1466</v>
      </c>
      <c r="GR15" s="198" t="s">
        <v>1465</v>
      </c>
      <c r="GS15" s="198" t="s">
        <v>1464</v>
      </c>
      <c r="GT15" s="198" t="s">
        <v>1461</v>
      </c>
      <c r="GU15" s="198" t="s">
        <v>1499</v>
      </c>
      <c r="GV15" s="198" t="s">
        <v>1499</v>
      </c>
      <c r="GW15" s="198" t="s">
        <v>1461</v>
      </c>
      <c r="GX15" s="198"/>
      <c r="GY15" s="198" t="s">
        <v>1454</v>
      </c>
      <c r="GZ15" s="198" t="s">
        <v>1454</v>
      </c>
      <c r="HA15" s="198" t="s">
        <v>1454</v>
      </c>
      <c r="HB15" s="198" t="s">
        <v>1487</v>
      </c>
      <c r="HC15" s="198" t="s">
        <v>1454</v>
      </c>
      <c r="HD15" s="198" t="s">
        <v>1454</v>
      </c>
    </row>
    <row r="16">
      <c r="A16" s="234">
        <v>16.0</v>
      </c>
      <c r="B16" s="236" t="s">
        <v>1513</v>
      </c>
      <c r="C16" s="198" t="str">
        <f t="shared" ref="C16:DC16" si="15">if(countif(DD:DD,$B16),INDIRECT(concat("B",$A16)),"")</f>
        <v/>
      </c>
      <c r="D16" s="198" t="str">
        <f t="shared" si="15"/>
        <v/>
      </c>
      <c r="E16" s="198" t="str">
        <f t="shared" si="15"/>
        <v/>
      </c>
      <c r="F16" s="198" t="str">
        <f t="shared" si="15"/>
        <v/>
      </c>
      <c r="G16" s="198" t="str">
        <f t="shared" si="15"/>
        <v/>
      </c>
      <c r="H16" s="198" t="str">
        <f t="shared" si="15"/>
        <v/>
      </c>
      <c r="I16" s="198" t="str">
        <f t="shared" si="15"/>
        <v/>
      </c>
      <c r="J16" s="198" t="str">
        <f t="shared" si="15"/>
        <v/>
      </c>
      <c r="K16" s="198" t="str">
        <f t="shared" si="15"/>
        <v/>
      </c>
      <c r="L16" s="198" t="str">
        <f t="shared" si="15"/>
        <v/>
      </c>
      <c r="M16" s="198" t="str">
        <f t="shared" si="15"/>
        <v/>
      </c>
      <c r="N16" s="198" t="str">
        <f t="shared" si="15"/>
        <v/>
      </c>
      <c r="O16" s="198" t="str">
        <f t="shared" si="15"/>
        <v/>
      </c>
      <c r="P16" s="198" t="str">
        <f t="shared" si="15"/>
        <v/>
      </c>
      <c r="Q16" s="198" t="str">
        <f t="shared" si="15"/>
        <v/>
      </c>
      <c r="R16" s="198" t="str">
        <f t="shared" si="15"/>
        <v/>
      </c>
      <c r="S16" s="198" t="str">
        <f t="shared" si="15"/>
        <v/>
      </c>
      <c r="T16" s="198" t="str">
        <f t="shared" si="15"/>
        <v/>
      </c>
      <c r="U16" s="198" t="str">
        <f t="shared" si="15"/>
        <v/>
      </c>
      <c r="V16" s="198" t="str">
        <f t="shared" si="15"/>
        <v/>
      </c>
      <c r="W16" s="198" t="str">
        <f t="shared" si="15"/>
        <v/>
      </c>
      <c r="X16" s="198" t="str">
        <f t="shared" si="15"/>
        <v/>
      </c>
      <c r="Y16" s="198" t="str">
        <f t="shared" si="15"/>
        <v/>
      </c>
      <c r="Z16" s="198" t="str">
        <f t="shared" si="15"/>
        <v/>
      </c>
      <c r="AA16" s="198" t="str">
        <f t="shared" si="15"/>
        <v/>
      </c>
      <c r="AB16" s="198" t="str">
        <f t="shared" si="15"/>
        <v/>
      </c>
      <c r="AC16" s="198" t="str">
        <f t="shared" si="15"/>
        <v/>
      </c>
      <c r="AD16" s="198" t="str">
        <f t="shared" si="15"/>
        <v/>
      </c>
      <c r="AE16" s="198" t="str">
        <f t="shared" si="15"/>
        <v/>
      </c>
      <c r="AF16" s="198" t="str">
        <f t="shared" si="15"/>
        <v/>
      </c>
      <c r="AG16" s="198" t="str">
        <f t="shared" si="15"/>
        <v/>
      </c>
      <c r="AH16" s="198" t="str">
        <f t="shared" si="15"/>
        <v/>
      </c>
      <c r="AI16" s="198" t="str">
        <f t="shared" si="15"/>
        <v/>
      </c>
      <c r="AJ16" s="198" t="str">
        <f t="shared" si="15"/>
        <v/>
      </c>
      <c r="AK16" s="198" t="str">
        <f t="shared" si="15"/>
        <v/>
      </c>
      <c r="AL16" s="198" t="str">
        <f t="shared" si="15"/>
        <v/>
      </c>
      <c r="AM16" s="198" t="str">
        <f t="shared" si="15"/>
        <v/>
      </c>
      <c r="AN16" s="198" t="str">
        <f t="shared" si="15"/>
        <v/>
      </c>
      <c r="AO16" s="198" t="str">
        <f t="shared" si="15"/>
        <v/>
      </c>
      <c r="AP16" s="198" t="str">
        <f t="shared" si="15"/>
        <v/>
      </c>
      <c r="AQ16" s="198" t="str">
        <f t="shared" si="15"/>
        <v/>
      </c>
      <c r="AR16" s="198" t="str">
        <f t="shared" si="15"/>
        <v/>
      </c>
      <c r="AS16" s="198" t="str">
        <f t="shared" si="15"/>
        <v/>
      </c>
      <c r="AT16" s="198" t="str">
        <f t="shared" si="15"/>
        <v/>
      </c>
      <c r="AU16" s="198" t="str">
        <f t="shared" si="15"/>
        <v/>
      </c>
      <c r="AV16" s="198" t="str">
        <f t="shared" si="15"/>
        <v/>
      </c>
      <c r="AW16" s="198" t="str">
        <f t="shared" si="15"/>
        <v/>
      </c>
      <c r="AX16" s="198" t="str">
        <f t="shared" si="15"/>
        <v/>
      </c>
      <c r="AY16" s="198" t="str">
        <f t="shared" si="15"/>
        <v/>
      </c>
      <c r="AZ16" s="198" t="str">
        <f t="shared" si="15"/>
        <v/>
      </c>
      <c r="BA16" s="198" t="str">
        <f t="shared" si="15"/>
        <v/>
      </c>
      <c r="BB16" s="198" t="str">
        <f t="shared" si="15"/>
        <v/>
      </c>
      <c r="BC16" s="198" t="str">
        <f t="shared" si="15"/>
        <v/>
      </c>
      <c r="BD16" s="198" t="str">
        <f t="shared" si="15"/>
        <v/>
      </c>
      <c r="BE16" s="198" t="str">
        <f t="shared" si="15"/>
        <v/>
      </c>
      <c r="BF16" s="198" t="str">
        <f t="shared" si="15"/>
        <v/>
      </c>
      <c r="BG16" s="198" t="str">
        <f t="shared" si="15"/>
        <v/>
      </c>
      <c r="BH16" s="198" t="str">
        <f t="shared" si="15"/>
        <v/>
      </c>
      <c r="BI16" s="198" t="str">
        <f t="shared" si="15"/>
        <v/>
      </c>
      <c r="BJ16" s="198" t="str">
        <f t="shared" si="15"/>
        <v/>
      </c>
      <c r="BK16" s="198" t="str">
        <f t="shared" si="15"/>
        <v/>
      </c>
      <c r="BL16" s="198" t="str">
        <f t="shared" si="15"/>
        <v/>
      </c>
      <c r="BM16" s="198" t="str">
        <f t="shared" si="15"/>
        <v/>
      </c>
      <c r="BN16" s="198" t="str">
        <f t="shared" si="15"/>
        <v/>
      </c>
      <c r="BO16" s="198" t="str">
        <f t="shared" si="15"/>
        <v/>
      </c>
      <c r="BP16" s="198" t="str">
        <f t="shared" si="15"/>
        <v/>
      </c>
      <c r="BQ16" s="198" t="str">
        <f t="shared" si="15"/>
        <v/>
      </c>
      <c r="BR16" s="198" t="str">
        <f t="shared" si="15"/>
        <v/>
      </c>
      <c r="BS16" s="198" t="str">
        <f t="shared" si="15"/>
        <v>1.14.13.21</v>
      </c>
      <c r="BT16" s="198" t="str">
        <f t="shared" si="15"/>
        <v/>
      </c>
      <c r="BU16" s="198" t="str">
        <f t="shared" si="15"/>
        <v/>
      </c>
      <c r="BV16" s="198" t="str">
        <f t="shared" si="15"/>
        <v/>
      </c>
      <c r="BW16" s="198" t="str">
        <f t="shared" si="15"/>
        <v/>
      </c>
      <c r="BX16" s="198" t="str">
        <f t="shared" si="15"/>
        <v/>
      </c>
      <c r="BY16" s="198" t="str">
        <f t="shared" si="15"/>
        <v/>
      </c>
      <c r="BZ16" s="198" t="str">
        <f t="shared" si="15"/>
        <v/>
      </c>
      <c r="CA16" s="198" t="str">
        <f t="shared" si="15"/>
        <v/>
      </c>
      <c r="CB16" s="198" t="str">
        <f t="shared" si="15"/>
        <v/>
      </c>
      <c r="CC16" s="198" t="str">
        <f t="shared" si="15"/>
        <v/>
      </c>
      <c r="CD16" s="198" t="str">
        <f t="shared" si="15"/>
        <v/>
      </c>
      <c r="CE16" s="198" t="str">
        <f t="shared" si="15"/>
        <v/>
      </c>
      <c r="CF16" s="198" t="str">
        <f t="shared" si="15"/>
        <v/>
      </c>
      <c r="CG16" s="198" t="str">
        <f t="shared" si="15"/>
        <v/>
      </c>
      <c r="CH16" s="198" t="str">
        <f t="shared" si="15"/>
        <v/>
      </c>
      <c r="CI16" s="198" t="str">
        <f t="shared" si="15"/>
        <v/>
      </c>
      <c r="CJ16" s="198" t="str">
        <f t="shared" si="15"/>
        <v/>
      </c>
      <c r="CK16" s="198" t="str">
        <f t="shared" si="15"/>
        <v/>
      </c>
      <c r="CL16" s="198" t="str">
        <f t="shared" si="15"/>
        <v/>
      </c>
      <c r="CM16" s="198" t="str">
        <f t="shared" si="15"/>
        <v/>
      </c>
      <c r="CN16" s="198" t="str">
        <f t="shared" si="15"/>
        <v/>
      </c>
      <c r="CO16" s="198" t="str">
        <f t="shared" si="15"/>
        <v/>
      </c>
      <c r="CP16" s="198" t="str">
        <f t="shared" si="15"/>
        <v/>
      </c>
      <c r="CQ16" s="198" t="str">
        <f t="shared" si="15"/>
        <v/>
      </c>
      <c r="CR16" s="198" t="str">
        <f t="shared" si="15"/>
        <v/>
      </c>
      <c r="CS16" s="198" t="str">
        <f t="shared" si="15"/>
        <v/>
      </c>
      <c r="CT16" s="198" t="str">
        <f t="shared" si="15"/>
        <v/>
      </c>
      <c r="CU16" s="198" t="str">
        <f t="shared" si="15"/>
        <v/>
      </c>
      <c r="CV16" s="198" t="str">
        <f t="shared" si="15"/>
        <v/>
      </c>
      <c r="CW16" s="198" t="str">
        <f t="shared" si="15"/>
        <v/>
      </c>
      <c r="CX16" s="198" t="str">
        <f t="shared" si="15"/>
        <v/>
      </c>
      <c r="CY16" s="198" t="str">
        <f t="shared" si="15"/>
        <v/>
      </c>
      <c r="CZ16" s="198" t="str">
        <f t="shared" si="15"/>
        <v/>
      </c>
      <c r="DA16" s="198" t="str">
        <f t="shared" si="15"/>
        <v/>
      </c>
      <c r="DB16" s="198" t="str">
        <f t="shared" si="15"/>
        <v/>
      </c>
      <c r="DC16" s="198" t="str">
        <f t="shared" si="15"/>
        <v/>
      </c>
      <c r="DD16" s="198" t="s">
        <v>1465</v>
      </c>
      <c r="DE16" s="198" t="s">
        <v>1467</v>
      </c>
      <c r="DF16" s="198" t="s">
        <v>1466</v>
      </c>
      <c r="DG16" s="198" t="s">
        <v>1466</v>
      </c>
      <c r="DH16" s="198" t="s">
        <v>1501</v>
      </c>
      <c r="DI16" s="198" t="s">
        <v>1461</v>
      </c>
      <c r="DJ16" s="198" t="s">
        <v>1467</v>
      </c>
      <c r="DK16" s="198"/>
      <c r="DL16" s="198"/>
      <c r="DM16" s="198" t="s">
        <v>1466</v>
      </c>
      <c r="DN16" s="198" t="s">
        <v>1466</v>
      </c>
      <c r="DO16" s="198" t="s">
        <v>1466</v>
      </c>
      <c r="DP16" s="198" t="s">
        <v>1466</v>
      </c>
      <c r="DQ16" s="198" t="s">
        <v>1466</v>
      </c>
      <c r="DR16" s="198" t="s">
        <v>1501</v>
      </c>
      <c r="DS16" s="198" t="s">
        <v>1466</v>
      </c>
      <c r="DT16" s="198" t="s">
        <v>1466</v>
      </c>
      <c r="DU16" s="198" t="s">
        <v>1463</v>
      </c>
      <c r="DV16" s="198" t="s">
        <v>1487</v>
      </c>
      <c r="DW16" s="198" t="s">
        <v>1487</v>
      </c>
      <c r="DX16" s="198"/>
      <c r="DY16" s="198"/>
      <c r="DZ16" s="198"/>
      <c r="EA16" s="198" t="s">
        <v>1501</v>
      </c>
      <c r="EB16" s="198" t="s">
        <v>1461</v>
      </c>
      <c r="EC16" s="198" t="s">
        <v>1461</v>
      </c>
      <c r="ED16" s="198"/>
      <c r="EE16" s="198" t="s">
        <v>1483</v>
      </c>
      <c r="EF16" s="198" t="s">
        <v>1469</v>
      </c>
      <c r="EG16" s="198" t="s">
        <v>1483</v>
      </c>
      <c r="EH16" s="198" t="s">
        <v>1483</v>
      </c>
      <c r="EI16" s="198" t="s">
        <v>1483</v>
      </c>
      <c r="EJ16" s="198"/>
      <c r="EK16" s="198" t="s">
        <v>1487</v>
      </c>
      <c r="EL16" s="198" t="s">
        <v>3815</v>
      </c>
      <c r="EM16" s="198" t="s">
        <v>1474</v>
      </c>
      <c r="EN16" s="198" t="s">
        <v>1487</v>
      </c>
      <c r="EO16" s="198" t="s">
        <v>1478</v>
      </c>
      <c r="EP16" s="198" t="s">
        <v>1487</v>
      </c>
      <c r="EQ16" s="198" t="s">
        <v>1487</v>
      </c>
      <c r="ER16" s="198" t="s">
        <v>1487</v>
      </c>
      <c r="ES16" s="198"/>
      <c r="ET16" s="198" t="s">
        <v>1487</v>
      </c>
      <c r="EU16" s="198" t="s">
        <v>1487</v>
      </c>
      <c r="EV16" s="198" t="s">
        <v>1487</v>
      </c>
      <c r="EW16" s="198" t="s">
        <v>1487</v>
      </c>
      <c r="EX16" s="198" t="s">
        <v>1487</v>
      </c>
      <c r="EY16" s="198" t="s">
        <v>1487</v>
      </c>
      <c r="EZ16" s="198" t="s">
        <v>1487</v>
      </c>
      <c r="FA16" s="198" t="s">
        <v>1487</v>
      </c>
      <c r="FB16" s="198" t="s">
        <v>1487</v>
      </c>
      <c r="FC16" s="198" t="s">
        <v>1487</v>
      </c>
      <c r="FD16" s="198" t="s">
        <v>1478</v>
      </c>
      <c r="FE16" s="198" t="s">
        <v>1487</v>
      </c>
      <c r="FF16" s="198" t="s">
        <v>1487</v>
      </c>
      <c r="FG16" s="198" t="s">
        <v>1487</v>
      </c>
      <c r="FH16" s="198"/>
      <c r="FI16" s="198"/>
      <c r="FJ16" s="198" t="s">
        <v>1474</v>
      </c>
      <c r="FK16" s="198"/>
      <c r="FL16" s="198" t="s">
        <v>1478</v>
      </c>
      <c r="FM16" s="198" t="s">
        <v>1478</v>
      </c>
      <c r="FN16" s="198" t="s">
        <v>1487</v>
      </c>
      <c r="FO16" s="198" t="s">
        <v>1487</v>
      </c>
      <c r="FP16" s="198" t="s">
        <v>1487</v>
      </c>
      <c r="FQ16" s="198" t="s">
        <v>1487</v>
      </c>
      <c r="FR16" s="198" t="s">
        <v>1487</v>
      </c>
      <c r="FS16" s="198" t="s">
        <v>1478</v>
      </c>
      <c r="FT16" s="198" t="s">
        <v>1455</v>
      </c>
      <c r="FU16" s="198" t="s">
        <v>1478</v>
      </c>
      <c r="FV16" s="198"/>
      <c r="FW16" s="198"/>
      <c r="FX16" s="198" t="s">
        <v>1487</v>
      </c>
      <c r="FY16" s="198" t="s">
        <v>1474</v>
      </c>
      <c r="FZ16" s="198" t="s">
        <v>1487</v>
      </c>
      <c r="GA16" s="198" t="s">
        <v>1478</v>
      </c>
      <c r="GB16" s="198" t="s">
        <v>1481</v>
      </c>
      <c r="GC16" s="198" t="s">
        <v>1487</v>
      </c>
      <c r="GD16" s="198" t="s">
        <v>1487</v>
      </c>
      <c r="GE16" s="198" t="s">
        <v>1487</v>
      </c>
      <c r="GF16" s="198" t="s">
        <v>1487</v>
      </c>
      <c r="GG16" s="198" t="s">
        <v>1487</v>
      </c>
      <c r="GH16" s="198" t="s">
        <v>1487</v>
      </c>
      <c r="GI16" s="198" t="s">
        <v>1496</v>
      </c>
      <c r="GJ16" s="198" t="s">
        <v>1487</v>
      </c>
      <c r="GK16" s="198" t="s">
        <v>1471</v>
      </c>
      <c r="GL16" s="198" t="s">
        <v>1487</v>
      </c>
      <c r="GM16" s="198" t="s">
        <v>1478</v>
      </c>
      <c r="GN16" s="198" t="s">
        <v>1487</v>
      </c>
      <c r="GO16" s="198" t="s">
        <v>1487</v>
      </c>
      <c r="GP16" s="198" t="s">
        <v>1487</v>
      </c>
      <c r="GQ16" s="198" t="s">
        <v>1467</v>
      </c>
      <c r="GR16" s="198" t="s">
        <v>1466</v>
      </c>
      <c r="GS16" s="198" t="s">
        <v>1466</v>
      </c>
      <c r="GT16" s="198" t="s">
        <v>1462</v>
      </c>
      <c r="GU16" s="198" t="s">
        <v>1500</v>
      </c>
      <c r="GV16" s="198" t="s">
        <v>1500</v>
      </c>
      <c r="GW16" s="198" t="s">
        <v>1463</v>
      </c>
      <c r="GX16" s="198"/>
      <c r="GY16" s="198" t="s">
        <v>1478</v>
      </c>
      <c r="GZ16" s="198" t="s">
        <v>1487</v>
      </c>
      <c r="HA16" s="198" t="s">
        <v>1487</v>
      </c>
      <c r="HB16" s="198" t="s">
        <v>1478</v>
      </c>
      <c r="HC16" s="198" t="s">
        <v>1487</v>
      </c>
      <c r="HD16" s="198" t="s">
        <v>1487</v>
      </c>
    </row>
    <row r="17">
      <c r="A17" s="234">
        <v>17.0</v>
      </c>
      <c r="B17" s="198" t="s">
        <v>1458</v>
      </c>
      <c r="C17" s="198" t="str">
        <f t="shared" ref="C17:DC17" si="16">if(countif(DD:DD,$B17),INDIRECT(concat("B",$A17)),"")</f>
        <v>1.14.14.81</v>
      </c>
      <c r="D17" s="198" t="str">
        <f t="shared" si="16"/>
        <v/>
      </c>
      <c r="E17" s="198" t="str">
        <f t="shared" si="16"/>
        <v/>
      </c>
      <c r="F17" s="198" t="str">
        <f t="shared" si="16"/>
        <v/>
      </c>
      <c r="G17" s="198" t="str">
        <f t="shared" si="16"/>
        <v/>
      </c>
      <c r="H17" s="198" t="str">
        <f t="shared" si="16"/>
        <v/>
      </c>
      <c r="I17" s="198" t="str">
        <f t="shared" si="16"/>
        <v/>
      </c>
      <c r="J17" s="198" t="str">
        <f t="shared" si="16"/>
        <v/>
      </c>
      <c r="K17" s="198" t="str">
        <f t="shared" si="16"/>
        <v/>
      </c>
      <c r="L17" s="198" t="str">
        <f t="shared" si="16"/>
        <v/>
      </c>
      <c r="M17" s="198" t="str">
        <f t="shared" si="16"/>
        <v>1.14.14.81</v>
      </c>
      <c r="N17" s="198" t="str">
        <f t="shared" si="16"/>
        <v/>
      </c>
      <c r="O17" s="198" t="str">
        <f t="shared" si="16"/>
        <v/>
      </c>
      <c r="P17" s="198" t="str">
        <f t="shared" si="16"/>
        <v/>
      </c>
      <c r="Q17" s="198" t="str">
        <f t="shared" si="16"/>
        <v>1.14.14.81</v>
      </c>
      <c r="R17" s="198" t="str">
        <f t="shared" si="16"/>
        <v/>
      </c>
      <c r="S17" s="198" t="str">
        <f t="shared" si="16"/>
        <v/>
      </c>
      <c r="T17" s="198" t="str">
        <f t="shared" si="16"/>
        <v>1.14.14.81</v>
      </c>
      <c r="U17" s="198" t="str">
        <f t="shared" si="16"/>
        <v>1.14.14.81</v>
      </c>
      <c r="V17" s="198" t="str">
        <f t="shared" si="16"/>
        <v/>
      </c>
      <c r="W17" s="198" t="str">
        <f t="shared" si="16"/>
        <v/>
      </c>
      <c r="X17" s="198" t="str">
        <f t="shared" si="16"/>
        <v/>
      </c>
      <c r="Y17" s="198" t="str">
        <f t="shared" si="16"/>
        <v/>
      </c>
      <c r="Z17" s="198" t="str">
        <f t="shared" si="16"/>
        <v>1.14.14.81</v>
      </c>
      <c r="AA17" s="198" t="str">
        <f t="shared" si="16"/>
        <v>1.14.14.81</v>
      </c>
      <c r="AB17" s="198" t="str">
        <f t="shared" si="16"/>
        <v>1.14.14.81</v>
      </c>
      <c r="AC17" s="198" t="str">
        <f t="shared" si="16"/>
        <v/>
      </c>
      <c r="AD17" s="198" t="str">
        <f t="shared" si="16"/>
        <v/>
      </c>
      <c r="AE17" s="198" t="str">
        <f t="shared" si="16"/>
        <v/>
      </c>
      <c r="AF17" s="198" t="str">
        <f t="shared" si="16"/>
        <v/>
      </c>
      <c r="AG17" s="198" t="str">
        <f t="shared" si="16"/>
        <v/>
      </c>
      <c r="AH17" s="198" t="str">
        <f t="shared" si="16"/>
        <v/>
      </c>
      <c r="AI17" s="198" t="str">
        <f t="shared" si="16"/>
        <v/>
      </c>
      <c r="AJ17" s="198" t="str">
        <f t="shared" si="16"/>
        <v/>
      </c>
      <c r="AK17" s="198" t="str">
        <f t="shared" si="16"/>
        <v/>
      </c>
      <c r="AL17" s="198" t="str">
        <f t="shared" si="16"/>
        <v>1.14.14.81</v>
      </c>
      <c r="AM17" s="198" t="str">
        <f t="shared" si="16"/>
        <v>1.14.14.81</v>
      </c>
      <c r="AN17" s="198" t="str">
        <f t="shared" si="16"/>
        <v>1.14.14.81</v>
      </c>
      <c r="AO17" s="198" t="str">
        <f t="shared" si="16"/>
        <v>1.14.14.81</v>
      </c>
      <c r="AP17" s="198" t="str">
        <f t="shared" si="16"/>
        <v/>
      </c>
      <c r="AQ17" s="198" t="str">
        <f t="shared" si="16"/>
        <v/>
      </c>
      <c r="AR17" s="198" t="str">
        <f t="shared" si="16"/>
        <v/>
      </c>
      <c r="AS17" s="198" t="str">
        <f t="shared" si="16"/>
        <v>1.14.14.81</v>
      </c>
      <c r="AT17" s="198" t="str">
        <f t="shared" si="16"/>
        <v>1.14.14.81</v>
      </c>
      <c r="AU17" s="198" t="str">
        <f t="shared" si="16"/>
        <v>1.14.14.81</v>
      </c>
      <c r="AV17" s="198" t="str">
        <f t="shared" si="16"/>
        <v>1.14.14.81</v>
      </c>
      <c r="AW17" s="198" t="str">
        <f t="shared" si="16"/>
        <v/>
      </c>
      <c r="AX17" s="198" t="str">
        <f t="shared" si="16"/>
        <v>1.14.14.81</v>
      </c>
      <c r="AY17" s="198" t="str">
        <f t="shared" si="16"/>
        <v/>
      </c>
      <c r="AZ17" s="198" t="str">
        <f t="shared" si="16"/>
        <v>1.14.14.81</v>
      </c>
      <c r="BA17" s="198" t="str">
        <f t="shared" si="16"/>
        <v>1.14.14.81</v>
      </c>
      <c r="BB17" s="198" t="str">
        <f t="shared" si="16"/>
        <v/>
      </c>
      <c r="BC17" s="198" t="str">
        <f t="shared" si="16"/>
        <v>1.14.14.81</v>
      </c>
      <c r="BD17" s="198" t="str">
        <f t="shared" si="16"/>
        <v>1.14.14.81</v>
      </c>
      <c r="BE17" s="198" t="str">
        <f t="shared" si="16"/>
        <v/>
      </c>
      <c r="BF17" s="198" t="str">
        <f t="shared" si="16"/>
        <v>1.14.14.81</v>
      </c>
      <c r="BG17" s="198" t="str">
        <f t="shared" si="16"/>
        <v/>
      </c>
      <c r="BH17" s="198" t="str">
        <f t="shared" si="16"/>
        <v/>
      </c>
      <c r="BI17" s="198" t="str">
        <f t="shared" si="16"/>
        <v/>
      </c>
      <c r="BJ17" s="198" t="str">
        <f t="shared" si="16"/>
        <v/>
      </c>
      <c r="BK17" s="198" t="str">
        <f t="shared" si="16"/>
        <v>1.14.14.81</v>
      </c>
      <c r="BL17" s="198" t="str">
        <f t="shared" si="16"/>
        <v>1.14.14.81</v>
      </c>
      <c r="BM17" s="198" t="str">
        <f t="shared" si="16"/>
        <v>1.14.14.81</v>
      </c>
      <c r="BN17" s="198" t="str">
        <f t="shared" si="16"/>
        <v>1.14.14.81</v>
      </c>
      <c r="BO17" s="198" t="str">
        <f t="shared" si="16"/>
        <v>1.14.14.81</v>
      </c>
      <c r="BP17" s="198" t="str">
        <f t="shared" si="16"/>
        <v>1.14.14.81</v>
      </c>
      <c r="BQ17" s="198" t="str">
        <f t="shared" si="16"/>
        <v/>
      </c>
      <c r="BR17" s="198" t="str">
        <f t="shared" si="16"/>
        <v>1.14.14.81</v>
      </c>
      <c r="BS17" s="198" t="str">
        <f t="shared" si="16"/>
        <v>1.14.14.81</v>
      </c>
      <c r="BT17" s="198" t="str">
        <f t="shared" si="16"/>
        <v>1.14.14.81</v>
      </c>
      <c r="BU17" s="198" t="str">
        <f t="shared" si="16"/>
        <v/>
      </c>
      <c r="BV17" s="198" t="str">
        <f t="shared" si="16"/>
        <v/>
      </c>
      <c r="BW17" s="198" t="str">
        <f t="shared" si="16"/>
        <v/>
      </c>
      <c r="BX17" s="198" t="str">
        <f t="shared" si="16"/>
        <v>1.14.14.81</v>
      </c>
      <c r="BY17" s="198" t="str">
        <f t="shared" si="16"/>
        <v>1.14.14.81</v>
      </c>
      <c r="BZ17" s="198" t="str">
        <f t="shared" si="16"/>
        <v>1.14.14.81</v>
      </c>
      <c r="CA17" s="198" t="str">
        <f t="shared" si="16"/>
        <v/>
      </c>
      <c r="CB17" s="198" t="str">
        <f t="shared" si="16"/>
        <v>1.14.14.81</v>
      </c>
      <c r="CC17" s="198" t="str">
        <f t="shared" si="16"/>
        <v>1.14.14.81</v>
      </c>
      <c r="CD17" s="198" t="str">
        <f t="shared" si="16"/>
        <v/>
      </c>
      <c r="CE17" s="198" t="str">
        <f t="shared" si="16"/>
        <v/>
      </c>
      <c r="CF17" s="198" t="str">
        <f t="shared" si="16"/>
        <v/>
      </c>
      <c r="CG17" s="198" t="str">
        <f t="shared" si="16"/>
        <v/>
      </c>
      <c r="CH17" s="198" t="str">
        <f t="shared" si="16"/>
        <v>1.14.14.81</v>
      </c>
      <c r="CI17" s="198" t="str">
        <f t="shared" si="16"/>
        <v/>
      </c>
      <c r="CJ17" s="198" t="str">
        <f t="shared" si="16"/>
        <v/>
      </c>
      <c r="CK17" s="198" t="str">
        <f t="shared" si="16"/>
        <v/>
      </c>
      <c r="CL17" s="198" t="str">
        <f t="shared" si="16"/>
        <v>1.14.14.81</v>
      </c>
      <c r="CM17" s="198" t="str">
        <f t="shared" si="16"/>
        <v>1.14.14.81</v>
      </c>
      <c r="CN17" s="198" t="str">
        <f t="shared" si="16"/>
        <v>1.14.14.81</v>
      </c>
      <c r="CO17" s="198" t="str">
        <f t="shared" si="16"/>
        <v>1.14.14.81</v>
      </c>
      <c r="CP17" s="198" t="str">
        <f t="shared" si="16"/>
        <v>1.14.14.81</v>
      </c>
      <c r="CQ17" s="198" t="str">
        <f t="shared" si="16"/>
        <v/>
      </c>
      <c r="CR17" s="198" t="str">
        <f t="shared" si="16"/>
        <v/>
      </c>
      <c r="CS17" s="198" t="str">
        <f t="shared" si="16"/>
        <v>1.14.14.81</v>
      </c>
      <c r="CT17" s="198" t="str">
        <f t="shared" si="16"/>
        <v>1.14.14.81</v>
      </c>
      <c r="CU17" s="198" t="str">
        <f t="shared" si="16"/>
        <v>1.14.14.81</v>
      </c>
      <c r="CV17" s="198" t="str">
        <f t="shared" si="16"/>
        <v>1.14.14.81</v>
      </c>
      <c r="CW17" s="198" t="str">
        <f t="shared" si="16"/>
        <v/>
      </c>
      <c r="CX17" s="198" t="str">
        <f t="shared" si="16"/>
        <v>1.14.14.81</v>
      </c>
      <c r="CY17" s="198" t="str">
        <f t="shared" si="16"/>
        <v>1.14.14.81</v>
      </c>
      <c r="CZ17" s="198" t="str">
        <f t="shared" si="16"/>
        <v>1.14.14.81</v>
      </c>
      <c r="DA17" s="198" t="str">
        <f t="shared" si="16"/>
        <v>1.14.14.81</v>
      </c>
      <c r="DB17" s="198" t="str">
        <f t="shared" si="16"/>
        <v/>
      </c>
      <c r="DC17" s="198" t="str">
        <f t="shared" si="16"/>
        <v>1.14.14.81</v>
      </c>
      <c r="DD17" s="198" t="s">
        <v>1466</v>
      </c>
      <c r="DE17" s="198" t="s">
        <v>1468</v>
      </c>
      <c r="DF17" s="198" t="s">
        <v>1467</v>
      </c>
      <c r="DG17" s="198" t="s">
        <v>1467</v>
      </c>
      <c r="DH17" s="198" t="s">
        <v>1460</v>
      </c>
      <c r="DI17" s="198" t="s">
        <v>1462</v>
      </c>
      <c r="DJ17" s="198" t="s">
        <v>1468</v>
      </c>
      <c r="DK17" s="198"/>
      <c r="DL17" s="198"/>
      <c r="DM17" s="198" t="s">
        <v>1467</v>
      </c>
      <c r="DN17" s="198" t="s">
        <v>1467</v>
      </c>
      <c r="DO17" s="198" t="s">
        <v>1467</v>
      </c>
      <c r="DP17" s="198" t="s">
        <v>1467</v>
      </c>
      <c r="DQ17" s="198" t="s">
        <v>1467</v>
      </c>
      <c r="DR17" s="198" t="s">
        <v>1460</v>
      </c>
      <c r="DS17" s="198" t="s">
        <v>1467</v>
      </c>
      <c r="DT17" s="198" t="s">
        <v>1467</v>
      </c>
      <c r="DU17" s="198" t="s">
        <v>1464</v>
      </c>
      <c r="DV17" s="198" t="s">
        <v>1478</v>
      </c>
      <c r="DW17" s="198" t="s">
        <v>1478</v>
      </c>
      <c r="DX17" s="198"/>
      <c r="DY17" s="198"/>
      <c r="DZ17" s="198"/>
      <c r="EA17" s="198" t="s">
        <v>1460</v>
      </c>
      <c r="EB17" s="198" t="s">
        <v>1462</v>
      </c>
      <c r="EC17" s="198" t="s">
        <v>1462</v>
      </c>
      <c r="ED17" s="198"/>
      <c r="EE17" s="198" t="s">
        <v>1470</v>
      </c>
      <c r="EF17" s="198" t="s">
        <v>1483</v>
      </c>
      <c r="EG17" s="198" t="s">
        <v>1470</v>
      </c>
      <c r="EH17" s="198" t="s">
        <v>1470</v>
      </c>
      <c r="EI17" s="198" t="s">
        <v>1470</v>
      </c>
      <c r="EJ17" s="198"/>
      <c r="EK17" s="198" t="s">
        <v>1478</v>
      </c>
      <c r="EL17" s="198" t="s">
        <v>1464</v>
      </c>
      <c r="EM17" s="198" t="s">
        <v>1471</v>
      </c>
      <c r="EN17" s="198" t="s">
        <v>1478</v>
      </c>
      <c r="EO17" s="198" t="s">
        <v>1474</v>
      </c>
      <c r="EP17" s="198" t="s">
        <v>1478</v>
      </c>
      <c r="EQ17" s="198" t="s">
        <v>1493</v>
      </c>
      <c r="ER17" s="198" t="s">
        <v>1478</v>
      </c>
      <c r="ES17" s="198"/>
      <c r="ET17" s="198" t="s">
        <v>1478</v>
      </c>
      <c r="EU17" s="198" t="s">
        <v>1478</v>
      </c>
      <c r="EV17" s="198" t="s">
        <v>1478</v>
      </c>
      <c r="EW17" s="198" t="s">
        <v>1478</v>
      </c>
      <c r="EX17" s="198" t="s">
        <v>1478</v>
      </c>
      <c r="EY17" s="198" t="s">
        <v>1478</v>
      </c>
      <c r="EZ17" s="198" t="s">
        <v>1478</v>
      </c>
      <c r="FA17" s="198" t="s">
        <v>1478</v>
      </c>
      <c r="FB17" s="198" t="s">
        <v>1478</v>
      </c>
      <c r="FC17" s="198" t="s">
        <v>1478</v>
      </c>
      <c r="FD17" s="198" t="s">
        <v>1484</v>
      </c>
      <c r="FE17" s="198" t="s">
        <v>1478</v>
      </c>
      <c r="FF17" s="198" t="s">
        <v>1478</v>
      </c>
      <c r="FG17" s="198" t="s">
        <v>1478</v>
      </c>
      <c r="FH17" s="198"/>
      <c r="FI17" s="198"/>
      <c r="FJ17" s="198" t="s">
        <v>1471</v>
      </c>
      <c r="FK17" s="198"/>
      <c r="FL17" s="198" t="s">
        <v>1474</v>
      </c>
      <c r="FM17" s="198" t="s">
        <v>1484</v>
      </c>
      <c r="FN17" s="198" t="s">
        <v>1478</v>
      </c>
      <c r="FO17" s="198" t="s">
        <v>1478</v>
      </c>
      <c r="FP17" s="198" t="s">
        <v>1478</v>
      </c>
      <c r="FQ17" s="198" t="s">
        <v>1478</v>
      </c>
      <c r="FR17" s="198" t="s">
        <v>1478</v>
      </c>
      <c r="FS17" s="198" t="s">
        <v>1474</v>
      </c>
      <c r="FT17" s="198" t="s">
        <v>1454</v>
      </c>
      <c r="FU17" s="198" t="s">
        <v>1471</v>
      </c>
      <c r="FV17" s="198"/>
      <c r="FW17" s="198"/>
      <c r="FX17" s="198" t="s">
        <v>1478</v>
      </c>
      <c r="FY17" s="198" t="s">
        <v>1471</v>
      </c>
      <c r="FZ17" s="198" t="s">
        <v>1478</v>
      </c>
      <c r="GA17" s="198" t="s">
        <v>1474</v>
      </c>
      <c r="GB17" s="198"/>
      <c r="GC17" s="198" t="s">
        <v>1478</v>
      </c>
      <c r="GD17" s="198" t="s">
        <v>1478</v>
      </c>
      <c r="GE17" s="198" t="s">
        <v>1478</v>
      </c>
      <c r="GF17" s="198" t="s">
        <v>1478</v>
      </c>
      <c r="GG17" s="198" t="s">
        <v>1478</v>
      </c>
      <c r="GH17" s="198" t="s">
        <v>1478</v>
      </c>
      <c r="GI17" s="198" t="s">
        <v>1487</v>
      </c>
      <c r="GJ17" s="198" t="s">
        <v>1478</v>
      </c>
      <c r="GK17" s="198" t="s">
        <v>1481</v>
      </c>
      <c r="GL17" s="198" t="s">
        <v>1478</v>
      </c>
      <c r="GM17" s="198" t="s">
        <v>1471</v>
      </c>
      <c r="GN17" s="198" t="s">
        <v>1478</v>
      </c>
      <c r="GO17" s="198" t="s">
        <v>1478</v>
      </c>
      <c r="GP17" s="198" t="s">
        <v>1478</v>
      </c>
      <c r="GQ17" s="198" t="s">
        <v>1468</v>
      </c>
      <c r="GR17" s="198" t="s">
        <v>1467</v>
      </c>
      <c r="GS17" s="198" t="s">
        <v>1467</v>
      </c>
      <c r="GT17" s="198" t="s">
        <v>1463</v>
      </c>
      <c r="GU17" s="198" t="s">
        <v>1501</v>
      </c>
      <c r="GV17" s="198" t="s">
        <v>1501</v>
      </c>
      <c r="GW17" s="198" t="s">
        <v>1464</v>
      </c>
      <c r="GX17" s="198"/>
      <c r="GY17" s="198" t="s">
        <v>1471</v>
      </c>
      <c r="GZ17" s="198" t="s">
        <v>1478</v>
      </c>
      <c r="HA17" s="198" t="s">
        <v>1478</v>
      </c>
      <c r="HB17" s="198" t="s">
        <v>1484</v>
      </c>
      <c r="HC17" s="198" t="s">
        <v>1478</v>
      </c>
      <c r="HD17" s="198" t="s">
        <v>1478</v>
      </c>
    </row>
    <row r="18">
      <c r="A18" s="234">
        <v>18.0</v>
      </c>
      <c r="B18" s="236" t="s">
        <v>1459</v>
      </c>
      <c r="C18" s="198" t="str">
        <f t="shared" ref="C18:DC18" si="17">if(countif(DD:DD,$B18),INDIRECT(concat("B",$A18)),"")</f>
        <v>1.14.14.82</v>
      </c>
      <c r="D18" s="198" t="str">
        <f t="shared" si="17"/>
        <v>1.14.14.82</v>
      </c>
      <c r="E18" s="198" t="str">
        <f t="shared" si="17"/>
        <v>1.14.14.82</v>
      </c>
      <c r="F18" s="198" t="str">
        <f t="shared" si="17"/>
        <v>1.14.14.82</v>
      </c>
      <c r="G18" s="198" t="str">
        <f t="shared" si="17"/>
        <v>1.14.14.82</v>
      </c>
      <c r="H18" s="198" t="str">
        <f t="shared" si="17"/>
        <v>1.14.14.82</v>
      </c>
      <c r="I18" s="198" t="str">
        <f t="shared" si="17"/>
        <v>1.14.14.82</v>
      </c>
      <c r="J18" s="198" t="str">
        <f t="shared" si="17"/>
        <v/>
      </c>
      <c r="K18" s="198" t="str">
        <f t="shared" si="17"/>
        <v/>
      </c>
      <c r="L18" s="198" t="str">
        <f t="shared" si="17"/>
        <v>1.14.14.82</v>
      </c>
      <c r="M18" s="198" t="str">
        <f t="shared" si="17"/>
        <v>1.14.14.82</v>
      </c>
      <c r="N18" s="198" t="str">
        <f t="shared" si="17"/>
        <v>1.14.14.82</v>
      </c>
      <c r="O18" s="198" t="str">
        <f t="shared" si="17"/>
        <v>1.14.14.82</v>
      </c>
      <c r="P18" s="198" t="str">
        <f t="shared" si="17"/>
        <v>1.14.14.82</v>
      </c>
      <c r="Q18" s="198" t="str">
        <f t="shared" si="17"/>
        <v>1.14.14.82</v>
      </c>
      <c r="R18" s="198" t="str">
        <f t="shared" si="17"/>
        <v>1.14.14.82</v>
      </c>
      <c r="S18" s="198" t="str">
        <f t="shared" si="17"/>
        <v>1.14.14.82</v>
      </c>
      <c r="T18" s="198" t="str">
        <f t="shared" si="17"/>
        <v>1.14.14.82</v>
      </c>
      <c r="U18" s="198" t="str">
        <f t="shared" si="17"/>
        <v>1.14.14.82</v>
      </c>
      <c r="V18" s="198" t="str">
        <f t="shared" si="17"/>
        <v>1.14.14.82</v>
      </c>
      <c r="W18" s="198" t="str">
        <f t="shared" si="17"/>
        <v/>
      </c>
      <c r="X18" s="198" t="str">
        <f t="shared" si="17"/>
        <v/>
      </c>
      <c r="Y18" s="198" t="str">
        <f t="shared" si="17"/>
        <v/>
      </c>
      <c r="Z18" s="198" t="str">
        <f t="shared" si="17"/>
        <v>1.14.14.82</v>
      </c>
      <c r="AA18" s="198" t="str">
        <f t="shared" si="17"/>
        <v>1.14.14.82</v>
      </c>
      <c r="AB18" s="198" t="str">
        <f t="shared" si="17"/>
        <v>1.14.14.82</v>
      </c>
      <c r="AC18" s="198" t="str">
        <f t="shared" si="17"/>
        <v/>
      </c>
      <c r="AD18" s="198" t="str">
        <f t="shared" si="17"/>
        <v>1.14.14.82</v>
      </c>
      <c r="AE18" s="198" t="str">
        <f t="shared" si="17"/>
        <v>1.14.14.82</v>
      </c>
      <c r="AF18" s="198" t="str">
        <f t="shared" si="17"/>
        <v>1.14.14.82</v>
      </c>
      <c r="AG18" s="198" t="str">
        <f t="shared" si="17"/>
        <v>1.14.14.82</v>
      </c>
      <c r="AH18" s="198" t="str">
        <f t="shared" si="17"/>
        <v>1.14.14.82</v>
      </c>
      <c r="AI18" s="198" t="str">
        <f t="shared" si="17"/>
        <v/>
      </c>
      <c r="AJ18" s="198" t="str">
        <f t="shared" si="17"/>
        <v>1.14.14.82</v>
      </c>
      <c r="AK18" s="198" t="str">
        <f t="shared" si="17"/>
        <v>1.14.14.82</v>
      </c>
      <c r="AL18" s="198" t="str">
        <f t="shared" si="17"/>
        <v>1.14.14.82</v>
      </c>
      <c r="AM18" s="198" t="str">
        <f t="shared" si="17"/>
        <v>1.14.14.82</v>
      </c>
      <c r="AN18" s="198" t="str">
        <f t="shared" si="17"/>
        <v>1.14.14.82</v>
      </c>
      <c r="AO18" s="198" t="str">
        <f t="shared" si="17"/>
        <v>1.14.14.82</v>
      </c>
      <c r="AP18" s="198" t="str">
        <f t="shared" si="17"/>
        <v>1.14.14.82</v>
      </c>
      <c r="AQ18" s="198" t="str">
        <f t="shared" si="17"/>
        <v/>
      </c>
      <c r="AR18" s="198" t="str">
        <f t="shared" si="17"/>
        <v/>
      </c>
      <c r="AS18" s="198" t="str">
        <f t="shared" si="17"/>
        <v>1.14.14.82</v>
      </c>
      <c r="AT18" s="198" t="str">
        <f t="shared" si="17"/>
        <v>1.14.14.82</v>
      </c>
      <c r="AU18" s="198" t="str">
        <f t="shared" si="17"/>
        <v>1.14.14.82</v>
      </c>
      <c r="AV18" s="198" t="str">
        <f t="shared" si="17"/>
        <v>1.14.14.82</v>
      </c>
      <c r="AW18" s="198" t="str">
        <f t="shared" si="17"/>
        <v>1.14.14.82</v>
      </c>
      <c r="AX18" s="198" t="str">
        <f t="shared" si="17"/>
        <v>1.14.14.82</v>
      </c>
      <c r="AY18" s="198" t="str">
        <f t="shared" si="17"/>
        <v>1.14.14.82</v>
      </c>
      <c r="AZ18" s="198" t="str">
        <f t="shared" si="17"/>
        <v>1.14.14.82</v>
      </c>
      <c r="BA18" s="198" t="str">
        <f t="shared" si="17"/>
        <v>1.14.14.82</v>
      </c>
      <c r="BB18" s="198" t="str">
        <f t="shared" si="17"/>
        <v>1.14.14.82</v>
      </c>
      <c r="BC18" s="198" t="str">
        <f t="shared" si="17"/>
        <v>1.14.14.82</v>
      </c>
      <c r="BD18" s="198" t="str">
        <f t="shared" si="17"/>
        <v>1.14.14.82</v>
      </c>
      <c r="BE18" s="198" t="str">
        <f t="shared" si="17"/>
        <v>1.14.14.82</v>
      </c>
      <c r="BF18" s="198" t="str">
        <f t="shared" si="17"/>
        <v>1.14.14.82</v>
      </c>
      <c r="BG18" s="198" t="str">
        <f t="shared" si="17"/>
        <v/>
      </c>
      <c r="BH18" s="198" t="str">
        <f t="shared" si="17"/>
        <v/>
      </c>
      <c r="BI18" s="198" t="str">
        <f t="shared" si="17"/>
        <v/>
      </c>
      <c r="BJ18" s="198" t="str">
        <f t="shared" si="17"/>
        <v/>
      </c>
      <c r="BK18" s="198" t="str">
        <f t="shared" si="17"/>
        <v>1.14.14.82</v>
      </c>
      <c r="BL18" s="198" t="str">
        <f t="shared" si="17"/>
        <v>1.14.14.82</v>
      </c>
      <c r="BM18" s="198" t="str">
        <f t="shared" si="17"/>
        <v>1.14.14.82</v>
      </c>
      <c r="BN18" s="198" t="str">
        <f t="shared" si="17"/>
        <v>1.14.14.82</v>
      </c>
      <c r="BO18" s="198" t="str">
        <f t="shared" si="17"/>
        <v>1.14.14.82</v>
      </c>
      <c r="BP18" s="198" t="str">
        <f t="shared" si="17"/>
        <v>1.14.14.82</v>
      </c>
      <c r="BQ18" s="198" t="str">
        <f t="shared" si="17"/>
        <v>1.14.14.82</v>
      </c>
      <c r="BR18" s="198" t="str">
        <f t="shared" si="17"/>
        <v>1.14.14.82</v>
      </c>
      <c r="BS18" s="198" t="str">
        <f t="shared" si="17"/>
        <v>1.14.14.82</v>
      </c>
      <c r="BT18" s="198" t="str">
        <f t="shared" si="17"/>
        <v>1.14.14.82</v>
      </c>
      <c r="BU18" s="198" t="str">
        <f t="shared" si="17"/>
        <v/>
      </c>
      <c r="BV18" s="198" t="str">
        <f t="shared" si="17"/>
        <v/>
      </c>
      <c r="BW18" s="198" t="str">
        <f t="shared" si="17"/>
        <v>1.14.14.82</v>
      </c>
      <c r="BX18" s="198" t="str">
        <f t="shared" si="17"/>
        <v>1.14.14.82</v>
      </c>
      <c r="BY18" s="198" t="str">
        <f t="shared" si="17"/>
        <v>1.14.14.82</v>
      </c>
      <c r="BZ18" s="198" t="str">
        <f t="shared" si="17"/>
        <v>1.14.14.82</v>
      </c>
      <c r="CA18" s="198" t="str">
        <f t="shared" si="17"/>
        <v/>
      </c>
      <c r="CB18" s="198" t="str">
        <f t="shared" si="17"/>
        <v>1.14.14.82</v>
      </c>
      <c r="CC18" s="198" t="str">
        <f t="shared" si="17"/>
        <v>1.14.14.82</v>
      </c>
      <c r="CD18" s="198" t="str">
        <f t="shared" si="17"/>
        <v>1.14.14.82</v>
      </c>
      <c r="CE18" s="198" t="str">
        <f t="shared" si="17"/>
        <v>1.14.14.82</v>
      </c>
      <c r="CF18" s="198" t="str">
        <f t="shared" si="17"/>
        <v>1.14.14.82</v>
      </c>
      <c r="CG18" s="198" t="str">
        <f t="shared" si="17"/>
        <v>1.14.14.82</v>
      </c>
      <c r="CH18" s="198" t="str">
        <f t="shared" si="17"/>
        <v>1.14.14.82</v>
      </c>
      <c r="CI18" s="198" t="str">
        <f t="shared" si="17"/>
        <v>1.14.14.82</v>
      </c>
      <c r="CJ18" s="198" t="str">
        <f t="shared" si="17"/>
        <v/>
      </c>
      <c r="CK18" s="198" t="str">
        <f t="shared" si="17"/>
        <v>1.14.14.82</v>
      </c>
      <c r="CL18" s="198" t="str">
        <f t="shared" si="17"/>
        <v>1.14.14.82</v>
      </c>
      <c r="CM18" s="198" t="str">
        <f t="shared" si="17"/>
        <v>1.14.14.82</v>
      </c>
      <c r="CN18" s="198" t="str">
        <f t="shared" si="17"/>
        <v>1.14.14.82</v>
      </c>
      <c r="CO18" s="198" t="str">
        <f t="shared" si="17"/>
        <v>1.14.14.82</v>
      </c>
      <c r="CP18" s="198" t="str">
        <f t="shared" si="17"/>
        <v>1.14.14.82</v>
      </c>
      <c r="CQ18" s="198" t="str">
        <f t="shared" si="17"/>
        <v>1.14.14.82</v>
      </c>
      <c r="CR18" s="198" t="str">
        <f t="shared" si="17"/>
        <v>1.14.14.82</v>
      </c>
      <c r="CS18" s="198" t="str">
        <f t="shared" si="17"/>
        <v>1.14.14.82</v>
      </c>
      <c r="CT18" s="198" t="str">
        <f t="shared" si="17"/>
        <v>1.14.14.82</v>
      </c>
      <c r="CU18" s="198" t="str">
        <f t="shared" si="17"/>
        <v>1.14.14.82</v>
      </c>
      <c r="CV18" s="198" t="str">
        <f t="shared" si="17"/>
        <v>1.14.14.82</v>
      </c>
      <c r="CW18" s="198" t="str">
        <f t="shared" si="17"/>
        <v/>
      </c>
      <c r="CX18" s="198" t="str">
        <f t="shared" si="17"/>
        <v>1.14.14.82</v>
      </c>
      <c r="CY18" s="198" t="str">
        <f t="shared" si="17"/>
        <v>1.14.14.82</v>
      </c>
      <c r="CZ18" s="198" t="str">
        <f t="shared" si="17"/>
        <v>1.14.14.82</v>
      </c>
      <c r="DA18" s="198" t="str">
        <f t="shared" si="17"/>
        <v>1.14.14.82</v>
      </c>
      <c r="DB18" s="198" t="str">
        <f t="shared" si="17"/>
        <v>1.14.14.82</v>
      </c>
      <c r="DC18" s="198" t="str">
        <f t="shared" si="17"/>
        <v>1.14.14.82</v>
      </c>
      <c r="DD18" s="198" t="s">
        <v>1467</v>
      </c>
      <c r="DE18" s="198" t="s">
        <v>1469</v>
      </c>
      <c r="DF18" s="198" t="s">
        <v>1468</v>
      </c>
      <c r="DG18" s="198" t="s">
        <v>1468</v>
      </c>
      <c r="DH18" s="198" t="s">
        <v>1461</v>
      </c>
      <c r="DI18" s="198" t="s">
        <v>1463</v>
      </c>
      <c r="DJ18" s="198" t="s">
        <v>1469</v>
      </c>
      <c r="DK18" s="198"/>
      <c r="DL18" s="198"/>
      <c r="DM18" s="198" t="s">
        <v>1468</v>
      </c>
      <c r="DN18" s="198" t="s">
        <v>1468</v>
      </c>
      <c r="DO18" s="198" t="s">
        <v>1468</v>
      </c>
      <c r="DP18" s="198" t="s">
        <v>1468</v>
      </c>
      <c r="DQ18" s="198" t="s">
        <v>1468</v>
      </c>
      <c r="DR18" s="198" t="s">
        <v>1461</v>
      </c>
      <c r="DS18" s="198" t="s">
        <v>1468</v>
      </c>
      <c r="DT18" s="198" t="s">
        <v>1468</v>
      </c>
      <c r="DU18" s="198" t="s">
        <v>1466</v>
      </c>
      <c r="DV18" s="198" t="s">
        <v>1484</v>
      </c>
      <c r="DW18" s="198" t="s">
        <v>1484</v>
      </c>
      <c r="DX18" s="198"/>
      <c r="DY18" s="198"/>
      <c r="DZ18" s="198"/>
      <c r="EA18" s="198" t="s">
        <v>1461</v>
      </c>
      <c r="EB18" s="198" t="s">
        <v>1463</v>
      </c>
      <c r="EC18" s="198" t="s">
        <v>1463</v>
      </c>
      <c r="ED18" s="198"/>
      <c r="EE18" s="198" t="s">
        <v>1471</v>
      </c>
      <c r="EF18" s="198" t="s">
        <v>1470</v>
      </c>
      <c r="EG18" s="198" t="s">
        <v>1471</v>
      </c>
      <c r="EH18" s="198" t="s">
        <v>1471</v>
      </c>
      <c r="EI18" s="198" t="s">
        <v>1471</v>
      </c>
      <c r="EJ18" s="198"/>
      <c r="EK18" s="198" t="s">
        <v>1484</v>
      </c>
      <c r="EL18" s="198" t="s">
        <v>1466</v>
      </c>
      <c r="EM18" s="198" t="s">
        <v>1481</v>
      </c>
      <c r="EN18" s="198" t="s">
        <v>1484</v>
      </c>
      <c r="EO18" s="198" t="s">
        <v>1471</v>
      </c>
      <c r="EP18" s="198" t="s">
        <v>1474</v>
      </c>
      <c r="EQ18" s="198" t="s">
        <v>1489</v>
      </c>
      <c r="ER18" s="198" t="s">
        <v>1484</v>
      </c>
      <c r="ES18" s="198"/>
      <c r="ET18" s="198" t="s">
        <v>1484</v>
      </c>
      <c r="EU18" s="198" t="s">
        <v>1484</v>
      </c>
      <c r="EV18" s="198" t="s">
        <v>1484</v>
      </c>
      <c r="EW18" s="198" t="s">
        <v>1484</v>
      </c>
      <c r="EX18" s="198" t="s">
        <v>1484</v>
      </c>
      <c r="EY18" s="198" t="s">
        <v>1484</v>
      </c>
      <c r="EZ18" s="198" t="s">
        <v>1484</v>
      </c>
      <c r="FA18" s="198" t="s">
        <v>1484</v>
      </c>
      <c r="FB18" s="198" t="s">
        <v>1484</v>
      </c>
      <c r="FC18" s="198" t="s">
        <v>1484</v>
      </c>
      <c r="FD18" s="198" t="s">
        <v>1474</v>
      </c>
      <c r="FE18" s="198" t="s">
        <v>1484</v>
      </c>
      <c r="FF18" s="198" t="s">
        <v>1484</v>
      </c>
      <c r="FG18" s="198" t="s">
        <v>1484</v>
      </c>
      <c r="FH18" s="198"/>
      <c r="FI18" s="198"/>
      <c r="FJ18" s="198" t="s">
        <v>1481</v>
      </c>
      <c r="FK18" s="198"/>
      <c r="FL18" s="198" t="s">
        <v>1471</v>
      </c>
      <c r="FM18" s="198" t="s">
        <v>1471</v>
      </c>
      <c r="FN18" s="198" t="s">
        <v>1484</v>
      </c>
      <c r="FO18" s="198" t="s">
        <v>1484</v>
      </c>
      <c r="FP18" s="198" t="s">
        <v>1484</v>
      </c>
      <c r="FQ18" s="198" t="s">
        <v>1484</v>
      </c>
      <c r="FR18" s="198" t="s">
        <v>1484</v>
      </c>
      <c r="FS18" s="198" t="s">
        <v>1471</v>
      </c>
      <c r="FT18" s="198" t="s">
        <v>1478</v>
      </c>
      <c r="FU18" s="198" t="s">
        <v>1481</v>
      </c>
      <c r="FV18" s="198"/>
      <c r="FW18" s="198"/>
      <c r="FX18" s="198" t="s">
        <v>1474</v>
      </c>
      <c r="FY18" s="198" t="s">
        <v>1481</v>
      </c>
      <c r="FZ18" s="198" t="s">
        <v>1484</v>
      </c>
      <c r="GA18" s="198" t="s">
        <v>1471</v>
      </c>
      <c r="GB18" s="198"/>
      <c r="GC18" s="198" t="s">
        <v>1484</v>
      </c>
      <c r="GD18" s="198" t="s">
        <v>1484</v>
      </c>
      <c r="GE18" s="198" t="s">
        <v>1474</v>
      </c>
      <c r="GF18" s="198" t="s">
        <v>1484</v>
      </c>
      <c r="GG18" s="198" t="s">
        <v>1484</v>
      </c>
      <c r="GH18" s="198" t="s">
        <v>1484</v>
      </c>
      <c r="GI18" s="198" t="s">
        <v>1478</v>
      </c>
      <c r="GJ18" s="198" t="s">
        <v>1531</v>
      </c>
      <c r="GK18" s="198"/>
      <c r="GL18" s="198" t="s">
        <v>1484</v>
      </c>
      <c r="GM18" s="198" t="s">
        <v>1481</v>
      </c>
      <c r="GN18" s="198" t="s">
        <v>1484</v>
      </c>
      <c r="GO18" s="198" t="s">
        <v>1484</v>
      </c>
      <c r="GP18" s="198" t="s">
        <v>1484</v>
      </c>
      <c r="GQ18" s="198" t="s">
        <v>1469</v>
      </c>
      <c r="GR18" s="198" t="s">
        <v>1469</v>
      </c>
      <c r="GS18" s="198" t="s">
        <v>1468</v>
      </c>
      <c r="GT18" s="198" t="s">
        <v>1464</v>
      </c>
      <c r="GU18" s="198" t="s">
        <v>1460</v>
      </c>
      <c r="GV18" s="198" t="s">
        <v>1460</v>
      </c>
      <c r="GW18" s="198" t="s">
        <v>1465</v>
      </c>
      <c r="GX18" s="198"/>
      <c r="GY18" s="198" t="s">
        <v>1481</v>
      </c>
      <c r="GZ18" s="198" t="s">
        <v>1484</v>
      </c>
      <c r="HA18" s="198" t="s">
        <v>1484</v>
      </c>
      <c r="HB18" s="198" t="s">
        <v>1474</v>
      </c>
      <c r="HC18" s="198" t="s">
        <v>1484</v>
      </c>
      <c r="HD18" s="198" t="s">
        <v>1484</v>
      </c>
    </row>
    <row r="19">
      <c r="A19" s="234">
        <v>19.0</v>
      </c>
      <c r="B19" s="198" t="s">
        <v>1498</v>
      </c>
      <c r="C19" s="198" t="str">
        <f t="shared" ref="C19:DC19" si="18">if(countif(DD:DD,$B19),INDIRECT(concat("B",$A19)),"")</f>
        <v/>
      </c>
      <c r="D19" s="198" t="str">
        <f t="shared" si="18"/>
        <v/>
      </c>
      <c r="E19" s="198" t="str">
        <f t="shared" si="18"/>
        <v/>
      </c>
      <c r="F19" s="198" t="str">
        <f t="shared" si="18"/>
        <v/>
      </c>
      <c r="G19" s="198" t="str">
        <f t="shared" si="18"/>
        <v>1.14.14.87</v>
      </c>
      <c r="H19" s="198" t="str">
        <f t="shared" si="18"/>
        <v>1.14.14.87</v>
      </c>
      <c r="I19" s="198" t="str">
        <f t="shared" si="18"/>
        <v/>
      </c>
      <c r="J19" s="198" t="str">
        <f t="shared" si="18"/>
        <v/>
      </c>
      <c r="K19" s="198" t="str">
        <f t="shared" si="18"/>
        <v/>
      </c>
      <c r="L19" s="198" t="str">
        <f t="shared" si="18"/>
        <v/>
      </c>
      <c r="M19" s="198" t="str">
        <f t="shared" si="18"/>
        <v/>
      </c>
      <c r="N19" s="198" t="str">
        <f t="shared" si="18"/>
        <v/>
      </c>
      <c r="O19" s="198" t="str">
        <f t="shared" si="18"/>
        <v/>
      </c>
      <c r="P19" s="198" t="str">
        <f t="shared" si="18"/>
        <v/>
      </c>
      <c r="Q19" s="198" t="str">
        <f t="shared" si="18"/>
        <v>1.14.14.87</v>
      </c>
      <c r="R19" s="198" t="str">
        <f t="shared" si="18"/>
        <v/>
      </c>
      <c r="S19" s="198" t="str">
        <f t="shared" si="18"/>
        <v/>
      </c>
      <c r="T19" s="198" t="str">
        <f t="shared" si="18"/>
        <v/>
      </c>
      <c r="U19" s="198" t="str">
        <f t="shared" si="18"/>
        <v/>
      </c>
      <c r="V19" s="198" t="str">
        <f t="shared" si="18"/>
        <v/>
      </c>
      <c r="W19" s="198" t="str">
        <f t="shared" si="18"/>
        <v/>
      </c>
      <c r="X19" s="198" t="str">
        <f t="shared" si="18"/>
        <v/>
      </c>
      <c r="Y19" s="198" t="str">
        <f t="shared" si="18"/>
        <v/>
      </c>
      <c r="Z19" s="198" t="str">
        <f t="shared" si="18"/>
        <v>1.14.14.87</v>
      </c>
      <c r="AA19" s="198" t="str">
        <f t="shared" si="18"/>
        <v/>
      </c>
      <c r="AB19" s="198" t="str">
        <f t="shared" si="18"/>
        <v/>
      </c>
      <c r="AC19" s="198" t="str">
        <f t="shared" si="18"/>
        <v/>
      </c>
      <c r="AD19" s="198" t="str">
        <f t="shared" si="18"/>
        <v/>
      </c>
      <c r="AE19" s="198" t="str">
        <f t="shared" si="18"/>
        <v/>
      </c>
      <c r="AF19" s="198" t="str">
        <f t="shared" si="18"/>
        <v/>
      </c>
      <c r="AG19" s="198" t="str">
        <f t="shared" si="18"/>
        <v/>
      </c>
      <c r="AH19" s="198" t="str">
        <f t="shared" si="18"/>
        <v/>
      </c>
      <c r="AI19" s="198" t="str">
        <f t="shared" si="18"/>
        <v/>
      </c>
      <c r="AJ19" s="198" t="str">
        <f t="shared" si="18"/>
        <v/>
      </c>
      <c r="AK19" s="198" t="str">
        <f t="shared" si="18"/>
        <v/>
      </c>
      <c r="AL19" s="198" t="str">
        <f t="shared" si="18"/>
        <v/>
      </c>
      <c r="AM19" s="198" t="str">
        <f t="shared" si="18"/>
        <v/>
      </c>
      <c r="AN19" s="198" t="str">
        <f t="shared" si="18"/>
        <v/>
      </c>
      <c r="AO19" s="198" t="str">
        <f t="shared" si="18"/>
        <v/>
      </c>
      <c r="AP19" s="198" t="str">
        <f t="shared" si="18"/>
        <v/>
      </c>
      <c r="AQ19" s="198" t="str">
        <f t="shared" si="18"/>
        <v/>
      </c>
      <c r="AR19" s="198" t="str">
        <f t="shared" si="18"/>
        <v/>
      </c>
      <c r="AS19" s="198" t="str">
        <f t="shared" si="18"/>
        <v>1.14.14.87</v>
      </c>
      <c r="AT19" s="198" t="str">
        <f t="shared" si="18"/>
        <v/>
      </c>
      <c r="AU19" s="198" t="str">
        <f t="shared" si="18"/>
        <v/>
      </c>
      <c r="AV19" s="198" t="str">
        <f t="shared" si="18"/>
        <v/>
      </c>
      <c r="AW19" s="198" t="str">
        <f t="shared" si="18"/>
        <v/>
      </c>
      <c r="AX19" s="198" t="str">
        <f t="shared" si="18"/>
        <v/>
      </c>
      <c r="AY19" s="198" t="str">
        <f t="shared" si="18"/>
        <v/>
      </c>
      <c r="AZ19" s="198" t="str">
        <f t="shared" si="18"/>
        <v/>
      </c>
      <c r="BA19" s="198" t="str">
        <f t="shared" si="18"/>
        <v/>
      </c>
      <c r="BB19" s="198" t="str">
        <f t="shared" si="18"/>
        <v/>
      </c>
      <c r="BC19" s="198" t="str">
        <f t="shared" si="18"/>
        <v>1.14.14.87</v>
      </c>
      <c r="BD19" s="198" t="str">
        <f t="shared" si="18"/>
        <v>1.14.14.87</v>
      </c>
      <c r="BE19" s="198" t="str">
        <f t="shared" si="18"/>
        <v/>
      </c>
      <c r="BF19" s="198" t="str">
        <f t="shared" si="18"/>
        <v/>
      </c>
      <c r="BG19" s="198" t="str">
        <f t="shared" si="18"/>
        <v/>
      </c>
      <c r="BH19" s="198" t="str">
        <f t="shared" si="18"/>
        <v/>
      </c>
      <c r="BI19" s="198" t="str">
        <f t="shared" si="18"/>
        <v/>
      </c>
      <c r="BJ19" s="198" t="str">
        <f t="shared" si="18"/>
        <v/>
      </c>
      <c r="BK19" s="198" t="str">
        <f t="shared" si="18"/>
        <v/>
      </c>
      <c r="BL19" s="198" t="str">
        <f t="shared" si="18"/>
        <v/>
      </c>
      <c r="BM19" s="198" t="str">
        <f t="shared" si="18"/>
        <v/>
      </c>
      <c r="BN19" s="198" t="str">
        <f t="shared" si="18"/>
        <v/>
      </c>
      <c r="BO19" s="198" t="str">
        <f t="shared" si="18"/>
        <v/>
      </c>
      <c r="BP19" s="198" t="str">
        <f t="shared" si="18"/>
        <v/>
      </c>
      <c r="BQ19" s="198" t="str">
        <f t="shared" si="18"/>
        <v/>
      </c>
      <c r="BR19" s="198" t="str">
        <f t="shared" si="18"/>
        <v/>
      </c>
      <c r="BS19" s="198" t="str">
        <f t="shared" si="18"/>
        <v/>
      </c>
      <c r="BT19" s="198" t="str">
        <f t="shared" si="18"/>
        <v/>
      </c>
      <c r="BU19" s="198" t="str">
        <f t="shared" si="18"/>
        <v/>
      </c>
      <c r="BV19" s="198" t="str">
        <f t="shared" si="18"/>
        <v/>
      </c>
      <c r="BW19" s="198" t="str">
        <f t="shared" si="18"/>
        <v/>
      </c>
      <c r="BX19" s="198" t="str">
        <f t="shared" si="18"/>
        <v/>
      </c>
      <c r="BY19" s="198" t="str">
        <f t="shared" si="18"/>
        <v>1.14.14.87</v>
      </c>
      <c r="BZ19" s="198" t="str">
        <f t="shared" si="18"/>
        <v/>
      </c>
      <c r="CA19" s="198" t="str">
        <f t="shared" si="18"/>
        <v/>
      </c>
      <c r="CB19" s="198" t="str">
        <f t="shared" si="18"/>
        <v/>
      </c>
      <c r="CC19" s="198" t="str">
        <f t="shared" si="18"/>
        <v/>
      </c>
      <c r="CD19" s="198" t="str">
        <f t="shared" si="18"/>
        <v/>
      </c>
      <c r="CE19" s="198" t="str">
        <f t="shared" si="18"/>
        <v/>
      </c>
      <c r="CF19" s="198" t="str">
        <f t="shared" si="18"/>
        <v/>
      </c>
      <c r="CG19" s="198" t="str">
        <f t="shared" si="18"/>
        <v/>
      </c>
      <c r="CH19" s="198" t="str">
        <f t="shared" si="18"/>
        <v/>
      </c>
      <c r="CI19" s="198" t="str">
        <f t="shared" si="18"/>
        <v/>
      </c>
      <c r="CJ19" s="198" t="str">
        <f t="shared" si="18"/>
        <v/>
      </c>
      <c r="CK19" s="198" t="str">
        <f t="shared" si="18"/>
        <v/>
      </c>
      <c r="CL19" s="198" t="str">
        <f t="shared" si="18"/>
        <v/>
      </c>
      <c r="CM19" s="198" t="str">
        <f t="shared" si="18"/>
        <v/>
      </c>
      <c r="CN19" s="198" t="str">
        <f t="shared" si="18"/>
        <v/>
      </c>
      <c r="CO19" s="198" t="str">
        <f t="shared" si="18"/>
        <v/>
      </c>
      <c r="CP19" s="198" t="str">
        <f t="shared" si="18"/>
        <v/>
      </c>
      <c r="CQ19" s="198" t="str">
        <f t="shared" si="18"/>
        <v/>
      </c>
      <c r="CR19" s="198" t="str">
        <f t="shared" si="18"/>
        <v/>
      </c>
      <c r="CS19" s="198" t="str">
        <f t="shared" si="18"/>
        <v/>
      </c>
      <c r="CT19" s="198" t="str">
        <f t="shared" si="18"/>
        <v>1.14.14.87</v>
      </c>
      <c r="CU19" s="198" t="str">
        <f t="shared" si="18"/>
        <v>1.14.14.87</v>
      </c>
      <c r="CV19" s="198" t="str">
        <f t="shared" si="18"/>
        <v/>
      </c>
      <c r="CW19" s="198" t="str">
        <f t="shared" si="18"/>
        <v/>
      </c>
      <c r="CX19" s="198" t="str">
        <f t="shared" si="18"/>
        <v/>
      </c>
      <c r="CY19" s="198" t="str">
        <f t="shared" si="18"/>
        <v/>
      </c>
      <c r="CZ19" s="198" t="str">
        <f t="shared" si="18"/>
        <v>1.14.14.87</v>
      </c>
      <c r="DA19" s="198" t="str">
        <f t="shared" si="18"/>
        <v>1.14.14.87</v>
      </c>
      <c r="DB19" s="198" t="str">
        <f t="shared" si="18"/>
        <v/>
      </c>
      <c r="DC19" s="198" t="str">
        <f t="shared" si="18"/>
        <v>1.14.14.87</v>
      </c>
      <c r="DD19" s="198" t="s">
        <v>1468</v>
      </c>
      <c r="DE19" s="198" t="s">
        <v>1483</v>
      </c>
      <c r="DF19" s="198" t="s">
        <v>1469</v>
      </c>
      <c r="DG19" s="198" t="s">
        <v>1491</v>
      </c>
      <c r="DH19" s="198" t="s">
        <v>1462</v>
      </c>
      <c r="DI19" s="198" t="s">
        <v>1464</v>
      </c>
      <c r="DJ19" s="198" t="s">
        <v>1483</v>
      </c>
      <c r="DK19" s="198"/>
      <c r="DL19" s="198"/>
      <c r="DM19" s="198" t="s">
        <v>1469</v>
      </c>
      <c r="DN19" s="198" t="s">
        <v>1469</v>
      </c>
      <c r="DO19" s="198" t="s">
        <v>1469</v>
      </c>
      <c r="DP19" s="198" t="s">
        <v>1469</v>
      </c>
      <c r="DQ19" s="198" t="s">
        <v>1469</v>
      </c>
      <c r="DR19" s="198" t="s">
        <v>1462</v>
      </c>
      <c r="DS19" s="198" t="s">
        <v>1491</v>
      </c>
      <c r="DT19" s="198" t="s">
        <v>1469</v>
      </c>
      <c r="DU19" s="198" t="s">
        <v>1467</v>
      </c>
      <c r="DV19" s="198" t="s">
        <v>1474</v>
      </c>
      <c r="DW19" s="198" t="s">
        <v>1474</v>
      </c>
      <c r="DX19" s="198"/>
      <c r="DY19" s="198"/>
      <c r="DZ19" s="198"/>
      <c r="EA19" s="198" t="s">
        <v>1462</v>
      </c>
      <c r="EB19" s="198" t="s">
        <v>1464</v>
      </c>
      <c r="EC19" s="198" t="s">
        <v>1464</v>
      </c>
      <c r="ED19" s="198"/>
      <c r="EE19" s="198" t="s">
        <v>1472</v>
      </c>
      <c r="EF19" s="198" t="s">
        <v>1471</v>
      </c>
      <c r="EG19" s="198" t="s">
        <v>1472</v>
      </c>
      <c r="EH19" s="198" t="s">
        <v>1472</v>
      </c>
      <c r="EI19" s="198" t="s">
        <v>1472</v>
      </c>
      <c r="EJ19" s="198"/>
      <c r="EK19" s="198" t="s">
        <v>1474</v>
      </c>
      <c r="EL19" s="198" t="s">
        <v>1467</v>
      </c>
      <c r="EM19" s="198" t="s">
        <v>1457</v>
      </c>
      <c r="EN19" s="198" t="s">
        <v>1474</v>
      </c>
      <c r="EO19" s="198" t="s">
        <v>1481</v>
      </c>
      <c r="EP19" s="198" t="s">
        <v>1471</v>
      </c>
      <c r="EQ19" s="198" t="s">
        <v>1492</v>
      </c>
      <c r="ER19" s="198" t="s">
        <v>1474</v>
      </c>
      <c r="ES19" s="198"/>
      <c r="ET19" s="198" t="s">
        <v>1474</v>
      </c>
      <c r="EU19" s="198" t="s">
        <v>1474</v>
      </c>
      <c r="EV19" s="198" t="s">
        <v>1474</v>
      </c>
      <c r="EW19" s="198" t="s">
        <v>1474</v>
      </c>
      <c r="EX19" s="198" t="s">
        <v>1474</v>
      </c>
      <c r="EY19" s="198" t="s">
        <v>1474</v>
      </c>
      <c r="EZ19" s="198" t="s">
        <v>1509</v>
      </c>
      <c r="FA19" s="198" t="s">
        <v>1474</v>
      </c>
      <c r="FB19" s="198" t="s">
        <v>1474</v>
      </c>
      <c r="FC19" s="198" t="s">
        <v>1474</v>
      </c>
      <c r="FD19" s="198" t="s">
        <v>1471</v>
      </c>
      <c r="FE19" s="198" t="s">
        <v>1474</v>
      </c>
      <c r="FF19" s="198" t="s">
        <v>1474</v>
      </c>
      <c r="FG19" s="198" t="s">
        <v>1474</v>
      </c>
      <c r="FH19" s="198"/>
      <c r="FI19" s="198"/>
      <c r="FJ19" s="198" t="s">
        <v>1457</v>
      </c>
      <c r="FK19" s="198"/>
      <c r="FL19" s="198" t="s">
        <v>1481</v>
      </c>
      <c r="FM19" s="198" t="s">
        <v>1481</v>
      </c>
      <c r="FN19" s="198" t="s">
        <v>1474</v>
      </c>
      <c r="FO19" s="198" t="s">
        <v>1474</v>
      </c>
      <c r="FP19" s="198" t="s">
        <v>1474</v>
      </c>
      <c r="FQ19" s="198" t="s">
        <v>1474</v>
      </c>
      <c r="FR19" s="198" t="s">
        <v>1474</v>
      </c>
      <c r="FS19" s="198" t="s">
        <v>1481</v>
      </c>
      <c r="FT19" s="198" t="s">
        <v>1533</v>
      </c>
      <c r="FU19" s="198" t="s">
        <v>1457</v>
      </c>
      <c r="FV19" s="198"/>
      <c r="FW19" s="198"/>
      <c r="FX19" s="198" t="s">
        <v>1471</v>
      </c>
      <c r="FY19" s="198" t="s">
        <v>1457</v>
      </c>
      <c r="FZ19" s="198" t="s">
        <v>1474</v>
      </c>
      <c r="GA19" s="198" t="s">
        <v>1481</v>
      </c>
      <c r="GB19" s="198"/>
      <c r="GC19" s="198" t="s">
        <v>1474</v>
      </c>
      <c r="GD19" s="198" t="s">
        <v>1474</v>
      </c>
      <c r="GE19" s="198" t="s">
        <v>1471</v>
      </c>
      <c r="GF19" s="198" t="s">
        <v>1474</v>
      </c>
      <c r="GG19" s="198" t="s">
        <v>1474</v>
      </c>
      <c r="GH19" s="198" t="s">
        <v>1474</v>
      </c>
      <c r="GI19" s="198" t="s">
        <v>1537</v>
      </c>
      <c r="GJ19" s="198" t="s">
        <v>1484</v>
      </c>
      <c r="GK19" s="198"/>
      <c r="GL19" s="198" t="s">
        <v>1474</v>
      </c>
      <c r="GM19" s="198" t="s">
        <v>1457</v>
      </c>
      <c r="GN19" s="198" t="s">
        <v>1474</v>
      </c>
      <c r="GO19" s="198" t="s">
        <v>1474</v>
      </c>
      <c r="GP19" s="198" t="s">
        <v>1474</v>
      </c>
      <c r="GQ19" s="198" t="s">
        <v>1522</v>
      </c>
      <c r="GR19" s="198" t="s">
        <v>1483</v>
      </c>
      <c r="GS19" s="198" t="s">
        <v>1469</v>
      </c>
      <c r="GT19" s="198" t="s">
        <v>1465</v>
      </c>
      <c r="GU19" s="198" t="s">
        <v>1461</v>
      </c>
      <c r="GV19" s="198" t="s">
        <v>1461</v>
      </c>
      <c r="GW19" s="198" t="s">
        <v>1466</v>
      </c>
      <c r="GX19" s="198"/>
      <c r="GY19" s="198" t="s">
        <v>1457</v>
      </c>
      <c r="GZ19" s="198" t="s">
        <v>1474</v>
      </c>
      <c r="HA19" s="198" t="s">
        <v>1474</v>
      </c>
      <c r="HB19" s="198" t="s">
        <v>1471</v>
      </c>
      <c r="HC19" s="198" t="s">
        <v>1474</v>
      </c>
      <c r="HD19" s="198" t="s">
        <v>1474</v>
      </c>
    </row>
    <row r="20">
      <c r="A20" s="234">
        <v>20.0</v>
      </c>
      <c r="B20" s="198" t="s">
        <v>1499</v>
      </c>
      <c r="C20" s="198" t="str">
        <f t="shared" ref="C20:DC20" si="19">if(countif(DD:DD,$B20),INDIRECT(concat("B",$A20)),"")</f>
        <v/>
      </c>
      <c r="D20" s="198" t="str">
        <f t="shared" si="19"/>
        <v/>
      </c>
      <c r="E20" s="198" t="str">
        <f t="shared" si="19"/>
        <v/>
      </c>
      <c r="F20" s="198" t="str">
        <f t="shared" si="19"/>
        <v/>
      </c>
      <c r="G20" s="198" t="str">
        <f t="shared" si="19"/>
        <v>1.14.14.88</v>
      </c>
      <c r="H20" s="198" t="str">
        <f t="shared" si="19"/>
        <v>1.14.14.88</v>
      </c>
      <c r="I20" s="198" t="str">
        <f t="shared" si="19"/>
        <v/>
      </c>
      <c r="J20" s="198" t="str">
        <f t="shared" si="19"/>
        <v/>
      </c>
      <c r="K20" s="198" t="str">
        <f t="shared" si="19"/>
        <v/>
      </c>
      <c r="L20" s="198" t="str">
        <f t="shared" si="19"/>
        <v/>
      </c>
      <c r="M20" s="198" t="str">
        <f t="shared" si="19"/>
        <v/>
      </c>
      <c r="N20" s="198" t="str">
        <f t="shared" si="19"/>
        <v/>
      </c>
      <c r="O20" s="198" t="str">
        <f t="shared" si="19"/>
        <v/>
      </c>
      <c r="P20" s="198" t="str">
        <f t="shared" si="19"/>
        <v/>
      </c>
      <c r="Q20" s="198" t="str">
        <f t="shared" si="19"/>
        <v>1.14.14.88</v>
      </c>
      <c r="R20" s="198" t="str">
        <f t="shared" si="19"/>
        <v/>
      </c>
      <c r="S20" s="198" t="str">
        <f t="shared" si="19"/>
        <v/>
      </c>
      <c r="T20" s="198" t="str">
        <f t="shared" si="19"/>
        <v/>
      </c>
      <c r="U20" s="198" t="str">
        <f t="shared" si="19"/>
        <v/>
      </c>
      <c r="V20" s="198" t="str">
        <f t="shared" si="19"/>
        <v/>
      </c>
      <c r="W20" s="198" t="str">
        <f t="shared" si="19"/>
        <v/>
      </c>
      <c r="X20" s="198" t="str">
        <f t="shared" si="19"/>
        <v/>
      </c>
      <c r="Y20" s="198" t="str">
        <f t="shared" si="19"/>
        <v/>
      </c>
      <c r="Z20" s="198" t="str">
        <f t="shared" si="19"/>
        <v>1.14.14.88</v>
      </c>
      <c r="AA20" s="198" t="str">
        <f t="shared" si="19"/>
        <v/>
      </c>
      <c r="AB20" s="198" t="str">
        <f t="shared" si="19"/>
        <v/>
      </c>
      <c r="AC20" s="198" t="str">
        <f t="shared" si="19"/>
        <v/>
      </c>
      <c r="AD20" s="198" t="str">
        <f t="shared" si="19"/>
        <v/>
      </c>
      <c r="AE20" s="198" t="str">
        <f t="shared" si="19"/>
        <v/>
      </c>
      <c r="AF20" s="198" t="str">
        <f t="shared" si="19"/>
        <v/>
      </c>
      <c r="AG20" s="198" t="str">
        <f t="shared" si="19"/>
        <v/>
      </c>
      <c r="AH20" s="198" t="str">
        <f t="shared" si="19"/>
        <v/>
      </c>
      <c r="AI20" s="198" t="str">
        <f t="shared" si="19"/>
        <v/>
      </c>
      <c r="AJ20" s="198" t="str">
        <f t="shared" si="19"/>
        <v/>
      </c>
      <c r="AK20" s="198" t="str">
        <f t="shared" si="19"/>
        <v/>
      </c>
      <c r="AL20" s="198" t="str">
        <f t="shared" si="19"/>
        <v/>
      </c>
      <c r="AM20" s="198" t="str">
        <f t="shared" si="19"/>
        <v/>
      </c>
      <c r="AN20" s="198" t="str">
        <f t="shared" si="19"/>
        <v/>
      </c>
      <c r="AO20" s="198" t="str">
        <f t="shared" si="19"/>
        <v/>
      </c>
      <c r="AP20" s="198" t="str">
        <f t="shared" si="19"/>
        <v/>
      </c>
      <c r="AQ20" s="198" t="str">
        <f t="shared" si="19"/>
        <v/>
      </c>
      <c r="AR20" s="198" t="str">
        <f t="shared" si="19"/>
        <v/>
      </c>
      <c r="AS20" s="198" t="str">
        <f t="shared" si="19"/>
        <v>1.14.14.88</v>
      </c>
      <c r="AT20" s="198" t="str">
        <f t="shared" si="19"/>
        <v/>
      </c>
      <c r="AU20" s="198" t="str">
        <f t="shared" si="19"/>
        <v/>
      </c>
      <c r="AV20" s="198" t="str">
        <f t="shared" si="19"/>
        <v/>
      </c>
      <c r="AW20" s="198" t="str">
        <f t="shared" si="19"/>
        <v/>
      </c>
      <c r="AX20" s="198" t="str">
        <f t="shared" si="19"/>
        <v/>
      </c>
      <c r="AY20" s="198" t="str">
        <f t="shared" si="19"/>
        <v/>
      </c>
      <c r="AZ20" s="198" t="str">
        <f t="shared" si="19"/>
        <v/>
      </c>
      <c r="BA20" s="198" t="str">
        <f t="shared" si="19"/>
        <v/>
      </c>
      <c r="BB20" s="198" t="str">
        <f t="shared" si="19"/>
        <v/>
      </c>
      <c r="BC20" s="198" t="str">
        <f t="shared" si="19"/>
        <v/>
      </c>
      <c r="BD20" s="198" t="str">
        <f t="shared" si="19"/>
        <v/>
      </c>
      <c r="BE20" s="198" t="str">
        <f t="shared" si="19"/>
        <v/>
      </c>
      <c r="BF20" s="198" t="str">
        <f t="shared" si="19"/>
        <v/>
      </c>
      <c r="BG20" s="198" t="str">
        <f t="shared" si="19"/>
        <v/>
      </c>
      <c r="BH20" s="198" t="str">
        <f t="shared" si="19"/>
        <v/>
      </c>
      <c r="BI20" s="198" t="str">
        <f t="shared" si="19"/>
        <v/>
      </c>
      <c r="BJ20" s="198" t="str">
        <f t="shared" si="19"/>
        <v/>
      </c>
      <c r="BK20" s="198" t="str">
        <f t="shared" si="19"/>
        <v/>
      </c>
      <c r="BL20" s="198" t="str">
        <f t="shared" si="19"/>
        <v/>
      </c>
      <c r="BM20" s="198" t="str">
        <f t="shared" si="19"/>
        <v/>
      </c>
      <c r="BN20" s="198" t="str">
        <f t="shared" si="19"/>
        <v/>
      </c>
      <c r="BO20" s="198" t="str">
        <f t="shared" si="19"/>
        <v/>
      </c>
      <c r="BP20" s="198" t="str">
        <f t="shared" si="19"/>
        <v/>
      </c>
      <c r="BQ20" s="198" t="str">
        <f t="shared" si="19"/>
        <v/>
      </c>
      <c r="BR20" s="198" t="str">
        <f t="shared" si="19"/>
        <v/>
      </c>
      <c r="BS20" s="198" t="str">
        <f t="shared" si="19"/>
        <v/>
      </c>
      <c r="BT20" s="198" t="str">
        <f t="shared" si="19"/>
        <v/>
      </c>
      <c r="BU20" s="198" t="str">
        <f t="shared" si="19"/>
        <v/>
      </c>
      <c r="BV20" s="198" t="str">
        <f t="shared" si="19"/>
        <v/>
      </c>
      <c r="BW20" s="198" t="str">
        <f t="shared" si="19"/>
        <v/>
      </c>
      <c r="BX20" s="198" t="str">
        <f t="shared" si="19"/>
        <v/>
      </c>
      <c r="BY20" s="198" t="str">
        <f t="shared" si="19"/>
        <v>1.14.14.88</v>
      </c>
      <c r="BZ20" s="198" t="str">
        <f t="shared" si="19"/>
        <v/>
      </c>
      <c r="CA20" s="198" t="str">
        <f t="shared" si="19"/>
        <v/>
      </c>
      <c r="CB20" s="198" t="str">
        <f t="shared" si="19"/>
        <v/>
      </c>
      <c r="CC20" s="198" t="str">
        <f t="shared" si="19"/>
        <v/>
      </c>
      <c r="CD20" s="198" t="str">
        <f t="shared" si="19"/>
        <v/>
      </c>
      <c r="CE20" s="198" t="str">
        <f t="shared" si="19"/>
        <v/>
      </c>
      <c r="CF20" s="198" t="str">
        <f t="shared" si="19"/>
        <v/>
      </c>
      <c r="CG20" s="198" t="str">
        <f t="shared" si="19"/>
        <v/>
      </c>
      <c r="CH20" s="198" t="str">
        <f t="shared" si="19"/>
        <v/>
      </c>
      <c r="CI20" s="198" t="str">
        <f t="shared" si="19"/>
        <v/>
      </c>
      <c r="CJ20" s="198" t="str">
        <f t="shared" si="19"/>
        <v/>
      </c>
      <c r="CK20" s="198" t="str">
        <f t="shared" si="19"/>
        <v/>
      </c>
      <c r="CL20" s="198" t="str">
        <f t="shared" si="19"/>
        <v/>
      </c>
      <c r="CM20" s="198" t="str">
        <f t="shared" si="19"/>
        <v/>
      </c>
      <c r="CN20" s="198" t="str">
        <f t="shared" si="19"/>
        <v/>
      </c>
      <c r="CO20" s="198" t="str">
        <f t="shared" si="19"/>
        <v/>
      </c>
      <c r="CP20" s="198" t="str">
        <f t="shared" si="19"/>
        <v/>
      </c>
      <c r="CQ20" s="198" t="str">
        <f t="shared" si="19"/>
        <v/>
      </c>
      <c r="CR20" s="198" t="str">
        <f t="shared" si="19"/>
        <v/>
      </c>
      <c r="CS20" s="198" t="str">
        <f t="shared" si="19"/>
        <v/>
      </c>
      <c r="CT20" s="198" t="str">
        <f t="shared" si="19"/>
        <v>1.14.14.88</v>
      </c>
      <c r="CU20" s="198" t="str">
        <f t="shared" si="19"/>
        <v>1.14.14.88</v>
      </c>
      <c r="CV20" s="198" t="str">
        <f t="shared" si="19"/>
        <v/>
      </c>
      <c r="CW20" s="198" t="str">
        <f t="shared" si="19"/>
        <v/>
      </c>
      <c r="CX20" s="198" t="str">
        <f t="shared" si="19"/>
        <v/>
      </c>
      <c r="CY20" s="198" t="str">
        <f t="shared" si="19"/>
        <v/>
      </c>
      <c r="CZ20" s="198" t="str">
        <f t="shared" si="19"/>
        <v>1.14.14.88</v>
      </c>
      <c r="DA20" s="198" t="str">
        <f t="shared" si="19"/>
        <v>1.14.14.88</v>
      </c>
      <c r="DB20" s="198" t="str">
        <f t="shared" si="19"/>
        <v/>
      </c>
      <c r="DC20" s="198" t="str">
        <f t="shared" si="19"/>
        <v>1.14.14.88</v>
      </c>
      <c r="DD20" s="198" t="s">
        <v>1469</v>
      </c>
      <c r="DE20" s="198" t="s">
        <v>1470</v>
      </c>
      <c r="DF20" s="198" t="s">
        <v>1483</v>
      </c>
      <c r="DG20" s="198" t="s">
        <v>1469</v>
      </c>
      <c r="DH20" s="198" t="s">
        <v>1463</v>
      </c>
      <c r="DI20" s="198" t="s">
        <v>1465</v>
      </c>
      <c r="DJ20" s="198" t="s">
        <v>1470</v>
      </c>
      <c r="DK20" s="198"/>
      <c r="DL20" s="198"/>
      <c r="DM20" s="198" t="s">
        <v>1483</v>
      </c>
      <c r="DN20" s="198" t="s">
        <v>1470</v>
      </c>
      <c r="DO20" s="198" t="s">
        <v>1483</v>
      </c>
      <c r="DP20" s="198" t="s">
        <v>1483</v>
      </c>
      <c r="DQ20" s="198" t="s">
        <v>1483</v>
      </c>
      <c r="DR20" s="198" t="s">
        <v>1463</v>
      </c>
      <c r="DS20" s="198" t="s">
        <v>1469</v>
      </c>
      <c r="DT20" s="198" t="s">
        <v>1483</v>
      </c>
      <c r="DU20" s="198" t="s">
        <v>1469</v>
      </c>
      <c r="DV20" s="198" t="s">
        <v>1471</v>
      </c>
      <c r="DW20" s="198" t="s">
        <v>1471</v>
      </c>
      <c r="DX20" s="198"/>
      <c r="DY20" s="198"/>
      <c r="DZ20" s="198"/>
      <c r="EA20" s="198" t="s">
        <v>1463</v>
      </c>
      <c r="EB20" s="198" t="s">
        <v>1465</v>
      </c>
      <c r="EC20" s="198" t="s">
        <v>1465</v>
      </c>
      <c r="ED20" s="198"/>
      <c r="EE20" s="198" t="s">
        <v>1487</v>
      </c>
      <c r="EF20" s="198" t="s">
        <v>1472</v>
      </c>
      <c r="EG20" s="198" t="s">
        <v>1487</v>
      </c>
      <c r="EH20" s="198" t="s">
        <v>1487</v>
      </c>
      <c r="EI20" s="198" t="s">
        <v>1487</v>
      </c>
      <c r="EJ20" s="198"/>
      <c r="EK20" s="198" t="s">
        <v>1471</v>
      </c>
      <c r="EL20" s="198" t="s">
        <v>1469</v>
      </c>
      <c r="EM20" s="198" t="s">
        <v>1464</v>
      </c>
      <c r="EN20" s="198" t="s">
        <v>1471</v>
      </c>
      <c r="EO20" s="198" t="s">
        <v>1457</v>
      </c>
      <c r="EP20" s="198" t="s">
        <v>1481</v>
      </c>
      <c r="EQ20" s="198" t="s">
        <v>1478</v>
      </c>
      <c r="ER20" s="198" t="s">
        <v>1471</v>
      </c>
      <c r="ES20" s="198"/>
      <c r="ET20" s="198" t="s">
        <v>1471</v>
      </c>
      <c r="EU20" s="198" t="s">
        <v>1471</v>
      </c>
      <c r="EV20" s="198" t="s">
        <v>1471</v>
      </c>
      <c r="EW20" s="198" t="s">
        <v>1471</v>
      </c>
      <c r="EX20" s="198" t="s">
        <v>1471</v>
      </c>
      <c r="EY20" s="198" t="s">
        <v>1471</v>
      </c>
      <c r="EZ20" s="198" t="s">
        <v>1474</v>
      </c>
      <c r="FA20" s="198" t="s">
        <v>1471</v>
      </c>
      <c r="FB20" s="198" t="s">
        <v>1471</v>
      </c>
      <c r="FC20" s="198" t="s">
        <v>1471</v>
      </c>
      <c r="FD20" s="198" t="s">
        <v>1481</v>
      </c>
      <c r="FE20" s="198" t="s">
        <v>1471</v>
      </c>
      <c r="FF20" s="198" t="s">
        <v>1471</v>
      </c>
      <c r="FG20" s="198" t="s">
        <v>1471</v>
      </c>
      <c r="FH20" s="198"/>
      <c r="FI20" s="198"/>
      <c r="FJ20" s="198" t="s">
        <v>1464</v>
      </c>
      <c r="FK20" s="198"/>
      <c r="FL20" s="198" t="s">
        <v>1457</v>
      </c>
      <c r="FM20" s="198" t="s">
        <v>1457</v>
      </c>
      <c r="FN20" s="198" t="s">
        <v>1471</v>
      </c>
      <c r="FO20" s="198" t="s">
        <v>1471</v>
      </c>
      <c r="FP20" s="198" t="s">
        <v>1471</v>
      </c>
      <c r="FQ20" s="198" t="s">
        <v>1471</v>
      </c>
      <c r="FR20" s="198" t="s">
        <v>1471</v>
      </c>
      <c r="FS20" s="198" t="s">
        <v>1457</v>
      </c>
      <c r="FT20" s="198" t="s">
        <v>1532</v>
      </c>
      <c r="FU20" s="198" t="s">
        <v>1464</v>
      </c>
      <c r="FV20" s="198"/>
      <c r="FW20" s="198"/>
      <c r="FX20" s="198" t="s">
        <v>1481</v>
      </c>
      <c r="FY20" s="198" t="s">
        <v>1464</v>
      </c>
      <c r="FZ20" s="198" t="s">
        <v>1471</v>
      </c>
      <c r="GA20" s="198" t="s">
        <v>1457</v>
      </c>
      <c r="GB20" s="198"/>
      <c r="GC20" s="198" t="s">
        <v>1471</v>
      </c>
      <c r="GD20" s="198" t="s">
        <v>1471</v>
      </c>
      <c r="GE20" s="198" t="s">
        <v>1481</v>
      </c>
      <c r="GF20" s="198" t="s">
        <v>1471</v>
      </c>
      <c r="GG20" s="198" t="s">
        <v>1471</v>
      </c>
      <c r="GH20" s="198" t="s">
        <v>1471</v>
      </c>
      <c r="GI20" s="198" t="s">
        <v>1531</v>
      </c>
      <c r="GJ20" s="198" t="s">
        <v>1474</v>
      </c>
      <c r="GK20" s="198"/>
      <c r="GL20" s="198" t="s">
        <v>1471</v>
      </c>
      <c r="GM20" s="198" t="s">
        <v>1464</v>
      </c>
      <c r="GN20" s="198" t="s">
        <v>1471</v>
      </c>
      <c r="GO20" s="198" t="s">
        <v>1471</v>
      </c>
      <c r="GP20" s="198" t="s">
        <v>1471</v>
      </c>
      <c r="GQ20" s="198" t="s">
        <v>1470</v>
      </c>
      <c r="GR20" s="198" t="s">
        <v>1470</v>
      </c>
      <c r="GS20" s="198" t="s">
        <v>1483</v>
      </c>
      <c r="GT20" s="198" t="s">
        <v>1466</v>
      </c>
      <c r="GU20" s="198" t="s">
        <v>1462</v>
      </c>
      <c r="GV20" s="198" t="s">
        <v>1463</v>
      </c>
      <c r="GW20" s="198" t="s">
        <v>1469</v>
      </c>
      <c r="GX20" s="198"/>
      <c r="GY20" s="198" t="s">
        <v>1464</v>
      </c>
      <c r="GZ20" s="198" t="s">
        <v>1471</v>
      </c>
      <c r="HA20" s="198" t="s">
        <v>1471</v>
      </c>
      <c r="HB20" s="198" t="s">
        <v>1481</v>
      </c>
      <c r="HC20" s="198" t="s">
        <v>1471</v>
      </c>
      <c r="HD20" s="198" t="s">
        <v>1471</v>
      </c>
    </row>
    <row r="21" ht="15.75" customHeight="1">
      <c r="A21" s="234">
        <v>21.0</v>
      </c>
      <c r="B21" s="236" t="s">
        <v>1500</v>
      </c>
      <c r="C21" s="198" t="str">
        <f t="shared" ref="C21:DC21" si="20">if(countif(DD:DD,$B21),INDIRECT(concat("B",$A21)),"")</f>
        <v/>
      </c>
      <c r="D21" s="198" t="str">
        <f t="shared" si="20"/>
        <v/>
      </c>
      <c r="E21" s="198" t="str">
        <f t="shared" si="20"/>
        <v/>
      </c>
      <c r="F21" s="198" t="str">
        <f t="shared" si="20"/>
        <v/>
      </c>
      <c r="G21" s="198" t="str">
        <f t="shared" si="20"/>
        <v>1.14.14.89</v>
      </c>
      <c r="H21" s="198" t="str">
        <f t="shared" si="20"/>
        <v>1.14.14.89</v>
      </c>
      <c r="I21" s="198" t="str">
        <f t="shared" si="20"/>
        <v/>
      </c>
      <c r="J21" s="198" t="str">
        <f t="shared" si="20"/>
        <v/>
      </c>
      <c r="K21" s="198" t="str">
        <f t="shared" si="20"/>
        <v/>
      </c>
      <c r="L21" s="198" t="str">
        <f t="shared" si="20"/>
        <v/>
      </c>
      <c r="M21" s="198" t="str">
        <f t="shared" si="20"/>
        <v/>
      </c>
      <c r="N21" s="198" t="str">
        <f t="shared" si="20"/>
        <v/>
      </c>
      <c r="O21" s="198" t="str">
        <f t="shared" si="20"/>
        <v/>
      </c>
      <c r="P21" s="198" t="str">
        <f t="shared" si="20"/>
        <v/>
      </c>
      <c r="Q21" s="198" t="str">
        <f t="shared" si="20"/>
        <v>1.14.14.89</v>
      </c>
      <c r="R21" s="198" t="str">
        <f t="shared" si="20"/>
        <v/>
      </c>
      <c r="S21" s="198" t="str">
        <f t="shared" si="20"/>
        <v/>
      </c>
      <c r="T21" s="198" t="str">
        <f t="shared" si="20"/>
        <v>1.14.14.89</v>
      </c>
      <c r="U21" s="198" t="str">
        <f t="shared" si="20"/>
        <v>1.14.14.89</v>
      </c>
      <c r="V21" s="198" t="str">
        <f t="shared" si="20"/>
        <v/>
      </c>
      <c r="W21" s="198" t="str">
        <f t="shared" si="20"/>
        <v/>
      </c>
      <c r="X21" s="198" t="str">
        <f t="shared" si="20"/>
        <v/>
      </c>
      <c r="Y21" s="198" t="str">
        <f t="shared" si="20"/>
        <v/>
      </c>
      <c r="Z21" s="198" t="str">
        <f t="shared" si="20"/>
        <v>1.14.14.89</v>
      </c>
      <c r="AA21" s="198" t="str">
        <f t="shared" si="20"/>
        <v>1.14.14.89</v>
      </c>
      <c r="AB21" s="198" t="str">
        <f t="shared" si="20"/>
        <v>1.14.14.89</v>
      </c>
      <c r="AC21" s="198" t="str">
        <f t="shared" si="20"/>
        <v/>
      </c>
      <c r="AD21" s="198" t="str">
        <f t="shared" si="20"/>
        <v>1.14.14.89</v>
      </c>
      <c r="AE21" s="198" t="str">
        <f t="shared" si="20"/>
        <v>1.14.14.89</v>
      </c>
      <c r="AF21" s="198" t="str">
        <f t="shared" si="20"/>
        <v>1.14.14.89</v>
      </c>
      <c r="AG21" s="198" t="str">
        <f t="shared" si="20"/>
        <v>1.14.14.89</v>
      </c>
      <c r="AH21" s="198" t="str">
        <f t="shared" si="20"/>
        <v>1.14.14.89</v>
      </c>
      <c r="AI21" s="198" t="str">
        <f t="shared" si="20"/>
        <v/>
      </c>
      <c r="AJ21" s="198" t="str">
        <f t="shared" si="20"/>
        <v/>
      </c>
      <c r="AK21" s="198" t="str">
        <f t="shared" si="20"/>
        <v>1.14.14.89</v>
      </c>
      <c r="AL21" s="198" t="str">
        <f t="shared" si="20"/>
        <v/>
      </c>
      <c r="AM21" s="198" t="str">
        <f t="shared" si="20"/>
        <v>1.14.14.89</v>
      </c>
      <c r="AN21" s="198" t="str">
        <f t="shared" si="20"/>
        <v/>
      </c>
      <c r="AO21" s="198" t="str">
        <f t="shared" si="20"/>
        <v>1.14.14.89</v>
      </c>
      <c r="AP21" s="198" t="str">
        <f t="shared" si="20"/>
        <v/>
      </c>
      <c r="AQ21" s="198" t="str">
        <f t="shared" si="20"/>
        <v>1.14.14.89</v>
      </c>
      <c r="AR21" s="198" t="str">
        <f t="shared" si="20"/>
        <v/>
      </c>
      <c r="AS21" s="198" t="str">
        <f t="shared" si="20"/>
        <v>1.14.14.89</v>
      </c>
      <c r="AT21" s="198" t="str">
        <f t="shared" si="20"/>
        <v>1.14.14.89</v>
      </c>
      <c r="AU21" s="198" t="str">
        <f t="shared" si="20"/>
        <v>1.14.14.89</v>
      </c>
      <c r="AV21" s="198" t="str">
        <f t="shared" si="20"/>
        <v>1.14.14.89</v>
      </c>
      <c r="AW21" s="198" t="str">
        <f t="shared" si="20"/>
        <v/>
      </c>
      <c r="AX21" s="198" t="str">
        <f t="shared" si="20"/>
        <v>1.14.14.89</v>
      </c>
      <c r="AY21" s="198" t="str">
        <f t="shared" si="20"/>
        <v>1.14.14.89</v>
      </c>
      <c r="AZ21" s="198" t="str">
        <f t="shared" si="20"/>
        <v>1.14.14.89</v>
      </c>
      <c r="BA21" s="198" t="str">
        <f t="shared" si="20"/>
        <v>1.14.14.89</v>
      </c>
      <c r="BB21" s="198" t="str">
        <f t="shared" si="20"/>
        <v/>
      </c>
      <c r="BC21" s="198" t="str">
        <f t="shared" si="20"/>
        <v>1.14.14.89</v>
      </c>
      <c r="BD21" s="198" t="str">
        <f t="shared" si="20"/>
        <v>1.14.14.89</v>
      </c>
      <c r="BE21" s="198" t="str">
        <f t="shared" si="20"/>
        <v>1.14.14.89</v>
      </c>
      <c r="BF21" s="198" t="str">
        <f t="shared" si="20"/>
        <v>1.14.14.89</v>
      </c>
      <c r="BG21" s="198" t="str">
        <f t="shared" si="20"/>
        <v/>
      </c>
      <c r="BH21" s="198" t="str">
        <f t="shared" si="20"/>
        <v/>
      </c>
      <c r="BI21" s="198" t="str">
        <f t="shared" si="20"/>
        <v>1.14.14.89</v>
      </c>
      <c r="BJ21" s="198" t="str">
        <f t="shared" si="20"/>
        <v/>
      </c>
      <c r="BK21" s="198" t="str">
        <f t="shared" si="20"/>
        <v/>
      </c>
      <c r="BL21" s="198" t="str">
        <f t="shared" si="20"/>
        <v/>
      </c>
      <c r="BM21" s="198" t="str">
        <f t="shared" si="20"/>
        <v>1.14.14.89</v>
      </c>
      <c r="BN21" s="198" t="str">
        <f t="shared" si="20"/>
        <v>1.14.14.89</v>
      </c>
      <c r="BO21" s="198" t="str">
        <f t="shared" si="20"/>
        <v>1.14.14.89</v>
      </c>
      <c r="BP21" s="198" t="str">
        <f t="shared" si="20"/>
        <v>1.14.14.89</v>
      </c>
      <c r="BQ21" s="198" t="str">
        <f t="shared" si="20"/>
        <v>1.14.14.89</v>
      </c>
      <c r="BR21" s="198" t="str">
        <f t="shared" si="20"/>
        <v/>
      </c>
      <c r="BS21" s="198" t="str">
        <f t="shared" si="20"/>
        <v/>
      </c>
      <c r="BT21" s="198" t="str">
        <f t="shared" si="20"/>
        <v/>
      </c>
      <c r="BU21" s="198" t="str">
        <f t="shared" si="20"/>
        <v/>
      </c>
      <c r="BV21" s="198" t="str">
        <f t="shared" si="20"/>
        <v/>
      </c>
      <c r="BW21" s="198" t="str">
        <f t="shared" si="20"/>
        <v/>
      </c>
      <c r="BX21" s="198" t="str">
        <f t="shared" si="20"/>
        <v/>
      </c>
      <c r="BY21" s="198" t="str">
        <f t="shared" si="20"/>
        <v>1.14.14.89</v>
      </c>
      <c r="BZ21" s="198" t="str">
        <f t="shared" si="20"/>
        <v/>
      </c>
      <c r="CA21" s="198" t="str">
        <f t="shared" si="20"/>
        <v/>
      </c>
      <c r="CB21" s="198" t="str">
        <f t="shared" si="20"/>
        <v>1.14.14.89</v>
      </c>
      <c r="CC21" s="198" t="str">
        <f t="shared" si="20"/>
        <v/>
      </c>
      <c r="CD21" s="198" t="str">
        <f t="shared" si="20"/>
        <v>1.14.14.89</v>
      </c>
      <c r="CE21" s="198" t="str">
        <f t="shared" si="20"/>
        <v>1.14.14.89</v>
      </c>
      <c r="CF21" s="198" t="str">
        <f t="shared" si="20"/>
        <v>1.14.14.89</v>
      </c>
      <c r="CG21" s="198" t="str">
        <f t="shared" si="20"/>
        <v>1.14.14.89</v>
      </c>
      <c r="CH21" s="198" t="str">
        <f t="shared" si="20"/>
        <v>1.14.14.89</v>
      </c>
      <c r="CI21" s="198" t="str">
        <f t="shared" si="20"/>
        <v>1.14.14.89</v>
      </c>
      <c r="CJ21" s="198" t="str">
        <f t="shared" si="20"/>
        <v/>
      </c>
      <c r="CK21" s="198" t="str">
        <f t="shared" si="20"/>
        <v>1.14.14.89</v>
      </c>
      <c r="CL21" s="198" t="str">
        <f t="shared" si="20"/>
        <v/>
      </c>
      <c r="CM21" s="198" t="str">
        <f t="shared" si="20"/>
        <v>1.14.14.89</v>
      </c>
      <c r="CN21" s="198" t="str">
        <f t="shared" si="20"/>
        <v>1.14.14.89</v>
      </c>
      <c r="CO21" s="198" t="str">
        <f t="shared" si="20"/>
        <v>1.14.14.89</v>
      </c>
      <c r="CP21" s="198" t="str">
        <f t="shared" si="20"/>
        <v/>
      </c>
      <c r="CQ21" s="198" t="str">
        <f t="shared" si="20"/>
        <v/>
      </c>
      <c r="CR21" s="198" t="str">
        <f t="shared" si="20"/>
        <v/>
      </c>
      <c r="CS21" s="198" t="str">
        <f t="shared" si="20"/>
        <v>1.14.14.89</v>
      </c>
      <c r="CT21" s="198" t="str">
        <f t="shared" si="20"/>
        <v>1.14.14.89</v>
      </c>
      <c r="CU21" s="198" t="str">
        <f t="shared" si="20"/>
        <v>1.14.14.89</v>
      </c>
      <c r="CV21" s="198" t="str">
        <f t="shared" si="20"/>
        <v>1.14.14.89</v>
      </c>
      <c r="CW21" s="198" t="str">
        <f t="shared" si="20"/>
        <v/>
      </c>
      <c r="CX21" s="198" t="str">
        <f t="shared" si="20"/>
        <v/>
      </c>
      <c r="CY21" s="198" t="str">
        <f t="shared" si="20"/>
        <v>1.14.14.89</v>
      </c>
      <c r="CZ21" s="198" t="str">
        <f t="shared" si="20"/>
        <v>1.14.14.89</v>
      </c>
      <c r="DA21" s="198" t="str">
        <f t="shared" si="20"/>
        <v>1.14.14.89</v>
      </c>
      <c r="DB21" s="198" t="str">
        <f t="shared" si="20"/>
        <v>1.14.14.89</v>
      </c>
      <c r="DC21" s="198" t="str">
        <f t="shared" si="20"/>
        <v>1.14.14.89</v>
      </c>
      <c r="DD21" s="198" t="s">
        <v>1470</v>
      </c>
      <c r="DE21" s="198" t="s">
        <v>1471</v>
      </c>
      <c r="DF21" s="198" t="s">
        <v>1470</v>
      </c>
      <c r="DG21" s="198" t="s">
        <v>1483</v>
      </c>
      <c r="DH21" s="198" t="s">
        <v>1464</v>
      </c>
      <c r="DI21" s="198" t="s">
        <v>1466</v>
      </c>
      <c r="DJ21" s="198" t="s">
        <v>1471</v>
      </c>
      <c r="DK21" s="198"/>
      <c r="DL21" s="198"/>
      <c r="DM21" s="198" t="s">
        <v>1470</v>
      </c>
      <c r="DN21" s="198" t="s">
        <v>1471</v>
      </c>
      <c r="DO21" s="198" t="s">
        <v>1470</v>
      </c>
      <c r="DP21" s="198" t="s">
        <v>1470</v>
      </c>
      <c r="DQ21" s="198" t="s">
        <v>1470</v>
      </c>
      <c r="DR21" s="198" t="s">
        <v>1464</v>
      </c>
      <c r="DS21" s="198" t="s">
        <v>1483</v>
      </c>
      <c r="DT21" s="198" t="s">
        <v>1470</v>
      </c>
      <c r="DU21" s="198" t="s">
        <v>1483</v>
      </c>
      <c r="DV21" s="198" t="s">
        <v>1481</v>
      </c>
      <c r="DW21" s="198" t="s">
        <v>1481</v>
      </c>
      <c r="DX21" s="198"/>
      <c r="DY21" s="198"/>
      <c r="DZ21" s="198"/>
      <c r="EA21" s="198" t="s">
        <v>1464</v>
      </c>
      <c r="EB21" s="198" t="s">
        <v>1466</v>
      </c>
      <c r="EC21" s="198" t="s">
        <v>1466</v>
      </c>
      <c r="ED21" s="198"/>
      <c r="EE21" s="198" t="s">
        <v>1474</v>
      </c>
      <c r="EF21" s="198" t="s">
        <v>1487</v>
      </c>
      <c r="EG21" s="198" t="s">
        <v>1474</v>
      </c>
      <c r="EH21" s="198" t="s">
        <v>1474</v>
      </c>
      <c r="EI21" s="198" t="s">
        <v>1474</v>
      </c>
      <c r="EJ21" s="198"/>
      <c r="EK21" s="198" t="s">
        <v>1481</v>
      </c>
      <c r="EL21" s="198" t="s">
        <v>1483</v>
      </c>
      <c r="EM21" s="198" t="s">
        <v>1459</v>
      </c>
      <c r="EN21" s="198" t="s">
        <v>1481</v>
      </c>
      <c r="EO21" s="198" t="s">
        <v>1464</v>
      </c>
      <c r="EP21" s="198" t="s">
        <v>1457</v>
      </c>
      <c r="EQ21" s="198" t="s">
        <v>1485</v>
      </c>
      <c r="ER21" s="198" t="s">
        <v>1481</v>
      </c>
      <c r="ES21" s="198"/>
      <c r="ET21" s="198" t="s">
        <v>1481</v>
      </c>
      <c r="EU21" s="198" t="s">
        <v>1481</v>
      </c>
      <c r="EV21" s="198" t="s">
        <v>1481</v>
      </c>
      <c r="EW21" s="198" t="s">
        <v>1481</v>
      </c>
      <c r="EX21" s="198" t="s">
        <v>1481</v>
      </c>
      <c r="EY21" s="198" t="s">
        <v>1481</v>
      </c>
      <c r="EZ21" s="198" t="s">
        <v>1471</v>
      </c>
      <c r="FA21" s="198" t="s">
        <v>1481</v>
      </c>
      <c r="FB21" s="198" t="s">
        <v>1481</v>
      </c>
      <c r="FC21" s="198" t="s">
        <v>1481</v>
      </c>
      <c r="FD21" s="198" t="s">
        <v>1457</v>
      </c>
      <c r="FE21" s="198" t="s">
        <v>1481</v>
      </c>
      <c r="FF21" s="198" t="s">
        <v>1481</v>
      </c>
      <c r="FG21" s="198" t="s">
        <v>1481</v>
      </c>
      <c r="FH21" s="198"/>
      <c r="FI21" s="198"/>
      <c r="FJ21" s="198" t="s">
        <v>1501</v>
      </c>
      <c r="FK21" s="198"/>
      <c r="FL21" s="198" t="s">
        <v>1464</v>
      </c>
      <c r="FM21" s="198" t="s">
        <v>1464</v>
      </c>
      <c r="FN21" s="198" t="s">
        <v>1481</v>
      </c>
      <c r="FO21" s="198" t="s">
        <v>1481</v>
      </c>
      <c r="FP21" s="198" t="s">
        <v>1481</v>
      </c>
      <c r="FQ21" s="198" t="s">
        <v>1481</v>
      </c>
      <c r="FR21" s="198" t="s">
        <v>1481</v>
      </c>
      <c r="FS21" s="198" t="s">
        <v>1459</v>
      </c>
      <c r="FT21" s="198" t="s">
        <v>1535</v>
      </c>
      <c r="FU21" s="198" t="s">
        <v>1459</v>
      </c>
      <c r="FV21" s="198"/>
      <c r="FW21" s="198"/>
      <c r="FX21" s="198" t="s">
        <v>1457</v>
      </c>
      <c r="FY21" s="198" t="s">
        <v>1459</v>
      </c>
      <c r="FZ21" s="198" t="s">
        <v>1481</v>
      </c>
      <c r="GA21" s="198" t="s">
        <v>1464</v>
      </c>
      <c r="GB21" s="198"/>
      <c r="GC21" s="198" t="s">
        <v>1481</v>
      </c>
      <c r="GD21" s="198" t="s">
        <v>1481</v>
      </c>
      <c r="GE21" s="198" t="s">
        <v>1457</v>
      </c>
      <c r="GF21" s="198" t="s">
        <v>1481</v>
      </c>
      <c r="GG21" s="198" t="s">
        <v>1481</v>
      </c>
      <c r="GH21" s="198" t="s">
        <v>1481</v>
      </c>
      <c r="GI21" s="198" t="s">
        <v>1484</v>
      </c>
      <c r="GJ21" s="198" t="s">
        <v>1471</v>
      </c>
      <c r="GK21" s="198"/>
      <c r="GL21" s="198" t="s">
        <v>1481</v>
      </c>
      <c r="GM21" s="198" t="s">
        <v>1459</v>
      </c>
      <c r="GN21" s="198" t="s">
        <v>1481</v>
      </c>
      <c r="GO21" s="198" t="s">
        <v>1481</v>
      </c>
      <c r="GP21" s="198" t="s">
        <v>1481</v>
      </c>
      <c r="GQ21" s="198" t="s">
        <v>1471</v>
      </c>
      <c r="GR21" s="198" t="s">
        <v>1471</v>
      </c>
      <c r="GS21" s="198" t="s">
        <v>1470</v>
      </c>
      <c r="GT21" s="198" t="s">
        <v>1467</v>
      </c>
      <c r="GU21" s="198" t="s">
        <v>1463</v>
      </c>
      <c r="GV21" s="198" t="s">
        <v>1464</v>
      </c>
      <c r="GW21" s="198" t="s">
        <v>1523</v>
      </c>
      <c r="GX21" s="198"/>
      <c r="GY21" s="198" t="s">
        <v>1459</v>
      </c>
      <c r="GZ21" s="198" t="s">
        <v>1481</v>
      </c>
      <c r="HA21" s="198" t="s">
        <v>1481</v>
      </c>
      <c r="HB21" s="198" t="s">
        <v>1457</v>
      </c>
      <c r="HC21" s="198" t="s">
        <v>1481</v>
      </c>
      <c r="HD21" s="198" t="s">
        <v>1481</v>
      </c>
    </row>
    <row r="22" ht="15.75" customHeight="1">
      <c r="A22" s="234">
        <v>22.0</v>
      </c>
      <c r="B22" s="236" t="s">
        <v>1501</v>
      </c>
      <c r="C22" s="198" t="str">
        <f t="shared" ref="C22:DC22" si="21">if(countif(DD:DD,$B22),INDIRECT(concat("B",$A22)),"")</f>
        <v/>
      </c>
      <c r="D22" s="198" t="str">
        <f t="shared" si="21"/>
        <v/>
      </c>
      <c r="E22" s="198" t="str">
        <f t="shared" si="21"/>
        <v/>
      </c>
      <c r="F22" s="198" t="str">
        <f t="shared" si="21"/>
        <v/>
      </c>
      <c r="G22" s="198" t="str">
        <f t="shared" si="21"/>
        <v>1.14.14.90</v>
      </c>
      <c r="H22" s="198" t="str">
        <f t="shared" si="21"/>
        <v>1.14.14.90</v>
      </c>
      <c r="I22" s="198" t="str">
        <f t="shared" si="21"/>
        <v/>
      </c>
      <c r="J22" s="198" t="str">
        <f t="shared" si="21"/>
        <v/>
      </c>
      <c r="K22" s="198" t="str">
        <f t="shared" si="21"/>
        <v/>
      </c>
      <c r="L22" s="198" t="str">
        <f t="shared" si="21"/>
        <v/>
      </c>
      <c r="M22" s="198" t="str">
        <f t="shared" si="21"/>
        <v/>
      </c>
      <c r="N22" s="198" t="str">
        <f t="shared" si="21"/>
        <v/>
      </c>
      <c r="O22" s="198" t="str">
        <f t="shared" si="21"/>
        <v/>
      </c>
      <c r="P22" s="198" t="str">
        <f t="shared" si="21"/>
        <v/>
      </c>
      <c r="Q22" s="198" t="str">
        <f t="shared" si="21"/>
        <v>1.14.14.90</v>
      </c>
      <c r="R22" s="198" t="str">
        <f t="shared" si="21"/>
        <v/>
      </c>
      <c r="S22" s="198" t="str">
        <f t="shared" si="21"/>
        <v/>
      </c>
      <c r="T22" s="198" t="str">
        <f t="shared" si="21"/>
        <v>1.14.14.90</v>
      </c>
      <c r="U22" s="198" t="str">
        <f t="shared" si="21"/>
        <v>1.14.14.90</v>
      </c>
      <c r="V22" s="198" t="str">
        <f t="shared" si="21"/>
        <v/>
      </c>
      <c r="W22" s="198" t="str">
        <f t="shared" si="21"/>
        <v/>
      </c>
      <c r="X22" s="198" t="str">
        <f t="shared" si="21"/>
        <v/>
      </c>
      <c r="Y22" s="198" t="str">
        <f t="shared" si="21"/>
        <v/>
      </c>
      <c r="Z22" s="198" t="str">
        <f t="shared" si="21"/>
        <v>1.14.14.90</v>
      </c>
      <c r="AA22" s="198" t="str">
        <f t="shared" si="21"/>
        <v>1.14.14.90</v>
      </c>
      <c r="AB22" s="198" t="str">
        <f t="shared" si="21"/>
        <v>1.14.14.90</v>
      </c>
      <c r="AC22" s="198" t="str">
        <f t="shared" si="21"/>
        <v/>
      </c>
      <c r="AD22" s="198" t="str">
        <f t="shared" si="21"/>
        <v>1.14.14.90</v>
      </c>
      <c r="AE22" s="198" t="str">
        <f t="shared" si="21"/>
        <v>1.14.14.90</v>
      </c>
      <c r="AF22" s="198" t="str">
        <f t="shared" si="21"/>
        <v>1.14.14.90</v>
      </c>
      <c r="AG22" s="198" t="str">
        <f t="shared" si="21"/>
        <v>1.14.14.90</v>
      </c>
      <c r="AH22" s="198" t="str">
        <f t="shared" si="21"/>
        <v>1.14.14.90</v>
      </c>
      <c r="AI22" s="198" t="str">
        <f t="shared" si="21"/>
        <v/>
      </c>
      <c r="AJ22" s="198" t="str">
        <f t="shared" si="21"/>
        <v/>
      </c>
      <c r="AK22" s="198" t="str">
        <f t="shared" si="21"/>
        <v>1.14.14.90</v>
      </c>
      <c r="AL22" s="198" t="str">
        <f t="shared" si="21"/>
        <v/>
      </c>
      <c r="AM22" s="198" t="str">
        <f t="shared" si="21"/>
        <v>1.14.14.90</v>
      </c>
      <c r="AN22" s="198" t="str">
        <f t="shared" si="21"/>
        <v/>
      </c>
      <c r="AO22" s="198" t="str">
        <f t="shared" si="21"/>
        <v>1.14.14.90</v>
      </c>
      <c r="AP22" s="198" t="str">
        <f t="shared" si="21"/>
        <v/>
      </c>
      <c r="AQ22" s="198" t="str">
        <f t="shared" si="21"/>
        <v>1.14.14.90</v>
      </c>
      <c r="AR22" s="198" t="str">
        <f t="shared" si="21"/>
        <v/>
      </c>
      <c r="AS22" s="198" t="str">
        <f t="shared" si="21"/>
        <v>1.14.14.90</v>
      </c>
      <c r="AT22" s="198" t="str">
        <f t="shared" si="21"/>
        <v>1.14.14.90</v>
      </c>
      <c r="AU22" s="198" t="str">
        <f t="shared" si="21"/>
        <v>1.14.14.90</v>
      </c>
      <c r="AV22" s="198" t="str">
        <f t="shared" si="21"/>
        <v>1.14.14.90</v>
      </c>
      <c r="AW22" s="198" t="str">
        <f t="shared" si="21"/>
        <v/>
      </c>
      <c r="AX22" s="198" t="str">
        <f t="shared" si="21"/>
        <v>1.14.14.90</v>
      </c>
      <c r="AY22" s="198" t="str">
        <f t="shared" si="21"/>
        <v>1.14.14.90</v>
      </c>
      <c r="AZ22" s="198" t="str">
        <f t="shared" si="21"/>
        <v>1.14.14.90</v>
      </c>
      <c r="BA22" s="198" t="str">
        <f t="shared" si="21"/>
        <v>1.14.14.90</v>
      </c>
      <c r="BB22" s="198" t="str">
        <f t="shared" si="21"/>
        <v/>
      </c>
      <c r="BC22" s="198" t="str">
        <f t="shared" si="21"/>
        <v>1.14.14.90</v>
      </c>
      <c r="BD22" s="198" t="str">
        <f t="shared" si="21"/>
        <v>1.14.14.90</v>
      </c>
      <c r="BE22" s="198" t="str">
        <f t="shared" si="21"/>
        <v>1.14.14.90</v>
      </c>
      <c r="BF22" s="198" t="str">
        <f t="shared" si="21"/>
        <v>1.14.14.90</v>
      </c>
      <c r="BG22" s="198" t="str">
        <f t="shared" si="21"/>
        <v/>
      </c>
      <c r="BH22" s="198" t="str">
        <f t="shared" si="21"/>
        <v/>
      </c>
      <c r="BI22" s="198" t="str">
        <f t="shared" si="21"/>
        <v>1.14.14.90</v>
      </c>
      <c r="BJ22" s="198" t="str">
        <f t="shared" si="21"/>
        <v/>
      </c>
      <c r="BK22" s="198" t="str">
        <f t="shared" si="21"/>
        <v/>
      </c>
      <c r="BL22" s="198" t="str">
        <f t="shared" si="21"/>
        <v/>
      </c>
      <c r="BM22" s="198" t="str">
        <f t="shared" si="21"/>
        <v>1.14.14.90</v>
      </c>
      <c r="BN22" s="198" t="str">
        <f t="shared" si="21"/>
        <v>1.14.14.90</v>
      </c>
      <c r="BO22" s="198" t="str">
        <f t="shared" si="21"/>
        <v>1.14.14.90</v>
      </c>
      <c r="BP22" s="198" t="str">
        <f t="shared" si="21"/>
        <v>1.14.14.90</v>
      </c>
      <c r="BQ22" s="198" t="str">
        <f t="shared" si="21"/>
        <v>1.14.14.90</v>
      </c>
      <c r="BR22" s="198" t="str">
        <f t="shared" si="21"/>
        <v/>
      </c>
      <c r="BS22" s="198" t="str">
        <f t="shared" si="21"/>
        <v/>
      </c>
      <c r="BT22" s="198" t="str">
        <f t="shared" si="21"/>
        <v/>
      </c>
      <c r="BU22" s="198" t="str">
        <f t="shared" si="21"/>
        <v/>
      </c>
      <c r="BV22" s="198" t="str">
        <f t="shared" si="21"/>
        <v/>
      </c>
      <c r="BW22" s="198" t="str">
        <f t="shared" si="21"/>
        <v/>
      </c>
      <c r="BX22" s="198" t="str">
        <f t="shared" si="21"/>
        <v/>
      </c>
      <c r="BY22" s="198" t="str">
        <f t="shared" si="21"/>
        <v>1.14.14.90</v>
      </c>
      <c r="BZ22" s="198" t="str">
        <f t="shared" si="21"/>
        <v/>
      </c>
      <c r="CA22" s="198" t="str">
        <f t="shared" si="21"/>
        <v/>
      </c>
      <c r="CB22" s="198" t="str">
        <f t="shared" si="21"/>
        <v>1.14.14.90</v>
      </c>
      <c r="CC22" s="198" t="str">
        <f t="shared" si="21"/>
        <v/>
      </c>
      <c r="CD22" s="198" t="str">
        <f t="shared" si="21"/>
        <v>1.14.14.90</v>
      </c>
      <c r="CE22" s="198" t="str">
        <f t="shared" si="21"/>
        <v>1.14.14.90</v>
      </c>
      <c r="CF22" s="198" t="str">
        <f t="shared" si="21"/>
        <v>1.14.14.90</v>
      </c>
      <c r="CG22" s="198" t="str">
        <f t="shared" si="21"/>
        <v>1.14.14.90</v>
      </c>
      <c r="CH22" s="198" t="str">
        <f t="shared" si="21"/>
        <v>1.14.14.90</v>
      </c>
      <c r="CI22" s="198" t="str">
        <f t="shared" si="21"/>
        <v>1.14.14.90</v>
      </c>
      <c r="CJ22" s="198" t="str">
        <f t="shared" si="21"/>
        <v/>
      </c>
      <c r="CK22" s="198" t="str">
        <f t="shared" si="21"/>
        <v>1.14.14.90</v>
      </c>
      <c r="CL22" s="198" t="str">
        <f t="shared" si="21"/>
        <v/>
      </c>
      <c r="CM22" s="198" t="str">
        <f t="shared" si="21"/>
        <v>1.14.14.90</v>
      </c>
      <c r="CN22" s="198" t="str">
        <f t="shared" si="21"/>
        <v>1.14.14.90</v>
      </c>
      <c r="CO22" s="198" t="str">
        <f t="shared" si="21"/>
        <v>1.14.14.90</v>
      </c>
      <c r="CP22" s="198" t="str">
        <f t="shared" si="21"/>
        <v/>
      </c>
      <c r="CQ22" s="198" t="str">
        <f t="shared" si="21"/>
        <v/>
      </c>
      <c r="CR22" s="198" t="str">
        <f t="shared" si="21"/>
        <v/>
      </c>
      <c r="CS22" s="198" t="str">
        <f t="shared" si="21"/>
        <v>1.14.14.90</v>
      </c>
      <c r="CT22" s="198" t="str">
        <f t="shared" si="21"/>
        <v>1.14.14.90</v>
      </c>
      <c r="CU22" s="198" t="str">
        <f t="shared" si="21"/>
        <v>1.14.14.90</v>
      </c>
      <c r="CV22" s="198" t="str">
        <f t="shared" si="21"/>
        <v>1.14.14.90</v>
      </c>
      <c r="CW22" s="198" t="str">
        <f t="shared" si="21"/>
        <v/>
      </c>
      <c r="CX22" s="198" t="str">
        <f t="shared" si="21"/>
        <v/>
      </c>
      <c r="CY22" s="198" t="str">
        <f t="shared" si="21"/>
        <v>1.14.14.90</v>
      </c>
      <c r="CZ22" s="198" t="str">
        <f t="shared" si="21"/>
        <v>1.14.14.90</v>
      </c>
      <c r="DA22" s="198" t="str">
        <f t="shared" si="21"/>
        <v>1.14.14.90</v>
      </c>
      <c r="DB22" s="198" t="str">
        <f t="shared" si="21"/>
        <v>1.14.14.90</v>
      </c>
      <c r="DC22" s="198" t="str">
        <f t="shared" si="21"/>
        <v>1.14.14.90</v>
      </c>
      <c r="DD22" s="198" t="s">
        <v>1471</v>
      </c>
      <c r="DE22" s="198" t="s">
        <v>1474</v>
      </c>
      <c r="DF22" s="198" t="s">
        <v>1471</v>
      </c>
      <c r="DG22" s="198" t="s">
        <v>1470</v>
      </c>
      <c r="DH22" s="198" t="s">
        <v>1465</v>
      </c>
      <c r="DI22" s="198" t="s">
        <v>1467</v>
      </c>
      <c r="DJ22" s="198" t="s">
        <v>1472</v>
      </c>
      <c r="DK22" s="198"/>
      <c r="DL22" s="198"/>
      <c r="DM22" s="198" t="s">
        <v>1471</v>
      </c>
      <c r="DN22" s="198" t="s">
        <v>1492</v>
      </c>
      <c r="DO22" s="198" t="s">
        <v>1471</v>
      </c>
      <c r="DP22" s="198" t="s">
        <v>1471</v>
      </c>
      <c r="DQ22" s="198" t="s">
        <v>1471</v>
      </c>
      <c r="DR22" s="198" t="s">
        <v>1465</v>
      </c>
      <c r="DS22" s="198" t="s">
        <v>1470</v>
      </c>
      <c r="DT22" s="198" t="s">
        <v>1492</v>
      </c>
      <c r="DU22" s="198" t="s">
        <v>1470</v>
      </c>
      <c r="DV22" s="198" t="s">
        <v>1457</v>
      </c>
      <c r="DW22" s="198" t="s">
        <v>1457</v>
      </c>
      <c r="DX22" s="198"/>
      <c r="DY22" s="198"/>
      <c r="DZ22" s="198"/>
      <c r="EA22" s="198" t="s">
        <v>1465</v>
      </c>
      <c r="EB22" s="198" t="s">
        <v>1467</v>
      </c>
      <c r="EC22" s="198" t="s">
        <v>1467</v>
      </c>
      <c r="ED22" s="198"/>
      <c r="EE22" s="198" t="s">
        <v>1505</v>
      </c>
      <c r="EF22" s="198" t="s">
        <v>1474</v>
      </c>
      <c r="EG22" s="198" t="s">
        <v>1505</v>
      </c>
      <c r="EH22" s="198" t="s">
        <v>1505</v>
      </c>
      <c r="EI22" s="198" t="s">
        <v>1505</v>
      </c>
      <c r="EJ22" s="198"/>
      <c r="EK22" s="198" t="s">
        <v>1457</v>
      </c>
      <c r="EL22" s="198" t="s">
        <v>1470</v>
      </c>
      <c r="EM22" s="198" t="s">
        <v>1451</v>
      </c>
      <c r="EN22" s="198" t="s">
        <v>1457</v>
      </c>
      <c r="EO22" s="198" t="s">
        <v>1459</v>
      </c>
      <c r="EP22" s="198" t="s">
        <v>1464</v>
      </c>
      <c r="EQ22" s="198" t="s">
        <v>1491</v>
      </c>
      <c r="ER22" s="198" t="s">
        <v>1457</v>
      </c>
      <c r="ES22" s="198"/>
      <c r="ET22" s="198" t="s">
        <v>1457</v>
      </c>
      <c r="EU22" s="198" t="s">
        <v>1457</v>
      </c>
      <c r="EV22" s="198" t="s">
        <v>1457</v>
      </c>
      <c r="EW22" s="198" t="s">
        <v>1457</v>
      </c>
      <c r="EX22" s="198" t="s">
        <v>1457</v>
      </c>
      <c r="EY22" s="198" t="s">
        <v>1457</v>
      </c>
      <c r="EZ22" s="198" t="s">
        <v>1481</v>
      </c>
      <c r="FA22" s="198" t="s">
        <v>1457</v>
      </c>
      <c r="FB22" s="198" t="s">
        <v>1457</v>
      </c>
      <c r="FC22" s="198" t="s">
        <v>1457</v>
      </c>
      <c r="FD22" s="198" t="s">
        <v>1464</v>
      </c>
      <c r="FE22" s="198" t="s">
        <v>1457</v>
      </c>
      <c r="FF22" s="198" t="s">
        <v>1457</v>
      </c>
      <c r="FG22" s="198" t="s">
        <v>1457</v>
      </c>
      <c r="FH22" s="198"/>
      <c r="FI22" s="198"/>
      <c r="FJ22" s="198" t="s">
        <v>1500</v>
      </c>
      <c r="FK22" s="198"/>
      <c r="FL22" s="198" t="s">
        <v>1459</v>
      </c>
      <c r="FM22" s="198" t="s">
        <v>1459</v>
      </c>
      <c r="FN22" s="198" t="s">
        <v>1457</v>
      </c>
      <c r="FO22" s="198" t="s">
        <v>1457</v>
      </c>
      <c r="FP22" s="198" t="s">
        <v>1457</v>
      </c>
      <c r="FQ22" s="198" t="s">
        <v>1457</v>
      </c>
      <c r="FR22" s="198" t="s">
        <v>1457</v>
      </c>
      <c r="FS22" s="198" t="s">
        <v>1451</v>
      </c>
      <c r="FT22" s="198" t="s">
        <v>1471</v>
      </c>
      <c r="FU22" s="198" t="s">
        <v>1462</v>
      </c>
      <c r="FV22" s="198"/>
      <c r="FW22" s="198"/>
      <c r="FX22" s="198" t="s">
        <v>1464</v>
      </c>
      <c r="FY22" s="198" t="s">
        <v>1451</v>
      </c>
      <c r="FZ22" s="198" t="s">
        <v>1457</v>
      </c>
      <c r="GA22" s="198" t="s">
        <v>1459</v>
      </c>
      <c r="GB22" s="198"/>
      <c r="GC22" s="198" t="s">
        <v>1457</v>
      </c>
      <c r="GD22" s="198" t="s">
        <v>1457</v>
      </c>
      <c r="GE22" s="198" t="s">
        <v>1464</v>
      </c>
      <c r="GF22" s="198" t="s">
        <v>1457</v>
      </c>
      <c r="GG22" s="198" t="s">
        <v>1457</v>
      </c>
      <c r="GH22" s="198" t="s">
        <v>1457</v>
      </c>
      <c r="GI22" s="198" t="s">
        <v>1474</v>
      </c>
      <c r="GJ22" s="198" t="s">
        <v>1481</v>
      </c>
      <c r="GK22" s="198"/>
      <c r="GL22" s="198" t="s">
        <v>1457</v>
      </c>
      <c r="GM22" s="198" t="s">
        <v>1451</v>
      </c>
      <c r="GN22" s="198" t="s">
        <v>1457</v>
      </c>
      <c r="GO22" s="198" t="s">
        <v>1457</v>
      </c>
      <c r="GP22" s="198" t="s">
        <v>1457</v>
      </c>
      <c r="GQ22" s="198" t="s">
        <v>1472</v>
      </c>
      <c r="GR22" s="198" t="s">
        <v>1472</v>
      </c>
      <c r="GS22" s="198" t="s">
        <v>1471</v>
      </c>
      <c r="GT22" s="198" t="s">
        <v>1468</v>
      </c>
      <c r="GU22" s="198" t="s">
        <v>1464</v>
      </c>
      <c r="GV22" s="198" t="s">
        <v>1465</v>
      </c>
      <c r="GW22" s="198" t="s">
        <v>1483</v>
      </c>
      <c r="GX22" s="198"/>
      <c r="GY22" s="198" t="s">
        <v>1451</v>
      </c>
      <c r="GZ22" s="198" t="s">
        <v>1457</v>
      </c>
      <c r="HA22" s="198" t="s">
        <v>1457</v>
      </c>
      <c r="HB22" s="198" t="s">
        <v>1464</v>
      </c>
      <c r="HC22" s="198" t="s">
        <v>1457</v>
      </c>
      <c r="HD22" s="198" t="s">
        <v>1457</v>
      </c>
    </row>
    <row r="23" ht="15.75" customHeight="1">
      <c r="A23" s="234">
        <v>23.0</v>
      </c>
      <c r="B23" s="236" t="s">
        <v>1460</v>
      </c>
      <c r="C23" s="198" t="str">
        <f t="shared" ref="C23:DC23" si="22">if(countif(DD:DD,$B23),INDIRECT(concat("B",$A23)),"")</f>
        <v>1.14.14.91</v>
      </c>
      <c r="D23" s="198" t="str">
        <f t="shared" si="22"/>
        <v>1.14.14.91</v>
      </c>
      <c r="E23" s="198" t="str">
        <f t="shared" si="22"/>
        <v>1.14.14.91</v>
      </c>
      <c r="F23" s="198" t="str">
        <f t="shared" si="22"/>
        <v>1.14.14.91</v>
      </c>
      <c r="G23" s="198" t="str">
        <f t="shared" si="22"/>
        <v>1.14.14.91</v>
      </c>
      <c r="H23" s="198" t="str">
        <f t="shared" si="22"/>
        <v>1.14.14.91</v>
      </c>
      <c r="I23" s="198" t="str">
        <f t="shared" si="22"/>
        <v>1.14.14.91</v>
      </c>
      <c r="J23" s="198" t="str">
        <f t="shared" si="22"/>
        <v/>
      </c>
      <c r="K23" s="198" t="str">
        <f t="shared" si="22"/>
        <v/>
      </c>
      <c r="L23" s="198" t="str">
        <f t="shared" si="22"/>
        <v>1.14.14.91</v>
      </c>
      <c r="M23" s="198" t="str">
        <f t="shared" si="22"/>
        <v>1.14.14.91</v>
      </c>
      <c r="N23" s="198" t="str">
        <f t="shared" si="22"/>
        <v>1.14.14.91</v>
      </c>
      <c r="O23" s="198" t="str">
        <f t="shared" si="22"/>
        <v>1.14.14.91</v>
      </c>
      <c r="P23" s="198" t="str">
        <f t="shared" si="22"/>
        <v>1.14.14.91</v>
      </c>
      <c r="Q23" s="198" t="str">
        <f t="shared" si="22"/>
        <v>1.14.14.91</v>
      </c>
      <c r="R23" s="198" t="str">
        <f t="shared" si="22"/>
        <v>1.14.14.91</v>
      </c>
      <c r="S23" s="198" t="str">
        <f t="shared" si="22"/>
        <v>1.14.14.91</v>
      </c>
      <c r="T23" s="198" t="str">
        <f t="shared" si="22"/>
        <v>1.14.14.91</v>
      </c>
      <c r="U23" s="198" t="str">
        <f t="shared" si="22"/>
        <v>1.14.14.91</v>
      </c>
      <c r="V23" s="198" t="str">
        <f t="shared" si="22"/>
        <v>1.14.14.91</v>
      </c>
      <c r="W23" s="198" t="str">
        <f t="shared" si="22"/>
        <v/>
      </c>
      <c r="X23" s="198" t="str">
        <f t="shared" si="22"/>
        <v/>
      </c>
      <c r="Y23" s="198" t="str">
        <f t="shared" si="22"/>
        <v/>
      </c>
      <c r="Z23" s="198" t="str">
        <f t="shared" si="22"/>
        <v>1.14.14.91</v>
      </c>
      <c r="AA23" s="198" t="str">
        <f t="shared" si="22"/>
        <v>1.14.14.91</v>
      </c>
      <c r="AB23" s="198" t="str">
        <f t="shared" si="22"/>
        <v>1.14.14.91</v>
      </c>
      <c r="AC23" s="198" t="str">
        <f t="shared" si="22"/>
        <v/>
      </c>
      <c r="AD23" s="198" t="str">
        <f t="shared" si="22"/>
        <v>1.14.14.91</v>
      </c>
      <c r="AE23" s="198" t="str">
        <f t="shared" si="22"/>
        <v>1.14.14.91</v>
      </c>
      <c r="AF23" s="198" t="str">
        <f t="shared" si="22"/>
        <v>1.14.14.91</v>
      </c>
      <c r="AG23" s="198" t="str">
        <f t="shared" si="22"/>
        <v>1.14.14.91</v>
      </c>
      <c r="AH23" s="198" t="str">
        <f t="shared" si="22"/>
        <v>1.14.14.91</v>
      </c>
      <c r="AI23" s="198" t="str">
        <f t="shared" si="22"/>
        <v/>
      </c>
      <c r="AJ23" s="198" t="str">
        <f t="shared" si="22"/>
        <v>1.14.14.91</v>
      </c>
      <c r="AK23" s="198" t="str">
        <f t="shared" si="22"/>
        <v>1.14.14.91</v>
      </c>
      <c r="AL23" s="198" t="str">
        <f t="shared" si="22"/>
        <v>1.14.14.91</v>
      </c>
      <c r="AM23" s="198" t="str">
        <f t="shared" si="22"/>
        <v>1.14.14.91</v>
      </c>
      <c r="AN23" s="198" t="str">
        <f t="shared" si="22"/>
        <v>1.14.14.91</v>
      </c>
      <c r="AO23" s="198" t="str">
        <f t="shared" si="22"/>
        <v>1.14.14.91</v>
      </c>
      <c r="AP23" s="198" t="str">
        <f t="shared" si="22"/>
        <v>1.14.14.91</v>
      </c>
      <c r="AQ23" s="198" t="str">
        <f t="shared" si="22"/>
        <v>1.14.14.91</v>
      </c>
      <c r="AR23" s="198" t="str">
        <f t="shared" si="22"/>
        <v/>
      </c>
      <c r="AS23" s="198" t="str">
        <f t="shared" si="22"/>
        <v>1.14.14.91</v>
      </c>
      <c r="AT23" s="198" t="str">
        <f t="shared" si="22"/>
        <v>1.14.14.91</v>
      </c>
      <c r="AU23" s="198" t="str">
        <f t="shared" si="22"/>
        <v>1.14.14.91</v>
      </c>
      <c r="AV23" s="198" t="str">
        <f t="shared" si="22"/>
        <v>1.14.14.91</v>
      </c>
      <c r="AW23" s="198" t="str">
        <f t="shared" si="22"/>
        <v>1.14.14.91</v>
      </c>
      <c r="AX23" s="198" t="str">
        <f t="shared" si="22"/>
        <v>1.14.14.91</v>
      </c>
      <c r="AY23" s="198" t="str">
        <f t="shared" si="22"/>
        <v>1.14.14.91</v>
      </c>
      <c r="AZ23" s="198" t="str">
        <f t="shared" si="22"/>
        <v>1.14.14.91</v>
      </c>
      <c r="BA23" s="198" t="str">
        <f t="shared" si="22"/>
        <v>1.14.14.91</v>
      </c>
      <c r="BB23" s="198" t="str">
        <f t="shared" si="22"/>
        <v>1.14.14.91</v>
      </c>
      <c r="BC23" s="198" t="str">
        <f t="shared" si="22"/>
        <v>1.14.14.91</v>
      </c>
      <c r="BD23" s="198" t="str">
        <f t="shared" si="22"/>
        <v>1.14.14.91</v>
      </c>
      <c r="BE23" s="198" t="str">
        <f t="shared" si="22"/>
        <v>1.14.14.91</v>
      </c>
      <c r="BF23" s="198" t="str">
        <f t="shared" si="22"/>
        <v>1.14.14.91</v>
      </c>
      <c r="BG23" s="198" t="str">
        <f t="shared" si="22"/>
        <v/>
      </c>
      <c r="BH23" s="198" t="str">
        <f t="shared" si="22"/>
        <v/>
      </c>
      <c r="BI23" s="198" t="str">
        <f t="shared" si="22"/>
        <v>1.14.14.91</v>
      </c>
      <c r="BJ23" s="198" t="str">
        <f t="shared" si="22"/>
        <v/>
      </c>
      <c r="BK23" s="198" t="str">
        <f t="shared" si="22"/>
        <v>1.14.14.91</v>
      </c>
      <c r="BL23" s="198" t="str">
        <f t="shared" si="22"/>
        <v>1.14.14.91</v>
      </c>
      <c r="BM23" s="198" t="str">
        <f t="shared" si="22"/>
        <v>1.14.14.91</v>
      </c>
      <c r="BN23" s="198" t="str">
        <f t="shared" si="22"/>
        <v>1.14.14.91</v>
      </c>
      <c r="BO23" s="198" t="str">
        <f t="shared" si="22"/>
        <v>1.14.14.91</v>
      </c>
      <c r="BP23" s="198" t="str">
        <f t="shared" si="22"/>
        <v>1.14.14.91</v>
      </c>
      <c r="BQ23" s="198" t="str">
        <f t="shared" si="22"/>
        <v>1.14.14.91</v>
      </c>
      <c r="BR23" s="198" t="str">
        <f t="shared" si="22"/>
        <v>1.14.14.91</v>
      </c>
      <c r="BS23" s="198" t="str">
        <f t="shared" si="22"/>
        <v>1.14.14.91</v>
      </c>
      <c r="BT23" s="198" t="str">
        <f t="shared" si="22"/>
        <v>1.14.14.91</v>
      </c>
      <c r="BU23" s="198" t="str">
        <f t="shared" si="22"/>
        <v/>
      </c>
      <c r="BV23" s="198" t="str">
        <f t="shared" si="22"/>
        <v/>
      </c>
      <c r="BW23" s="198" t="str">
        <f t="shared" si="22"/>
        <v>1.14.14.91</v>
      </c>
      <c r="BX23" s="198" t="str">
        <f t="shared" si="22"/>
        <v>1.14.14.91</v>
      </c>
      <c r="BY23" s="198" t="str">
        <f t="shared" si="22"/>
        <v>1.14.14.91</v>
      </c>
      <c r="BZ23" s="198" t="str">
        <f t="shared" si="22"/>
        <v>1.14.14.91</v>
      </c>
      <c r="CA23" s="198" t="str">
        <f t="shared" si="22"/>
        <v>1.14.14.91</v>
      </c>
      <c r="CB23" s="198" t="str">
        <f t="shared" si="22"/>
        <v>1.14.14.91</v>
      </c>
      <c r="CC23" s="198" t="str">
        <f t="shared" si="22"/>
        <v>1.14.14.91</v>
      </c>
      <c r="CD23" s="198" t="str">
        <f t="shared" si="22"/>
        <v>1.14.14.91</v>
      </c>
      <c r="CE23" s="198" t="str">
        <f t="shared" si="22"/>
        <v>1.14.14.91</v>
      </c>
      <c r="CF23" s="198" t="str">
        <f t="shared" si="22"/>
        <v>1.14.14.91</v>
      </c>
      <c r="CG23" s="198" t="str">
        <f t="shared" si="22"/>
        <v>1.14.14.91</v>
      </c>
      <c r="CH23" s="198" t="str">
        <f t="shared" si="22"/>
        <v>1.14.14.91</v>
      </c>
      <c r="CI23" s="198" t="str">
        <f t="shared" si="22"/>
        <v>1.14.14.91</v>
      </c>
      <c r="CJ23" s="198" t="str">
        <f t="shared" si="22"/>
        <v>1.14.14.91</v>
      </c>
      <c r="CK23" s="198" t="str">
        <f t="shared" si="22"/>
        <v>1.14.14.91</v>
      </c>
      <c r="CL23" s="198" t="str">
        <f t="shared" si="22"/>
        <v>1.14.14.91</v>
      </c>
      <c r="CM23" s="198" t="str">
        <f t="shared" si="22"/>
        <v>1.14.14.91</v>
      </c>
      <c r="CN23" s="198" t="str">
        <f t="shared" si="22"/>
        <v>1.14.14.91</v>
      </c>
      <c r="CO23" s="198" t="str">
        <f t="shared" si="22"/>
        <v>1.14.14.91</v>
      </c>
      <c r="CP23" s="198" t="str">
        <f t="shared" si="22"/>
        <v>1.14.14.91</v>
      </c>
      <c r="CQ23" s="198" t="str">
        <f t="shared" si="22"/>
        <v>1.14.14.91</v>
      </c>
      <c r="CR23" s="198" t="str">
        <f t="shared" si="22"/>
        <v>1.14.14.91</v>
      </c>
      <c r="CS23" s="198" t="str">
        <f t="shared" si="22"/>
        <v>1.14.14.91</v>
      </c>
      <c r="CT23" s="198" t="str">
        <f t="shared" si="22"/>
        <v>1.14.14.91</v>
      </c>
      <c r="CU23" s="198" t="str">
        <f t="shared" si="22"/>
        <v>1.14.14.91</v>
      </c>
      <c r="CV23" s="198" t="str">
        <f t="shared" si="22"/>
        <v>1.14.14.91</v>
      </c>
      <c r="CW23" s="198" t="str">
        <f t="shared" si="22"/>
        <v/>
      </c>
      <c r="CX23" s="198" t="str">
        <f t="shared" si="22"/>
        <v>1.14.14.91</v>
      </c>
      <c r="CY23" s="198" t="str">
        <f t="shared" si="22"/>
        <v>1.14.14.91</v>
      </c>
      <c r="CZ23" s="198" t="str">
        <f t="shared" si="22"/>
        <v>1.14.14.91</v>
      </c>
      <c r="DA23" s="198" t="str">
        <f t="shared" si="22"/>
        <v>1.14.14.91</v>
      </c>
      <c r="DB23" s="198" t="str">
        <f t="shared" si="22"/>
        <v>1.14.14.91</v>
      </c>
      <c r="DC23" s="198" t="str">
        <f t="shared" si="22"/>
        <v>1.14.14.91</v>
      </c>
      <c r="DD23" s="198" t="s">
        <v>1472</v>
      </c>
      <c r="DE23" s="198" t="s">
        <v>1475</v>
      </c>
      <c r="DF23" s="198" t="s">
        <v>1486</v>
      </c>
      <c r="DG23" s="198" t="s">
        <v>1471</v>
      </c>
      <c r="DH23" s="198" t="s">
        <v>1466</v>
      </c>
      <c r="DI23" s="198" t="s">
        <v>1468</v>
      </c>
      <c r="DJ23" s="198" t="s">
        <v>1473</v>
      </c>
      <c r="DK23" s="198"/>
      <c r="DL23" s="198"/>
      <c r="DM23" s="198" t="s">
        <v>1472</v>
      </c>
      <c r="DN23" s="198" t="s">
        <v>1472</v>
      </c>
      <c r="DO23" s="198" t="s">
        <v>1492</v>
      </c>
      <c r="DP23" s="198" t="s">
        <v>1487</v>
      </c>
      <c r="DQ23" s="198" t="s">
        <v>1492</v>
      </c>
      <c r="DR23" s="198" t="s">
        <v>1466</v>
      </c>
      <c r="DS23" s="198" t="s">
        <v>1471</v>
      </c>
      <c r="DT23" s="198" t="s">
        <v>1487</v>
      </c>
      <c r="DU23" s="198" t="s">
        <v>1471</v>
      </c>
      <c r="DV23" s="198" t="s">
        <v>1464</v>
      </c>
      <c r="DW23" s="198" t="s">
        <v>1464</v>
      </c>
      <c r="DX23" s="198"/>
      <c r="DY23" s="198"/>
      <c r="DZ23" s="198"/>
      <c r="EA23" s="198" t="s">
        <v>1466</v>
      </c>
      <c r="EB23" s="198" t="s">
        <v>1468</v>
      </c>
      <c r="EC23" s="198" t="s">
        <v>1468</v>
      </c>
      <c r="ED23" s="198"/>
      <c r="EE23" s="198" t="s">
        <v>1477</v>
      </c>
      <c r="EF23" s="198" t="s">
        <v>1505</v>
      </c>
      <c r="EG23" s="198" t="s">
        <v>1477</v>
      </c>
      <c r="EH23" s="198" t="s">
        <v>1477</v>
      </c>
      <c r="EI23" s="198" t="s">
        <v>1477</v>
      </c>
      <c r="EJ23" s="198"/>
      <c r="EK23" s="198" t="s">
        <v>1464</v>
      </c>
      <c r="EL23" s="198" t="s">
        <v>1471</v>
      </c>
      <c r="EM23" s="198" t="s">
        <v>1452</v>
      </c>
      <c r="EN23" s="198" t="s">
        <v>1464</v>
      </c>
      <c r="EO23" s="198" t="s">
        <v>1451</v>
      </c>
      <c r="EP23" s="198" t="s">
        <v>1462</v>
      </c>
      <c r="EQ23" s="198" t="s">
        <v>1484</v>
      </c>
      <c r="ER23" s="198" t="s">
        <v>1464</v>
      </c>
      <c r="ES23" s="198"/>
      <c r="ET23" s="198" t="s">
        <v>1464</v>
      </c>
      <c r="EU23" s="198" t="s">
        <v>1464</v>
      </c>
      <c r="EV23" s="198" t="s">
        <v>1464</v>
      </c>
      <c r="EW23" s="198" t="s">
        <v>1464</v>
      </c>
      <c r="EX23" s="198" t="s">
        <v>1464</v>
      </c>
      <c r="EY23" s="198" t="s">
        <v>1464</v>
      </c>
      <c r="EZ23" s="198" t="s">
        <v>1457</v>
      </c>
      <c r="FA23" s="198" t="s">
        <v>1464</v>
      </c>
      <c r="FB23" s="198" t="s">
        <v>1464</v>
      </c>
      <c r="FC23" s="198" t="s">
        <v>1464</v>
      </c>
      <c r="FD23" s="198" t="s">
        <v>1459</v>
      </c>
      <c r="FE23" s="198" t="s">
        <v>1464</v>
      </c>
      <c r="FF23" s="198" t="s">
        <v>1464</v>
      </c>
      <c r="FG23" s="198" t="s">
        <v>1464</v>
      </c>
      <c r="FH23" s="198"/>
      <c r="FI23" s="198"/>
      <c r="FJ23" s="198" t="s">
        <v>1472</v>
      </c>
      <c r="FK23" s="198"/>
      <c r="FL23" s="198" t="s">
        <v>1451</v>
      </c>
      <c r="FM23" s="198" t="s">
        <v>1451</v>
      </c>
      <c r="FN23" s="198" t="s">
        <v>1464</v>
      </c>
      <c r="FO23" s="198" t="s">
        <v>1464</v>
      </c>
      <c r="FP23" s="198" t="s">
        <v>1464</v>
      </c>
      <c r="FQ23" s="198" t="s">
        <v>1464</v>
      </c>
      <c r="FR23" s="198" t="s">
        <v>1464</v>
      </c>
      <c r="FS23" s="198" t="s">
        <v>1452</v>
      </c>
      <c r="FT23" s="198" t="s">
        <v>1481</v>
      </c>
      <c r="FU23" s="198" t="s">
        <v>1458</v>
      </c>
      <c r="FV23" s="198"/>
      <c r="FW23" s="198"/>
      <c r="FX23" s="198" t="s">
        <v>1459</v>
      </c>
      <c r="FY23" s="198" t="s">
        <v>1452</v>
      </c>
      <c r="FZ23" s="198" t="s">
        <v>1464</v>
      </c>
      <c r="GA23" s="198" t="s">
        <v>1451</v>
      </c>
      <c r="GB23" s="198"/>
      <c r="GC23" s="198" t="s">
        <v>1464</v>
      </c>
      <c r="GD23" s="198" t="s">
        <v>1464</v>
      </c>
      <c r="GE23" s="198" t="s">
        <v>1459</v>
      </c>
      <c r="GF23" s="198" t="s">
        <v>1464</v>
      </c>
      <c r="GG23" s="198" t="s">
        <v>1464</v>
      </c>
      <c r="GH23" s="198" t="s">
        <v>1464</v>
      </c>
      <c r="GI23" s="198" t="s">
        <v>1471</v>
      </c>
      <c r="GJ23" s="198" t="s">
        <v>1457</v>
      </c>
      <c r="GK23" s="198"/>
      <c r="GL23" s="198" t="s">
        <v>1464</v>
      </c>
      <c r="GM23" s="198" t="s">
        <v>1452</v>
      </c>
      <c r="GN23" s="198" t="s">
        <v>1464</v>
      </c>
      <c r="GO23" s="198" t="s">
        <v>1464</v>
      </c>
      <c r="GP23" s="198" t="s">
        <v>1464</v>
      </c>
      <c r="GQ23" s="198" t="s">
        <v>1473</v>
      </c>
      <c r="GR23" s="198" t="s">
        <v>1487</v>
      </c>
      <c r="GS23" s="198" t="s">
        <v>1487</v>
      </c>
      <c r="GT23" s="198" t="s">
        <v>1469</v>
      </c>
      <c r="GU23" s="198" t="s">
        <v>1465</v>
      </c>
      <c r="GV23" s="198" t="s">
        <v>1466</v>
      </c>
      <c r="GW23" s="198" t="s">
        <v>1470</v>
      </c>
      <c r="GX23" s="198"/>
      <c r="GY23" s="198" t="s">
        <v>1452</v>
      </c>
      <c r="GZ23" s="198" t="s">
        <v>1464</v>
      </c>
      <c r="HA23" s="198" t="s">
        <v>1464</v>
      </c>
      <c r="HB23" s="198" t="s">
        <v>1462</v>
      </c>
      <c r="HC23" s="198" t="s">
        <v>1464</v>
      </c>
      <c r="HD23" s="198" t="s">
        <v>1464</v>
      </c>
    </row>
    <row r="24" ht="15.75" customHeight="1">
      <c r="A24" s="234">
        <v>24.0</v>
      </c>
      <c r="B24" s="236" t="s">
        <v>1519</v>
      </c>
      <c r="C24" s="198" t="str">
        <f t="shared" ref="C24:DC24" si="23">if(countif(DD:DD,$B24),INDIRECT(concat("B",$A24)),"")</f>
        <v/>
      </c>
      <c r="D24" s="198" t="str">
        <f t="shared" si="23"/>
        <v/>
      </c>
      <c r="E24" s="198" t="str">
        <f t="shared" si="23"/>
        <v/>
      </c>
      <c r="F24" s="198" t="str">
        <f t="shared" si="23"/>
        <v/>
      </c>
      <c r="G24" s="198" t="str">
        <f t="shared" si="23"/>
        <v/>
      </c>
      <c r="H24" s="198" t="str">
        <f t="shared" si="23"/>
        <v/>
      </c>
      <c r="I24" s="198" t="str">
        <f t="shared" si="23"/>
        <v/>
      </c>
      <c r="J24" s="198" t="str">
        <f t="shared" si="23"/>
        <v/>
      </c>
      <c r="K24" s="198" t="str">
        <f t="shared" si="23"/>
        <v/>
      </c>
      <c r="L24" s="198" t="str">
        <f t="shared" si="23"/>
        <v/>
      </c>
      <c r="M24" s="198" t="str">
        <f t="shared" si="23"/>
        <v/>
      </c>
      <c r="N24" s="198" t="str">
        <f t="shared" si="23"/>
        <v/>
      </c>
      <c r="O24" s="198" t="str">
        <f t="shared" si="23"/>
        <v/>
      </c>
      <c r="P24" s="198" t="str">
        <f t="shared" si="23"/>
        <v/>
      </c>
      <c r="Q24" s="198" t="str">
        <f t="shared" si="23"/>
        <v/>
      </c>
      <c r="R24" s="198" t="str">
        <f t="shared" si="23"/>
        <v/>
      </c>
      <c r="S24" s="198" t="str">
        <f t="shared" si="23"/>
        <v/>
      </c>
      <c r="T24" s="198" t="str">
        <f t="shared" si="23"/>
        <v/>
      </c>
      <c r="U24" s="198" t="str">
        <f t="shared" si="23"/>
        <v/>
      </c>
      <c r="V24" s="198" t="str">
        <f t="shared" si="23"/>
        <v/>
      </c>
      <c r="W24" s="198" t="str">
        <f t="shared" si="23"/>
        <v/>
      </c>
      <c r="X24" s="198" t="str">
        <f t="shared" si="23"/>
        <v/>
      </c>
      <c r="Y24" s="198" t="str">
        <f t="shared" si="23"/>
        <v/>
      </c>
      <c r="Z24" s="198" t="str">
        <f t="shared" si="23"/>
        <v/>
      </c>
      <c r="AA24" s="198" t="str">
        <f t="shared" si="23"/>
        <v/>
      </c>
      <c r="AB24" s="198" t="str">
        <f t="shared" si="23"/>
        <v/>
      </c>
      <c r="AC24" s="198" t="str">
        <f t="shared" si="23"/>
        <v/>
      </c>
      <c r="AD24" s="198" t="str">
        <f t="shared" si="23"/>
        <v/>
      </c>
      <c r="AE24" s="198" t="str">
        <f t="shared" si="23"/>
        <v/>
      </c>
      <c r="AF24" s="198" t="str">
        <f t="shared" si="23"/>
        <v/>
      </c>
      <c r="AG24" s="198" t="str">
        <f t="shared" si="23"/>
        <v/>
      </c>
      <c r="AH24" s="198" t="str">
        <f t="shared" si="23"/>
        <v/>
      </c>
      <c r="AI24" s="198" t="str">
        <f t="shared" si="23"/>
        <v/>
      </c>
      <c r="AJ24" s="198" t="str">
        <f t="shared" si="23"/>
        <v/>
      </c>
      <c r="AK24" s="198" t="str">
        <f t="shared" si="23"/>
        <v/>
      </c>
      <c r="AL24" s="198" t="str">
        <f t="shared" si="23"/>
        <v/>
      </c>
      <c r="AM24" s="198" t="str">
        <f t="shared" si="23"/>
        <v/>
      </c>
      <c r="AN24" s="198" t="str">
        <f t="shared" si="23"/>
        <v/>
      </c>
      <c r="AO24" s="198" t="str">
        <f t="shared" si="23"/>
        <v/>
      </c>
      <c r="AP24" s="198" t="str">
        <f t="shared" si="23"/>
        <v/>
      </c>
      <c r="AQ24" s="198" t="str">
        <f t="shared" si="23"/>
        <v/>
      </c>
      <c r="AR24" s="198" t="str">
        <f t="shared" si="23"/>
        <v/>
      </c>
      <c r="AS24" s="198" t="str">
        <f t="shared" si="23"/>
        <v>1.14.14.93</v>
      </c>
      <c r="AT24" s="198" t="str">
        <f t="shared" si="23"/>
        <v/>
      </c>
      <c r="AU24" s="198" t="str">
        <f t="shared" si="23"/>
        <v/>
      </c>
      <c r="AV24" s="198" t="str">
        <f t="shared" si="23"/>
        <v/>
      </c>
      <c r="AW24" s="198" t="str">
        <f t="shared" si="23"/>
        <v/>
      </c>
      <c r="AX24" s="198" t="str">
        <f t="shared" si="23"/>
        <v/>
      </c>
      <c r="AY24" s="198" t="str">
        <f t="shared" si="23"/>
        <v/>
      </c>
      <c r="AZ24" s="198" t="str">
        <f t="shared" si="23"/>
        <v/>
      </c>
      <c r="BA24" s="198" t="str">
        <f t="shared" si="23"/>
        <v/>
      </c>
      <c r="BB24" s="198" t="str">
        <f t="shared" si="23"/>
        <v/>
      </c>
      <c r="BC24" s="198" t="str">
        <f t="shared" si="23"/>
        <v/>
      </c>
      <c r="BD24" s="198" t="str">
        <f t="shared" si="23"/>
        <v/>
      </c>
      <c r="BE24" s="198" t="str">
        <f t="shared" si="23"/>
        <v/>
      </c>
      <c r="BF24" s="198" t="str">
        <f t="shared" si="23"/>
        <v/>
      </c>
      <c r="BG24" s="198" t="str">
        <f t="shared" si="23"/>
        <v/>
      </c>
      <c r="BH24" s="198" t="str">
        <f t="shared" si="23"/>
        <v/>
      </c>
      <c r="BI24" s="198" t="str">
        <f t="shared" si="23"/>
        <v/>
      </c>
      <c r="BJ24" s="198" t="str">
        <f t="shared" si="23"/>
        <v/>
      </c>
      <c r="BK24" s="198" t="str">
        <f t="shared" si="23"/>
        <v/>
      </c>
      <c r="BL24" s="198" t="str">
        <f t="shared" si="23"/>
        <v/>
      </c>
      <c r="BM24" s="198" t="str">
        <f t="shared" si="23"/>
        <v/>
      </c>
      <c r="BN24" s="198" t="str">
        <f t="shared" si="23"/>
        <v/>
      </c>
      <c r="BO24" s="198" t="str">
        <f t="shared" si="23"/>
        <v/>
      </c>
      <c r="BP24" s="198" t="str">
        <f t="shared" si="23"/>
        <v/>
      </c>
      <c r="BQ24" s="198" t="str">
        <f t="shared" si="23"/>
        <v/>
      </c>
      <c r="BR24" s="198" t="str">
        <f t="shared" si="23"/>
        <v/>
      </c>
      <c r="BS24" s="198" t="str">
        <f t="shared" si="23"/>
        <v/>
      </c>
      <c r="BT24" s="198" t="str">
        <f t="shared" si="23"/>
        <v/>
      </c>
      <c r="BU24" s="198" t="str">
        <f t="shared" si="23"/>
        <v/>
      </c>
      <c r="BV24" s="198" t="str">
        <f t="shared" si="23"/>
        <v/>
      </c>
      <c r="BW24" s="198" t="str">
        <f t="shared" si="23"/>
        <v/>
      </c>
      <c r="BX24" s="198" t="str">
        <f t="shared" si="23"/>
        <v/>
      </c>
      <c r="BY24" s="198" t="str">
        <f t="shared" si="23"/>
        <v/>
      </c>
      <c r="BZ24" s="198" t="str">
        <f t="shared" si="23"/>
        <v/>
      </c>
      <c r="CA24" s="198" t="str">
        <f t="shared" si="23"/>
        <v/>
      </c>
      <c r="CB24" s="198" t="str">
        <f t="shared" si="23"/>
        <v/>
      </c>
      <c r="CC24" s="198" t="str">
        <f t="shared" si="23"/>
        <v/>
      </c>
      <c r="CD24" s="198" t="str">
        <f t="shared" si="23"/>
        <v/>
      </c>
      <c r="CE24" s="198" t="str">
        <f t="shared" si="23"/>
        <v/>
      </c>
      <c r="CF24" s="198" t="str">
        <f t="shared" si="23"/>
        <v/>
      </c>
      <c r="CG24" s="198" t="str">
        <f t="shared" si="23"/>
        <v/>
      </c>
      <c r="CH24" s="198" t="str">
        <f t="shared" si="23"/>
        <v/>
      </c>
      <c r="CI24" s="198" t="str">
        <f t="shared" si="23"/>
        <v/>
      </c>
      <c r="CJ24" s="198" t="str">
        <f t="shared" si="23"/>
        <v/>
      </c>
      <c r="CK24" s="198" t="str">
        <f t="shared" si="23"/>
        <v/>
      </c>
      <c r="CL24" s="198" t="str">
        <f t="shared" si="23"/>
        <v/>
      </c>
      <c r="CM24" s="198" t="str">
        <f t="shared" si="23"/>
        <v/>
      </c>
      <c r="CN24" s="198" t="str">
        <f t="shared" si="23"/>
        <v/>
      </c>
      <c r="CO24" s="198" t="str">
        <f t="shared" si="23"/>
        <v/>
      </c>
      <c r="CP24" s="198" t="str">
        <f t="shared" si="23"/>
        <v/>
      </c>
      <c r="CQ24" s="198" t="str">
        <f t="shared" si="23"/>
        <v/>
      </c>
      <c r="CR24" s="198" t="str">
        <f t="shared" si="23"/>
        <v/>
      </c>
      <c r="CS24" s="198" t="str">
        <f t="shared" si="23"/>
        <v/>
      </c>
      <c r="CT24" s="198" t="str">
        <f t="shared" si="23"/>
        <v/>
      </c>
      <c r="CU24" s="198" t="str">
        <f t="shared" si="23"/>
        <v/>
      </c>
      <c r="CV24" s="198" t="str">
        <f t="shared" si="23"/>
        <v/>
      </c>
      <c r="CW24" s="198" t="str">
        <f t="shared" si="23"/>
        <v/>
      </c>
      <c r="CX24" s="198" t="str">
        <f t="shared" si="23"/>
        <v/>
      </c>
      <c r="CY24" s="198" t="str">
        <f t="shared" si="23"/>
        <v/>
      </c>
      <c r="CZ24" s="198" t="str">
        <f t="shared" si="23"/>
        <v>1.14.14.93</v>
      </c>
      <c r="DA24" s="198" t="str">
        <f t="shared" si="23"/>
        <v/>
      </c>
      <c r="DB24" s="198" t="str">
        <f t="shared" si="23"/>
        <v/>
      </c>
      <c r="DC24" s="198" t="str">
        <f t="shared" si="23"/>
        <v/>
      </c>
      <c r="DD24" s="198" t="s">
        <v>1473</v>
      </c>
      <c r="DE24" s="198" t="s">
        <v>1476</v>
      </c>
      <c r="DF24" s="198" t="s">
        <v>1487</v>
      </c>
      <c r="DG24" s="198" t="s">
        <v>1492</v>
      </c>
      <c r="DH24" s="198" t="s">
        <v>1467</v>
      </c>
      <c r="DI24" s="198" t="s">
        <v>1469</v>
      </c>
      <c r="DJ24" s="198" t="s">
        <v>1474</v>
      </c>
      <c r="DK24" s="198"/>
      <c r="DL24" s="198"/>
      <c r="DM24" s="198" t="s">
        <v>1487</v>
      </c>
      <c r="DN24" s="198" t="s">
        <v>1473</v>
      </c>
      <c r="DO24" s="198" t="s">
        <v>1487</v>
      </c>
      <c r="DP24" s="198" t="s">
        <v>1493</v>
      </c>
      <c r="DQ24" s="198" t="s">
        <v>1487</v>
      </c>
      <c r="DR24" s="198" t="s">
        <v>1467</v>
      </c>
      <c r="DS24" s="198" t="s">
        <v>1472</v>
      </c>
      <c r="DT24" s="198" t="s">
        <v>1493</v>
      </c>
      <c r="DU24" s="198" t="s">
        <v>1472</v>
      </c>
      <c r="DV24" s="198" t="s">
        <v>1459</v>
      </c>
      <c r="DW24" s="198" t="s">
        <v>1459</v>
      </c>
      <c r="DX24" s="198"/>
      <c r="DY24" s="198"/>
      <c r="DZ24" s="198"/>
      <c r="EA24" s="198" t="s">
        <v>1467</v>
      </c>
      <c r="EB24" s="198" t="s">
        <v>1469</v>
      </c>
      <c r="EC24" s="198" t="s">
        <v>1469</v>
      </c>
      <c r="ED24" s="198"/>
      <c r="EE24" s="198" t="s">
        <v>1478</v>
      </c>
      <c r="EF24" s="198" t="s">
        <v>1477</v>
      </c>
      <c r="EG24" s="198" t="s">
        <v>1478</v>
      </c>
      <c r="EH24" s="198" t="s">
        <v>1478</v>
      </c>
      <c r="EI24" s="198" t="s">
        <v>1478</v>
      </c>
      <c r="EJ24" s="198"/>
      <c r="EK24" s="198" t="s">
        <v>1462</v>
      </c>
      <c r="EL24" s="198" t="s">
        <v>1472</v>
      </c>
      <c r="EM24" s="198" t="s">
        <v>1458</v>
      </c>
      <c r="EN24" s="198" t="s">
        <v>1462</v>
      </c>
      <c r="EO24" s="198" t="s">
        <v>1452</v>
      </c>
      <c r="EP24" s="198" t="s">
        <v>1459</v>
      </c>
      <c r="EQ24" s="198" t="s">
        <v>1474</v>
      </c>
      <c r="ER24" s="198" t="s">
        <v>1463</v>
      </c>
      <c r="ES24" s="198"/>
      <c r="ET24" s="198" t="s">
        <v>1462</v>
      </c>
      <c r="EU24" s="198" t="s">
        <v>1462</v>
      </c>
      <c r="EV24" s="198" t="s">
        <v>1462</v>
      </c>
      <c r="EW24" s="198" t="s">
        <v>1462</v>
      </c>
      <c r="EX24" s="198" t="s">
        <v>1462</v>
      </c>
      <c r="EY24" s="198" t="s">
        <v>1462</v>
      </c>
      <c r="EZ24" s="198" t="s">
        <v>1464</v>
      </c>
      <c r="FA24" s="198" t="s">
        <v>1462</v>
      </c>
      <c r="FB24" s="198" t="s">
        <v>1459</v>
      </c>
      <c r="FC24" s="198" t="s">
        <v>1462</v>
      </c>
      <c r="FD24" s="198" t="s">
        <v>1451</v>
      </c>
      <c r="FE24" s="198" t="s">
        <v>1462</v>
      </c>
      <c r="FF24" s="198" t="s">
        <v>1459</v>
      </c>
      <c r="FG24" s="198" t="s">
        <v>1462</v>
      </c>
      <c r="FH24" s="198"/>
      <c r="FI24" s="198"/>
      <c r="FJ24" s="198" t="s">
        <v>1505</v>
      </c>
      <c r="FK24" s="198"/>
      <c r="FL24" s="198" t="s">
        <v>1452</v>
      </c>
      <c r="FM24" s="198" t="s">
        <v>1452</v>
      </c>
      <c r="FN24" s="198" t="s">
        <v>1459</v>
      </c>
      <c r="FO24" s="198" t="s">
        <v>1459</v>
      </c>
      <c r="FP24" s="198" t="s">
        <v>1459</v>
      </c>
      <c r="FQ24" s="198" t="s">
        <v>1459</v>
      </c>
      <c r="FR24" s="198" t="s">
        <v>1462</v>
      </c>
      <c r="FS24" s="198" t="s">
        <v>1462</v>
      </c>
      <c r="FT24" s="198" t="s">
        <v>1457</v>
      </c>
      <c r="FU24" s="198" t="s">
        <v>1463</v>
      </c>
      <c r="FV24" s="198"/>
      <c r="FW24" s="198"/>
      <c r="FX24" s="198" t="s">
        <v>1451</v>
      </c>
      <c r="FY24" s="198" t="s">
        <v>1458</v>
      </c>
      <c r="FZ24" s="198" t="s">
        <v>1462</v>
      </c>
      <c r="GA24" s="198" t="s">
        <v>1452</v>
      </c>
      <c r="GB24" s="198"/>
      <c r="GC24" s="198" t="s">
        <v>1462</v>
      </c>
      <c r="GD24" s="198" t="s">
        <v>1462</v>
      </c>
      <c r="GE24" s="198" t="s">
        <v>1451</v>
      </c>
      <c r="GF24" s="198" t="s">
        <v>1459</v>
      </c>
      <c r="GG24" s="198" t="s">
        <v>1459</v>
      </c>
      <c r="GH24" s="198" t="s">
        <v>1459</v>
      </c>
      <c r="GI24" s="198" t="s">
        <v>1481</v>
      </c>
      <c r="GJ24" s="198" t="s">
        <v>1464</v>
      </c>
      <c r="GK24" s="198"/>
      <c r="GL24" s="198" t="s">
        <v>1462</v>
      </c>
      <c r="GM24" s="198" t="s">
        <v>1462</v>
      </c>
      <c r="GN24" s="198" t="s">
        <v>1459</v>
      </c>
      <c r="GO24" s="198" t="s">
        <v>1459</v>
      </c>
      <c r="GP24" s="198" t="s">
        <v>1459</v>
      </c>
      <c r="GQ24" s="198" t="s">
        <v>1474</v>
      </c>
      <c r="GR24" s="198" t="s">
        <v>1473</v>
      </c>
      <c r="GS24" s="198" t="s">
        <v>1474</v>
      </c>
      <c r="GT24" s="198" t="s">
        <v>1483</v>
      </c>
      <c r="GU24" s="198" t="s">
        <v>1466</v>
      </c>
      <c r="GV24" s="198" t="s">
        <v>1467</v>
      </c>
      <c r="GW24" s="198" t="s">
        <v>1471</v>
      </c>
      <c r="GX24" s="198"/>
      <c r="GY24" s="198" t="s">
        <v>1462</v>
      </c>
      <c r="GZ24" s="198" t="s">
        <v>1459</v>
      </c>
      <c r="HA24" s="198" t="s">
        <v>1462</v>
      </c>
      <c r="HB24" s="198" t="s">
        <v>1459</v>
      </c>
      <c r="HC24" s="198" t="s">
        <v>1459</v>
      </c>
      <c r="HD24" s="198" t="s">
        <v>1462</v>
      </c>
    </row>
    <row r="25" ht="15.75" customHeight="1">
      <c r="A25" s="234">
        <v>25.0</v>
      </c>
      <c r="B25" s="236" t="s">
        <v>1461</v>
      </c>
      <c r="C25" s="198" t="str">
        <f t="shared" ref="C25:DC25" si="24">if(countif(DD:DD,$B25),INDIRECT(concat("B",$A25)),"")</f>
        <v>1.14.14.96</v>
      </c>
      <c r="D25" s="198" t="str">
        <f t="shared" si="24"/>
        <v>1.14.14.96</v>
      </c>
      <c r="E25" s="198" t="str">
        <f t="shared" si="24"/>
        <v>1.14.14.96</v>
      </c>
      <c r="F25" s="198" t="str">
        <f t="shared" si="24"/>
        <v>1.14.14.96</v>
      </c>
      <c r="G25" s="198" t="str">
        <f t="shared" si="24"/>
        <v>1.14.14.96</v>
      </c>
      <c r="H25" s="198" t="str">
        <f t="shared" si="24"/>
        <v>1.14.14.96</v>
      </c>
      <c r="I25" s="198" t="str">
        <f t="shared" si="24"/>
        <v>1.14.14.96</v>
      </c>
      <c r="J25" s="198" t="str">
        <f t="shared" si="24"/>
        <v/>
      </c>
      <c r="K25" s="198" t="str">
        <f t="shared" si="24"/>
        <v/>
      </c>
      <c r="L25" s="198" t="str">
        <f t="shared" si="24"/>
        <v>1.14.14.96</v>
      </c>
      <c r="M25" s="198" t="str">
        <f t="shared" si="24"/>
        <v>1.14.14.96</v>
      </c>
      <c r="N25" s="198" t="str">
        <f t="shared" si="24"/>
        <v>1.14.14.96</v>
      </c>
      <c r="O25" s="198" t="str">
        <f t="shared" si="24"/>
        <v>1.14.14.96</v>
      </c>
      <c r="P25" s="198" t="str">
        <f t="shared" si="24"/>
        <v>1.14.14.96</v>
      </c>
      <c r="Q25" s="198" t="str">
        <f t="shared" si="24"/>
        <v>1.14.14.96</v>
      </c>
      <c r="R25" s="198" t="str">
        <f t="shared" si="24"/>
        <v>1.14.14.96</v>
      </c>
      <c r="S25" s="198" t="str">
        <f t="shared" si="24"/>
        <v>1.14.14.96</v>
      </c>
      <c r="T25" s="198" t="str">
        <f t="shared" si="24"/>
        <v>1.14.14.96</v>
      </c>
      <c r="U25" s="198" t="str">
        <f t="shared" si="24"/>
        <v>1.14.14.96</v>
      </c>
      <c r="V25" s="198" t="str">
        <f t="shared" si="24"/>
        <v>1.14.14.96</v>
      </c>
      <c r="W25" s="198" t="str">
        <f t="shared" si="24"/>
        <v/>
      </c>
      <c r="X25" s="198" t="str">
        <f t="shared" si="24"/>
        <v/>
      </c>
      <c r="Y25" s="198" t="str">
        <f t="shared" si="24"/>
        <v/>
      </c>
      <c r="Z25" s="198" t="str">
        <f t="shared" si="24"/>
        <v>1.14.14.96</v>
      </c>
      <c r="AA25" s="198" t="str">
        <f t="shared" si="24"/>
        <v>1.14.14.96</v>
      </c>
      <c r="AB25" s="198" t="str">
        <f t="shared" si="24"/>
        <v>1.14.14.96</v>
      </c>
      <c r="AC25" s="198" t="str">
        <f t="shared" si="24"/>
        <v/>
      </c>
      <c r="AD25" s="198" t="str">
        <f t="shared" si="24"/>
        <v>1.14.14.96</v>
      </c>
      <c r="AE25" s="198" t="str">
        <f t="shared" si="24"/>
        <v>1.14.14.96</v>
      </c>
      <c r="AF25" s="198" t="str">
        <f t="shared" si="24"/>
        <v>1.14.14.96</v>
      </c>
      <c r="AG25" s="198" t="str">
        <f t="shared" si="24"/>
        <v>1.14.14.96</v>
      </c>
      <c r="AH25" s="198" t="str">
        <f t="shared" si="24"/>
        <v>1.14.14.96</v>
      </c>
      <c r="AI25" s="198" t="str">
        <f t="shared" si="24"/>
        <v/>
      </c>
      <c r="AJ25" s="198" t="str">
        <f t="shared" si="24"/>
        <v>1.14.14.96</v>
      </c>
      <c r="AK25" s="198" t="str">
        <f t="shared" si="24"/>
        <v>1.14.14.96</v>
      </c>
      <c r="AL25" s="198" t="str">
        <f t="shared" si="24"/>
        <v>1.14.14.96</v>
      </c>
      <c r="AM25" s="198" t="str">
        <f t="shared" si="24"/>
        <v>1.14.14.96</v>
      </c>
      <c r="AN25" s="198" t="str">
        <f t="shared" si="24"/>
        <v>1.14.14.96</v>
      </c>
      <c r="AO25" s="198" t="str">
        <f t="shared" si="24"/>
        <v>1.14.14.96</v>
      </c>
      <c r="AP25" s="198" t="str">
        <f t="shared" si="24"/>
        <v>1.14.14.96</v>
      </c>
      <c r="AQ25" s="198" t="str">
        <f t="shared" si="24"/>
        <v>1.14.14.96</v>
      </c>
      <c r="AR25" s="198" t="str">
        <f t="shared" si="24"/>
        <v/>
      </c>
      <c r="AS25" s="198" t="str">
        <f t="shared" si="24"/>
        <v>1.14.14.96</v>
      </c>
      <c r="AT25" s="198" t="str">
        <f t="shared" si="24"/>
        <v>1.14.14.96</v>
      </c>
      <c r="AU25" s="198" t="str">
        <f t="shared" si="24"/>
        <v>1.14.14.96</v>
      </c>
      <c r="AV25" s="198" t="str">
        <f t="shared" si="24"/>
        <v>1.14.14.96</v>
      </c>
      <c r="AW25" s="198" t="str">
        <f t="shared" si="24"/>
        <v>1.14.14.96</v>
      </c>
      <c r="AX25" s="198" t="str">
        <f t="shared" si="24"/>
        <v>1.14.14.96</v>
      </c>
      <c r="AY25" s="198" t="str">
        <f t="shared" si="24"/>
        <v>1.14.14.96</v>
      </c>
      <c r="AZ25" s="198" t="str">
        <f t="shared" si="24"/>
        <v>1.14.14.96</v>
      </c>
      <c r="BA25" s="198" t="str">
        <f t="shared" si="24"/>
        <v>1.14.14.96</v>
      </c>
      <c r="BB25" s="198" t="str">
        <f t="shared" si="24"/>
        <v>1.14.14.96</v>
      </c>
      <c r="BC25" s="198" t="str">
        <f t="shared" si="24"/>
        <v>1.14.14.96</v>
      </c>
      <c r="BD25" s="198" t="str">
        <f t="shared" si="24"/>
        <v>1.14.14.96</v>
      </c>
      <c r="BE25" s="198" t="str">
        <f t="shared" si="24"/>
        <v>1.14.14.96</v>
      </c>
      <c r="BF25" s="198" t="str">
        <f t="shared" si="24"/>
        <v>1.14.14.96</v>
      </c>
      <c r="BG25" s="198" t="str">
        <f t="shared" si="24"/>
        <v/>
      </c>
      <c r="BH25" s="198" t="str">
        <f t="shared" si="24"/>
        <v/>
      </c>
      <c r="BI25" s="198" t="str">
        <f t="shared" si="24"/>
        <v/>
      </c>
      <c r="BJ25" s="198" t="str">
        <f t="shared" si="24"/>
        <v/>
      </c>
      <c r="BK25" s="198" t="str">
        <f t="shared" si="24"/>
        <v>1.14.14.96</v>
      </c>
      <c r="BL25" s="198" t="str">
        <f t="shared" si="24"/>
        <v>1.14.14.96</v>
      </c>
      <c r="BM25" s="198" t="str">
        <f t="shared" si="24"/>
        <v>1.14.14.96</v>
      </c>
      <c r="BN25" s="198" t="str">
        <f t="shared" si="24"/>
        <v>1.14.14.96</v>
      </c>
      <c r="BO25" s="198" t="str">
        <f t="shared" si="24"/>
        <v>1.14.14.96</v>
      </c>
      <c r="BP25" s="198" t="str">
        <f t="shared" si="24"/>
        <v>1.14.14.96</v>
      </c>
      <c r="BQ25" s="198" t="str">
        <f t="shared" si="24"/>
        <v>1.14.14.96</v>
      </c>
      <c r="BR25" s="198" t="str">
        <f t="shared" si="24"/>
        <v>1.14.14.96</v>
      </c>
      <c r="BS25" s="198" t="str">
        <f t="shared" si="24"/>
        <v>1.14.14.96</v>
      </c>
      <c r="BT25" s="198" t="str">
        <f t="shared" si="24"/>
        <v>1.14.14.96</v>
      </c>
      <c r="BU25" s="198" t="str">
        <f t="shared" si="24"/>
        <v/>
      </c>
      <c r="BV25" s="198" t="str">
        <f t="shared" si="24"/>
        <v/>
      </c>
      <c r="BW25" s="198" t="str">
        <f t="shared" si="24"/>
        <v>1.14.14.96</v>
      </c>
      <c r="BX25" s="198" t="str">
        <f t="shared" si="24"/>
        <v>1.14.14.96</v>
      </c>
      <c r="BY25" s="198" t="str">
        <f t="shared" si="24"/>
        <v>1.14.14.96</v>
      </c>
      <c r="BZ25" s="198" t="str">
        <f t="shared" si="24"/>
        <v>1.14.14.96</v>
      </c>
      <c r="CA25" s="198" t="str">
        <f t="shared" si="24"/>
        <v>1.14.14.96</v>
      </c>
      <c r="CB25" s="198" t="str">
        <f t="shared" si="24"/>
        <v>1.14.14.96</v>
      </c>
      <c r="CC25" s="198" t="str">
        <f t="shared" si="24"/>
        <v>1.14.14.96</v>
      </c>
      <c r="CD25" s="198" t="str">
        <f t="shared" si="24"/>
        <v>1.14.14.96</v>
      </c>
      <c r="CE25" s="198" t="str">
        <f t="shared" si="24"/>
        <v>1.14.14.96</v>
      </c>
      <c r="CF25" s="198" t="str">
        <f t="shared" si="24"/>
        <v>1.14.14.96</v>
      </c>
      <c r="CG25" s="198" t="str">
        <f t="shared" si="24"/>
        <v>1.14.14.96</v>
      </c>
      <c r="CH25" s="198" t="str">
        <f t="shared" si="24"/>
        <v>1.14.14.96</v>
      </c>
      <c r="CI25" s="198" t="str">
        <f t="shared" si="24"/>
        <v>1.14.14.96</v>
      </c>
      <c r="CJ25" s="198" t="str">
        <f t="shared" si="24"/>
        <v>1.14.14.96</v>
      </c>
      <c r="CK25" s="198" t="str">
        <f t="shared" si="24"/>
        <v>1.14.14.96</v>
      </c>
      <c r="CL25" s="198" t="str">
        <f t="shared" si="24"/>
        <v>1.14.14.96</v>
      </c>
      <c r="CM25" s="198" t="str">
        <f t="shared" si="24"/>
        <v>1.14.14.96</v>
      </c>
      <c r="CN25" s="198" t="str">
        <f t="shared" si="24"/>
        <v>1.14.14.96</v>
      </c>
      <c r="CO25" s="198" t="str">
        <f t="shared" si="24"/>
        <v>1.14.14.96</v>
      </c>
      <c r="CP25" s="198" t="str">
        <f t="shared" si="24"/>
        <v>1.14.14.96</v>
      </c>
      <c r="CQ25" s="198" t="str">
        <f t="shared" si="24"/>
        <v>1.14.14.96</v>
      </c>
      <c r="CR25" s="198" t="str">
        <f t="shared" si="24"/>
        <v>1.14.14.96</v>
      </c>
      <c r="CS25" s="198" t="str">
        <f t="shared" si="24"/>
        <v>1.14.14.96</v>
      </c>
      <c r="CT25" s="198" t="str">
        <f t="shared" si="24"/>
        <v>1.14.14.96</v>
      </c>
      <c r="CU25" s="198" t="str">
        <f t="shared" si="24"/>
        <v>1.14.14.96</v>
      </c>
      <c r="CV25" s="198" t="str">
        <f t="shared" si="24"/>
        <v>1.14.14.96</v>
      </c>
      <c r="CW25" s="198" t="str">
        <f t="shared" si="24"/>
        <v/>
      </c>
      <c r="CX25" s="198" t="str">
        <f t="shared" si="24"/>
        <v>1.14.14.96</v>
      </c>
      <c r="CY25" s="198" t="str">
        <f t="shared" si="24"/>
        <v>1.14.14.96</v>
      </c>
      <c r="CZ25" s="198" t="str">
        <f t="shared" si="24"/>
        <v>1.14.14.96</v>
      </c>
      <c r="DA25" s="198" t="str">
        <f t="shared" si="24"/>
        <v/>
      </c>
      <c r="DB25" s="198" t="str">
        <f t="shared" si="24"/>
        <v>1.14.14.96</v>
      </c>
      <c r="DC25" s="198" t="str">
        <f t="shared" si="24"/>
        <v>1.14.14.96</v>
      </c>
      <c r="DD25" s="198" t="s">
        <v>1474</v>
      </c>
      <c r="DE25" s="198" t="s">
        <v>1477</v>
      </c>
      <c r="DF25" s="198" t="s">
        <v>1488</v>
      </c>
      <c r="DG25" s="198" t="s">
        <v>1486</v>
      </c>
      <c r="DH25" s="198" t="s">
        <v>1468</v>
      </c>
      <c r="DI25" s="198" t="s">
        <v>1502</v>
      </c>
      <c r="DJ25" s="198" t="s">
        <v>1475</v>
      </c>
      <c r="DK25" s="198"/>
      <c r="DL25" s="198"/>
      <c r="DM25" s="198" t="s">
        <v>1473</v>
      </c>
      <c r="DN25" s="198" t="s">
        <v>1474</v>
      </c>
      <c r="DO25" s="198" t="s">
        <v>1493</v>
      </c>
      <c r="DP25" s="198" t="s">
        <v>1474</v>
      </c>
      <c r="DQ25" s="198" t="s">
        <v>1493</v>
      </c>
      <c r="DR25" s="198" t="s">
        <v>1515</v>
      </c>
      <c r="DS25" s="198" t="s">
        <v>1487</v>
      </c>
      <c r="DT25" s="198" t="s">
        <v>1494</v>
      </c>
      <c r="DU25" s="198" t="s">
        <v>1487</v>
      </c>
      <c r="DV25" s="198" t="s">
        <v>1451</v>
      </c>
      <c r="DW25" s="198" t="s">
        <v>1451</v>
      </c>
      <c r="DX25" s="198"/>
      <c r="DY25" s="198"/>
      <c r="DZ25" s="198"/>
      <c r="EA25" s="198" t="s">
        <v>1515</v>
      </c>
      <c r="EB25" s="198" t="s">
        <v>1483</v>
      </c>
      <c r="EC25" s="198" t="s">
        <v>1483</v>
      </c>
      <c r="ED25" s="198"/>
      <c r="EE25" s="198" t="s">
        <v>1479</v>
      </c>
      <c r="EF25" s="198" t="s">
        <v>1478</v>
      </c>
      <c r="EG25" s="198" t="s">
        <v>1479</v>
      </c>
      <c r="EH25" s="198" t="s">
        <v>1479</v>
      </c>
      <c r="EI25" s="198" t="s">
        <v>1479</v>
      </c>
      <c r="EJ25" s="198"/>
      <c r="EK25" s="198" t="s">
        <v>1459</v>
      </c>
      <c r="EL25" s="198" t="s">
        <v>1473</v>
      </c>
      <c r="EM25" s="198" t="s">
        <v>1463</v>
      </c>
      <c r="EN25" s="198" t="s">
        <v>1459</v>
      </c>
      <c r="EO25" s="198" t="s">
        <v>1458</v>
      </c>
      <c r="EP25" s="198" t="s">
        <v>1451</v>
      </c>
      <c r="EQ25" s="198" t="s">
        <v>1471</v>
      </c>
      <c r="ER25" s="198" t="s">
        <v>1468</v>
      </c>
      <c r="ES25" s="198"/>
      <c r="ET25" s="198" t="s">
        <v>1459</v>
      </c>
      <c r="EU25" s="198" t="s">
        <v>1459</v>
      </c>
      <c r="EV25" s="198" t="s">
        <v>1459</v>
      </c>
      <c r="EW25" s="198" t="s">
        <v>1459</v>
      </c>
      <c r="EX25" s="198" t="s">
        <v>1459</v>
      </c>
      <c r="EY25" s="198" t="s">
        <v>1459</v>
      </c>
      <c r="EZ25" s="198" t="s">
        <v>1459</v>
      </c>
      <c r="FA25" s="198" t="s">
        <v>1459</v>
      </c>
      <c r="FB25" s="198" t="s">
        <v>1451</v>
      </c>
      <c r="FC25" s="198" t="s">
        <v>1459</v>
      </c>
      <c r="FD25" s="198" t="s">
        <v>1452</v>
      </c>
      <c r="FE25" s="198" t="s">
        <v>1459</v>
      </c>
      <c r="FF25" s="198" t="s">
        <v>1451</v>
      </c>
      <c r="FG25" s="198" t="s">
        <v>1459</v>
      </c>
      <c r="FH25" s="198"/>
      <c r="FI25" s="198"/>
      <c r="FJ25" s="198"/>
      <c r="FK25" s="198"/>
      <c r="FL25" s="198" t="s">
        <v>1458</v>
      </c>
      <c r="FM25" s="198" t="s">
        <v>1458</v>
      </c>
      <c r="FN25" s="198" t="s">
        <v>1451</v>
      </c>
      <c r="FO25" s="198" t="s">
        <v>1451</v>
      </c>
      <c r="FP25" s="198" t="s">
        <v>1451</v>
      </c>
      <c r="FQ25" s="198" t="s">
        <v>1451</v>
      </c>
      <c r="FR25" s="198" t="s">
        <v>1459</v>
      </c>
      <c r="FS25" s="198" t="s">
        <v>1458</v>
      </c>
      <c r="FT25" s="198" t="s">
        <v>1507</v>
      </c>
      <c r="FU25" s="198" t="s">
        <v>1468</v>
      </c>
      <c r="FV25" s="198"/>
      <c r="FW25" s="198"/>
      <c r="FX25" s="198" t="s">
        <v>1452</v>
      </c>
      <c r="FY25" s="198" t="s">
        <v>1463</v>
      </c>
      <c r="FZ25" s="198" t="s">
        <v>1459</v>
      </c>
      <c r="GA25" s="198" t="s">
        <v>1458</v>
      </c>
      <c r="GB25" s="198"/>
      <c r="GC25" s="198" t="s">
        <v>1459</v>
      </c>
      <c r="GD25" s="198" t="s">
        <v>1459</v>
      </c>
      <c r="GE25" s="198" t="s">
        <v>1452</v>
      </c>
      <c r="GF25" s="198" t="s">
        <v>1451</v>
      </c>
      <c r="GG25" s="198" t="s">
        <v>1451</v>
      </c>
      <c r="GH25" s="198" t="s">
        <v>1451</v>
      </c>
      <c r="GI25" s="198" t="s">
        <v>1457</v>
      </c>
      <c r="GJ25" s="198" t="s">
        <v>1462</v>
      </c>
      <c r="GK25" s="198"/>
      <c r="GL25" s="198" t="s">
        <v>1459</v>
      </c>
      <c r="GM25" s="198" t="s">
        <v>1458</v>
      </c>
      <c r="GN25" s="198" t="s">
        <v>1451</v>
      </c>
      <c r="GO25" s="198" t="s">
        <v>1451</v>
      </c>
      <c r="GP25" s="198" t="s">
        <v>1451</v>
      </c>
      <c r="GQ25" s="198" t="s">
        <v>1475</v>
      </c>
      <c r="GR25" s="198" t="s">
        <v>1474</v>
      </c>
      <c r="GS25" s="198" t="s">
        <v>1494</v>
      </c>
      <c r="GT25" s="198" t="s">
        <v>1470</v>
      </c>
      <c r="GU25" s="198" t="s">
        <v>1467</v>
      </c>
      <c r="GV25" s="198" t="s">
        <v>1515</v>
      </c>
      <c r="GW25" s="198" t="s">
        <v>1487</v>
      </c>
      <c r="GX25" s="198"/>
      <c r="GY25" s="198" t="s">
        <v>1458</v>
      </c>
      <c r="GZ25" s="198" t="s">
        <v>1451</v>
      </c>
      <c r="HA25" s="198" t="s">
        <v>1459</v>
      </c>
      <c r="HB25" s="198" t="s">
        <v>1451</v>
      </c>
      <c r="HC25" s="198" t="s">
        <v>1451</v>
      </c>
      <c r="HD25" s="198" t="s">
        <v>1459</v>
      </c>
    </row>
    <row r="26" ht="15.75" customHeight="1">
      <c r="A26" s="234">
        <v>26.0</v>
      </c>
      <c r="B26" s="198" t="s">
        <v>1462</v>
      </c>
      <c r="C26" s="198" t="str">
        <f t="shared" ref="C26:DC26" si="25">if(countif(DD:DD,$B26),INDIRECT(concat("B",$A26)),"")</f>
        <v>1.14.19.76</v>
      </c>
      <c r="D26" s="198" t="str">
        <f t="shared" si="25"/>
        <v/>
      </c>
      <c r="E26" s="198" t="str">
        <f t="shared" si="25"/>
        <v/>
      </c>
      <c r="F26" s="198" t="str">
        <f t="shared" si="25"/>
        <v/>
      </c>
      <c r="G26" s="198" t="str">
        <f t="shared" si="25"/>
        <v>1.14.19.76</v>
      </c>
      <c r="H26" s="198" t="str">
        <f t="shared" si="25"/>
        <v>1.14.19.76</v>
      </c>
      <c r="I26" s="198" t="str">
        <f t="shared" si="25"/>
        <v/>
      </c>
      <c r="J26" s="198" t="str">
        <f t="shared" si="25"/>
        <v/>
      </c>
      <c r="K26" s="198" t="str">
        <f t="shared" si="25"/>
        <v/>
      </c>
      <c r="L26" s="198" t="str">
        <f t="shared" si="25"/>
        <v/>
      </c>
      <c r="M26" s="198" t="str">
        <f t="shared" si="25"/>
        <v>1.14.19.76</v>
      </c>
      <c r="N26" s="198" t="str">
        <f t="shared" si="25"/>
        <v/>
      </c>
      <c r="O26" s="198" t="str">
        <f t="shared" si="25"/>
        <v/>
      </c>
      <c r="P26" s="198" t="str">
        <f t="shared" si="25"/>
        <v/>
      </c>
      <c r="Q26" s="198" t="str">
        <f t="shared" si="25"/>
        <v>1.14.19.76</v>
      </c>
      <c r="R26" s="198" t="str">
        <f t="shared" si="25"/>
        <v/>
      </c>
      <c r="S26" s="198" t="str">
        <f t="shared" si="25"/>
        <v/>
      </c>
      <c r="T26" s="198" t="str">
        <f t="shared" si="25"/>
        <v/>
      </c>
      <c r="U26" s="198" t="str">
        <f t="shared" si="25"/>
        <v/>
      </c>
      <c r="V26" s="198" t="str">
        <f t="shared" si="25"/>
        <v/>
      </c>
      <c r="W26" s="198" t="str">
        <f t="shared" si="25"/>
        <v/>
      </c>
      <c r="X26" s="198" t="str">
        <f t="shared" si="25"/>
        <v/>
      </c>
      <c r="Y26" s="198" t="str">
        <f t="shared" si="25"/>
        <v/>
      </c>
      <c r="Z26" s="198" t="str">
        <f t="shared" si="25"/>
        <v>1.14.19.76</v>
      </c>
      <c r="AA26" s="198" t="str">
        <f t="shared" si="25"/>
        <v>1.14.19.76</v>
      </c>
      <c r="AB26" s="198" t="str">
        <f t="shared" si="25"/>
        <v>1.14.19.76</v>
      </c>
      <c r="AC26" s="198" t="str">
        <f t="shared" si="25"/>
        <v/>
      </c>
      <c r="AD26" s="198" t="str">
        <f t="shared" si="25"/>
        <v/>
      </c>
      <c r="AE26" s="198" t="str">
        <f t="shared" si="25"/>
        <v/>
      </c>
      <c r="AF26" s="198" t="str">
        <f t="shared" si="25"/>
        <v/>
      </c>
      <c r="AG26" s="198" t="str">
        <f t="shared" si="25"/>
        <v/>
      </c>
      <c r="AH26" s="198" t="str">
        <f t="shared" si="25"/>
        <v/>
      </c>
      <c r="AI26" s="198" t="str">
        <f t="shared" si="25"/>
        <v/>
      </c>
      <c r="AJ26" s="198" t="str">
        <f t="shared" si="25"/>
        <v>1.14.19.76</v>
      </c>
      <c r="AK26" s="198" t="str">
        <f t="shared" si="25"/>
        <v/>
      </c>
      <c r="AL26" s="198" t="str">
        <f t="shared" si="25"/>
        <v/>
      </c>
      <c r="AM26" s="198" t="str">
        <f t="shared" si="25"/>
        <v>1.14.19.76</v>
      </c>
      <c r="AN26" s="198" t="str">
        <f t="shared" si="25"/>
        <v/>
      </c>
      <c r="AO26" s="198" t="str">
        <f t="shared" si="25"/>
        <v>1.14.19.76</v>
      </c>
      <c r="AP26" s="198" t="str">
        <f t="shared" si="25"/>
        <v/>
      </c>
      <c r="AQ26" s="198" t="str">
        <f t="shared" si="25"/>
        <v/>
      </c>
      <c r="AR26" s="198" t="str">
        <f t="shared" si="25"/>
        <v/>
      </c>
      <c r="AS26" s="198" t="str">
        <f t="shared" si="25"/>
        <v>1.14.19.76</v>
      </c>
      <c r="AT26" s="198" t="str">
        <f t="shared" si="25"/>
        <v>1.14.19.76</v>
      </c>
      <c r="AU26" s="198" t="str">
        <f t="shared" si="25"/>
        <v>1.14.19.76</v>
      </c>
      <c r="AV26" s="198" t="str">
        <f t="shared" si="25"/>
        <v>1.14.19.76</v>
      </c>
      <c r="AW26" s="198" t="str">
        <f t="shared" si="25"/>
        <v>1.14.19.76</v>
      </c>
      <c r="AX26" s="198" t="str">
        <f t="shared" si="25"/>
        <v>1.14.19.76</v>
      </c>
      <c r="AY26" s="198" t="str">
        <f t="shared" si="25"/>
        <v/>
      </c>
      <c r="AZ26" s="198" t="str">
        <f t="shared" si="25"/>
        <v>1.14.19.76</v>
      </c>
      <c r="BA26" s="198" t="str">
        <f t="shared" si="25"/>
        <v/>
      </c>
      <c r="BB26" s="198" t="str">
        <f t="shared" si="25"/>
        <v>1.14.19.76</v>
      </c>
      <c r="BC26" s="198" t="str">
        <f t="shared" si="25"/>
        <v/>
      </c>
      <c r="BD26" s="198" t="str">
        <f t="shared" si="25"/>
        <v>1.14.19.76</v>
      </c>
      <c r="BE26" s="198" t="str">
        <f t="shared" si="25"/>
        <v/>
      </c>
      <c r="BF26" s="198" t="str">
        <f t="shared" si="25"/>
        <v>1.14.19.76</v>
      </c>
      <c r="BG26" s="198" t="str">
        <f t="shared" si="25"/>
        <v/>
      </c>
      <c r="BH26" s="198" t="str">
        <f t="shared" si="25"/>
        <v/>
      </c>
      <c r="BI26" s="198" t="str">
        <f t="shared" si="25"/>
        <v/>
      </c>
      <c r="BJ26" s="198" t="str">
        <f t="shared" si="25"/>
        <v/>
      </c>
      <c r="BK26" s="198" t="str">
        <f t="shared" si="25"/>
        <v/>
      </c>
      <c r="BL26" s="198" t="str">
        <f t="shared" si="25"/>
        <v/>
      </c>
      <c r="BM26" s="198" t="str">
        <f t="shared" si="25"/>
        <v/>
      </c>
      <c r="BN26" s="198" t="str">
        <f t="shared" si="25"/>
        <v/>
      </c>
      <c r="BO26" s="198" t="str">
        <f t="shared" si="25"/>
        <v/>
      </c>
      <c r="BP26" s="198" t="str">
        <f t="shared" si="25"/>
        <v/>
      </c>
      <c r="BQ26" s="198" t="str">
        <f t="shared" si="25"/>
        <v>1.14.19.76</v>
      </c>
      <c r="BR26" s="198" t="str">
        <f t="shared" si="25"/>
        <v>1.14.19.76</v>
      </c>
      <c r="BS26" s="198" t="str">
        <f t="shared" si="25"/>
        <v>1.14.19.76</v>
      </c>
      <c r="BT26" s="198" t="str">
        <f t="shared" si="25"/>
        <v>1.14.19.76</v>
      </c>
      <c r="BU26" s="198" t="str">
        <f t="shared" si="25"/>
        <v/>
      </c>
      <c r="BV26" s="198" t="str">
        <f t="shared" si="25"/>
        <v/>
      </c>
      <c r="BW26" s="198" t="str">
        <f t="shared" si="25"/>
        <v/>
      </c>
      <c r="BX26" s="198" t="str">
        <f t="shared" si="25"/>
        <v/>
      </c>
      <c r="BY26" s="198" t="str">
        <f t="shared" si="25"/>
        <v>1.14.19.76</v>
      </c>
      <c r="BZ26" s="198" t="str">
        <f t="shared" si="25"/>
        <v/>
      </c>
      <c r="CA26" s="198" t="str">
        <f t="shared" si="25"/>
        <v/>
      </c>
      <c r="CB26" s="198" t="str">
        <f t="shared" si="25"/>
        <v>1.14.19.76</v>
      </c>
      <c r="CC26" s="198" t="str">
        <f t="shared" si="25"/>
        <v>1.14.19.76</v>
      </c>
      <c r="CD26" s="198" t="str">
        <f t="shared" si="25"/>
        <v/>
      </c>
      <c r="CE26" s="198" t="str">
        <f t="shared" si="25"/>
        <v/>
      </c>
      <c r="CF26" s="198" t="str">
        <f t="shared" si="25"/>
        <v/>
      </c>
      <c r="CG26" s="198" t="str">
        <f t="shared" si="25"/>
        <v/>
      </c>
      <c r="CH26" s="198" t="str">
        <f t="shared" si="25"/>
        <v/>
      </c>
      <c r="CI26" s="198" t="str">
        <f t="shared" si="25"/>
        <v>1.14.19.76</v>
      </c>
      <c r="CJ26" s="198" t="str">
        <f t="shared" si="25"/>
        <v/>
      </c>
      <c r="CK26" s="198" t="str">
        <f t="shared" si="25"/>
        <v>1.14.19.76</v>
      </c>
      <c r="CL26" s="198" t="str">
        <f t="shared" si="25"/>
        <v>1.14.19.76</v>
      </c>
      <c r="CM26" s="198" t="str">
        <f t="shared" si="25"/>
        <v/>
      </c>
      <c r="CN26" s="198" t="str">
        <f t="shared" si="25"/>
        <v/>
      </c>
      <c r="CO26" s="198" t="str">
        <f t="shared" si="25"/>
        <v/>
      </c>
      <c r="CP26" s="198" t="str">
        <f t="shared" si="25"/>
        <v>1.14.19.76</v>
      </c>
      <c r="CQ26" s="198" t="str">
        <f t="shared" si="25"/>
        <v/>
      </c>
      <c r="CR26" s="198" t="str">
        <f t="shared" si="25"/>
        <v/>
      </c>
      <c r="CS26" s="198" t="str">
        <f t="shared" si="25"/>
        <v>1.14.19.76</v>
      </c>
      <c r="CT26" s="198" t="str">
        <f t="shared" si="25"/>
        <v>1.14.19.76</v>
      </c>
      <c r="CU26" s="198" t="str">
        <f t="shared" si="25"/>
        <v/>
      </c>
      <c r="CV26" s="198" t="str">
        <f t="shared" si="25"/>
        <v/>
      </c>
      <c r="CW26" s="198" t="str">
        <f t="shared" si="25"/>
        <v/>
      </c>
      <c r="CX26" s="198" t="str">
        <f t="shared" si="25"/>
        <v>1.14.19.76</v>
      </c>
      <c r="CY26" s="198" t="str">
        <f t="shared" si="25"/>
        <v/>
      </c>
      <c r="CZ26" s="198" t="str">
        <f t="shared" si="25"/>
        <v>1.14.19.76</v>
      </c>
      <c r="DA26" s="198" t="str">
        <f t="shared" si="25"/>
        <v>1.14.19.76</v>
      </c>
      <c r="DB26" s="198" t="str">
        <f t="shared" si="25"/>
        <v/>
      </c>
      <c r="DC26" s="198" t="str">
        <f t="shared" si="25"/>
        <v>1.14.19.76</v>
      </c>
      <c r="DD26" s="198" t="s">
        <v>1475</v>
      </c>
      <c r="DE26" s="198" t="s">
        <v>1478</v>
      </c>
      <c r="DF26" s="198" t="s">
        <v>1477</v>
      </c>
      <c r="DG26" s="198" t="s">
        <v>1472</v>
      </c>
      <c r="DH26" s="198" t="s">
        <v>1469</v>
      </c>
      <c r="DI26" s="198" t="s">
        <v>1503</v>
      </c>
      <c r="DJ26" s="198" t="s">
        <v>1476</v>
      </c>
      <c r="DK26" s="198"/>
      <c r="DL26" s="198"/>
      <c r="DM26" s="198" t="s">
        <v>1474</v>
      </c>
      <c r="DN26" s="198" t="s">
        <v>1475</v>
      </c>
      <c r="DO26" s="198" t="s">
        <v>1474</v>
      </c>
      <c r="DP26" s="198" t="s">
        <v>1495</v>
      </c>
      <c r="DQ26" s="198" t="s">
        <v>1474</v>
      </c>
      <c r="DR26" s="198" t="s">
        <v>1468</v>
      </c>
      <c r="DS26" s="198" t="s">
        <v>1493</v>
      </c>
      <c r="DT26" s="198" t="s">
        <v>1495</v>
      </c>
      <c r="DU26" s="198" t="s">
        <v>1473</v>
      </c>
      <c r="DV26" s="198" t="s">
        <v>1452</v>
      </c>
      <c r="DW26" s="198" t="s">
        <v>1452</v>
      </c>
      <c r="DX26" s="198"/>
      <c r="DY26" s="198"/>
      <c r="DZ26" s="198"/>
      <c r="EA26" s="198" t="s">
        <v>1468</v>
      </c>
      <c r="EB26" s="198" t="s">
        <v>1470</v>
      </c>
      <c r="EC26" s="198" t="s">
        <v>1470</v>
      </c>
      <c r="ED26" s="198"/>
      <c r="EE26" s="198" t="s">
        <v>1481</v>
      </c>
      <c r="EF26" s="198" t="s">
        <v>1479</v>
      </c>
      <c r="EG26" s="198" t="s">
        <v>1481</v>
      </c>
      <c r="EH26" s="198" t="s">
        <v>1481</v>
      </c>
      <c r="EI26" s="198" t="s">
        <v>1481</v>
      </c>
      <c r="EJ26" s="198"/>
      <c r="EK26" s="198" t="s">
        <v>1451</v>
      </c>
      <c r="EL26" s="198" t="s">
        <v>1474</v>
      </c>
      <c r="EM26" s="198" t="s">
        <v>1476</v>
      </c>
      <c r="EN26" s="198" t="s">
        <v>1451</v>
      </c>
      <c r="EO26" s="198" t="s">
        <v>1463</v>
      </c>
      <c r="EP26" s="198" t="s">
        <v>1452</v>
      </c>
      <c r="EQ26" s="198" t="s">
        <v>1481</v>
      </c>
      <c r="ER26" s="198" t="s">
        <v>1465</v>
      </c>
      <c r="ES26" s="198"/>
      <c r="ET26" s="198" t="s">
        <v>1451</v>
      </c>
      <c r="EU26" s="198" t="s">
        <v>1451</v>
      </c>
      <c r="EV26" s="198" t="s">
        <v>1451</v>
      </c>
      <c r="EW26" s="198" t="s">
        <v>1451</v>
      </c>
      <c r="EX26" s="198" t="s">
        <v>1451</v>
      </c>
      <c r="EY26" s="198" t="s">
        <v>1451</v>
      </c>
      <c r="EZ26" s="198" t="s">
        <v>1451</v>
      </c>
      <c r="FA26" s="198" t="s">
        <v>1451</v>
      </c>
      <c r="FB26" s="198" t="s">
        <v>1452</v>
      </c>
      <c r="FC26" s="198" t="s">
        <v>1451</v>
      </c>
      <c r="FD26" s="198" t="s">
        <v>1458</v>
      </c>
      <c r="FE26" s="198" t="s">
        <v>1451</v>
      </c>
      <c r="FF26" s="198" t="s">
        <v>1452</v>
      </c>
      <c r="FG26" s="198" t="s">
        <v>1451</v>
      </c>
      <c r="FH26" s="198"/>
      <c r="FI26" s="198"/>
      <c r="FJ26" s="198"/>
      <c r="FK26" s="198"/>
      <c r="FL26" s="198" t="s">
        <v>1463</v>
      </c>
      <c r="FM26" s="198" t="s">
        <v>1463</v>
      </c>
      <c r="FN26" s="198" t="s">
        <v>1452</v>
      </c>
      <c r="FO26" s="198" t="s">
        <v>1452</v>
      </c>
      <c r="FP26" s="198" t="s">
        <v>1452</v>
      </c>
      <c r="FQ26" s="198" t="s">
        <v>1452</v>
      </c>
      <c r="FR26" s="198" t="s">
        <v>1451</v>
      </c>
      <c r="FS26" s="198" t="s">
        <v>1463</v>
      </c>
      <c r="FT26" s="198" t="s">
        <v>1464</v>
      </c>
      <c r="FU26" s="198" t="s">
        <v>1465</v>
      </c>
      <c r="FV26" s="198"/>
      <c r="FW26" s="198"/>
      <c r="FX26" s="198" t="s">
        <v>1463</v>
      </c>
      <c r="FY26" s="198" t="s">
        <v>1476</v>
      </c>
      <c r="FZ26" s="198" t="s">
        <v>1451</v>
      </c>
      <c r="GA26" s="198" t="s">
        <v>1463</v>
      </c>
      <c r="GB26" s="198"/>
      <c r="GC26" s="198" t="s">
        <v>1451</v>
      </c>
      <c r="GD26" s="198" t="s">
        <v>1451</v>
      </c>
      <c r="GE26" s="198" t="s">
        <v>1463</v>
      </c>
      <c r="GF26" s="198" t="s">
        <v>1452</v>
      </c>
      <c r="GG26" s="198" t="s">
        <v>1452</v>
      </c>
      <c r="GH26" s="198" t="s">
        <v>1452</v>
      </c>
      <c r="GI26" s="198" t="s">
        <v>1464</v>
      </c>
      <c r="GJ26" s="198" t="s">
        <v>1459</v>
      </c>
      <c r="GK26" s="198"/>
      <c r="GL26" s="198" t="s">
        <v>1451</v>
      </c>
      <c r="GM26" s="198" t="s">
        <v>1463</v>
      </c>
      <c r="GN26" s="198" t="s">
        <v>1452</v>
      </c>
      <c r="GO26" s="198" t="s">
        <v>1452</v>
      </c>
      <c r="GP26" s="198" t="s">
        <v>1452</v>
      </c>
      <c r="GQ26" s="198" t="s">
        <v>1476</v>
      </c>
      <c r="GR26" s="198" t="s">
        <v>1475</v>
      </c>
      <c r="GS26" s="198" t="s">
        <v>1488</v>
      </c>
      <c r="GT26" s="198" t="s">
        <v>1471</v>
      </c>
      <c r="GU26" s="198" t="s">
        <v>1515</v>
      </c>
      <c r="GV26" s="198" t="s">
        <v>1468</v>
      </c>
      <c r="GW26" s="198" t="s">
        <v>1473</v>
      </c>
      <c r="GX26" s="198"/>
      <c r="GY26" s="198" t="s">
        <v>1463</v>
      </c>
      <c r="GZ26" s="198" t="s">
        <v>1452</v>
      </c>
      <c r="HA26" s="198" t="s">
        <v>1451</v>
      </c>
      <c r="HB26" s="198" t="s">
        <v>1452</v>
      </c>
      <c r="HC26" s="198" t="s">
        <v>1452</v>
      </c>
      <c r="HD26" s="198" t="s">
        <v>1451</v>
      </c>
    </row>
    <row r="27" ht="15.75" customHeight="1">
      <c r="A27" s="234">
        <v>27.0</v>
      </c>
      <c r="B27" s="198" t="s">
        <v>1463</v>
      </c>
      <c r="C27" s="198" t="str">
        <f t="shared" ref="C27:DC27" si="26">if(countif(DD:DD,$B27),INDIRECT(concat("B",$A27)),"")</f>
        <v>1.14.20.4</v>
      </c>
      <c r="D27" s="198" t="str">
        <f t="shared" si="26"/>
        <v>1.14.20.4</v>
      </c>
      <c r="E27" s="198" t="str">
        <f t="shared" si="26"/>
        <v>1.14.20.4</v>
      </c>
      <c r="F27" s="198" t="str">
        <f t="shared" si="26"/>
        <v>1.14.20.4</v>
      </c>
      <c r="G27" s="198" t="str">
        <f t="shared" si="26"/>
        <v>1.14.20.4</v>
      </c>
      <c r="H27" s="198" t="str">
        <f t="shared" si="26"/>
        <v>1.14.20.4</v>
      </c>
      <c r="I27" s="198" t="str">
        <f t="shared" si="26"/>
        <v>1.14.20.4</v>
      </c>
      <c r="J27" s="198" t="str">
        <f t="shared" si="26"/>
        <v/>
      </c>
      <c r="K27" s="198" t="str">
        <f t="shared" si="26"/>
        <v/>
      </c>
      <c r="L27" s="198" t="str">
        <f t="shared" si="26"/>
        <v>1.14.20.4</v>
      </c>
      <c r="M27" s="198" t="str">
        <f t="shared" si="26"/>
        <v/>
      </c>
      <c r="N27" s="198" t="str">
        <f t="shared" si="26"/>
        <v>1.14.20.4</v>
      </c>
      <c r="O27" s="198" t="str">
        <f t="shared" si="26"/>
        <v>1.14.20.4</v>
      </c>
      <c r="P27" s="198" t="str">
        <f t="shared" si="26"/>
        <v>1.14.20.4</v>
      </c>
      <c r="Q27" s="198" t="str">
        <f t="shared" si="26"/>
        <v>1.14.20.4</v>
      </c>
      <c r="R27" s="198" t="str">
        <f t="shared" si="26"/>
        <v>1.14.20.4</v>
      </c>
      <c r="S27" s="198" t="str">
        <f t="shared" si="26"/>
        <v>1.14.20.4</v>
      </c>
      <c r="T27" s="198" t="str">
        <f t="shared" si="26"/>
        <v>1.14.20.4</v>
      </c>
      <c r="U27" s="198" t="str">
        <f t="shared" si="26"/>
        <v>1.14.20.4</v>
      </c>
      <c r="V27" s="198" t="str">
        <f t="shared" si="26"/>
        <v>1.14.20.4</v>
      </c>
      <c r="W27" s="198" t="str">
        <f t="shared" si="26"/>
        <v/>
      </c>
      <c r="X27" s="198" t="str">
        <f t="shared" si="26"/>
        <v/>
      </c>
      <c r="Y27" s="198" t="str">
        <f t="shared" si="26"/>
        <v/>
      </c>
      <c r="Z27" s="198" t="str">
        <f t="shared" si="26"/>
        <v>1.14.20.4</v>
      </c>
      <c r="AA27" s="198" t="str">
        <f t="shared" si="26"/>
        <v>1.14.20.4</v>
      </c>
      <c r="AB27" s="198" t="str">
        <f t="shared" si="26"/>
        <v>1.14.20.4</v>
      </c>
      <c r="AC27" s="198" t="str">
        <f t="shared" si="26"/>
        <v/>
      </c>
      <c r="AD27" s="198" t="str">
        <f t="shared" si="26"/>
        <v/>
      </c>
      <c r="AE27" s="198" t="str">
        <f t="shared" si="26"/>
        <v/>
      </c>
      <c r="AF27" s="198" t="str">
        <f t="shared" si="26"/>
        <v/>
      </c>
      <c r="AG27" s="198" t="str">
        <f t="shared" si="26"/>
        <v/>
      </c>
      <c r="AH27" s="198" t="str">
        <f t="shared" si="26"/>
        <v/>
      </c>
      <c r="AI27" s="198" t="str">
        <f t="shared" si="26"/>
        <v/>
      </c>
      <c r="AJ27" s="198" t="str">
        <f t="shared" si="26"/>
        <v>1.14.20.4</v>
      </c>
      <c r="AK27" s="198" t="str">
        <f t="shared" si="26"/>
        <v>1.14.20.4</v>
      </c>
      <c r="AL27" s="198" t="str">
        <f t="shared" si="26"/>
        <v>1.14.20.4</v>
      </c>
      <c r="AM27" s="198" t="str">
        <f t="shared" si="26"/>
        <v>1.14.20.4</v>
      </c>
      <c r="AN27" s="198" t="str">
        <f t="shared" si="26"/>
        <v>1.14.20.4</v>
      </c>
      <c r="AO27" s="198" t="str">
        <f t="shared" si="26"/>
        <v>1.14.20.4</v>
      </c>
      <c r="AP27" s="198" t="str">
        <f t="shared" si="26"/>
        <v>1.14.20.4</v>
      </c>
      <c r="AQ27" s="198" t="str">
        <f t="shared" si="26"/>
        <v>1.14.20.4</v>
      </c>
      <c r="AR27" s="198" t="str">
        <f t="shared" si="26"/>
        <v/>
      </c>
      <c r="AS27" s="198" t="str">
        <f t="shared" si="26"/>
        <v>1.14.20.4</v>
      </c>
      <c r="AT27" s="198" t="str">
        <f t="shared" si="26"/>
        <v>1.14.20.4</v>
      </c>
      <c r="AU27" s="198" t="str">
        <f t="shared" si="26"/>
        <v>1.14.20.4</v>
      </c>
      <c r="AV27" s="198" t="str">
        <f t="shared" si="26"/>
        <v>1.14.20.4</v>
      </c>
      <c r="AW27" s="198" t="str">
        <f t="shared" si="26"/>
        <v>1.14.20.4</v>
      </c>
      <c r="AX27" s="198" t="str">
        <f t="shared" si="26"/>
        <v>1.14.20.4</v>
      </c>
      <c r="AY27" s="198" t="str">
        <f t="shared" si="26"/>
        <v>1.14.20.4</v>
      </c>
      <c r="AZ27" s="198" t="str">
        <f t="shared" si="26"/>
        <v>1.14.20.4</v>
      </c>
      <c r="BA27" s="198" t="str">
        <f t="shared" si="26"/>
        <v>1.14.20.4</v>
      </c>
      <c r="BB27" s="198" t="str">
        <f t="shared" si="26"/>
        <v/>
      </c>
      <c r="BC27" s="198" t="str">
        <f t="shared" si="26"/>
        <v>1.14.20.4</v>
      </c>
      <c r="BD27" s="198" t="str">
        <f t="shared" si="26"/>
        <v>1.14.20.4</v>
      </c>
      <c r="BE27" s="198" t="str">
        <f t="shared" si="26"/>
        <v>1.14.20.4</v>
      </c>
      <c r="BF27" s="198" t="str">
        <f t="shared" si="26"/>
        <v>1.14.20.4</v>
      </c>
      <c r="BG27" s="198" t="str">
        <f t="shared" si="26"/>
        <v/>
      </c>
      <c r="BH27" s="198" t="str">
        <f t="shared" si="26"/>
        <v/>
      </c>
      <c r="BI27" s="198" t="str">
        <f t="shared" si="26"/>
        <v/>
      </c>
      <c r="BJ27" s="198" t="str">
        <f t="shared" si="26"/>
        <v/>
      </c>
      <c r="BK27" s="198" t="str">
        <f t="shared" si="26"/>
        <v>1.14.20.4</v>
      </c>
      <c r="BL27" s="198" t="str">
        <f t="shared" si="26"/>
        <v>1.14.20.4</v>
      </c>
      <c r="BM27" s="198" t="str">
        <f t="shared" si="26"/>
        <v>1.14.20.4</v>
      </c>
      <c r="BN27" s="198" t="str">
        <f t="shared" si="26"/>
        <v>1.14.20.4</v>
      </c>
      <c r="BO27" s="198" t="str">
        <f t="shared" si="26"/>
        <v>1.14.20.4</v>
      </c>
      <c r="BP27" s="198" t="str">
        <f t="shared" si="26"/>
        <v>1.14.20.4</v>
      </c>
      <c r="BQ27" s="198" t="str">
        <f t="shared" si="26"/>
        <v>1.14.20.4</v>
      </c>
      <c r="BR27" s="198" t="str">
        <f t="shared" si="26"/>
        <v>1.14.20.4</v>
      </c>
      <c r="BS27" s="198" t="str">
        <f t="shared" si="26"/>
        <v>1.14.20.4</v>
      </c>
      <c r="BT27" s="198" t="str">
        <f t="shared" si="26"/>
        <v>1.14.20.4</v>
      </c>
      <c r="BU27" s="198" t="str">
        <f t="shared" si="26"/>
        <v/>
      </c>
      <c r="BV27" s="198" t="str">
        <f t="shared" si="26"/>
        <v/>
      </c>
      <c r="BW27" s="198" t="str">
        <f t="shared" si="26"/>
        <v>1.14.20.4</v>
      </c>
      <c r="BX27" s="198" t="str">
        <f t="shared" si="26"/>
        <v>1.14.20.4</v>
      </c>
      <c r="BY27" s="198" t="str">
        <f t="shared" si="26"/>
        <v>1.14.20.4</v>
      </c>
      <c r="BZ27" s="198" t="str">
        <f t="shared" si="26"/>
        <v>1.14.20.4</v>
      </c>
      <c r="CA27" s="198" t="str">
        <f t="shared" si="26"/>
        <v/>
      </c>
      <c r="CB27" s="198" t="str">
        <f t="shared" si="26"/>
        <v>1.14.20.4</v>
      </c>
      <c r="CC27" s="198" t="str">
        <f t="shared" si="26"/>
        <v>1.14.20.4</v>
      </c>
      <c r="CD27" s="198" t="str">
        <f t="shared" si="26"/>
        <v>1.14.20.4</v>
      </c>
      <c r="CE27" s="198" t="str">
        <f t="shared" si="26"/>
        <v>1.14.20.4</v>
      </c>
      <c r="CF27" s="198" t="str">
        <f t="shared" si="26"/>
        <v>1.14.20.4</v>
      </c>
      <c r="CG27" s="198" t="str">
        <f t="shared" si="26"/>
        <v>1.14.20.4</v>
      </c>
      <c r="CH27" s="198" t="str">
        <f t="shared" si="26"/>
        <v>1.14.20.4</v>
      </c>
      <c r="CI27" s="198" t="str">
        <f t="shared" si="26"/>
        <v>1.14.20.4</v>
      </c>
      <c r="CJ27" s="198" t="str">
        <f t="shared" si="26"/>
        <v/>
      </c>
      <c r="CK27" s="198" t="str">
        <f t="shared" si="26"/>
        <v>1.14.20.4</v>
      </c>
      <c r="CL27" s="198" t="str">
        <f t="shared" si="26"/>
        <v>1.14.20.4</v>
      </c>
      <c r="CM27" s="198" t="str">
        <f t="shared" si="26"/>
        <v>1.14.20.4</v>
      </c>
      <c r="CN27" s="198" t="str">
        <f t="shared" si="26"/>
        <v>1.14.20.4</v>
      </c>
      <c r="CO27" s="198" t="str">
        <f t="shared" si="26"/>
        <v>1.14.20.4</v>
      </c>
      <c r="CP27" s="198" t="str">
        <f t="shared" si="26"/>
        <v>1.14.20.4</v>
      </c>
      <c r="CQ27" s="198" t="str">
        <f t="shared" si="26"/>
        <v>1.14.20.4</v>
      </c>
      <c r="CR27" s="198" t="str">
        <f t="shared" si="26"/>
        <v>1.14.20.4</v>
      </c>
      <c r="CS27" s="198" t="str">
        <f t="shared" si="26"/>
        <v>1.14.20.4</v>
      </c>
      <c r="CT27" s="198" t="str">
        <f t="shared" si="26"/>
        <v>1.14.20.4</v>
      </c>
      <c r="CU27" s="198" t="str">
        <f t="shared" si="26"/>
        <v>1.14.20.4</v>
      </c>
      <c r="CV27" s="198" t="str">
        <f t="shared" si="26"/>
        <v>1.14.20.4</v>
      </c>
      <c r="CW27" s="198" t="str">
        <f t="shared" si="26"/>
        <v/>
      </c>
      <c r="CX27" s="198" t="str">
        <f t="shared" si="26"/>
        <v>1.14.20.4</v>
      </c>
      <c r="CY27" s="198" t="str">
        <f t="shared" si="26"/>
        <v>1.14.20.4</v>
      </c>
      <c r="CZ27" s="198" t="str">
        <f t="shared" si="26"/>
        <v>1.14.20.4</v>
      </c>
      <c r="DA27" s="198" t="str">
        <f t="shared" si="26"/>
        <v>1.14.20.4</v>
      </c>
      <c r="DB27" s="198" t="str">
        <f t="shared" si="26"/>
        <v>1.14.20.4</v>
      </c>
      <c r="DC27" s="198" t="str">
        <f t="shared" si="26"/>
        <v>1.14.20.4</v>
      </c>
      <c r="DD27" s="198" t="s">
        <v>1476</v>
      </c>
      <c r="DE27" s="198" t="s">
        <v>1479</v>
      </c>
      <c r="DF27" s="198" t="s">
        <v>1478</v>
      </c>
      <c r="DG27" s="198" t="s">
        <v>1487</v>
      </c>
      <c r="DH27" s="198" t="s">
        <v>1502</v>
      </c>
      <c r="DI27" s="198" t="s">
        <v>1504</v>
      </c>
      <c r="DJ27" s="198" t="s">
        <v>1477</v>
      </c>
      <c r="DK27" s="198"/>
      <c r="DL27" s="198"/>
      <c r="DM27" s="198" t="s">
        <v>1475</v>
      </c>
      <c r="DN27" s="198" t="s">
        <v>1476</v>
      </c>
      <c r="DO27" s="198" t="s">
        <v>1494</v>
      </c>
      <c r="DP27" s="198" t="s">
        <v>1488</v>
      </c>
      <c r="DQ27" s="198" t="s">
        <v>1494</v>
      </c>
      <c r="DR27" s="198" t="s">
        <v>1469</v>
      </c>
      <c r="DS27" s="198" t="s">
        <v>1474</v>
      </c>
      <c r="DT27" s="198" t="s">
        <v>1488</v>
      </c>
      <c r="DU27" s="198" t="s">
        <v>1474</v>
      </c>
      <c r="DV27" s="198" t="s">
        <v>1458</v>
      </c>
      <c r="DW27" s="198" t="s">
        <v>1463</v>
      </c>
      <c r="DX27" s="198"/>
      <c r="DY27" s="198"/>
      <c r="DZ27" s="198"/>
      <c r="EA27" s="198" t="s">
        <v>1469</v>
      </c>
      <c r="EB27" s="198" t="s">
        <v>1471</v>
      </c>
      <c r="EC27" s="198" t="s">
        <v>1471</v>
      </c>
      <c r="ED27" s="198"/>
      <c r="EE27" s="198" t="s">
        <v>1482</v>
      </c>
      <c r="EF27" s="198" t="s">
        <v>1481</v>
      </c>
      <c r="EG27" s="198" t="s">
        <v>1482</v>
      </c>
      <c r="EH27" s="198" t="s">
        <v>1482</v>
      </c>
      <c r="EI27" s="198" t="s">
        <v>1482</v>
      </c>
      <c r="EJ27" s="198"/>
      <c r="EK27" s="198" t="s">
        <v>1452</v>
      </c>
      <c r="EL27" s="198" t="s">
        <v>1505</v>
      </c>
      <c r="EM27" s="198" t="s">
        <v>1473</v>
      </c>
      <c r="EN27" s="198" t="s">
        <v>1452</v>
      </c>
      <c r="EO27" s="198" t="s">
        <v>1468</v>
      </c>
      <c r="EP27" s="198" t="s">
        <v>1458</v>
      </c>
      <c r="EQ27" s="198" t="s">
        <v>1457</v>
      </c>
      <c r="ER27" s="198" t="s">
        <v>1476</v>
      </c>
      <c r="ES27" s="198"/>
      <c r="ET27" s="198" t="s">
        <v>1452</v>
      </c>
      <c r="EU27" s="198" t="s">
        <v>1452</v>
      </c>
      <c r="EV27" s="198" t="s">
        <v>1452</v>
      </c>
      <c r="EW27" s="198" t="s">
        <v>1452</v>
      </c>
      <c r="EX27" s="198" t="s">
        <v>1452</v>
      </c>
      <c r="EY27" s="198" t="s">
        <v>1452</v>
      </c>
      <c r="EZ27" s="198" t="s">
        <v>1452</v>
      </c>
      <c r="FA27" s="198" t="s">
        <v>1452</v>
      </c>
      <c r="FB27" s="198" t="s">
        <v>1458</v>
      </c>
      <c r="FC27" s="198" t="s">
        <v>1452</v>
      </c>
      <c r="FD27" s="198" t="s">
        <v>1463</v>
      </c>
      <c r="FE27" s="198" t="s">
        <v>1452</v>
      </c>
      <c r="FF27" s="198" t="s">
        <v>1463</v>
      </c>
      <c r="FG27" s="198" t="s">
        <v>1452</v>
      </c>
      <c r="FH27" s="198"/>
      <c r="FI27" s="198"/>
      <c r="FJ27" s="198"/>
      <c r="FK27" s="198"/>
      <c r="FL27" s="198" t="s">
        <v>1468</v>
      </c>
      <c r="FM27" s="198" t="s">
        <v>1468</v>
      </c>
      <c r="FN27" s="198" t="s">
        <v>1458</v>
      </c>
      <c r="FO27" s="198" t="s">
        <v>1458</v>
      </c>
      <c r="FP27" s="198" t="s">
        <v>1458</v>
      </c>
      <c r="FQ27" s="198" t="s">
        <v>1458</v>
      </c>
      <c r="FR27" s="198" t="s">
        <v>1452</v>
      </c>
      <c r="FS27" s="198" t="s">
        <v>1468</v>
      </c>
      <c r="FT27" s="198" t="s">
        <v>1513</v>
      </c>
      <c r="FU27" s="198" t="s">
        <v>1522</v>
      </c>
      <c r="FV27" s="198"/>
      <c r="FW27" s="198"/>
      <c r="FX27" s="198" t="s">
        <v>1468</v>
      </c>
      <c r="FY27" s="198" t="s">
        <v>1473</v>
      </c>
      <c r="FZ27" s="198" t="s">
        <v>1452</v>
      </c>
      <c r="GA27" s="198" t="s">
        <v>1468</v>
      </c>
      <c r="GB27" s="198"/>
      <c r="GC27" s="198" t="s">
        <v>1452</v>
      </c>
      <c r="GD27" s="198" t="s">
        <v>1452</v>
      </c>
      <c r="GE27" s="198" t="s">
        <v>1468</v>
      </c>
      <c r="GF27" s="198" t="s">
        <v>1463</v>
      </c>
      <c r="GG27" s="198" t="s">
        <v>1463</v>
      </c>
      <c r="GH27" s="198" t="s">
        <v>1463</v>
      </c>
      <c r="GI27" s="198" t="s">
        <v>1459</v>
      </c>
      <c r="GJ27" s="198" t="s">
        <v>1451</v>
      </c>
      <c r="GK27" s="198"/>
      <c r="GL27" s="198" t="s">
        <v>1452</v>
      </c>
      <c r="GM27" s="198" t="s">
        <v>1468</v>
      </c>
      <c r="GN27" s="198" t="s">
        <v>1458</v>
      </c>
      <c r="GO27" s="198" t="s">
        <v>1458</v>
      </c>
      <c r="GP27" s="198" t="s">
        <v>1458</v>
      </c>
      <c r="GQ27" s="198" t="s">
        <v>1477</v>
      </c>
      <c r="GR27" s="198" t="s">
        <v>1505</v>
      </c>
      <c r="GS27" s="198" t="s">
        <v>1477</v>
      </c>
      <c r="GT27" s="198" t="s">
        <v>1472</v>
      </c>
      <c r="GU27" s="198" t="s">
        <v>1468</v>
      </c>
      <c r="GV27" s="198" t="s">
        <v>1469</v>
      </c>
      <c r="GW27" s="198" t="s">
        <v>1474</v>
      </c>
      <c r="GX27" s="198"/>
      <c r="GY27" s="198" t="s">
        <v>1468</v>
      </c>
      <c r="GZ27" s="198" t="s">
        <v>1458</v>
      </c>
      <c r="HA27" s="198" t="s">
        <v>1452</v>
      </c>
      <c r="HB27" s="198" t="s">
        <v>1458</v>
      </c>
      <c r="HC27" s="198" t="s">
        <v>1463</v>
      </c>
      <c r="HD27" s="198" t="s">
        <v>1452</v>
      </c>
    </row>
    <row r="28" ht="15.75" customHeight="1">
      <c r="A28" s="234">
        <v>28.0</v>
      </c>
      <c r="B28" s="236" t="s">
        <v>1464</v>
      </c>
      <c r="C28" s="198" t="str">
        <f t="shared" ref="C28:DC28" si="27">if(countif(DD:DD,$B28),INDIRECT(concat("B",$A28)),"")</f>
        <v>1.14.20.6</v>
      </c>
      <c r="D28" s="198" t="str">
        <f t="shared" si="27"/>
        <v>1.14.20.6</v>
      </c>
      <c r="E28" s="198" t="str">
        <f t="shared" si="27"/>
        <v>1.14.20.6</v>
      </c>
      <c r="F28" s="198" t="str">
        <f t="shared" si="27"/>
        <v>1.14.20.6</v>
      </c>
      <c r="G28" s="198" t="str">
        <f t="shared" si="27"/>
        <v>1.14.20.6</v>
      </c>
      <c r="H28" s="198" t="str">
        <f t="shared" si="27"/>
        <v>1.14.20.6</v>
      </c>
      <c r="I28" s="198" t="str">
        <f t="shared" si="27"/>
        <v>1.14.20.6</v>
      </c>
      <c r="J28" s="198" t="str">
        <f t="shared" si="27"/>
        <v/>
      </c>
      <c r="K28" s="198" t="str">
        <f t="shared" si="27"/>
        <v/>
      </c>
      <c r="L28" s="198" t="str">
        <f t="shared" si="27"/>
        <v>1.14.20.6</v>
      </c>
      <c r="M28" s="198" t="str">
        <f t="shared" si="27"/>
        <v>1.14.20.6</v>
      </c>
      <c r="N28" s="198" t="str">
        <f t="shared" si="27"/>
        <v>1.14.20.6</v>
      </c>
      <c r="O28" s="198" t="str">
        <f t="shared" si="27"/>
        <v>1.14.20.6</v>
      </c>
      <c r="P28" s="198" t="str">
        <f t="shared" si="27"/>
        <v>1.14.20.6</v>
      </c>
      <c r="Q28" s="198" t="str">
        <f t="shared" si="27"/>
        <v>1.14.20.6</v>
      </c>
      <c r="R28" s="198" t="str">
        <f t="shared" si="27"/>
        <v>1.14.20.6</v>
      </c>
      <c r="S28" s="198" t="str">
        <f t="shared" si="27"/>
        <v>1.14.20.6</v>
      </c>
      <c r="T28" s="198" t="str">
        <f t="shared" si="27"/>
        <v>1.14.20.6</v>
      </c>
      <c r="U28" s="198" t="str">
        <f t="shared" si="27"/>
        <v>1.14.20.6</v>
      </c>
      <c r="V28" s="198" t="str">
        <f t="shared" si="27"/>
        <v>1.14.20.6</v>
      </c>
      <c r="W28" s="198" t="str">
        <f t="shared" si="27"/>
        <v/>
      </c>
      <c r="X28" s="198" t="str">
        <f t="shared" si="27"/>
        <v/>
      </c>
      <c r="Y28" s="198" t="str">
        <f t="shared" si="27"/>
        <v/>
      </c>
      <c r="Z28" s="198" t="str">
        <f t="shared" si="27"/>
        <v>1.14.20.6</v>
      </c>
      <c r="AA28" s="198" t="str">
        <f t="shared" si="27"/>
        <v>1.14.20.6</v>
      </c>
      <c r="AB28" s="198" t="str">
        <f t="shared" si="27"/>
        <v>1.14.20.6</v>
      </c>
      <c r="AC28" s="198" t="str">
        <f t="shared" si="27"/>
        <v/>
      </c>
      <c r="AD28" s="198" t="str">
        <f t="shared" si="27"/>
        <v>1.14.20.6</v>
      </c>
      <c r="AE28" s="198" t="str">
        <f t="shared" si="27"/>
        <v>1.14.20.6</v>
      </c>
      <c r="AF28" s="198" t="str">
        <f t="shared" si="27"/>
        <v>1.14.20.6</v>
      </c>
      <c r="AG28" s="198" t="str">
        <f t="shared" si="27"/>
        <v>1.14.20.6</v>
      </c>
      <c r="AH28" s="198" t="str">
        <f t="shared" si="27"/>
        <v>1.14.20.6</v>
      </c>
      <c r="AI28" s="198" t="str">
        <f t="shared" si="27"/>
        <v/>
      </c>
      <c r="AJ28" s="198" t="str">
        <f t="shared" si="27"/>
        <v>1.14.20.6</v>
      </c>
      <c r="AK28" s="198" t="str">
        <f t="shared" si="27"/>
        <v>1.14.20.6</v>
      </c>
      <c r="AL28" s="198" t="str">
        <f t="shared" si="27"/>
        <v>1.14.20.6</v>
      </c>
      <c r="AM28" s="198" t="str">
        <f t="shared" si="27"/>
        <v>1.14.20.6</v>
      </c>
      <c r="AN28" s="198" t="str">
        <f t="shared" si="27"/>
        <v>1.14.20.6</v>
      </c>
      <c r="AO28" s="198" t="str">
        <f t="shared" si="27"/>
        <v>1.14.20.6</v>
      </c>
      <c r="AP28" s="198" t="str">
        <f t="shared" si="27"/>
        <v>1.14.20.6</v>
      </c>
      <c r="AQ28" s="198" t="str">
        <f t="shared" si="27"/>
        <v>1.14.20.6</v>
      </c>
      <c r="AR28" s="198" t="str">
        <f t="shared" si="27"/>
        <v/>
      </c>
      <c r="AS28" s="198" t="str">
        <f t="shared" si="27"/>
        <v>1.14.20.6</v>
      </c>
      <c r="AT28" s="198" t="str">
        <f t="shared" si="27"/>
        <v>1.14.20.6</v>
      </c>
      <c r="AU28" s="198" t="str">
        <f t="shared" si="27"/>
        <v>1.14.20.6</v>
      </c>
      <c r="AV28" s="198" t="str">
        <f t="shared" si="27"/>
        <v>1.14.20.6</v>
      </c>
      <c r="AW28" s="198" t="str">
        <f t="shared" si="27"/>
        <v>1.14.20.6</v>
      </c>
      <c r="AX28" s="198" t="str">
        <f t="shared" si="27"/>
        <v>1.14.20.6</v>
      </c>
      <c r="AY28" s="198" t="str">
        <f t="shared" si="27"/>
        <v>1.14.20.6</v>
      </c>
      <c r="AZ28" s="198" t="str">
        <f t="shared" si="27"/>
        <v>1.14.20.6</v>
      </c>
      <c r="BA28" s="198" t="str">
        <f t="shared" si="27"/>
        <v>1.14.20.6</v>
      </c>
      <c r="BB28" s="198" t="str">
        <f t="shared" si="27"/>
        <v>1.14.20.6</v>
      </c>
      <c r="BC28" s="198" t="str">
        <f t="shared" si="27"/>
        <v>1.14.20.6</v>
      </c>
      <c r="BD28" s="198" t="str">
        <f t="shared" si="27"/>
        <v>1.14.20.6</v>
      </c>
      <c r="BE28" s="198" t="str">
        <f t="shared" si="27"/>
        <v>1.14.20.6</v>
      </c>
      <c r="BF28" s="198" t="str">
        <f t="shared" si="27"/>
        <v>1.14.20.6</v>
      </c>
      <c r="BG28" s="198" t="str">
        <f t="shared" si="27"/>
        <v/>
      </c>
      <c r="BH28" s="198" t="str">
        <f t="shared" si="27"/>
        <v/>
      </c>
      <c r="BI28" s="198" t="str">
        <f t="shared" si="27"/>
        <v>1.14.20.6</v>
      </c>
      <c r="BJ28" s="198" t="str">
        <f t="shared" si="27"/>
        <v/>
      </c>
      <c r="BK28" s="198" t="str">
        <f t="shared" si="27"/>
        <v>1.14.20.6</v>
      </c>
      <c r="BL28" s="198" t="str">
        <f t="shared" si="27"/>
        <v>1.14.20.6</v>
      </c>
      <c r="BM28" s="198" t="str">
        <f t="shared" si="27"/>
        <v>1.14.20.6</v>
      </c>
      <c r="BN28" s="198" t="str">
        <f t="shared" si="27"/>
        <v>1.14.20.6</v>
      </c>
      <c r="BO28" s="198" t="str">
        <f t="shared" si="27"/>
        <v>1.14.20.6</v>
      </c>
      <c r="BP28" s="198" t="str">
        <f t="shared" si="27"/>
        <v>1.14.20.6</v>
      </c>
      <c r="BQ28" s="198" t="str">
        <f t="shared" si="27"/>
        <v>1.14.20.6</v>
      </c>
      <c r="BR28" s="198" t="str">
        <f t="shared" si="27"/>
        <v/>
      </c>
      <c r="BS28" s="198" t="str">
        <f t="shared" si="27"/>
        <v>1.14.20.6</v>
      </c>
      <c r="BT28" s="198" t="str">
        <f t="shared" si="27"/>
        <v>1.14.20.6</v>
      </c>
      <c r="BU28" s="198" t="str">
        <f t="shared" si="27"/>
        <v/>
      </c>
      <c r="BV28" s="198" t="str">
        <f t="shared" si="27"/>
        <v/>
      </c>
      <c r="BW28" s="198" t="str">
        <f t="shared" si="27"/>
        <v>1.14.20.6</v>
      </c>
      <c r="BX28" s="198" t="str">
        <f t="shared" si="27"/>
        <v>1.14.20.6</v>
      </c>
      <c r="BY28" s="198" t="str">
        <f t="shared" si="27"/>
        <v>1.14.20.6</v>
      </c>
      <c r="BZ28" s="198" t="str">
        <f t="shared" si="27"/>
        <v>1.14.20.6</v>
      </c>
      <c r="CA28" s="198" t="str">
        <f t="shared" si="27"/>
        <v/>
      </c>
      <c r="CB28" s="198" t="str">
        <f t="shared" si="27"/>
        <v>1.14.20.6</v>
      </c>
      <c r="CC28" s="198" t="str">
        <f t="shared" si="27"/>
        <v>1.14.20.6</v>
      </c>
      <c r="CD28" s="198" t="str">
        <f t="shared" si="27"/>
        <v>1.14.20.6</v>
      </c>
      <c r="CE28" s="198" t="str">
        <f t="shared" si="27"/>
        <v>1.14.20.6</v>
      </c>
      <c r="CF28" s="198" t="str">
        <f t="shared" si="27"/>
        <v>1.14.20.6</v>
      </c>
      <c r="CG28" s="198" t="str">
        <f t="shared" si="27"/>
        <v>1.14.20.6</v>
      </c>
      <c r="CH28" s="198" t="str">
        <f t="shared" si="27"/>
        <v>1.14.20.6</v>
      </c>
      <c r="CI28" s="198" t="str">
        <f t="shared" si="27"/>
        <v>1.14.20.6</v>
      </c>
      <c r="CJ28" s="198" t="str">
        <f t="shared" si="27"/>
        <v/>
      </c>
      <c r="CK28" s="198" t="str">
        <f t="shared" si="27"/>
        <v>1.14.20.6</v>
      </c>
      <c r="CL28" s="198" t="str">
        <f t="shared" si="27"/>
        <v>1.14.20.6</v>
      </c>
      <c r="CM28" s="198" t="str">
        <f t="shared" si="27"/>
        <v>1.14.20.6</v>
      </c>
      <c r="CN28" s="198" t="str">
        <f t="shared" si="27"/>
        <v>1.14.20.6</v>
      </c>
      <c r="CO28" s="198" t="str">
        <f t="shared" si="27"/>
        <v>1.14.20.6</v>
      </c>
      <c r="CP28" s="198" t="str">
        <f t="shared" si="27"/>
        <v>1.14.20.6</v>
      </c>
      <c r="CQ28" s="198" t="str">
        <f t="shared" si="27"/>
        <v>1.14.20.6</v>
      </c>
      <c r="CR28" s="198" t="str">
        <f t="shared" si="27"/>
        <v>1.14.20.6</v>
      </c>
      <c r="CS28" s="198" t="str">
        <f t="shared" si="27"/>
        <v>1.14.20.6</v>
      </c>
      <c r="CT28" s="198" t="str">
        <f t="shared" si="27"/>
        <v>1.14.20.6</v>
      </c>
      <c r="CU28" s="198" t="str">
        <f t="shared" si="27"/>
        <v>1.14.20.6</v>
      </c>
      <c r="CV28" s="198" t="str">
        <f t="shared" si="27"/>
        <v>1.14.20.6</v>
      </c>
      <c r="CW28" s="198" t="str">
        <f t="shared" si="27"/>
        <v/>
      </c>
      <c r="CX28" s="198" t="str">
        <f t="shared" si="27"/>
        <v>1.14.20.6</v>
      </c>
      <c r="CY28" s="198" t="str">
        <f t="shared" si="27"/>
        <v>1.14.20.6</v>
      </c>
      <c r="CZ28" s="198" t="str">
        <f t="shared" si="27"/>
        <v>1.14.20.6</v>
      </c>
      <c r="DA28" s="198" t="str">
        <f t="shared" si="27"/>
        <v>1.14.20.6</v>
      </c>
      <c r="DB28" s="198" t="str">
        <f t="shared" si="27"/>
        <v>1.14.20.6</v>
      </c>
      <c r="DC28" s="198" t="str">
        <f t="shared" si="27"/>
        <v>1.14.20.6</v>
      </c>
      <c r="DD28" s="198" t="s">
        <v>1477</v>
      </c>
      <c r="DE28" s="198" t="s">
        <v>1481</v>
      </c>
      <c r="DF28" s="198" t="s">
        <v>1489</v>
      </c>
      <c r="DG28" s="198" t="s">
        <v>1493</v>
      </c>
      <c r="DH28" s="198" t="s">
        <v>1503</v>
      </c>
      <c r="DI28" s="198" t="s">
        <v>1483</v>
      </c>
      <c r="DJ28" s="198" t="s">
        <v>1478</v>
      </c>
      <c r="DK28" s="198"/>
      <c r="DL28" s="198"/>
      <c r="DM28" s="198" t="s">
        <v>1505</v>
      </c>
      <c r="DN28" s="198" t="s">
        <v>1477</v>
      </c>
      <c r="DO28" s="198" t="s">
        <v>1495</v>
      </c>
      <c r="DP28" s="198" t="s">
        <v>1477</v>
      </c>
      <c r="DQ28" s="198" t="s">
        <v>1495</v>
      </c>
      <c r="DR28" s="198" t="s">
        <v>1502</v>
      </c>
      <c r="DS28" s="198" t="s">
        <v>1495</v>
      </c>
      <c r="DT28" s="198" t="s">
        <v>1477</v>
      </c>
      <c r="DU28" s="198" t="s">
        <v>1475</v>
      </c>
      <c r="DV28" s="198" t="s">
        <v>1463</v>
      </c>
      <c r="DW28" s="198" t="s">
        <v>1468</v>
      </c>
      <c r="DX28" s="198"/>
      <c r="DY28" s="198"/>
      <c r="DZ28" s="198"/>
      <c r="EA28" s="198" t="s">
        <v>1502</v>
      </c>
      <c r="EB28" s="198" t="s">
        <v>1472</v>
      </c>
      <c r="EC28" s="198" t="s">
        <v>1472</v>
      </c>
      <c r="ED28" s="198"/>
      <c r="EE28" s="198"/>
      <c r="EF28" s="198" t="s">
        <v>1482</v>
      </c>
      <c r="EG28" s="198"/>
      <c r="EH28" s="198"/>
      <c r="EI28" s="198"/>
      <c r="EJ28" s="198"/>
      <c r="EK28" s="198" t="s">
        <v>1463</v>
      </c>
      <c r="EL28" s="198" t="s">
        <v>1476</v>
      </c>
      <c r="EM28" s="198" t="s">
        <v>1475</v>
      </c>
      <c r="EN28" s="198" t="s">
        <v>1458</v>
      </c>
      <c r="EO28" s="198" t="s">
        <v>1465</v>
      </c>
      <c r="EP28" s="198" t="s">
        <v>1463</v>
      </c>
      <c r="EQ28" s="198" t="s">
        <v>1464</v>
      </c>
      <c r="ER28" s="198" t="s">
        <v>1473</v>
      </c>
      <c r="ES28" s="198"/>
      <c r="ET28" s="198" t="s">
        <v>1458</v>
      </c>
      <c r="EU28" s="198" t="s">
        <v>1458</v>
      </c>
      <c r="EV28" s="198" t="s">
        <v>1458</v>
      </c>
      <c r="EW28" s="198" t="s">
        <v>1458</v>
      </c>
      <c r="EX28" s="198" t="s">
        <v>1463</v>
      </c>
      <c r="EY28" s="198" t="s">
        <v>1458</v>
      </c>
      <c r="EZ28" s="198" t="s">
        <v>1463</v>
      </c>
      <c r="FA28" s="198" t="s">
        <v>1458</v>
      </c>
      <c r="FB28" s="198" t="s">
        <v>1463</v>
      </c>
      <c r="FC28" s="198" t="s">
        <v>1476</v>
      </c>
      <c r="FD28" s="198" t="s">
        <v>1468</v>
      </c>
      <c r="FE28" s="198" t="s">
        <v>1458</v>
      </c>
      <c r="FF28" s="198" t="s">
        <v>1468</v>
      </c>
      <c r="FG28" s="198" t="s">
        <v>1458</v>
      </c>
      <c r="FH28" s="198"/>
      <c r="FI28" s="198"/>
      <c r="FJ28" s="198"/>
      <c r="FK28" s="198"/>
      <c r="FL28" s="198" t="s">
        <v>1465</v>
      </c>
      <c r="FM28" s="198" t="s">
        <v>1465</v>
      </c>
      <c r="FN28" s="198" t="s">
        <v>1463</v>
      </c>
      <c r="FO28" s="198" t="s">
        <v>1463</v>
      </c>
      <c r="FP28" s="198" t="s">
        <v>1463</v>
      </c>
      <c r="FQ28" s="198" t="s">
        <v>1463</v>
      </c>
      <c r="FR28" s="198" t="s">
        <v>1463</v>
      </c>
      <c r="FS28" s="198" t="s">
        <v>1465</v>
      </c>
      <c r="FT28" s="198" t="s">
        <v>1459</v>
      </c>
      <c r="FU28" s="198" t="s">
        <v>1476</v>
      </c>
      <c r="FV28" s="198"/>
      <c r="FW28" s="198"/>
      <c r="FX28" s="198" t="s">
        <v>1465</v>
      </c>
      <c r="FY28" s="198" t="s">
        <v>1475</v>
      </c>
      <c r="FZ28" s="198" t="s">
        <v>1458</v>
      </c>
      <c r="GA28" s="198" t="s">
        <v>1465</v>
      </c>
      <c r="GB28" s="198"/>
      <c r="GC28" s="198" t="s">
        <v>1458</v>
      </c>
      <c r="GD28" s="198" t="s">
        <v>1458</v>
      </c>
      <c r="GE28" s="198" t="s">
        <v>1465</v>
      </c>
      <c r="GF28" s="198" t="s">
        <v>1468</v>
      </c>
      <c r="GG28" s="198" t="s">
        <v>1468</v>
      </c>
      <c r="GH28" s="198" t="s">
        <v>1468</v>
      </c>
      <c r="GI28" s="198" t="s">
        <v>1451</v>
      </c>
      <c r="GJ28" s="198" t="s">
        <v>1452</v>
      </c>
      <c r="GK28" s="198"/>
      <c r="GL28" s="198" t="s">
        <v>1463</v>
      </c>
      <c r="GM28" s="198" t="s">
        <v>1476</v>
      </c>
      <c r="GN28" s="198" t="s">
        <v>1463</v>
      </c>
      <c r="GO28" s="198" t="s">
        <v>1463</v>
      </c>
      <c r="GP28" s="198" t="s">
        <v>1463</v>
      </c>
      <c r="GQ28" s="198" t="s">
        <v>1478</v>
      </c>
      <c r="GR28" s="198" t="s">
        <v>1476</v>
      </c>
      <c r="GS28" s="198" t="s">
        <v>1478</v>
      </c>
      <c r="GT28" s="198" t="s">
        <v>1487</v>
      </c>
      <c r="GU28" s="198" t="s">
        <v>1469</v>
      </c>
      <c r="GV28" s="198" t="s">
        <v>1502</v>
      </c>
      <c r="GW28" s="198" t="s">
        <v>1520</v>
      </c>
      <c r="GX28" s="198"/>
      <c r="GY28" s="198" t="s">
        <v>1522</v>
      </c>
      <c r="GZ28" s="198" t="s">
        <v>1463</v>
      </c>
      <c r="HA28" s="198" t="s">
        <v>1458</v>
      </c>
      <c r="HB28" s="198" t="s">
        <v>1463</v>
      </c>
      <c r="HC28" s="198" t="s">
        <v>1468</v>
      </c>
      <c r="HD28" s="198" t="s">
        <v>1458</v>
      </c>
    </row>
    <row r="29" ht="15.75" customHeight="1">
      <c r="A29" s="234">
        <v>29.0</v>
      </c>
      <c r="B29" s="198" t="s">
        <v>1465</v>
      </c>
      <c r="C29" s="198" t="str">
        <f t="shared" ref="C29:DC29" si="28">if(countif(DD:DD,$B29),INDIRECT(concat("B",$A29)),"")</f>
        <v>1.17.1.3</v>
      </c>
      <c r="D29" s="198" t="str">
        <f t="shared" si="28"/>
        <v>1.17.1.3</v>
      </c>
      <c r="E29" s="198" t="str">
        <f t="shared" si="28"/>
        <v/>
      </c>
      <c r="F29" s="198" t="str">
        <f t="shared" si="28"/>
        <v/>
      </c>
      <c r="G29" s="198" t="str">
        <f t="shared" si="28"/>
        <v>1.17.1.3</v>
      </c>
      <c r="H29" s="198" t="str">
        <f t="shared" si="28"/>
        <v>1.17.1.3</v>
      </c>
      <c r="I29" s="198" t="str">
        <f t="shared" si="28"/>
        <v>1.17.1.3</v>
      </c>
      <c r="J29" s="198" t="str">
        <f t="shared" si="28"/>
        <v/>
      </c>
      <c r="K29" s="198" t="str">
        <f t="shared" si="28"/>
        <v/>
      </c>
      <c r="L29" s="198" t="str">
        <f t="shared" si="28"/>
        <v>1.17.1.3</v>
      </c>
      <c r="M29" s="198" t="str">
        <f t="shared" si="28"/>
        <v>1.17.1.3</v>
      </c>
      <c r="N29" s="198" t="str">
        <f t="shared" si="28"/>
        <v/>
      </c>
      <c r="O29" s="198" t="str">
        <f t="shared" si="28"/>
        <v/>
      </c>
      <c r="P29" s="198" t="str">
        <f t="shared" si="28"/>
        <v/>
      </c>
      <c r="Q29" s="198" t="str">
        <f t="shared" si="28"/>
        <v>1.17.1.3</v>
      </c>
      <c r="R29" s="198" t="str">
        <f t="shared" si="28"/>
        <v/>
      </c>
      <c r="S29" s="198" t="str">
        <f t="shared" si="28"/>
        <v/>
      </c>
      <c r="T29" s="198" t="str">
        <f t="shared" si="28"/>
        <v/>
      </c>
      <c r="U29" s="198" t="str">
        <f t="shared" si="28"/>
        <v>1.17.1.3</v>
      </c>
      <c r="V29" s="198" t="str">
        <f t="shared" si="28"/>
        <v>1.17.1.3</v>
      </c>
      <c r="W29" s="198" t="str">
        <f t="shared" si="28"/>
        <v/>
      </c>
      <c r="X29" s="198" t="str">
        <f t="shared" si="28"/>
        <v/>
      </c>
      <c r="Y29" s="198" t="str">
        <f t="shared" si="28"/>
        <v/>
      </c>
      <c r="Z29" s="198" t="str">
        <f t="shared" si="28"/>
        <v>1.17.1.3</v>
      </c>
      <c r="AA29" s="198" t="str">
        <f t="shared" si="28"/>
        <v>1.17.1.3</v>
      </c>
      <c r="AB29" s="198" t="str">
        <f t="shared" si="28"/>
        <v>1.17.1.3</v>
      </c>
      <c r="AC29" s="198" t="str">
        <f t="shared" si="28"/>
        <v/>
      </c>
      <c r="AD29" s="198" t="str">
        <f t="shared" si="28"/>
        <v/>
      </c>
      <c r="AE29" s="198" t="str">
        <f t="shared" si="28"/>
        <v/>
      </c>
      <c r="AF29" s="198" t="str">
        <f t="shared" si="28"/>
        <v/>
      </c>
      <c r="AG29" s="198" t="str">
        <f t="shared" si="28"/>
        <v/>
      </c>
      <c r="AH29" s="198" t="str">
        <f t="shared" si="28"/>
        <v/>
      </c>
      <c r="AI29" s="198" t="str">
        <f t="shared" si="28"/>
        <v/>
      </c>
      <c r="AJ29" s="198" t="str">
        <f t="shared" si="28"/>
        <v/>
      </c>
      <c r="AK29" s="198" t="str">
        <f t="shared" si="28"/>
        <v/>
      </c>
      <c r="AL29" s="198" t="str">
        <f t="shared" si="28"/>
        <v/>
      </c>
      <c r="AM29" s="198" t="str">
        <f t="shared" si="28"/>
        <v>1.17.1.3</v>
      </c>
      <c r="AN29" s="198" t="str">
        <f t="shared" si="28"/>
        <v>1.17.1.3</v>
      </c>
      <c r="AO29" s="198" t="str">
        <f t="shared" si="28"/>
        <v>1.17.1.3</v>
      </c>
      <c r="AP29" s="198" t="str">
        <f t="shared" si="28"/>
        <v/>
      </c>
      <c r="AQ29" s="198" t="str">
        <f t="shared" si="28"/>
        <v>1.17.1.3</v>
      </c>
      <c r="AR29" s="198" t="str">
        <f t="shared" si="28"/>
        <v/>
      </c>
      <c r="AS29" s="198" t="str">
        <f t="shared" si="28"/>
        <v>1.17.1.3</v>
      </c>
      <c r="AT29" s="198" t="str">
        <f t="shared" si="28"/>
        <v>1.17.1.3</v>
      </c>
      <c r="AU29" s="198" t="str">
        <f t="shared" si="28"/>
        <v>1.17.1.3</v>
      </c>
      <c r="AV29" s="198" t="str">
        <f t="shared" si="28"/>
        <v>1.17.1.3</v>
      </c>
      <c r="AW29" s="198" t="str">
        <f t="shared" si="28"/>
        <v>1.17.1.3</v>
      </c>
      <c r="AX29" s="198" t="str">
        <f t="shared" si="28"/>
        <v>1.17.1.3</v>
      </c>
      <c r="AY29" s="198" t="str">
        <f t="shared" si="28"/>
        <v/>
      </c>
      <c r="AZ29" s="198" t="str">
        <f t="shared" si="28"/>
        <v>1.17.1.3</v>
      </c>
      <c r="BA29" s="198" t="str">
        <f t="shared" si="28"/>
        <v>1.17.1.3</v>
      </c>
      <c r="BB29" s="198" t="str">
        <f t="shared" si="28"/>
        <v/>
      </c>
      <c r="BC29" s="198" t="str">
        <f t="shared" si="28"/>
        <v>1.17.1.3</v>
      </c>
      <c r="BD29" s="198" t="str">
        <f t="shared" si="28"/>
        <v>1.17.1.3</v>
      </c>
      <c r="BE29" s="198" t="str">
        <f t="shared" si="28"/>
        <v>1.17.1.3</v>
      </c>
      <c r="BF29" s="198" t="str">
        <f t="shared" si="28"/>
        <v>1.17.1.3</v>
      </c>
      <c r="BG29" s="198" t="str">
        <f t="shared" si="28"/>
        <v/>
      </c>
      <c r="BH29" s="198" t="str">
        <f t="shared" si="28"/>
        <v/>
      </c>
      <c r="BI29" s="198" t="str">
        <f t="shared" si="28"/>
        <v/>
      </c>
      <c r="BJ29" s="198" t="str">
        <f t="shared" si="28"/>
        <v/>
      </c>
      <c r="BK29" s="198" t="str">
        <f t="shared" si="28"/>
        <v>1.17.1.3</v>
      </c>
      <c r="BL29" s="198" t="str">
        <f t="shared" si="28"/>
        <v>1.17.1.3</v>
      </c>
      <c r="BM29" s="198" t="str">
        <f t="shared" si="28"/>
        <v>1.17.1.3</v>
      </c>
      <c r="BN29" s="198" t="str">
        <f t="shared" si="28"/>
        <v>1.17.1.3</v>
      </c>
      <c r="BO29" s="198" t="str">
        <f t="shared" si="28"/>
        <v>1.17.1.3</v>
      </c>
      <c r="BP29" s="198" t="str">
        <f t="shared" si="28"/>
        <v>1.17.1.3</v>
      </c>
      <c r="BQ29" s="198" t="str">
        <f t="shared" si="28"/>
        <v>1.17.1.3</v>
      </c>
      <c r="BR29" s="198" t="str">
        <f t="shared" si="28"/>
        <v>1.17.1.3</v>
      </c>
      <c r="BS29" s="198" t="str">
        <f t="shared" si="28"/>
        <v>1.17.1.3</v>
      </c>
      <c r="BT29" s="198" t="str">
        <f t="shared" si="28"/>
        <v>1.17.1.3</v>
      </c>
      <c r="BU29" s="198" t="str">
        <f t="shared" si="28"/>
        <v/>
      </c>
      <c r="BV29" s="198" t="str">
        <f t="shared" si="28"/>
        <v/>
      </c>
      <c r="BW29" s="198" t="str">
        <f t="shared" si="28"/>
        <v>1.17.1.3</v>
      </c>
      <c r="BX29" s="198" t="str">
        <f t="shared" si="28"/>
        <v/>
      </c>
      <c r="BY29" s="198" t="str">
        <f t="shared" si="28"/>
        <v>1.17.1.3</v>
      </c>
      <c r="BZ29" s="198" t="str">
        <f t="shared" si="28"/>
        <v>1.17.1.3</v>
      </c>
      <c r="CA29" s="198" t="str">
        <f t="shared" si="28"/>
        <v/>
      </c>
      <c r="CB29" s="198" t="str">
        <f t="shared" si="28"/>
        <v>1.17.1.3</v>
      </c>
      <c r="CC29" s="198" t="str">
        <f t="shared" si="28"/>
        <v>1.17.1.3</v>
      </c>
      <c r="CD29" s="198" t="str">
        <f t="shared" si="28"/>
        <v>1.17.1.3</v>
      </c>
      <c r="CE29" s="198" t="str">
        <f t="shared" si="28"/>
        <v>1.17.1.3</v>
      </c>
      <c r="CF29" s="198" t="str">
        <f t="shared" si="28"/>
        <v>1.17.1.3</v>
      </c>
      <c r="CG29" s="198" t="str">
        <f t="shared" si="28"/>
        <v>1.17.1.3</v>
      </c>
      <c r="CH29" s="198" t="str">
        <f t="shared" si="28"/>
        <v>1.17.1.3</v>
      </c>
      <c r="CI29" s="198" t="str">
        <f t="shared" si="28"/>
        <v>1.17.1.3</v>
      </c>
      <c r="CJ29" s="198" t="str">
        <f t="shared" si="28"/>
        <v/>
      </c>
      <c r="CK29" s="198" t="str">
        <f t="shared" si="28"/>
        <v/>
      </c>
      <c r="CL29" s="198" t="str">
        <f t="shared" si="28"/>
        <v/>
      </c>
      <c r="CM29" s="198" t="str">
        <f t="shared" si="28"/>
        <v/>
      </c>
      <c r="CN29" s="198" t="str">
        <f t="shared" si="28"/>
        <v>1.17.1.3</v>
      </c>
      <c r="CO29" s="198" t="str">
        <f t="shared" si="28"/>
        <v>1.17.1.3</v>
      </c>
      <c r="CP29" s="198" t="str">
        <f t="shared" si="28"/>
        <v/>
      </c>
      <c r="CQ29" s="198" t="str">
        <f t="shared" si="28"/>
        <v>1.17.1.3</v>
      </c>
      <c r="CR29" s="198" t="str">
        <f t="shared" si="28"/>
        <v/>
      </c>
      <c r="CS29" s="198" t="str">
        <f t="shared" si="28"/>
        <v>1.17.1.3</v>
      </c>
      <c r="CT29" s="198" t="str">
        <f t="shared" si="28"/>
        <v>1.17.1.3</v>
      </c>
      <c r="CU29" s="198" t="str">
        <f t="shared" si="28"/>
        <v>1.17.1.3</v>
      </c>
      <c r="CV29" s="198" t="str">
        <f t="shared" si="28"/>
        <v>1.17.1.3</v>
      </c>
      <c r="CW29" s="198" t="str">
        <f t="shared" si="28"/>
        <v/>
      </c>
      <c r="CX29" s="198" t="str">
        <f t="shared" si="28"/>
        <v/>
      </c>
      <c r="CY29" s="198" t="str">
        <f t="shared" si="28"/>
        <v>1.17.1.3</v>
      </c>
      <c r="CZ29" s="198" t="str">
        <f t="shared" si="28"/>
        <v>1.17.1.3</v>
      </c>
      <c r="DA29" s="198" t="str">
        <f t="shared" si="28"/>
        <v>1.17.1.3</v>
      </c>
      <c r="DB29" s="198" t="str">
        <f t="shared" si="28"/>
        <v>1.17.1.3</v>
      </c>
      <c r="DC29" s="198" t="str">
        <f t="shared" si="28"/>
        <v>1.17.1.3</v>
      </c>
      <c r="DD29" s="198" t="s">
        <v>1478</v>
      </c>
      <c r="DE29" s="198" t="s">
        <v>1482</v>
      </c>
      <c r="DF29" s="198" t="s">
        <v>1479</v>
      </c>
      <c r="DG29" s="198" t="s">
        <v>1494</v>
      </c>
      <c r="DH29" s="198" t="s">
        <v>1504</v>
      </c>
      <c r="DI29" s="198" t="s">
        <v>1470</v>
      </c>
      <c r="DJ29" s="198" t="s">
        <v>1479</v>
      </c>
      <c r="DK29" s="198"/>
      <c r="DL29" s="198"/>
      <c r="DM29" s="198" t="s">
        <v>1476</v>
      </c>
      <c r="DN29" s="198" t="s">
        <v>1478</v>
      </c>
      <c r="DO29" s="198" t="s">
        <v>1488</v>
      </c>
      <c r="DP29" s="198" t="s">
        <v>1478</v>
      </c>
      <c r="DQ29" s="198" t="s">
        <v>1477</v>
      </c>
      <c r="DR29" s="198" t="s">
        <v>1503</v>
      </c>
      <c r="DS29" s="198" t="s">
        <v>1488</v>
      </c>
      <c r="DT29" s="198" t="s">
        <v>1478</v>
      </c>
      <c r="DU29" s="198" t="s">
        <v>1488</v>
      </c>
      <c r="DV29" s="198" t="s">
        <v>1468</v>
      </c>
      <c r="DW29" s="198" t="s">
        <v>1465</v>
      </c>
      <c r="DX29" s="198"/>
      <c r="DY29" s="198"/>
      <c r="DZ29" s="198"/>
      <c r="EA29" s="198" t="s">
        <v>1503</v>
      </c>
      <c r="EB29" s="198" t="s">
        <v>1487</v>
      </c>
      <c r="EC29" s="198" t="s">
        <v>1487</v>
      </c>
      <c r="ED29" s="198"/>
      <c r="EE29" s="198"/>
      <c r="EF29" s="198"/>
      <c r="EG29" s="198"/>
      <c r="EH29" s="198"/>
      <c r="EI29" s="198"/>
      <c r="EJ29" s="198"/>
      <c r="EK29" s="198" t="s">
        <v>1476</v>
      </c>
      <c r="EL29" s="198" t="s">
        <v>1477</v>
      </c>
      <c r="EM29" s="198"/>
      <c r="EN29" s="198" t="s">
        <v>1463</v>
      </c>
      <c r="EO29" s="198" t="s">
        <v>1476</v>
      </c>
      <c r="EP29" s="198" t="s">
        <v>1468</v>
      </c>
      <c r="EQ29" s="198" t="s">
        <v>1459</v>
      </c>
      <c r="ER29" s="198" t="s">
        <v>1472</v>
      </c>
      <c r="ES29" s="198"/>
      <c r="ET29" s="198" t="s">
        <v>1463</v>
      </c>
      <c r="EU29" s="198" t="s">
        <v>1463</v>
      </c>
      <c r="EV29" s="198" t="s">
        <v>1463</v>
      </c>
      <c r="EW29" s="198" t="s">
        <v>1463</v>
      </c>
      <c r="EX29" s="198" t="s">
        <v>1465</v>
      </c>
      <c r="EY29" s="198" t="s">
        <v>1463</v>
      </c>
      <c r="EZ29" s="198" t="s">
        <v>1473</v>
      </c>
      <c r="FA29" s="198" t="s">
        <v>1463</v>
      </c>
      <c r="FB29" s="198" t="s">
        <v>1468</v>
      </c>
      <c r="FC29" s="198" t="s">
        <v>1473</v>
      </c>
      <c r="FD29" s="198" t="s">
        <v>1465</v>
      </c>
      <c r="FE29" s="198" t="s">
        <v>1463</v>
      </c>
      <c r="FF29" s="198" t="s">
        <v>1465</v>
      </c>
      <c r="FG29" s="198" t="s">
        <v>1463</v>
      </c>
      <c r="FH29" s="198"/>
      <c r="FI29" s="198"/>
      <c r="FJ29" s="198"/>
      <c r="FK29" s="198"/>
      <c r="FL29" s="198" t="s">
        <v>1476</v>
      </c>
      <c r="FM29" s="198" t="s">
        <v>1476</v>
      </c>
      <c r="FN29" s="198" t="s">
        <v>1468</v>
      </c>
      <c r="FO29" s="198" t="s">
        <v>1468</v>
      </c>
      <c r="FP29" s="198" t="s">
        <v>1468</v>
      </c>
      <c r="FQ29" s="198" t="s">
        <v>1468</v>
      </c>
      <c r="FR29" s="198" t="s">
        <v>1465</v>
      </c>
      <c r="FS29" s="198" t="s">
        <v>1476</v>
      </c>
      <c r="FT29" s="198" t="s">
        <v>1451</v>
      </c>
      <c r="FU29" s="198" t="s">
        <v>1473</v>
      </c>
      <c r="FV29" s="198"/>
      <c r="FW29" s="198"/>
      <c r="FX29" s="198" t="s">
        <v>1473</v>
      </c>
      <c r="FY29" s="198"/>
      <c r="FZ29" s="198" t="s">
        <v>1463</v>
      </c>
      <c r="GA29" s="198" t="s">
        <v>1476</v>
      </c>
      <c r="GB29" s="198"/>
      <c r="GC29" s="198" t="s">
        <v>1463</v>
      </c>
      <c r="GD29" s="198" t="s">
        <v>1463</v>
      </c>
      <c r="GE29" s="198" t="s">
        <v>1476</v>
      </c>
      <c r="GF29" s="198" t="s">
        <v>1465</v>
      </c>
      <c r="GG29" s="198" t="s">
        <v>1465</v>
      </c>
      <c r="GH29" s="198" t="s">
        <v>1465</v>
      </c>
      <c r="GI29" s="198" t="s">
        <v>1452</v>
      </c>
      <c r="GJ29" s="198" t="s">
        <v>1463</v>
      </c>
      <c r="GK29" s="198"/>
      <c r="GL29" s="198" t="s">
        <v>1476</v>
      </c>
      <c r="GM29" s="198" t="s">
        <v>1473</v>
      </c>
      <c r="GN29" s="198" t="s">
        <v>1468</v>
      </c>
      <c r="GO29" s="198" t="s">
        <v>1468</v>
      </c>
      <c r="GP29" s="198" t="s">
        <v>1468</v>
      </c>
      <c r="GQ29" s="198" t="s">
        <v>1479</v>
      </c>
      <c r="GR29" s="198" t="s">
        <v>1488</v>
      </c>
      <c r="GS29" s="198" t="s">
        <v>1479</v>
      </c>
      <c r="GT29" s="198" t="s">
        <v>1473</v>
      </c>
      <c r="GU29" s="198" t="s">
        <v>1502</v>
      </c>
      <c r="GV29" s="198" t="s">
        <v>1503</v>
      </c>
      <c r="GW29" s="198" t="s">
        <v>1476</v>
      </c>
      <c r="GX29" s="198"/>
      <c r="GY29" s="198" t="s">
        <v>1476</v>
      </c>
      <c r="GZ29" s="198" t="s">
        <v>1468</v>
      </c>
      <c r="HA29" s="198" t="s">
        <v>1463</v>
      </c>
      <c r="HB29" s="198" t="s">
        <v>1468</v>
      </c>
      <c r="HC29" s="198" t="s">
        <v>1465</v>
      </c>
      <c r="HD29" s="198" t="s">
        <v>1463</v>
      </c>
    </row>
    <row r="30" ht="15.75" customHeight="1">
      <c r="A30" s="234">
        <v>30.0</v>
      </c>
      <c r="B30" s="236" t="s">
        <v>1466</v>
      </c>
      <c r="C30" s="198" t="str">
        <f t="shared" ref="C30:DC30" si="29">if(countif(DD:DD,$B30),INDIRECT(concat("B",$A30)),"")</f>
        <v>1.2.1.44</v>
      </c>
      <c r="D30" s="198" t="str">
        <f t="shared" si="29"/>
        <v>1.2.1.44</v>
      </c>
      <c r="E30" s="198" t="str">
        <f t="shared" si="29"/>
        <v>1.2.1.44</v>
      </c>
      <c r="F30" s="198" t="str">
        <f t="shared" si="29"/>
        <v>1.2.1.44</v>
      </c>
      <c r="G30" s="198" t="str">
        <f t="shared" si="29"/>
        <v>1.2.1.44</v>
      </c>
      <c r="H30" s="198" t="str">
        <f t="shared" si="29"/>
        <v>1.2.1.44</v>
      </c>
      <c r="I30" s="198" t="str">
        <f t="shared" si="29"/>
        <v>1.2.1.44</v>
      </c>
      <c r="J30" s="198" t="str">
        <f t="shared" si="29"/>
        <v/>
      </c>
      <c r="K30" s="198" t="str">
        <f t="shared" si="29"/>
        <v/>
      </c>
      <c r="L30" s="198" t="str">
        <f t="shared" si="29"/>
        <v>1.2.1.44</v>
      </c>
      <c r="M30" s="198" t="str">
        <f t="shared" si="29"/>
        <v>1.2.1.44</v>
      </c>
      <c r="N30" s="198" t="str">
        <f t="shared" si="29"/>
        <v>1.2.1.44</v>
      </c>
      <c r="O30" s="198" t="str">
        <f t="shared" si="29"/>
        <v>1.2.1.44</v>
      </c>
      <c r="P30" s="198" t="str">
        <f t="shared" si="29"/>
        <v>1.2.1.44</v>
      </c>
      <c r="Q30" s="198" t="str">
        <f t="shared" si="29"/>
        <v>1.2.1.44</v>
      </c>
      <c r="R30" s="198" t="str">
        <f t="shared" si="29"/>
        <v>1.2.1.44</v>
      </c>
      <c r="S30" s="198" t="str">
        <f t="shared" si="29"/>
        <v>1.2.1.44</v>
      </c>
      <c r="T30" s="198" t="str">
        <f t="shared" si="29"/>
        <v>1.2.1.44</v>
      </c>
      <c r="U30" s="198" t="str">
        <f t="shared" si="29"/>
        <v>1.2.1.44</v>
      </c>
      <c r="V30" s="198" t="str">
        <f t="shared" si="29"/>
        <v>1.2.1.44</v>
      </c>
      <c r="W30" s="198" t="str">
        <f t="shared" si="29"/>
        <v/>
      </c>
      <c r="X30" s="198" t="str">
        <f t="shared" si="29"/>
        <v/>
      </c>
      <c r="Y30" s="198" t="str">
        <f t="shared" si="29"/>
        <v/>
      </c>
      <c r="Z30" s="198" t="str">
        <f t="shared" si="29"/>
        <v>1.2.1.44</v>
      </c>
      <c r="AA30" s="198" t="str">
        <f t="shared" si="29"/>
        <v>1.2.1.44</v>
      </c>
      <c r="AB30" s="198" t="str">
        <f t="shared" si="29"/>
        <v>1.2.1.44</v>
      </c>
      <c r="AC30" s="198" t="str">
        <f t="shared" si="29"/>
        <v/>
      </c>
      <c r="AD30" s="198" t="str">
        <f t="shared" si="29"/>
        <v>1.2.1.44</v>
      </c>
      <c r="AE30" s="198" t="str">
        <f t="shared" si="29"/>
        <v>1.2.1.44</v>
      </c>
      <c r="AF30" s="198" t="str">
        <f t="shared" si="29"/>
        <v>1.2.1.44</v>
      </c>
      <c r="AG30" s="198" t="str">
        <f t="shared" si="29"/>
        <v>1.2.1.44</v>
      </c>
      <c r="AH30" s="198" t="str">
        <f t="shared" si="29"/>
        <v>1.2.1.44</v>
      </c>
      <c r="AI30" s="198" t="str">
        <f t="shared" si="29"/>
        <v/>
      </c>
      <c r="AJ30" s="198" t="str">
        <f t="shared" si="29"/>
        <v>1.2.1.44</v>
      </c>
      <c r="AK30" s="198" t="str">
        <f t="shared" si="29"/>
        <v>1.2.1.44</v>
      </c>
      <c r="AL30" s="198" t="str">
        <f t="shared" si="29"/>
        <v>1.2.1.44</v>
      </c>
      <c r="AM30" s="198" t="str">
        <f t="shared" si="29"/>
        <v>1.2.1.44</v>
      </c>
      <c r="AN30" s="198" t="str">
        <f t="shared" si="29"/>
        <v>1.2.1.44</v>
      </c>
      <c r="AO30" s="198" t="str">
        <f t="shared" si="29"/>
        <v>1.2.1.44</v>
      </c>
      <c r="AP30" s="198" t="str">
        <f t="shared" si="29"/>
        <v>1.2.1.44</v>
      </c>
      <c r="AQ30" s="198" t="str">
        <f t="shared" si="29"/>
        <v>1.2.1.44</v>
      </c>
      <c r="AR30" s="198" t="str">
        <f t="shared" si="29"/>
        <v/>
      </c>
      <c r="AS30" s="198" t="str">
        <f t="shared" si="29"/>
        <v>1.2.1.44</v>
      </c>
      <c r="AT30" s="198" t="str">
        <f t="shared" si="29"/>
        <v>1.2.1.44</v>
      </c>
      <c r="AU30" s="198" t="str">
        <f t="shared" si="29"/>
        <v>1.2.1.44</v>
      </c>
      <c r="AV30" s="198" t="str">
        <f t="shared" si="29"/>
        <v>1.2.1.44</v>
      </c>
      <c r="AW30" s="198" t="str">
        <f t="shared" si="29"/>
        <v>1.2.1.44</v>
      </c>
      <c r="AX30" s="198" t="str">
        <f t="shared" si="29"/>
        <v>1.2.1.44</v>
      </c>
      <c r="AY30" s="198" t="str">
        <f t="shared" si="29"/>
        <v>1.2.1.44</v>
      </c>
      <c r="AZ30" s="198" t="str">
        <f t="shared" si="29"/>
        <v>1.2.1.44</v>
      </c>
      <c r="BA30" s="198" t="str">
        <f t="shared" si="29"/>
        <v>1.2.1.44</v>
      </c>
      <c r="BB30" s="198" t="str">
        <f t="shared" si="29"/>
        <v>1.2.1.44</v>
      </c>
      <c r="BC30" s="198" t="str">
        <f t="shared" si="29"/>
        <v>1.2.1.44</v>
      </c>
      <c r="BD30" s="198" t="str">
        <f t="shared" si="29"/>
        <v>1.2.1.44</v>
      </c>
      <c r="BE30" s="198" t="str">
        <f t="shared" si="29"/>
        <v>1.2.1.44</v>
      </c>
      <c r="BF30" s="198" t="str">
        <f t="shared" si="29"/>
        <v>1.2.1.44</v>
      </c>
      <c r="BG30" s="198" t="str">
        <f t="shared" si="29"/>
        <v/>
      </c>
      <c r="BH30" s="198" t="str">
        <f t="shared" si="29"/>
        <v/>
      </c>
      <c r="BI30" s="198" t="str">
        <f t="shared" si="29"/>
        <v>1.2.1.44</v>
      </c>
      <c r="BJ30" s="198" t="str">
        <f t="shared" si="29"/>
        <v/>
      </c>
      <c r="BK30" s="198" t="str">
        <f t="shared" si="29"/>
        <v>1.2.1.44</v>
      </c>
      <c r="BL30" s="198" t="str">
        <f t="shared" si="29"/>
        <v>1.2.1.44</v>
      </c>
      <c r="BM30" s="198" t="str">
        <f t="shared" si="29"/>
        <v>1.2.1.44</v>
      </c>
      <c r="BN30" s="198" t="str">
        <f t="shared" si="29"/>
        <v>1.2.1.44</v>
      </c>
      <c r="BO30" s="198" t="str">
        <f t="shared" si="29"/>
        <v>1.2.1.44</v>
      </c>
      <c r="BP30" s="198" t="str">
        <f t="shared" si="29"/>
        <v>1.2.1.44</v>
      </c>
      <c r="BQ30" s="198" t="str">
        <f t="shared" si="29"/>
        <v>1.2.1.44</v>
      </c>
      <c r="BR30" s="198" t="str">
        <f t="shared" si="29"/>
        <v>1.2.1.44</v>
      </c>
      <c r="BS30" s="198" t="str">
        <f t="shared" si="29"/>
        <v>1.2.1.44</v>
      </c>
      <c r="BT30" s="198" t="str">
        <f t="shared" si="29"/>
        <v>1.2.1.44</v>
      </c>
      <c r="BU30" s="198" t="str">
        <f t="shared" si="29"/>
        <v/>
      </c>
      <c r="BV30" s="198" t="str">
        <f t="shared" si="29"/>
        <v/>
      </c>
      <c r="BW30" s="198" t="str">
        <f t="shared" si="29"/>
        <v>1.2.1.44</v>
      </c>
      <c r="BX30" s="198" t="str">
        <f t="shared" si="29"/>
        <v>1.2.1.44</v>
      </c>
      <c r="BY30" s="198" t="str">
        <f t="shared" si="29"/>
        <v>1.2.1.44</v>
      </c>
      <c r="BZ30" s="198" t="str">
        <f t="shared" si="29"/>
        <v>1.2.1.44</v>
      </c>
      <c r="CA30" s="198" t="str">
        <f t="shared" si="29"/>
        <v>1.2.1.44</v>
      </c>
      <c r="CB30" s="198" t="str">
        <f t="shared" si="29"/>
        <v>1.2.1.44</v>
      </c>
      <c r="CC30" s="198" t="str">
        <f t="shared" si="29"/>
        <v>1.2.1.44</v>
      </c>
      <c r="CD30" s="198" t="str">
        <f t="shared" si="29"/>
        <v>1.2.1.44</v>
      </c>
      <c r="CE30" s="198" t="str">
        <f t="shared" si="29"/>
        <v>1.2.1.44</v>
      </c>
      <c r="CF30" s="198" t="str">
        <f t="shared" si="29"/>
        <v>1.2.1.44</v>
      </c>
      <c r="CG30" s="198" t="str">
        <f t="shared" si="29"/>
        <v>1.2.1.44</v>
      </c>
      <c r="CH30" s="198" t="str">
        <f t="shared" si="29"/>
        <v>1.2.1.44</v>
      </c>
      <c r="CI30" s="198" t="str">
        <f t="shared" si="29"/>
        <v>1.2.1.44</v>
      </c>
      <c r="CJ30" s="198" t="str">
        <f t="shared" si="29"/>
        <v>1.2.1.44</v>
      </c>
      <c r="CK30" s="198" t="str">
        <f t="shared" si="29"/>
        <v>1.2.1.44</v>
      </c>
      <c r="CL30" s="198" t="str">
        <f t="shared" si="29"/>
        <v>1.2.1.44</v>
      </c>
      <c r="CM30" s="198" t="str">
        <f t="shared" si="29"/>
        <v>1.2.1.44</v>
      </c>
      <c r="CN30" s="198" t="str">
        <f t="shared" si="29"/>
        <v>1.2.1.44</v>
      </c>
      <c r="CO30" s="198" t="str">
        <f t="shared" si="29"/>
        <v>1.2.1.44</v>
      </c>
      <c r="CP30" s="198" t="str">
        <f t="shared" si="29"/>
        <v>1.2.1.44</v>
      </c>
      <c r="CQ30" s="198" t="str">
        <f t="shared" si="29"/>
        <v>1.2.1.44</v>
      </c>
      <c r="CR30" s="198" t="str">
        <f t="shared" si="29"/>
        <v>1.2.1.44</v>
      </c>
      <c r="CS30" s="198" t="str">
        <f t="shared" si="29"/>
        <v>1.2.1.44</v>
      </c>
      <c r="CT30" s="198" t="str">
        <f t="shared" si="29"/>
        <v>1.2.1.44</v>
      </c>
      <c r="CU30" s="198" t="str">
        <f t="shared" si="29"/>
        <v>1.2.1.44</v>
      </c>
      <c r="CV30" s="198" t="str">
        <f t="shared" si="29"/>
        <v>1.2.1.44</v>
      </c>
      <c r="CW30" s="198" t="str">
        <f t="shared" si="29"/>
        <v/>
      </c>
      <c r="CX30" s="198" t="str">
        <f t="shared" si="29"/>
        <v>1.2.1.44</v>
      </c>
      <c r="CY30" s="198" t="str">
        <f t="shared" si="29"/>
        <v>1.2.1.44</v>
      </c>
      <c r="CZ30" s="198" t="str">
        <f t="shared" si="29"/>
        <v>1.2.1.44</v>
      </c>
      <c r="DA30" s="198" t="str">
        <f t="shared" si="29"/>
        <v>1.2.1.44</v>
      </c>
      <c r="DB30" s="198" t="str">
        <f t="shared" si="29"/>
        <v>1.2.1.44</v>
      </c>
      <c r="DC30" s="198" t="str">
        <f t="shared" si="29"/>
        <v>1.2.1.44</v>
      </c>
      <c r="DD30" s="198" t="s">
        <v>1479</v>
      </c>
      <c r="DE30" s="198"/>
      <c r="DF30" s="198" t="s">
        <v>1481</v>
      </c>
      <c r="DG30" s="198" t="s">
        <v>1495</v>
      </c>
      <c r="DH30" s="198" t="s">
        <v>1483</v>
      </c>
      <c r="DI30" s="198" t="s">
        <v>1471</v>
      </c>
      <c r="DJ30" s="198" t="s">
        <v>1481</v>
      </c>
      <c r="DK30" s="198"/>
      <c r="DL30" s="198"/>
      <c r="DM30" s="198" t="s">
        <v>1488</v>
      </c>
      <c r="DN30" s="198" t="s">
        <v>1489</v>
      </c>
      <c r="DO30" s="198" t="s">
        <v>1477</v>
      </c>
      <c r="DP30" s="198" t="s">
        <v>1479</v>
      </c>
      <c r="DQ30" s="198" t="s">
        <v>1478</v>
      </c>
      <c r="DR30" s="198" t="s">
        <v>1504</v>
      </c>
      <c r="DS30" s="198" t="s">
        <v>1477</v>
      </c>
      <c r="DT30" s="198" t="s">
        <v>1489</v>
      </c>
      <c r="DU30" s="198" t="s">
        <v>1477</v>
      </c>
      <c r="DV30" s="198" t="s">
        <v>1465</v>
      </c>
      <c r="DW30" s="198" t="s">
        <v>1476</v>
      </c>
      <c r="DX30" s="198"/>
      <c r="DY30" s="198"/>
      <c r="DZ30" s="198"/>
      <c r="EA30" s="198" t="s">
        <v>1504</v>
      </c>
      <c r="EB30" s="198" t="s">
        <v>1473</v>
      </c>
      <c r="EC30" s="198" t="s">
        <v>1473</v>
      </c>
      <c r="ED30" s="198"/>
      <c r="EE30" s="198"/>
      <c r="EF30" s="198"/>
      <c r="EG30" s="198"/>
      <c r="EH30" s="198"/>
      <c r="EI30" s="198"/>
      <c r="EJ30" s="198"/>
      <c r="EK30" s="198" t="s">
        <v>1473</v>
      </c>
      <c r="EL30" s="198" t="s">
        <v>1478</v>
      </c>
      <c r="EM30" s="198"/>
      <c r="EN30" s="198" t="s">
        <v>1468</v>
      </c>
      <c r="EO30" s="198" t="s">
        <v>1473</v>
      </c>
      <c r="EP30" s="198" t="s">
        <v>1465</v>
      </c>
      <c r="EQ30" s="198" t="s">
        <v>1451</v>
      </c>
      <c r="ER30" s="198" t="s">
        <v>1501</v>
      </c>
      <c r="ES30" s="198"/>
      <c r="ET30" s="198" t="s">
        <v>1468</v>
      </c>
      <c r="EU30" s="198" t="s">
        <v>1468</v>
      </c>
      <c r="EV30" s="198" t="s">
        <v>1468</v>
      </c>
      <c r="EW30" s="198" t="s">
        <v>1468</v>
      </c>
      <c r="EX30" s="198" t="s">
        <v>1476</v>
      </c>
      <c r="EY30" s="198" t="s">
        <v>1468</v>
      </c>
      <c r="EZ30" s="198" t="s">
        <v>1526</v>
      </c>
      <c r="FA30" s="198" t="s">
        <v>1468</v>
      </c>
      <c r="FB30" s="198" t="s">
        <v>1465</v>
      </c>
      <c r="FC30" s="198" t="s">
        <v>1475</v>
      </c>
      <c r="FD30" s="198" t="s">
        <v>1476</v>
      </c>
      <c r="FE30" s="198" t="s">
        <v>1468</v>
      </c>
      <c r="FF30" s="198" t="s">
        <v>1476</v>
      </c>
      <c r="FG30" s="198" t="s">
        <v>1468</v>
      </c>
      <c r="FH30" s="198"/>
      <c r="FI30" s="198"/>
      <c r="FJ30" s="198"/>
      <c r="FK30" s="198"/>
      <c r="FL30" s="198" t="s">
        <v>1473</v>
      </c>
      <c r="FM30" s="198" t="s">
        <v>1473</v>
      </c>
      <c r="FN30" s="198" t="s">
        <v>1465</v>
      </c>
      <c r="FO30" s="198" t="s">
        <v>1465</v>
      </c>
      <c r="FP30" s="198" t="s">
        <v>1465</v>
      </c>
      <c r="FQ30" s="198" t="s">
        <v>1465</v>
      </c>
      <c r="FR30" s="198" t="s">
        <v>1476</v>
      </c>
      <c r="FS30" s="198" t="s">
        <v>1473</v>
      </c>
      <c r="FT30" s="198" t="s">
        <v>1452</v>
      </c>
      <c r="FU30" s="198" t="s">
        <v>1472</v>
      </c>
      <c r="FV30" s="198"/>
      <c r="FW30" s="198"/>
      <c r="FX30" s="198" t="s">
        <v>1505</v>
      </c>
      <c r="FY30" s="198"/>
      <c r="FZ30" s="198" t="s">
        <v>1468</v>
      </c>
      <c r="GA30" s="198" t="s">
        <v>1473</v>
      </c>
      <c r="GB30" s="198"/>
      <c r="GC30" s="198" t="s">
        <v>1468</v>
      </c>
      <c r="GD30" s="198" t="s">
        <v>1468</v>
      </c>
      <c r="GE30" s="198" t="s">
        <v>1473</v>
      </c>
      <c r="GF30" s="198" t="s">
        <v>1476</v>
      </c>
      <c r="GG30" s="198" t="s">
        <v>1476</v>
      </c>
      <c r="GH30" s="198" t="s">
        <v>1476</v>
      </c>
      <c r="GI30" s="198" t="s">
        <v>1458</v>
      </c>
      <c r="GJ30" s="198" t="s">
        <v>1468</v>
      </c>
      <c r="GK30" s="198"/>
      <c r="GL30" s="198" t="s">
        <v>1473</v>
      </c>
      <c r="GM30" s="198" t="s">
        <v>1472</v>
      </c>
      <c r="GN30" s="198" t="s">
        <v>1473</v>
      </c>
      <c r="GO30" s="198" t="s">
        <v>1465</v>
      </c>
      <c r="GP30" s="198" t="s">
        <v>1465</v>
      </c>
      <c r="GQ30" s="198" t="s">
        <v>1480</v>
      </c>
      <c r="GR30" s="198" t="s">
        <v>1477</v>
      </c>
      <c r="GS30" s="198" t="s">
        <v>1481</v>
      </c>
      <c r="GT30" s="198" t="s">
        <v>1474</v>
      </c>
      <c r="GU30" s="198" t="s">
        <v>1503</v>
      </c>
      <c r="GV30" s="198" t="s">
        <v>1504</v>
      </c>
      <c r="GW30" s="198" t="s">
        <v>1477</v>
      </c>
      <c r="GX30" s="198"/>
      <c r="GY30" s="198" t="s">
        <v>1473</v>
      </c>
      <c r="GZ30" s="198" t="s">
        <v>1465</v>
      </c>
      <c r="HA30" s="198" t="s">
        <v>1468</v>
      </c>
      <c r="HB30" s="198" t="s">
        <v>1465</v>
      </c>
      <c r="HC30" s="198" t="s">
        <v>1476</v>
      </c>
      <c r="HD30" s="198" t="s">
        <v>1468</v>
      </c>
    </row>
    <row r="31" ht="15.75" customHeight="1">
      <c r="A31" s="234">
        <v>31.0</v>
      </c>
      <c r="B31" s="236" t="s">
        <v>1467</v>
      </c>
      <c r="C31" s="198" t="str">
        <f t="shared" ref="C31:DC31" si="30">if(countif(DD:DD,$B31),INDIRECT(concat("B",$A31)),"")</f>
        <v>1.2.1.68</v>
      </c>
      <c r="D31" s="198" t="str">
        <f t="shared" si="30"/>
        <v>1.2.1.68</v>
      </c>
      <c r="E31" s="198" t="str">
        <f t="shared" si="30"/>
        <v>1.2.1.68</v>
      </c>
      <c r="F31" s="198" t="str">
        <f t="shared" si="30"/>
        <v>1.2.1.68</v>
      </c>
      <c r="G31" s="198" t="str">
        <f t="shared" si="30"/>
        <v>1.2.1.68</v>
      </c>
      <c r="H31" s="198" t="str">
        <f t="shared" si="30"/>
        <v>1.2.1.68</v>
      </c>
      <c r="I31" s="198" t="str">
        <f t="shared" si="30"/>
        <v>1.2.1.68</v>
      </c>
      <c r="J31" s="198" t="str">
        <f t="shared" si="30"/>
        <v/>
      </c>
      <c r="K31" s="198" t="str">
        <f t="shared" si="30"/>
        <v/>
      </c>
      <c r="L31" s="198" t="str">
        <f t="shared" si="30"/>
        <v>1.2.1.68</v>
      </c>
      <c r="M31" s="198" t="str">
        <f t="shared" si="30"/>
        <v>1.2.1.68</v>
      </c>
      <c r="N31" s="198" t="str">
        <f t="shared" si="30"/>
        <v>1.2.1.68</v>
      </c>
      <c r="O31" s="198" t="str">
        <f t="shared" si="30"/>
        <v>1.2.1.68</v>
      </c>
      <c r="P31" s="198" t="str">
        <f t="shared" si="30"/>
        <v>1.2.1.68</v>
      </c>
      <c r="Q31" s="198" t="str">
        <f t="shared" si="30"/>
        <v>1.2.1.68</v>
      </c>
      <c r="R31" s="198" t="str">
        <f t="shared" si="30"/>
        <v>1.2.1.68</v>
      </c>
      <c r="S31" s="198" t="str">
        <f t="shared" si="30"/>
        <v>1.2.1.68</v>
      </c>
      <c r="T31" s="198" t="str">
        <f t="shared" si="30"/>
        <v>1.2.1.68</v>
      </c>
      <c r="U31" s="198" t="str">
        <f t="shared" si="30"/>
        <v>1.2.1.68</v>
      </c>
      <c r="V31" s="198" t="str">
        <f t="shared" si="30"/>
        <v>1.2.1.68</v>
      </c>
      <c r="W31" s="198" t="str">
        <f t="shared" si="30"/>
        <v/>
      </c>
      <c r="X31" s="198" t="str">
        <f t="shared" si="30"/>
        <v/>
      </c>
      <c r="Y31" s="198" t="str">
        <f t="shared" si="30"/>
        <v/>
      </c>
      <c r="Z31" s="198" t="str">
        <f t="shared" si="30"/>
        <v>1.2.1.68</v>
      </c>
      <c r="AA31" s="198" t="str">
        <f t="shared" si="30"/>
        <v>1.2.1.68</v>
      </c>
      <c r="AB31" s="198" t="str">
        <f t="shared" si="30"/>
        <v>1.2.1.68</v>
      </c>
      <c r="AC31" s="198" t="str">
        <f t="shared" si="30"/>
        <v/>
      </c>
      <c r="AD31" s="198" t="str">
        <f t="shared" si="30"/>
        <v>1.2.1.68</v>
      </c>
      <c r="AE31" s="198" t="str">
        <f t="shared" si="30"/>
        <v>1.2.1.68</v>
      </c>
      <c r="AF31" s="198" t="str">
        <f t="shared" si="30"/>
        <v>1.2.1.68</v>
      </c>
      <c r="AG31" s="198" t="str">
        <f t="shared" si="30"/>
        <v>1.2.1.68</v>
      </c>
      <c r="AH31" s="198" t="str">
        <f t="shared" si="30"/>
        <v>1.2.1.68</v>
      </c>
      <c r="AI31" s="198" t="str">
        <f t="shared" si="30"/>
        <v/>
      </c>
      <c r="AJ31" s="198" t="str">
        <f t="shared" si="30"/>
        <v>1.2.1.68</v>
      </c>
      <c r="AK31" s="198" t="str">
        <f t="shared" si="30"/>
        <v>1.2.1.68</v>
      </c>
      <c r="AL31" s="198" t="str">
        <f t="shared" si="30"/>
        <v>1.2.1.68</v>
      </c>
      <c r="AM31" s="198" t="str">
        <f t="shared" si="30"/>
        <v>1.2.1.68</v>
      </c>
      <c r="AN31" s="198" t="str">
        <f t="shared" si="30"/>
        <v>1.2.1.68</v>
      </c>
      <c r="AO31" s="198" t="str">
        <f t="shared" si="30"/>
        <v>1.2.1.68</v>
      </c>
      <c r="AP31" s="198" t="str">
        <f t="shared" si="30"/>
        <v>1.2.1.68</v>
      </c>
      <c r="AQ31" s="198" t="str">
        <f t="shared" si="30"/>
        <v>1.2.1.68</v>
      </c>
      <c r="AR31" s="198" t="str">
        <f t="shared" si="30"/>
        <v/>
      </c>
      <c r="AS31" s="198" t="str">
        <f t="shared" si="30"/>
        <v>1.2.1.68</v>
      </c>
      <c r="AT31" s="198" t="str">
        <f t="shared" si="30"/>
        <v>1.2.1.68</v>
      </c>
      <c r="AU31" s="198" t="str">
        <f t="shared" si="30"/>
        <v>1.2.1.68</v>
      </c>
      <c r="AV31" s="198" t="str">
        <f t="shared" si="30"/>
        <v>1.2.1.68</v>
      </c>
      <c r="AW31" s="198" t="str">
        <f t="shared" si="30"/>
        <v>1.2.1.68</v>
      </c>
      <c r="AX31" s="198" t="str">
        <f t="shared" si="30"/>
        <v>1.2.1.68</v>
      </c>
      <c r="AY31" s="198" t="str">
        <f t="shared" si="30"/>
        <v>1.2.1.68</v>
      </c>
      <c r="AZ31" s="198" t="str">
        <f t="shared" si="30"/>
        <v>1.2.1.68</v>
      </c>
      <c r="BA31" s="198" t="str">
        <f t="shared" si="30"/>
        <v>1.2.1.68</v>
      </c>
      <c r="BB31" s="198" t="str">
        <f t="shared" si="30"/>
        <v>1.2.1.68</v>
      </c>
      <c r="BC31" s="198" t="str">
        <f t="shared" si="30"/>
        <v>1.2.1.68</v>
      </c>
      <c r="BD31" s="198" t="str">
        <f t="shared" si="30"/>
        <v>1.2.1.68</v>
      </c>
      <c r="BE31" s="198" t="str">
        <f t="shared" si="30"/>
        <v>1.2.1.68</v>
      </c>
      <c r="BF31" s="198" t="str">
        <f t="shared" si="30"/>
        <v>1.2.1.68</v>
      </c>
      <c r="BG31" s="198" t="str">
        <f t="shared" si="30"/>
        <v/>
      </c>
      <c r="BH31" s="198" t="str">
        <f t="shared" si="30"/>
        <v/>
      </c>
      <c r="BI31" s="198" t="str">
        <f t="shared" si="30"/>
        <v>1.2.1.68</v>
      </c>
      <c r="BJ31" s="198" t="str">
        <f t="shared" si="30"/>
        <v/>
      </c>
      <c r="BK31" s="198" t="str">
        <f t="shared" si="30"/>
        <v>1.2.1.68</v>
      </c>
      <c r="BL31" s="198" t="str">
        <f t="shared" si="30"/>
        <v>1.2.1.68</v>
      </c>
      <c r="BM31" s="198" t="str">
        <f t="shared" si="30"/>
        <v>1.2.1.68</v>
      </c>
      <c r="BN31" s="198" t="str">
        <f t="shared" si="30"/>
        <v>1.2.1.68</v>
      </c>
      <c r="BO31" s="198" t="str">
        <f t="shared" si="30"/>
        <v>1.2.1.68</v>
      </c>
      <c r="BP31" s="198" t="str">
        <f t="shared" si="30"/>
        <v>1.2.1.68</v>
      </c>
      <c r="BQ31" s="198" t="str">
        <f t="shared" si="30"/>
        <v>1.2.1.68</v>
      </c>
      <c r="BR31" s="198" t="str">
        <f t="shared" si="30"/>
        <v>1.2.1.68</v>
      </c>
      <c r="BS31" s="198" t="str">
        <f t="shared" si="30"/>
        <v>1.2.1.68</v>
      </c>
      <c r="BT31" s="198" t="str">
        <f t="shared" si="30"/>
        <v>1.2.1.68</v>
      </c>
      <c r="BU31" s="198" t="str">
        <f t="shared" si="30"/>
        <v/>
      </c>
      <c r="BV31" s="198" t="str">
        <f t="shared" si="30"/>
        <v/>
      </c>
      <c r="BW31" s="198" t="str">
        <f t="shared" si="30"/>
        <v>1.2.1.68</v>
      </c>
      <c r="BX31" s="198" t="str">
        <f t="shared" si="30"/>
        <v>1.2.1.68</v>
      </c>
      <c r="BY31" s="198" t="str">
        <f t="shared" si="30"/>
        <v>1.2.1.68</v>
      </c>
      <c r="BZ31" s="198" t="str">
        <f t="shared" si="30"/>
        <v>1.2.1.68</v>
      </c>
      <c r="CA31" s="198" t="str">
        <f t="shared" si="30"/>
        <v/>
      </c>
      <c r="CB31" s="198" t="str">
        <f t="shared" si="30"/>
        <v>1.2.1.68</v>
      </c>
      <c r="CC31" s="198" t="str">
        <f t="shared" si="30"/>
        <v>1.2.1.68</v>
      </c>
      <c r="CD31" s="198" t="str">
        <f t="shared" si="30"/>
        <v>1.2.1.68</v>
      </c>
      <c r="CE31" s="198" t="str">
        <f t="shared" si="30"/>
        <v>1.2.1.68</v>
      </c>
      <c r="CF31" s="198" t="str">
        <f t="shared" si="30"/>
        <v>1.2.1.68</v>
      </c>
      <c r="CG31" s="198" t="str">
        <f t="shared" si="30"/>
        <v>1.2.1.68</v>
      </c>
      <c r="CH31" s="198" t="str">
        <f t="shared" si="30"/>
        <v>1.2.1.68</v>
      </c>
      <c r="CI31" s="198" t="str">
        <f t="shared" si="30"/>
        <v>1.2.1.68</v>
      </c>
      <c r="CJ31" s="198" t="str">
        <f t="shared" si="30"/>
        <v>1.2.1.68</v>
      </c>
      <c r="CK31" s="198" t="str">
        <f t="shared" si="30"/>
        <v>1.2.1.68</v>
      </c>
      <c r="CL31" s="198" t="str">
        <f t="shared" si="30"/>
        <v>1.2.1.68</v>
      </c>
      <c r="CM31" s="198" t="str">
        <f t="shared" si="30"/>
        <v>1.2.1.68</v>
      </c>
      <c r="CN31" s="198" t="str">
        <f t="shared" si="30"/>
        <v>1.2.1.68</v>
      </c>
      <c r="CO31" s="198" t="str">
        <f t="shared" si="30"/>
        <v>1.2.1.68</v>
      </c>
      <c r="CP31" s="198" t="str">
        <f t="shared" si="30"/>
        <v>1.2.1.68</v>
      </c>
      <c r="CQ31" s="198" t="str">
        <f t="shared" si="30"/>
        <v>1.2.1.68</v>
      </c>
      <c r="CR31" s="198" t="str">
        <f t="shared" si="30"/>
        <v>1.2.1.68</v>
      </c>
      <c r="CS31" s="198" t="str">
        <f t="shared" si="30"/>
        <v>1.2.1.68</v>
      </c>
      <c r="CT31" s="198" t="str">
        <f t="shared" si="30"/>
        <v>1.2.1.68</v>
      </c>
      <c r="CU31" s="198" t="str">
        <f t="shared" si="30"/>
        <v>1.2.1.68</v>
      </c>
      <c r="CV31" s="198" t="str">
        <f t="shared" si="30"/>
        <v/>
      </c>
      <c r="CW31" s="198" t="str">
        <f t="shared" si="30"/>
        <v/>
      </c>
      <c r="CX31" s="198" t="str">
        <f t="shared" si="30"/>
        <v>1.2.1.68</v>
      </c>
      <c r="CY31" s="198" t="str">
        <f t="shared" si="30"/>
        <v>1.2.1.68</v>
      </c>
      <c r="CZ31" s="198" t="str">
        <f t="shared" si="30"/>
        <v>1.2.1.68</v>
      </c>
      <c r="DA31" s="198" t="str">
        <f t="shared" si="30"/>
        <v>1.2.1.68</v>
      </c>
      <c r="DB31" s="198" t="str">
        <f t="shared" si="30"/>
        <v>1.2.1.68</v>
      </c>
      <c r="DC31" s="198" t="str">
        <f t="shared" si="30"/>
        <v>1.2.1.68</v>
      </c>
      <c r="DD31" s="198" t="s">
        <v>1480</v>
      </c>
      <c r="DE31" s="198"/>
      <c r="DF31" s="198" t="s">
        <v>1482</v>
      </c>
      <c r="DG31" s="198" t="s">
        <v>1488</v>
      </c>
      <c r="DH31" s="198" t="s">
        <v>1470</v>
      </c>
      <c r="DI31" s="198" t="s">
        <v>1472</v>
      </c>
      <c r="DJ31" s="198" t="s">
        <v>1482</v>
      </c>
      <c r="DK31" s="198"/>
      <c r="DL31" s="198"/>
      <c r="DM31" s="198" t="s">
        <v>1477</v>
      </c>
      <c r="DN31" s="198" t="s">
        <v>1479</v>
      </c>
      <c r="DO31" s="198" t="s">
        <v>1478</v>
      </c>
      <c r="DP31" s="198" t="s">
        <v>1481</v>
      </c>
      <c r="DQ31" s="198" t="s">
        <v>1489</v>
      </c>
      <c r="DR31" s="198" t="s">
        <v>1483</v>
      </c>
      <c r="DS31" s="198" t="s">
        <v>1478</v>
      </c>
      <c r="DT31" s="198" t="s">
        <v>1479</v>
      </c>
      <c r="DU31" s="198" t="s">
        <v>1478</v>
      </c>
      <c r="DV31" s="198" t="s">
        <v>1501</v>
      </c>
      <c r="DW31" s="198" t="s">
        <v>1473</v>
      </c>
      <c r="DX31" s="198"/>
      <c r="DY31" s="198"/>
      <c r="DZ31" s="198"/>
      <c r="EA31" s="198" t="s">
        <v>1483</v>
      </c>
      <c r="EB31" s="198" t="s">
        <v>1474</v>
      </c>
      <c r="EC31" s="198" t="s">
        <v>1474</v>
      </c>
      <c r="ED31" s="198"/>
      <c r="EE31" s="198"/>
      <c r="EF31" s="198"/>
      <c r="EG31" s="198"/>
      <c r="EH31" s="198"/>
      <c r="EI31" s="198"/>
      <c r="EJ31" s="198"/>
      <c r="EK31" s="198" t="s">
        <v>1505</v>
      </c>
      <c r="EL31" s="198" t="s">
        <v>1479</v>
      </c>
      <c r="EM31" s="198"/>
      <c r="EN31" s="198" t="s">
        <v>1465</v>
      </c>
      <c r="EO31" s="198" t="s">
        <v>1472</v>
      </c>
      <c r="EP31" s="198" t="s">
        <v>1476</v>
      </c>
      <c r="EQ31" s="198" t="s">
        <v>1452</v>
      </c>
      <c r="ER31" s="198" t="s">
        <v>1500</v>
      </c>
      <c r="ES31" s="198"/>
      <c r="ET31" s="198" t="s">
        <v>1465</v>
      </c>
      <c r="EU31" s="198" t="s">
        <v>1465</v>
      </c>
      <c r="EV31" s="198" t="s">
        <v>1465</v>
      </c>
      <c r="EW31" s="198" t="s">
        <v>1465</v>
      </c>
      <c r="EX31" s="198" t="s">
        <v>1473</v>
      </c>
      <c r="EY31" s="198" t="s">
        <v>1465</v>
      </c>
      <c r="EZ31" s="198" t="s">
        <v>1488</v>
      </c>
      <c r="FA31" s="198" t="s">
        <v>1465</v>
      </c>
      <c r="FB31" s="198" t="s">
        <v>1476</v>
      </c>
      <c r="FC31" s="198"/>
      <c r="FD31" s="198" t="s">
        <v>1473</v>
      </c>
      <c r="FE31" s="198" t="s">
        <v>1465</v>
      </c>
      <c r="FF31" s="198" t="s">
        <v>1473</v>
      </c>
      <c r="FG31" s="198" t="s">
        <v>1465</v>
      </c>
      <c r="FH31" s="198"/>
      <c r="FI31" s="198"/>
      <c r="FJ31" s="198"/>
      <c r="FK31" s="198"/>
      <c r="FL31" s="198" t="s">
        <v>1472</v>
      </c>
      <c r="FM31" s="198" t="s">
        <v>1505</v>
      </c>
      <c r="FN31" s="198" t="s">
        <v>1473</v>
      </c>
      <c r="FO31" s="198" t="s">
        <v>1473</v>
      </c>
      <c r="FP31" s="198" t="s">
        <v>1473</v>
      </c>
      <c r="FQ31" s="198" t="s">
        <v>1473</v>
      </c>
      <c r="FR31" s="198" t="s">
        <v>1473</v>
      </c>
      <c r="FS31" s="198" t="s">
        <v>1472</v>
      </c>
      <c r="FT31" s="198" t="s">
        <v>1462</v>
      </c>
      <c r="FU31" s="198" t="s">
        <v>1475</v>
      </c>
      <c r="FV31" s="198"/>
      <c r="FW31" s="198"/>
      <c r="FX31" s="198" t="s">
        <v>1472</v>
      </c>
      <c r="FY31" s="198"/>
      <c r="FZ31" s="198" t="s">
        <v>1465</v>
      </c>
      <c r="GA31" s="198" t="s">
        <v>1472</v>
      </c>
      <c r="GB31" s="198"/>
      <c r="GC31" s="198" t="s">
        <v>1465</v>
      </c>
      <c r="GD31" s="198" t="s">
        <v>1465</v>
      </c>
      <c r="GE31" s="198" t="s">
        <v>1501</v>
      </c>
      <c r="GF31" s="198" t="s">
        <v>1473</v>
      </c>
      <c r="GG31" s="198" t="s">
        <v>1473</v>
      </c>
      <c r="GH31" s="198" t="s">
        <v>1473</v>
      </c>
      <c r="GI31" s="198" t="s">
        <v>1463</v>
      </c>
      <c r="GJ31" s="198" t="s">
        <v>1465</v>
      </c>
      <c r="GK31" s="198"/>
      <c r="GL31" s="198" t="s">
        <v>1488</v>
      </c>
      <c r="GM31" s="198" t="s">
        <v>1475</v>
      </c>
      <c r="GN31" s="198" t="s">
        <v>1488</v>
      </c>
      <c r="GO31" s="198" t="s">
        <v>1473</v>
      </c>
      <c r="GP31" s="198" t="s">
        <v>1473</v>
      </c>
      <c r="GQ31" s="198" t="s">
        <v>1481</v>
      </c>
      <c r="GR31" s="198" t="s">
        <v>1478</v>
      </c>
      <c r="GS31" s="198" t="s">
        <v>1482</v>
      </c>
      <c r="GT31" s="198" t="s">
        <v>1505</v>
      </c>
      <c r="GU31" s="198" t="s">
        <v>1504</v>
      </c>
      <c r="GV31" s="198" t="s">
        <v>1483</v>
      </c>
      <c r="GW31" s="198" t="s">
        <v>1478</v>
      </c>
      <c r="GX31" s="198"/>
      <c r="GY31" s="198" t="s">
        <v>1472</v>
      </c>
      <c r="GZ31" s="198" t="s">
        <v>1476</v>
      </c>
      <c r="HA31" s="198" t="s">
        <v>1465</v>
      </c>
      <c r="HB31" s="198" t="s">
        <v>1476</v>
      </c>
      <c r="HC31" s="198" t="s">
        <v>1473</v>
      </c>
      <c r="HD31" s="198" t="s">
        <v>1465</v>
      </c>
    </row>
    <row r="32" ht="15.75" customHeight="1">
      <c r="A32" s="234">
        <v>32.0</v>
      </c>
      <c r="B32" s="198" t="s">
        <v>1515</v>
      </c>
      <c r="C32" s="198" t="str">
        <f t="shared" ref="C32:DC32" si="31">if(countif(DD:DD,$B32),INDIRECT(concat("B",$A32)),"")</f>
        <v/>
      </c>
      <c r="D32" s="198" t="str">
        <f t="shared" si="31"/>
        <v/>
      </c>
      <c r="E32" s="198" t="str">
        <f t="shared" si="31"/>
        <v/>
      </c>
      <c r="F32" s="198" t="str">
        <f t="shared" si="31"/>
        <v/>
      </c>
      <c r="G32" s="198" t="str">
        <f t="shared" si="31"/>
        <v/>
      </c>
      <c r="H32" s="198" t="str">
        <f t="shared" si="31"/>
        <v/>
      </c>
      <c r="I32" s="198" t="str">
        <f t="shared" si="31"/>
        <v/>
      </c>
      <c r="J32" s="198" t="str">
        <f t="shared" si="31"/>
        <v/>
      </c>
      <c r="K32" s="198" t="str">
        <f t="shared" si="31"/>
        <v/>
      </c>
      <c r="L32" s="198" t="str">
        <f t="shared" si="31"/>
        <v/>
      </c>
      <c r="M32" s="198" t="str">
        <f t="shared" si="31"/>
        <v/>
      </c>
      <c r="N32" s="198" t="str">
        <f t="shared" si="31"/>
        <v/>
      </c>
      <c r="O32" s="198" t="str">
        <f t="shared" si="31"/>
        <v/>
      </c>
      <c r="P32" s="198" t="str">
        <f t="shared" si="31"/>
        <v/>
      </c>
      <c r="Q32" s="198" t="str">
        <f t="shared" si="31"/>
        <v>1.23.1.-</v>
      </c>
      <c r="R32" s="198" t="str">
        <f t="shared" si="31"/>
        <v/>
      </c>
      <c r="S32" s="198" t="str">
        <f t="shared" si="31"/>
        <v/>
      </c>
      <c r="T32" s="198" t="str">
        <f t="shared" si="31"/>
        <v/>
      </c>
      <c r="U32" s="198" t="str">
        <f t="shared" si="31"/>
        <v/>
      </c>
      <c r="V32" s="198" t="str">
        <f t="shared" si="31"/>
        <v/>
      </c>
      <c r="W32" s="198" t="str">
        <f t="shared" si="31"/>
        <v/>
      </c>
      <c r="X32" s="198" t="str">
        <f t="shared" si="31"/>
        <v/>
      </c>
      <c r="Y32" s="198" t="str">
        <f t="shared" si="31"/>
        <v/>
      </c>
      <c r="Z32" s="198" t="str">
        <f t="shared" si="31"/>
        <v>1.23.1.-</v>
      </c>
      <c r="AA32" s="198" t="str">
        <f t="shared" si="31"/>
        <v/>
      </c>
      <c r="AB32" s="198" t="str">
        <f t="shared" si="31"/>
        <v/>
      </c>
      <c r="AC32" s="198" t="str">
        <f t="shared" si="31"/>
        <v/>
      </c>
      <c r="AD32" s="198" t="str">
        <f t="shared" si="31"/>
        <v/>
      </c>
      <c r="AE32" s="198" t="str">
        <f t="shared" si="31"/>
        <v/>
      </c>
      <c r="AF32" s="198" t="str">
        <f t="shared" si="31"/>
        <v/>
      </c>
      <c r="AG32" s="198" t="str">
        <f t="shared" si="31"/>
        <v/>
      </c>
      <c r="AH32" s="198" t="str">
        <f t="shared" si="31"/>
        <v/>
      </c>
      <c r="AI32" s="198" t="str">
        <f t="shared" si="31"/>
        <v/>
      </c>
      <c r="AJ32" s="198" t="str">
        <f t="shared" si="31"/>
        <v/>
      </c>
      <c r="AK32" s="198" t="str">
        <f t="shared" si="31"/>
        <v/>
      </c>
      <c r="AL32" s="198" t="str">
        <f t="shared" si="31"/>
        <v/>
      </c>
      <c r="AM32" s="198" t="str">
        <f t="shared" si="31"/>
        <v/>
      </c>
      <c r="AN32" s="198" t="str">
        <f t="shared" si="31"/>
        <v/>
      </c>
      <c r="AO32" s="198" t="str">
        <f t="shared" si="31"/>
        <v/>
      </c>
      <c r="AP32" s="198" t="str">
        <f t="shared" si="31"/>
        <v/>
      </c>
      <c r="AQ32" s="198" t="str">
        <f t="shared" si="31"/>
        <v/>
      </c>
      <c r="AR32" s="198" t="str">
        <f t="shared" si="31"/>
        <v/>
      </c>
      <c r="AS32" s="198" t="str">
        <f t="shared" si="31"/>
        <v/>
      </c>
      <c r="AT32" s="198" t="str">
        <f t="shared" si="31"/>
        <v/>
      </c>
      <c r="AU32" s="198" t="str">
        <f t="shared" si="31"/>
        <v/>
      </c>
      <c r="AV32" s="198" t="str">
        <f t="shared" si="31"/>
        <v/>
      </c>
      <c r="AW32" s="198" t="str">
        <f t="shared" si="31"/>
        <v/>
      </c>
      <c r="AX32" s="198" t="str">
        <f t="shared" si="31"/>
        <v/>
      </c>
      <c r="AY32" s="198" t="str">
        <f t="shared" si="31"/>
        <v/>
      </c>
      <c r="AZ32" s="198" t="str">
        <f t="shared" si="31"/>
        <v/>
      </c>
      <c r="BA32" s="198" t="str">
        <f t="shared" si="31"/>
        <v/>
      </c>
      <c r="BB32" s="198" t="str">
        <f t="shared" si="31"/>
        <v/>
      </c>
      <c r="BC32" s="198" t="str">
        <f t="shared" si="31"/>
        <v>1.23.1.-</v>
      </c>
      <c r="BD32" s="198" t="str">
        <f t="shared" si="31"/>
        <v/>
      </c>
      <c r="BE32" s="198" t="str">
        <f t="shared" si="31"/>
        <v/>
      </c>
      <c r="BF32" s="198" t="str">
        <f t="shared" si="31"/>
        <v/>
      </c>
      <c r="BG32" s="198" t="str">
        <f t="shared" si="31"/>
        <v/>
      </c>
      <c r="BH32" s="198" t="str">
        <f t="shared" si="31"/>
        <v/>
      </c>
      <c r="BI32" s="198" t="str">
        <f t="shared" si="31"/>
        <v/>
      </c>
      <c r="BJ32" s="198" t="str">
        <f t="shared" si="31"/>
        <v/>
      </c>
      <c r="BK32" s="198" t="str">
        <f t="shared" si="31"/>
        <v/>
      </c>
      <c r="BL32" s="198" t="str">
        <f t="shared" si="31"/>
        <v/>
      </c>
      <c r="BM32" s="198" t="str">
        <f t="shared" si="31"/>
        <v/>
      </c>
      <c r="BN32" s="198" t="str">
        <f t="shared" si="31"/>
        <v/>
      </c>
      <c r="BO32" s="198" t="str">
        <f t="shared" si="31"/>
        <v/>
      </c>
      <c r="BP32" s="198" t="str">
        <f t="shared" si="31"/>
        <v/>
      </c>
      <c r="BQ32" s="198" t="str">
        <f t="shared" si="31"/>
        <v/>
      </c>
      <c r="BR32" s="198" t="str">
        <f t="shared" si="31"/>
        <v/>
      </c>
      <c r="BS32" s="198" t="str">
        <f t="shared" si="31"/>
        <v/>
      </c>
      <c r="BT32" s="198" t="str">
        <f t="shared" si="31"/>
        <v/>
      </c>
      <c r="BU32" s="198" t="str">
        <f t="shared" si="31"/>
        <v/>
      </c>
      <c r="BV32" s="198" t="str">
        <f t="shared" si="31"/>
        <v/>
      </c>
      <c r="BW32" s="198" t="str">
        <f t="shared" si="31"/>
        <v/>
      </c>
      <c r="BX32" s="198" t="str">
        <f t="shared" si="31"/>
        <v/>
      </c>
      <c r="BY32" s="198" t="str">
        <f t="shared" si="31"/>
        <v>1.23.1.-</v>
      </c>
      <c r="BZ32" s="198" t="str">
        <f t="shared" si="31"/>
        <v/>
      </c>
      <c r="CA32" s="198" t="str">
        <f t="shared" si="31"/>
        <v/>
      </c>
      <c r="CB32" s="198" t="str">
        <f t="shared" si="31"/>
        <v/>
      </c>
      <c r="CC32" s="198" t="str">
        <f t="shared" si="31"/>
        <v/>
      </c>
      <c r="CD32" s="198" t="str">
        <f t="shared" si="31"/>
        <v/>
      </c>
      <c r="CE32" s="198" t="str">
        <f t="shared" si="31"/>
        <v/>
      </c>
      <c r="CF32" s="198" t="str">
        <f t="shared" si="31"/>
        <v/>
      </c>
      <c r="CG32" s="198" t="str">
        <f t="shared" si="31"/>
        <v/>
      </c>
      <c r="CH32" s="198" t="str">
        <f t="shared" si="31"/>
        <v/>
      </c>
      <c r="CI32" s="198" t="str">
        <f t="shared" si="31"/>
        <v/>
      </c>
      <c r="CJ32" s="198" t="str">
        <f t="shared" si="31"/>
        <v/>
      </c>
      <c r="CK32" s="198" t="str">
        <f t="shared" si="31"/>
        <v/>
      </c>
      <c r="CL32" s="198" t="str">
        <f t="shared" si="31"/>
        <v/>
      </c>
      <c r="CM32" s="198" t="str">
        <f t="shared" si="31"/>
        <v/>
      </c>
      <c r="CN32" s="198" t="str">
        <f t="shared" si="31"/>
        <v/>
      </c>
      <c r="CO32" s="198" t="str">
        <f t="shared" si="31"/>
        <v/>
      </c>
      <c r="CP32" s="198" t="str">
        <f t="shared" si="31"/>
        <v/>
      </c>
      <c r="CQ32" s="198" t="str">
        <f t="shared" si="31"/>
        <v/>
      </c>
      <c r="CR32" s="198" t="str">
        <f t="shared" si="31"/>
        <v/>
      </c>
      <c r="CS32" s="198" t="str">
        <f t="shared" si="31"/>
        <v/>
      </c>
      <c r="CT32" s="198" t="str">
        <f t="shared" si="31"/>
        <v>1.23.1.-</v>
      </c>
      <c r="CU32" s="198" t="str">
        <f t="shared" si="31"/>
        <v>1.23.1.-</v>
      </c>
      <c r="CV32" s="198" t="str">
        <f t="shared" si="31"/>
        <v/>
      </c>
      <c r="CW32" s="198" t="str">
        <f t="shared" si="31"/>
        <v/>
      </c>
      <c r="CX32" s="198" t="str">
        <f t="shared" si="31"/>
        <v/>
      </c>
      <c r="CY32" s="198" t="str">
        <f t="shared" si="31"/>
        <v/>
      </c>
      <c r="CZ32" s="198" t="str">
        <f t="shared" si="31"/>
        <v/>
      </c>
      <c r="DA32" s="198" t="str">
        <f t="shared" si="31"/>
        <v/>
      </c>
      <c r="DB32" s="198" t="str">
        <f t="shared" si="31"/>
        <v/>
      </c>
      <c r="DC32" s="198" t="str">
        <f t="shared" si="31"/>
        <v>1.23.1.-</v>
      </c>
      <c r="DD32" s="198" t="s">
        <v>1481</v>
      </c>
      <c r="DE32" s="198"/>
      <c r="DF32" s="198"/>
      <c r="DG32" s="198" t="s">
        <v>1477</v>
      </c>
      <c r="DH32" s="198" t="s">
        <v>1471</v>
      </c>
      <c r="DI32" s="198" t="s">
        <v>1487</v>
      </c>
      <c r="DJ32" s="198"/>
      <c r="DK32" s="198"/>
      <c r="DL32" s="198"/>
      <c r="DM32" s="198" t="s">
        <v>1478</v>
      </c>
      <c r="DN32" s="198" t="s">
        <v>1480</v>
      </c>
      <c r="DO32" s="198" t="s">
        <v>1489</v>
      </c>
      <c r="DP32" s="198" t="s">
        <v>1482</v>
      </c>
      <c r="DQ32" s="198" t="s">
        <v>1479</v>
      </c>
      <c r="DR32" s="198" t="s">
        <v>1516</v>
      </c>
      <c r="DS32" s="198" t="s">
        <v>1479</v>
      </c>
      <c r="DT32" s="198" t="s">
        <v>1481</v>
      </c>
      <c r="DU32" s="198" t="s">
        <v>1479</v>
      </c>
      <c r="DV32" s="198" t="s">
        <v>1500</v>
      </c>
      <c r="DW32" s="198" t="s">
        <v>1488</v>
      </c>
      <c r="DX32" s="198"/>
      <c r="DY32" s="198"/>
      <c r="DZ32" s="198"/>
      <c r="EA32" s="198" t="s">
        <v>1516</v>
      </c>
      <c r="EB32" s="198" t="s">
        <v>1475</v>
      </c>
      <c r="EC32" s="198" t="s">
        <v>1475</v>
      </c>
      <c r="ED32" s="198"/>
      <c r="EE32" s="198"/>
      <c r="EF32" s="198"/>
      <c r="EG32" s="198"/>
      <c r="EH32" s="198"/>
      <c r="EI32" s="198"/>
      <c r="EJ32" s="198"/>
      <c r="EK32" s="198" t="s">
        <v>1472</v>
      </c>
      <c r="EL32" s="198" t="s">
        <v>1481</v>
      </c>
      <c r="EM32" s="198"/>
      <c r="EN32" s="198" t="s">
        <v>1476</v>
      </c>
      <c r="EO32" s="198" t="s">
        <v>1475</v>
      </c>
      <c r="EP32" s="198" t="s">
        <v>1473</v>
      </c>
      <c r="EQ32" s="198" t="s">
        <v>1463</v>
      </c>
      <c r="ER32" s="198" t="s">
        <v>1505</v>
      </c>
      <c r="ES32" s="198"/>
      <c r="ET32" s="198" t="s">
        <v>1521</v>
      </c>
      <c r="EU32" s="198" t="s">
        <v>1476</v>
      </c>
      <c r="EV32" s="198" t="s">
        <v>1476</v>
      </c>
      <c r="EW32" s="198" t="s">
        <v>1476</v>
      </c>
      <c r="EX32" s="198" t="s">
        <v>1475</v>
      </c>
      <c r="EY32" s="198" t="s">
        <v>1476</v>
      </c>
      <c r="EZ32" s="198" t="s">
        <v>1501</v>
      </c>
      <c r="FA32" s="198" t="s">
        <v>1476</v>
      </c>
      <c r="FB32" s="198" t="s">
        <v>1501</v>
      </c>
      <c r="FC32" s="198"/>
      <c r="FD32" s="198" t="s">
        <v>1498</v>
      </c>
      <c r="FE32" s="198" t="s">
        <v>1476</v>
      </c>
      <c r="FF32" s="198" t="s">
        <v>1501</v>
      </c>
      <c r="FG32" s="198" t="s">
        <v>1476</v>
      </c>
      <c r="FH32" s="198"/>
      <c r="FI32" s="198"/>
      <c r="FJ32" s="198"/>
      <c r="FK32" s="198"/>
      <c r="FL32" s="198" t="s">
        <v>1475</v>
      </c>
      <c r="FM32" s="198" t="s">
        <v>1472</v>
      </c>
      <c r="FN32" s="198" t="s">
        <v>1501</v>
      </c>
      <c r="FO32" s="198" t="s">
        <v>1501</v>
      </c>
      <c r="FP32" s="198" t="s">
        <v>1501</v>
      </c>
      <c r="FQ32" s="198" t="s">
        <v>1501</v>
      </c>
      <c r="FR32" s="198" t="s">
        <v>1488</v>
      </c>
      <c r="FS32" s="198" t="s">
        <v>1475</v>
      </c>
      <c r="FT32" s="198" t="s">
        <v>1458</v>
      </c>
      <c r="FU32" s="198"/>
      <c r="FV32" s="198"/>
      <c r="FW32" s="198"/>
      <c r="FX32" s="198" t="s">
        <v>1475</v>
      </c>
      <c r="FY32" s="198"/>
      <c r="FZ32" s="198" t="s">
        <v>1476</v>
      </c>
      <c r="GA32" s="198" t="s">
        <v>1475</v>
      </c>
      <c r="GB32" s="198"/>
      <c r="GC32" s="198" t="s">
        <v>1476</v>
      </c>
      <c r="GD32" s="198" t="s">
        <v>1476</v>
      </c>
      <c r="GE32" s="198" t="s">
        <v>1500</v>
      </c>
      <c r="GF32" s="198" t="s">
        <v>1501</v>
      </c>
      <c r="GG32" s="198" t="s">
        <v>1501</v>
      </c>
      <c r="GH32" s="198" t="s">
        <v>1488</v>
      </c>
      <c r="GI32" s="198" t="s">
        <v>1468</v>
      </c>
      <c r="GJ32" s="198" t="s">
        <v>1476</v>
      </c>
      <c r="GK32" s="198"/>
      <c r="GL32" s="198" t="s">
        <v>1525</v>
      </c>
      <c r="GM32" s="198"/>
      <c r="GN32" s="198" t="s">
        <v>1501</v>
      </c>
      <c r="GO32" s="198" t="s">
        <v>1488</v>
      </c>
      <c r="GP32" s="198" t="s">
        <v>1488</v>
      </c>
      <c r="GQ32" s="198" t="s">
        <v>1482</v>
      </c>
      <c r="GR32" s="198" t="s">
        <v>1479</v>
      </c>
      <c r="GS32" s="198"/>
      <c r="GT32" s="198" t="s">
        <v>1476</v>
      </c>
      <c r="GU32" s="198" t="s">
        <v>1483</v>
      </c>
      <c r="GV32" s="198" t="s">
        <v>1470</v>
      </c>
      <c r="GW32" s="198" t="s">
        <v>1479</v>
      </c>
      <c r="GX32" s="198"/>
      <c r="GY32" s="198" t="s">
        <v>1475</v>
      </c>
      <c r="GZ32" s="198" t="s">
        <v>1473</v>
      </c>
      <c r="HA32" s="198" t="s">
        <v>1521</v>
      </c>
      <c r="HB32" s="198" t="s">
        <v>1498</v>
      </c>
      <c r="HC32" s="198" t="s">
        <v>1488</v>
      </c>
      <c r="HD32" s="198" t="s">
        <v>1476</v>
      </c>
    </row>
    <row r="33" ht="15.75" customHeight="1">
      <c r="A33" s="234">
        <v>33.0</v>
      </c>
      <c r="B33" s="198" t="s">
        <v>1468</v>
      </c>
      <c r="C33" s="198" t="str">
        <f t="shared" ref="C33:DC33" si="32">if(countif(DD:DD,$B33),INDIRECT(concat("B",$A33)),"")</f>
        <v>1.3.1.77</v>
      </c>
      <c r="D33" s="198" t="str">
        <f t="shared" si="32"/>
        <v>1.3.1.77</v>
      </c>
      <c r="E33" s="198" t="str">
        <f t="shared" si="32"/>
        <v>1.3.1.77</v>
      </c>
      <c r="F33" s="198" t="str">
        <f t="shared" si="32"/>
        <v>1.3.1.77</v>
      </c>
      <c r="G33" s="198" t="str">
        <f t="shared" si="32"/>
        <v>1.3.1.77</v>
      </c>
      <c r="H33" s="198" t="str">
        <f t="shared" si="32"/>
        <v>1.3.1.77</v>
      </c>
      <c r="I33" s="198" t="str">
        <f t="shared" si="32"/>
        <v>1.3.1.77</v>
      </c>
      <c r="J33" s="198" t="str">
        <f t="shared" si="32"/>
        <v/>
      </c>
      <c r="K33" s="198" t="str">
        <f t="shared" si="32"/>
        <v/>
      </c>
      <c r="L33" s="198" t="str">
        <f t="shared" si="32"/>
        <v>1.3.1.77</v>
      </c>
      <c r="M33" s="198" t="str">
        <f t="shared" si="32"/>
        <v>1.3.1.77</v>
      </c>
      <c r="N33" s="198" t="str">
        <f t="shared" si="32"/>
        <v>1.3.1.77</v>
      </c>
      <c r="O33" s="198" t="str">
        <f t="shared" si="32"/>
        <v>1.3.1.77</v>
      </c>
      <c r="P33" s="198" t="str">
        <f t="shared" si="32"/>
        <v>1.3.1.77</v>
      </c>
      <c r="Q33" s="198" t="str">
        <f t="shared" si="32"/>
        <v>1.3.1.77</v>
      </c>
      <c r="R33" s="198" t="str">
        <f t="shared" si="32"/>
        <v>1.3.1.77</v>
      </c>
      <c r="S33" s="198" t="str">
        <f t="shared" si="32"/>
        <v>1.3.1.77</v>
      </c>
      <c r="T33" s="198" t="str">
        <f t="shared" si="32"/>
        <v/>
      </c>
      <c r="U33" s="198" t="str">
        <f t="shared" si="32"/>
        <v>1.3.1.77</v>
      </c>
      <c r="V33" s="198" t="str">
        <f t="shared" si="32"/>
        <v>1.3.1.77</v>
      </c>
      <c r="W33" s="198" t="str">
        <f t="shared" si="32"/>
        <v/>
      </c>
      <c r="X33" s="198" t="str">
        <f t="shared" si="32"/>
        <v/>
      </c>
      <c r="Y33" s="198" t="str">
        <f t="shared" si="32"/>
        <v/>
      </c>
      <c r="Z33" s="198" t="str">
        <f t="shared" si="32"/>
        <v>1.3.1.77</v>
      </c>
      <c r="AA33" s="198" t="str">
        <f t="shared" si="32"/>
        <v>1.3.1.77</v>
      </c>
      <c r="AB33" s="198" t="str">
        <f t="shared" si="32"/>
        <v>1.3.1.77</v>
      </c>
      <c r="AC33" s="198" t="str">
        <f t="shared" si="32"/>
        <v/>
      </c>
      <c r="AD33" s="198" t="str">
        <f t="shared" si="32"/>
        <v/>
      </c>
      <c r="AE33" s="198" t="str">
        <f t="shared" si="32"/>
        <v/>
      </c>
      <c r="AF33" s="198" t="str">
        <f t="shared" si="32"/>
        <v/>
      </c>
      <c r="AG33" s="198" t="str">
        <f t="shared" si="32"/>
        <v/>
      </c>
      <c r="AH33" s="198" t="str">
        <f t="shared" si="32"/>
        <v/>
      </c>
      <c r="AI33" s="198" t="str">
        <f t="shared" si="32"/>
        <v/>
      </c>
      <c r="AJ33" s="198" t="str">
        <f t="shared" si="32"/>
        <v/>
      </c>
      <c r="AK33" s="198" t="str">
        <f t="shared" si="32"/>
        <v/>
      </c>
      <c r="AL33" s="198" t="str">
        <f t="shared" si="32"/>
        <v/>
      </c>
      <c r="AM33" s="198" t="str">
        <f t="shared" si="32"/>
        <v>1.3.1.77</v>
      </c>
      <c r="AN33" s="198" t="str">
        <f t="shared" si="32"/>
        <v>1.3.1.77</v>
      </c>
      <c r="AO33" s="198" t="str">
        <f t="shared" si="32"/>
        <v>1.3.1.77</v>
      </c>
      <c r="AP33" s="198" t="str">
        <f t="shared" si="32"/>
        <v>1.3.1.77</v>
      </c>
      <c r="AQ33" s="198" t="str">
        <f t="shared" si="32"/>
        <v>1.3.1.77</v>
      </c>
      <c r="AR33" s="198" t="str">
        <f t="shared" si="32"/>
        <v/>
      </c>
      <c r="AS33" s="198" t="str">
        <f t="shared" si="32"/>
        <v>1.3.1.77</v>
      </c>
      <c r="AT33" s="198" t="str">
        <f t="shared" si="32"/>
        <v>1.3.1.77</v>
      </c>
      <c r="AU33" s="198" t="str">
        <f t="shared" si="32"/>
        <v>1.3.1.77</v>
      </c>
      <c r="AV33" s="198" t="str">
        <f t="shared" si="32"/>
        <v>1.3.1.77</v>
      </c>
      <c r="AW33" s="198" t="str">
        <f t="shared" si="32"/>
        <v/>
      </c>
      <c r="AX33" s="198" t="str">
        <f t="shared" si="32"/>
        <v>1.3.1.77</v>
      </c>
      <c r="AY33" s="198" t="str">
        <f t="shared" si="32"/>
        <v/>
      </c>
      <c r="AZ33" s="198" t="str">
        <f t="shared" si="32"/>
        <v>1.3.1.77</v>
      </c>
      <c r="BA33" s="198" t="str">
        <f t="shared" si="32"/>
        <v>1.3.1.77</v>
      </c>
      <c r="BB33" s="198" t="str">
        <f t="shared" si="32"/>
        <v/>
      </c>
      <c r="BC33" s="198" t="str">
        <f t="shared" si="32"/>
        <v>1.3.1.77</v>
      </c>
      <c r="BD33" s="198" t="str">
        <f t="shared" si="32"/>
        <v>1.3.1.77</v>
      </c>
      <c r="BE33" s="198" t="str">
        <f t="shared" si="32"/>
        <v>1.3.1.77</v>
      </c>
      <c r="BF33" s="198" t="str">
        <f t="shared" si="32"/>
        <v>1.3.1.77</v>
      </c>
      <c r="BG33" s="198" t="str">
        <f t="shared" si="32"/>
        <v/>
      </c>
      <c r="BH33" s="198" t="str">
        <f t="shared" si="32"/>
        <v/>
      </c>
      <c r="BI33" s="198" t="str">
        <f t="shared" si="32"/>
        <v/>
      </c>
      <c r="BJ33" s="198" t="str">
        <f t="shared" si="32"/>
        <v/>
      </c>
      <c r="BK33" s="198" t="str">
        <f t="shared" si="32"/>
        <v>1.3.1.77</v>
      </c>
      <c r="BL33" s="198" t="str">
        <f t="shared" si="32"/>
        <v>1.3.1.77</v>
      </c>
      <c r="BM33" s="198" t="str">
        <f t="shared" si="32"/>
        <v>1.3.1.77</v>
      </c>
      <c r="BN33" s="198" t="str">
        <f t="shared" si="32"/>
        <v>1.3.1.77</v>
      </c>
      <c r="BO33" s="198" t="str">
        <f t="shared" si="32"/>
        <v>1.3.1.77</v>
      </c>
      <c r="BP33" s="198" t="str">
        <f t="shared" si="32"/>
        <v>1.3.1.77</v>
      </c>
      <c r="BQ33" s="198" t="str">
        <f t="shared" si="32"/>
        <v/>
      </c>
      <c r="BR33" s="198" t="str">
        <f t="shared" si="32"/>
        <v>1.3.1.77</v>
      </c>
      <c r="BS33" s="198" t="str">
        <f t="shared" si="32"/>
        <v>1.3.1.77</v>
      </c>
      <c r="BT33" s="198" t="str">
        <f t="shared" si="32"/>
        <v>1.3.1.77</v>
      </c>
      <c r="BU33" s="198" t="str">
        <f t="shared" si="32"/>
        <v/>
      </c>
      <c r="BV33" s="198" t="str">
        <f t="shared" si="32"/>
        <v/>
      </c>
      <c r="BW33" s="198" t="str">
        <f t="shared" si="32"/>
        <v>1.3.1.77</v>
      </c>
      <c r="BX33" s="198" t="str">
        <f t="shared" si="32"/>
        <v/>
      </c>
      <c r="BY33" s="198" t="str">
        <f t="shared" si="32"/>
        <v>1.3.1.77</v>
      </c>
      <c r="BZ33" s="198" t="str">
        <f t="shared" si="32"/>
        <v>1.3.1.77</v>
      </c>
      <c r="CA33" s="198" t="str">
        <f t="shared" si="32"/>
        <v/>
      </c>
      <c r="CB33" s="198" t="str">
        <f t="shared" si="32"/>
        <v>1.3.1.77</v>
      </c>
      <c r="CC33" s="198" t="str">
        <f t="shared" si="32"/>
        <v>1.3.1.77</v>
      </c>
      <c r="CD33" s="198" t="str">
        <f t="shared" si="32"/>
        <v>1.3.1.77</v>
      </c>
      <c r="CE33" s="198" t="str">
        <f t="shared" si="32"/>
        <v>1.3.1.77</v>
      </c>
      <c r="CF33" s="198" t="str">
        <f t="shared" si="32"/>
        <v>1.3.1.77</v>
      </c>
      <c r="CG33" s="198" t="str">
        <f t="shared" si="32"/>
        <v>1.3.1.77</v>
      </c>
      <c r="CH33" s="198" t="str">
        <f t="shared" si="32"/>
        <v>1.3.1.77</v>
      </c>
      <c r="CI33" s="198" t="str">
        <f t="shared" si="32"/>
        <v>1.3.1.77</v>
      </c>
      <c r="CJ33" s="198" t="str">
        <f t="shared" si="32"/>
        <v/>
      </c>
      <c r="CK33" s="198" t="str">
        <f t="shared" si="32"/>
        <v/>
      </c>
      <c r="CL33" s="198" t="str">
        <f t="shared" si="32"/>
        <v>1.3.1.77</v>
      </c>
      <c r="CM33" s="198" t="str">
        <f t="shared" si="32"/>
        <v>1.3.1.77</v>
      </c>
      <c r="CN33" s="198" t="str">
        <f t="shared" si="32"/>
        <v>1.3.1.77</v>
      </c>
      <c r="CO33" s="198" t="str">
        <f t="shared" si="32"/>
        <v>1.3.1.77</v>
      </c>
      <c r="CP33" s="198" t="str">
        <f t="shared" si="32"/>
        <v>1.3.1.77</v>
      </c>
      <c r="CQ33" s="198" t="str">
        <f t="shared" si="32"/>
        <v/>
      </c>
      <c r="CR33" s="198" t="str">
        <f t="shared" si="32"/>
        <v>1.3.1.77</v>
      </c>
      <c r="CS33" s="198" t="str">
        <f t="shared" si="32"/>
        <v>1.3.1.77</v>
      </c>
      <c r="CT33" s="198" t="str">
        <f t="shared" si="32"/>
        <v>1.3.1.77</v>
      </c>
      <c r="CU33" s="198" t="str">
        <f t="shared" si="32"/>
        <v>1.3.1.77</v>
      </c>
      <c r="CV33" s="198" t="str">
        <f t="shared" si="32"/>
        <v/>
      </c>
      <c r="CW33" s="198" t="str">
        <f t="shared" si="32"/>
        <v/>
      </c>
      <c r="CX33" s="198" t="str">
        <f t="shared" si="32"/>
        <v>1.3.1.77</v>
      </c>
      <c r="CY33" s="198" t="str">
        <f t="shared" si="32"/>
        <v>1.3.1.77</v>
      </c>
      <c r="CZ33" s="198" t="str">
        <f t="shared" si="32"/>
        <v>1.3.1.77</v>
      </c>
      <c r="DA33" s="198" t="str">
        <f t="shared" si="32"/>
        <v>1.3.1.77</v>
      </c>
      <c r="DB33" s="198" t="str">
        <f t="shared" si="32"/>
        <v>1.3.1.77</v>
      </c>
      <c r="DC33" s="198" t="str">
        <f t="shared" si="32"/>
        <v>1.3.1.77</v>
      </c>
      <c r="DD33" s="198" t="s">
        <v>1482</v>
      </c>
      <c r="DE33" s="198"/>
      <c r="DF33" s="198"/>
      <c r="DG33" s="198" t="s">
        <v>1478</v>
      </c>
      <c r="DH33" s="198" t="s">
        <v>1472</v>
      </c>
      <c r="DI33" s="198" t="s">
        <v>1473</v>
      </c>
      <c r="DJ33" s="198"/>
      <c r="DK33" s="198"/>
      <c r="DL33" s="198"/>
      <c r="DM33" s="198" t="s">
        <v>1479</v>
      </c>
      <c r="DN33" s="198" t="s">
        <v>1481</v>
      </c>
      <c r="DO33" s="198" t="s">
        <v>1479</v>
      </c>
      <c r="DP33" s="198"/>
      <c r="DQ33" s="198" t="s">
        <v>1481</v>
      </c>
      <c r="DR33" s="198" t="s">
        <v>1470</v>
      </c>
      <c r="DS33" s="198" t="s">
        <v>1481</v>
      </c>
      <c r="DT33" s="198" t="s">
        <v>1482</v>
      </c>
      <c r="DU33" s="198" t="s">
        <v>1481</v>
      </c>
      <c r="DV33" s="198" t="s">
        <v>1472</v>
      </c>
      <c r="DW33" s="198" t="s">
        <v>1505</v>
      </c>
      <c r="DX33" s="198"/>
      <c r="DY33" s="198"/>
      <c r="DZ33" s="198"/>
      <c r="EA33" s="198" t="s">
        <v>1470</v>
      </c>
      <c r="EB33" s="198" t="s">
        <v>1520</v>
      </c>
      <c r="EC33" s="198" t="s">
        <v>1520</v>
      </c>
      <c r="ED33" s="198"/>
      <c r="EE33" s="198"/>
      <c r="EF33" s="198"/>
      <c r="EG33" s="198"/>
      <c r="EH33" s="198"/>
      <c r="EI33" s="198"/>
      <c r="EJ33" s="198"/>
      <c r="EK33" s="198" t="s">
        <v>1475</v>
      </c>
      <c r="EL33" s="198" t="s">
        <v>1482</v>
      </c>
      <c r="EM33" s="198"/>
      <c r="EN33" s="198" t="s">
        <v>1473</v>
      </c>
      <c r="EO33" s="198"/>
      <c r="EP33" s="198" t="s">
        <v>1488</v>
      </c>
      <c r="EQ33" s="198" t="s">
        <v>1468</v>
      </c>
      <c r="ER33" s="198"/>
      <c r="ES33" s="198"/>
      <c r="ET33" s="198" t="s">
        <v>1476</v>
      </c>
      <c r="EU33" s="198" t="s">
        <v>1473</v>
      </c>
      <c r="EV33" s="198" t="s">
        <v>1473</v>
      </c>
      <c r="EW33" s="198" t="s">
        <v>1473</v>
      </c>
      <c r="EX33" s="198"/>
      <c r="EY33" s="198" t="s">
        <v>1473</v>
      </c>
      <c r="EZ33" s="198" t="s">
        <v>1500</v>
      </c>
      <c r="FA33" s="198" t="s">
        <v>1473</v>
      </c>
      <c r="FB33" s="198" t="s">
        <v>1500</v>
      </c>
      <c r="FC33" s="198"/>
      <c r="FD33" s="198" t="s">
        <v>1503</v>
      </c>
      <c r="FE33" s="198" t="s">
        <v>1488</v>
      </c>
      <c r="FF33" s="198" t="s">
        <v>1500</v>
      </c>
      <c r="FG33" s="198" t="s">
        <v>1473</v>
      </c>
      <c r="FH33" s="198"/>
      <c r="FI33" s="198"/>
      <c r="FJ33" s="198"/>
      <c r="FK33" s="198"/>
      <c r="FL33" s="198"/>
      <c r="FM33" s="198"/>
      <c r="FN33" s="198" t="s">
        <v>1500</v>
      </c>
      <c r="FO33" s="198" t="s">
        <v>1500</v>
      </c>
      <c r="FP33" s="198" t="s">
        <v>1500</v>
      </c>
      <c r="FQ33" s="198" t="s">
        <v>1500</v>
      </c>
      <c r="FR33" s="198" t="s">
        <v>1501</v>
      </c>
      <c r="FS33" s="198"/>
      <c r="FT33" s="198" t="s">
        <v>1506</v>
      </c>
      <c r="FU33" s="198"/>
      <c r="FV33" s="198"/>
      <c r="FW33" s="198"/>
      <c r="FX33" s="198"/>
      <c r="FY33" s="198"/>
      <c r="FZ33" s="198" t="s">
        <v>1473</v>
      </c>
      <c r="GA33" s="198"/>
      <c r="GB33" s="198"/>
      <c r="GC33" s="198" t="s">
        <v>1473</v>
      </c>
      <c r="GD33" s="198" t="s">
        <v>1473</v>
      </c>
      <c r="GE33" s="198" t="s">
        <v>1472</v>
      </c>
      <c r="GF33" s="198" t="s">
        <v>1500</v>
      </c>
      <c r="GG33" s="198" t="s">
        <v>1500</v>
      </c>
      <c r="GH33" s="198" t="s">
        <v>1501</v>
      </c>
      <c r="GI33" s="198" t="s">
        <v>1465</v>
      </c>
      <c r="GJ33" s="198" t="s">
        <v>1473</v>
      </c>
      <c r="GK33" s="198"/>
      <c r="GL33" s="198" t="s">
        <v>1501</v>
      </c>
      <c r="GM33" s="198"/>
      <c r="GN33" s="198" t="s">
        <v>1500</v>
      </c>
      <c r="GO33" s="198" t="s">
        <v>1501</v>
      </c>
      <c r="GP33" s="198" t="s">
        <v>1501</v>
      </c>
      <c r="GQ33" s="198"/>
      <c r="GR33" s="198" t="s">
        <v>1481</v>
      </c>
      <c r="GS33" s="198"/>
      <c r="GT33" s="198" t="s">
        <v>1488</v>
      </c>
      <c r="GU33" s="198" t="s">
        <v>1470</v>
      </c>
      <c r="GV33" s="198" t="s">
        <v>1471</v>
      </c>
      <c r="GW33" s="198" t="s">
        <v>1481</v>
      </c>
      <c r="GX33" s="198"/>
      <c r="GY33" s="198"/>
      <c r="GZ33" s="198" t="s">
        <v>1501</v>
      </c>
      <c r="HA33" s="198" t="s">
        <v>1476</v>
      </c>
      <c r="HB33" s="198" t="s">
        <v>1503</v>
      </c>
      <c r="HC33" s="198" t="s">
        <v>1472</v>
      </c>
      <c r="HD33" s="198" t="s">
        <v>1473</v>
      </c>
    </row>
    <row r="34" ht="15.75" customHeight="1">
      <c r="A34" s="234">
        <v>34.0</v>
      </c>
      <c r="B34" s="198" t="s">
        <v>1491</v>
      </c>
      <c r="C34" s="198" t="str">
        <f t="shared" ref="C34:DC34" si="33">if(countif(DD:DD,$B34),INDIRECT(concat("B",$A34)),"")</f>
        <v/>
      </c>
      <c r="D34" s="198" t="str">
        <f t="shared" si="33"/>
        <v/>
      </c>
      <c r="E34" s="198" t="str">
        <f t="shared" si="33"/>
        <v/>
      </c>
      <c r="F34" s="198" t="str">
        <f t="shared" si="33"/>
        <v>2.1.1.-</v>
      </c>
      <c r="G34" s="198" t="str">
        <f t="shared" si="33"/>
        <v/>
      </c>
      <c r="H34" s="198" t="str">
        <f t="shared" si="33"/>
        <v/>
      </c>
      <c r="I34" s="198" t="str">
        <f t="shared" si="33"/>
        <v/>
      </c>
      <c r="J34" s="198" t="str">
        <f t="shared" si="33"/>
        <v/>
      </c>
      <c r="K34" s="198" t="str">
        <f t="shared" si="33"/>
        <v/>
      </c>
      <c r="L34" s="198" t="str">
        <f t="shared" si="33"/>
        <v/>
      </c>
      <c r="M34" s="198" t="str">
        <f t="shared" si="33"/>
        <v/>
      </c>
      <c r="N34" s="198" t="str">
        <f t="shared" si="33"/>
        <v/>
      </c>
      <c r="O34" s="198" t="str">
        <f t="shared" si="33"/>
        <v/>
      </c>
      <c r="P34" s="198" t="str">
        <f t="shared" si="33"/>
        <v/>
      </c>
      <c r="Q34" s="198" t="str">
        <f t="shared" si="33"/>
        <v/>
      </c>
      <c r="R34" s="198" t="str">
        <f t="shared" si="33"/>
        <v>2.1.1.-</v>
      </c>
      <c r="S34" s="198" t="str">
        <f t="shared" si="33"/>
        <v/>
      </c>
      <c r="T34" s="198" t="str">
        <f t="shared" si="33"/>
        <v/>
      </c>
      <c r="U34" s="198" t="str">
        <f t="shared" si="33"/>
        <v/>
      </c>
      <c r="V34" s="198" t="str">
        <f t="shared" si="33"/>
        <v/>
      </c>
      <c r="W34" s="198" t="str">
        <f t="shared" si="33"/>
        <v/>
      </c>
      <c r="X34" s="198" t="str">
        <f t="shared" si="33"/>
        <v/>
      </c>
      <c r="Y34" s="198" t="str">
        <f t="shared" si="33"/>
        <v/>
      </c>
      <c r="Z34" s="198" t="str">
        <f t="shared" si="33"/>
        <v/>
      </c>
      <c r="AA34" s="198" t="str">
        <f t="shared" si="33"/>
        <v/>
      </c>
      <c r="AB34" s="198" t="str">
        <f t="shared" si="33"/>
        <v/>
      </c>
      <c r="AC34" s="198" t="str">
        <f t="shared" si="33"/>
        <v/>
      </c>
      <c r="AD34" s="198" t="str">
        <f t="shared" si="33"/>
        <v/>
      </c>
      <c r="AE34" s="198" t="str">
        <f t="shared" si="33"/>
        <v/>
      </c>
      <c r="AF34" s="198" t="str">
        <f t="shared" si="33"/>
        <v/>
      </c>
      <c r="AG34" s="198" t="str">
        <f t="shared" si="33"/>
        <v/>
      </c>
      <c r="AH34" s="198" t="str">
        <f t="shared" si="33"/>
        <v/>
      </c>
      <c r="AI34" s="198" t="str">
        <f t="shared" si="33"/>
        <v/>
      </c>
      <c r="AJ34" s="198" t="str">
        <f t="shared" si="33"/>
        <v/>
      </c>
      <c r="AK34" s="198" t="str">
        <f t="shared" si="33"/>
        <v/>
      </c>
      <c r="AL34" s="198" t="str">
        <f t="shared" si="33"/>
        <v/>
      </c>
      <c r="AM34" s="198" t="str">
        <f t="shared" si="33"/>
        <v/>
      </c>
      <c r="AN34" s="198" t="str">
        <f t="shared" si="33"/>
        <v/>
      </c>
      <c r="AO34" s="198" t="str">
        <f t="shared" si="33"/>
        <v/>
      </c>
      <c r="AP34" s="198" t="str">
        <f t="shared" si="33"/>
        <v>2.1.1.-</v>
      </c>
      <c r="AQ34" s="198" t="str">
        <f t="shared" si="33"/>
        <v/>
      </c>
      <c r="AR34" s="198" t="str">
        <f t="shared" si="33"/>
        <v/>
      </c>
      <c r="AS34" s="198" t="str">
        <f t="shared" si="33"/>
        <v/>
      </c>
      <c r="AT34" s="198" t="str">
        <f t="shared" si="33"/>
        <v/>
      </c>
      <c r="AU34" s="198" t="str">
        <f t="shared" si="33"/>
        <v/>
      </c>
      <c r="AV34" s="198" t="str">
        <f t="shared" si="33"/>
        <v/>
      </c>
      <c r="AW34" s="198" t="str">
        <f t="shared" si="33"/>
        <v/>
      </c>
      <c r="AX34" s="198" t="str">
        <f t="shared" si="33"/>
        <v/>
      </c>
      <c r="AY34" s="198" t="str">
        <f t="shared" si="33"/>
        <v/>
      </c>
      <c r="AZ34" s="198" t="str">
        <f t="shared" si="33"/>
        <v/>
      </c>
      <c r="BA34" s="198" t="str">
        <f t="shared" si="33"/>
        <v/>
      </c>
      <c r="BB34" s="198" t="str">
        <f t="shared" si="33"/>
        <v/>
      </c>
      <c r="BC34" s="198" t="str">
        <f t="shared" si="33"/>
        <v/>
      </c>
      <c r="BD34" s="198" t="str">
        <f t="shared" si="33"/>
        <v/>
      </c>
      <c r="BE34" s="198" t="str">
        <f t="shared" si="33"/>
        <v/>
      </c>
      <c r="BF34" s="198" t="str">
        <f t="shared" si="33"/>
        <v/>
      </c>
      <c r="BG34" s="198" t="str">
        <f t="shared" si="33"/>
        <v/>
      </c>
      <c r="BH34" s="198" t="str">
        <f t="shared" si="33"/>
        <v/>
      </c>
      <c r="BI34" s="198" t="str">
        <f t="shared" si="33"/>
        <v/>
      </c>
      <c r="BJ34" s="198" t="str">
        <f t="shared" si="33"/>
        <v/>
      </c>
      <c r="BK34" s="198" t="str">
        <f t="shared" si="33"/>
        <v/>
      </c>
      <c r="BL34" s="198" t="str">
        <f t="shared" si="33"/>
        <v/>
      </c>
      <c r="BM34" s="198" t="str">
        <f t="shared" si="33"/>
        <v/>
      </c>
      <c r="BN34" s="198" t="str">
        <f t="shared" si="33"/>
        <v/>
      </c>
      <c r="BO34" s="198" t="str">
        <f t="shared" si="33"/>
        <v/>
      </c>
      <c r="BP34" s="198" t="str">
        <f t="shared" si="33"/>
        <v/>
      </c>
      <c r="BQ34" s="198" t="str">
        <f t="shared" si="33"/>
        <v/>
      </c>
      <c r="BR34" s="198" t="str">
        <f t="shared" si="33"/>
        <v/>
      </c>
      <c r="BS34" s="198" t="str">
        <f t="shared" si="33"/>
        <v/>
      </c>
      <c r="BT34" s="198" t="str">
        <f t="shared" si="33"/>
        <v/>
      </c>
      <c r="BU34" s="198" t="str">
        <f t="shared" si="33"/>
        <v/>
      </c>
      <c r="BV34" s="198" t="str">
        <f t="shared" si="33"/>
        <v/>
      </c>
      <c r="BW34" s="198" t="str">
        <f t="shared" si="33"/>
        <v/>
      </c>
      <c r="BX34" s="198" t="str">
        <f t="shared" si="33"/>
        <v/>
      </c>
      <c r="BY34" s="198" t="str">
        <f t="shared" si="33"/>
        <v/>
      </c>
      <c r="BZ34" s="198" t="str">
        <f t="shared" si="33"/>
        <v/>
      </c>
      <c r="CA34" s="198" t="str">
        <f t="shared" si="33"/>
        <v/>
      </c>
      <c r="CB34" s="198" t="str">
        <f t="shared" si="33"/>
        <v/>
      </c>
      <c r="CC34" s="198" t="str">
        <f t="shared" si="33"/>
        <v/>
      </c>
      <c r="CD34" s="198" t="str">
        <f t="shared" si="33"/>
        <v/>
      </c>
      <c r="CE34" s="198" t="str">
        <f t="shared" si="33"/>
        <v/>
      </c>
      <c r="CF34" s="198" t="str">
        <f t="shared" si="33"/>
        <v/>
      </c>
      <c r="CG34" s="198" t="str">
        <f t="shared" si="33"/>
        <v/>
      </c>
      <c r="CH34" s="198" t="str">
        <f t="shared" si="33"/>
        <v/>
      </c>
      <c r="CI34" s="198" t="str">
        <f t="shared" si="33"/>
        <v/>
      </c>
      <c r="CJ34" s="198" t="str">
        <f t="shared" si="33"/>
        <v/>
      </c>
      <c r="CK34" s="198" t="str">
        <f t="shared" si="33"/>
        <v/>
      </c>
      <c r="CL34" s="198" t="str">
        <f t="shared" si="33"/>
        <v/>
      </c>
      <c r="CM34" s="198" t="str">
        <f t="shared" si="33"/>
        <v/>
      </c>
      <c r="CN34" s="198" t="str">
        <f t="shared" si="33"/>
        <v/>
      </c>
      <c r="CO34" s="198" t="str">
        <f t="shared" si="33"/>
        <v/>
      </c>
      <c r="CP34" s="198" t="str">
        <f t="shared" si="33"/>
        <v/>
      </c>
      <c r="CQ34" s="198" t="str">
        <f t="shared" si="33"/>
        <v/>
      </c>
      <c r="CR34" s="198" t="str">
        <f t="shared" si="33"/>
        <v/>
      </c>
      <c r="CS34" s="198" t="str">
        <f t="shared" si="33"/>
        <v/>
      </c>
      <c r="CT34" s="198" t="str">
        <f t="shared" si="33"/>
        <v/>
      </c>
      <c r="CU34" s="198" t="str">
        <f t="shared" si="33"/>
        <v/>
      </c>
      <c r="CV34" s="198" t="str">
        <f t="shared" si="33"/>
        <v/>
      </c>
      <c r="CW34" s="198" t="str">
        <f t="shared" si="33"/>
        <v/>
      </c>
      <c r="CX34" s="198" t="str">
        <f t="shared" si="33"/>
        <v/>
      </c>
      <c r="CY34" s="198" t="str">
        <f t="shared" si="33"/>
        <v/>
      </c>
      <c r="CZ34" s="198" t="str">
        <f t="shared" si="33"/>
        <v/>
      </c>
      <c r="DA34" s="198" t="str">
        <f t="shared" si="33"/>
        <v/>
      </c>
      <c r="DB34" s="198" t="str">
        <f t="shared" si="33"/>
        <v/>
      </c>
      <c r="DC34" s="198" t="str">
        <f t="shared" si="33"/>
        <v/>
      </c>
      <c r="DE34" s="198"/>
      <c r="DF34" s="198"/>
      <c r="DG34" s="198" t="s">
        <v>1489</v>
      </c>
      <c r="DH34" s="198" t="s">
        <v>1487</v>
      </c>
      <c r="DI34" s="198" t="s">
        <v>1474</v>
      </c>
      <c r="DJ34" s="198"/>
      <c r="DK34" s="198"/>
      <c r="DL34" s="198"/>
      <c r="DM34" s="198" t="s">
        <v>1481</v>
      </c>
      <c r="DN34" s="198" t="s">
        <v>1482</v>
      </c>
      <c r="DO34" s="198" t="s">
        <v>1481</v>
      </c>
      <c r="DP34" s="198"/>
      <c r="DQ34" s="198" t="s">
        <v>1482</v>
      </c>
      <c r="DR34" s="198" t="s">
        <v>1471</v>
      </c>
      <c r="DS34" s="198" t="s">
        <v>1482</v>
      </c>
      <c r="DT34" s="198"/>
      <c r="DU34" s="198" t="s">
        <v>1482</v>
      </c>
      <c r="DV34" s="198" t="s">
        <v>1475</v>
      </c>
      <c r="DW34" s="198" t="s">
        <v>1472</v>
      </c>
      <c r="DX34" s="198"/>
      <c r="DY34" s="198"/>
      <c r="DZ34" s="198"/>
      <c r="EA34" s="198" t="s">
        <v>1471</v>
      </c>
      <c r="EB34" s="198" t="s">
        <v>1505</v>
      </c>
      <c r="EC34" s="198" t="s">
        <v>1505</v>
      </c>
      <c r="ED34" s="198"/>
      <c r="EE34" s="198"/>
      <c r="EF34" s="198"/>
      <c r="EG34" s="198"/>
      <c r="EH34" s="198"/>
      <c r="EI34" s="198"/>
      <c r="EJ34" s="198"/>
      <c r="EK34" s="198"/>
      <c r="EL34" s="198"/>
      <c r="EM34" s="198"/>
      <c r="EN34" s="198" t="s">
        <v>1488</v>
      </c>
      <c r="EO34" s="198"/>
      <c r="EP34" s="198" t="s">
        <v>1501</v>
      </c>
      <c r="EQ34" s="198" t="s">
        <v>1488</v>
      </c>
      <c r="ER34" s="198"/>
      <c r="ES34" s="198"/>
      <c r="ET34" s="198" t="s">
        <v>1473</v>
      </c>
      <c r="EU34" s="198" t="s">
        <v>1488</v>
      </c>
      <c r="EV34" s="198" t="s">
        <v>1488</v>
      </c>
      <c r="EW34" s="198" t="s">
        <v>1501</v>
      </c>
      <c r="EX34" s="198"/>
      <c r="EY34" s="198" t="s">
        <v>1501</v>
      </c>
      <c r="EZ34" s="198" t="s">
        <v>1475</v>
      </c>
      <c r="FA34" s="198" t="s">
        <v>1501</v>
      </c>
      <c r="FB34" s="198" t="s">
        <v>1472</v>
      </c>
      <c r="FC34" s="198"/>
      <c r="FD34" s="198" t="s">
        <v>1504</v>
      </c>
      <c r="FE34" s="198" t="s">
        <v>1498</v>
      </c>
      <c r="FF34" s="198" t="s">
        <v>1472</v>
      </c>
      <c r="FG34" s="198" t="s">
        <v>1488</v>
      </c>
      <c r="FH34" s="198"/>
      <c r="FI34" s="198"/>
      <c r="FJ34" s="198"/>
      <c r="FK34" s="198"/>
      <c r="FL34" s="198"/>
      <c r="FM34" s="198"/>
      <c r="FN34" s="198" t="s">
        <v>1505</v>
      </c>
      <c r="FO34" s="198" t="s">
        <v>1475</v>
      </c>
      <c r="FP34" s="198" t="s">
        <v>1505</v>
      </c>
      <c r="FQ34" s="198" t="s">
        <v>1475</v>
      </c>
      <c r="FR34" s="198" t="s">
        <v>1500</v>
      </c>
      <c r="FS34" s="198"/>
      <c r="FT34" s="198" t="s">
        <v>1463</v>
      </c>
      <c r="FU34" s="198"/>
      <c r="FV34" s="198"/>
      <c r="FW34" s="198"/>
      <c r="FX34" s="198"/>
      <c r="FY34" s="198"/>
      <c r="FZ34" s="198" t="s">
        <v>1498</v>
      </c>
      <c r="GA34" s="198"/>
      <c r="GB34" s="198"/>
      <c r="GC34" s="198" t="s">
        <v>1488</v>
      </c>
      <c r="GD34" s="198" t="s">
        <v>1488</v>
      </c>
      <c r="GE34" s="198" t="s">
        <v>1505</v>
      </c>
      <c r="GF34" s="198" t="s">
        <v>1472</v>
      </c>
      <c r="GG34" s="198" t="s">
        <v>1472</v>
      </c>
      <c r="GH34" s="198" t="s">
        <v>1500</v>
      </c>
      <c r="GI34" s="198" t="s">
        <v>1476</v>
      </c>
      <c r="GJ34" s="198" t="s">
        <v>1501</v>
      </c>
      <c r="GK34" s="198"/>
      <c r="GL34" s="198" t="s">
        <v>1500</v>
      </c>
      <c r="GM34" s="198"/>
      <c r="GN34" s="198" t="s">
        <v>1475</v>
      </c>
      <c r="GO34" s="198" t="s">
        <v>1500</v>
      </c>
      <c r="GP34" s="198" t="s">
        <v>1500</v>
      </c>
      <c r="GQ34" s="198"/>
      <c r="GR34" s="198" t="s">
        <v>1482</v>
      </c>
      <c r="GS34" s="198"/>
      <c r="GT34" s="198" t="s">
        <v>1477</v>
      </c>
      <c r="GU34" s="198" t="s">
        <v>1471</v>
      </c>
      <c r="GV34" s="198" t="s">
        <v>1472</v>
      </c>
      <c r="GW34" s="198" t="s">
        <v>1482</v>
      </c>
      <c r="GX34" s="198"/>
      <c r="GY34" s="198"/>
      <c r="GZ34" s="198" t="s">
        <v>1500</v>
      </c>
      <c r="HA34" s="198" t="s">
        <v>1473</v>
      </c>
      <c r="HB34" s="198" t="s">
        <v>1504</v>
      </c>
      <c r="HC34" s="198" t="s">
        <v>1501</v>
      </c>
      <c r="HD34" s="198" t="s">
        <v>1498</v>
      </c>
    </row>
    <row r="35" ht="15.75" customHeight="1">
      <c r="A35" s="234">
        <v>35.0</v>
      </c>
      <c r="B35" s="236" t="s">
        <v>1469</v>
      </c>
      <c r="C35" s="198" t="str">
        <f t="shared" ref="C35:DC35" si="34">if(countif(DD:DD,$B35),INDIRECT(concat("B",$A35)),"")</f>
        <v>2.1.1.104</v>
      </c>
      <c r="D35" s="198" t="str">
        <f t="shared" si="34"/>
        <v>2.1.1.104</v>
      </c>
      <c r="E35" s="198" t="str">
        <f t="shared" si="34"/>
        <v>2.1.1.104</v>
      </c>
      <c r="F35" s="198" t="str">
        <f t="shared" si="34"/>
        <v>2.1.1.104</v>
      </c>
      <c r="G35" s="198" t="str">
        <f t="shared" si="34"/>
        <v>2.1.1.104</v>
      </c>
      <c r="H35" s="198" t="str">
        <f t="shared" si="34"/>
        <v>2.1.1.104</v>
      </c>
      <c r="I35" s="198" t="str">
        <f t="shared" si="34"/>
        <v>2.1.1.104</v>
      </c>
      <c r="J35" s="198" t="str">
        <f t="shared" si="34"/>
        <v/>
      </c>
      <c r="K35" s="198" t="str">
        <f t="shared" si="34"/>
        <v/>
      </c>
      <c r="L35" s="198" t="str">
        <f t="shared" si="34"/>
        <v>2.1.1.104</v>
      </c>
      <c r="M35" s="198" t="str">
        <f t="shared" si="34"/>
        <v>2.1.1.104</v>
      </c>
      <c r="N35" s="198" t="str">
        <f t="shared" si="34"/>
        <v>2.1.1.104</v>
      </c>
      <c r="O35" s="198" t="str">
        <f t="shared" si="34"/>
        <v>2.1.1.104</v>
      </c>
      <c r="P35" s="198" t="str">
        <f t="shared" si="34"/>
        <v>2.1.1.104</v>
      </c>
      <c r="Q35" s="198" t="str">
        <f t="shared" si="34"/>
        <v>2.1.1.104</v>
      </c>
      <c r="R35" s="198" t="str">
        <f t="shared" si="34"/>
        <v>2.1.1.104</v>
      </c>
      <c r="S35" s="198" t="str">
        <f t="shared" si="34"/>
        <v>2.1.1.104</v>
      </c>
      <c r="T35" s="198" t="str">
        <f t="shared" si="34"/>
        <v>2.1.1.104</v>
      </c>
      <c r="U35" s="198" t="str">
        <f t="shared" si="34"/>
        <v>2.1.1.104</v>
      </c>
      <c r="V35" s="198" t="str">
        <f t="shared" si="34"/>
        <v>2.1.1.104</v>
      </c>
      <c r="W35" s="198" t="str">
        <f t="shared" si="34"/>
        <v/>
      </c>
      <c r="X35" s="198" t="str">
        <f t="shared" si="34"/>
        <v/>
      </c>
      <c r="Y35" s="198" t="str">
        <f t="shared" si="34"/>
        <v/>
      </c>
      <c r="Z35" s="198" t="str">
        <f t="shared" si="34"/>
        <v>2.1.1.104</v>
      </c>
      <c r="AA35" s="198" t="str">
        <f t="shared" si="34"/>
        <v>2.1.1.104</v>
      </c>
      <c r="AB35" s="198" t="str">
        <f t="shared" si="34"/>
        <v>2.1.1.104</v>
      </c>
      <c r="AC35" s="198" t="str">
        <f t="shared" si="34"/>
        <v/>
      </c>
      <c r="AD35" s="198" t="str">
        <f t="shared" si="34"/>
        <v>2.1.1.104</v>
      </c>
      <c r="AE35" s="198" t="str">
        <f t="shared" si="34"/>
        <v>2.1.1.104</v>
      </c>
      <c r="AF35" s="198" t="str">
        <f t="shared" si="34"/>
        <v>2.1.1.104</v>
      </c>
      <c r="AG35" s="198" t="str">
        <f t="shared" si="34"/>
        <v>2.1.1.104</v>
      </c>
      <c r="AH35" s="198" t="str">
        <f t="shared" si="34"/>
        <v>2.1.1.104</v>
      </c>
      <c r="AI35" s="198" t="str">
        <f t="shared" si="34"/>
        <v/>
      </c>
      <c r="AJ35" s="198" t="str">
        <f t="shared" si="34"/>
        <v>2.1.1.104</v>
      </c>
      <c r="AK35" s="198" t="str">
        <f t="shared" si="34"/>
        <v>2.1.1.104</v>
      </c>
      <c r="AL35" s="198" t="str">
        <f t="shared" si="34"/>
        <v>2.1.1.104</v>
      </c>
      <c r="AM35" s="198" t="str">
        <f t="shared" si="34"/>
        <v>2.1.1.104</v>
      </c>
      <c r="AN35" s="198" t="str">
        <f t="shared" si="34"/>
        <v>2.1.1.104</v>
      </c>
      <c r="AO35" s="198" t="str">
        <f t="shared" si="34"/>
        <v>2.1.1.104</v>
      </c>
      <c r="AP35" s="198" t="str">
        <f t="shared" si="34"/>
        <v>2.1.1.104</v>
      </c>
      <c r="AQ35" s="198" t="str">
        <f t="shared" si="34"/>
        <v>2.1.1.104</v>
      </c>
      <c r="AR35" s="198" t="str">
        <f t="shared" si="34"/>
        <v/>
      </c>
      <c r="AS35" s="198" t="str">
        <f t="shared" si="34"/>
        <v>2.1.1.104</v>
      </c>
      <c r="AT35" s="198" t="str">
        <f t="shared" si="34"/>
        <v>2.1.1.104</v>
      </c>
      <c r="AU35" s="198" t="str">
        <f t="shared" si="34"/>
        <v>2.1.1.104</v>
      </c>
      <c r="AV35" s="198" t="str">
        <f t="shared" si="34"/>
        <v>2.1.1.104</v>
      </c>
      <c r="AW35" s="198" t="str">
        <f t="shared" si="34"/>
        <v>2.1.1.104</v>
      </c>
      <c r="AX35" s="198" t="str">
        <f t="shared" si="34"/>
        <v>2.1.1.104</v>
      </c>
      <c r="AY35" s="198" t="str">
        <f t="shared" si="34"/>
        <v>2.1.1.104</v>
      </c>
      <c r="AZ35" s="198" t="str">
        <f t="shared" si="34"/>
        <v>2.1.1.104</v>
      </c>
      <c r="BA35" s="198" t="str">
        <f t="shared" si="34"/>
        <v>2.1.1.104</v>
      </c>
      <c r="BB35" s="198" t="str">
        <f t="shared" si="34"/>
        <v>2.1.1.104</v>
      </c>
      <c r="BC35" s="198" t="str">
        <f t="shared" si="34"/>
        <v>2.1.1.104</v>
      </c>
      <c r="BD35" s="198" t="str">
        <f t="shared" si="34"/>
        <v>2.1.1.104</v>
      </c>
      <c r="BE35" s="198" t="str">
        <f t="shared" si="34"/>
        <v>2.1.1.104</v>
      </c>
      <c r="BF35" s="198" t="str">
        <f t="shared" si="34"/>
        <v>2.1.1.104</v>
      </c>
      <c r="BG35" s="198" t="str">
        <f t="shared" si="34"/>
        <v/>
      </c>
      <c r="BH35" s="198" t="str">
        <f t="shared" si="34"/>
        <v/>
      </c>
      <c r="BI35" s="198" t="str">
        <f t="shared" si="34"/>
        <v>2.1.1.104</v>
      </c>
      <c r="BJ35" s="198" t="str">
        <f t="shared" si="34"/>
        <v/>
      </c>
      <c r="BK35" s="198" t="str">
        <f t="shared" si="34"/>
        <v>2.1.1.104</v>
      </c>
      <c r="BL35" s="198" t="str">
        <f t="shared" si="34"/>
        <v>2.1.1.104</v>
      </c>
      <c r="BM35" s="198" t="str">
        <f t="shared" si="34"/>
        <v>2.1.1.104</v>
      </c>
      <c r="BN35" s="198" t="str">
        <f t="shared" si="34"/>
        <v>2.1.1.104</v>
      </c>
      <c r="BO35" s="198" t="str">
        <f t="shared" si="34"/>
        <v>2.1.1.104</v>
      </c>
      <c r="BP35" s="198" t="str">
        <f t="shared" si="34"/>
        <v>2.1.1.104</v>
      </c>
      <c r="BQ35" s="198" t="str">
        <f t="shared" si="34"/>
        <v>2.1.1.104</v>
      </c>
      <c r="BR35" s="198" t="str">
        <f t="shared" si="34"/>
        <v>2.1.1.104</v>
      </c>
      <c r="BS35" s="198" t="str">
        <f t="shared" si="34"/>
        <v>2.1.1.104</v>
      </c>
      <c r="BT35" s="198" t="str">
        <f t="shared" si="34"/>
        <v>2.1.1.104</v>
      </c>
      <c r="BU35" s="198" t="str">
        <f t="shared" si="34"/>
        <v/>
      </c>
      <c r="BV35" s="198" t="str">
        <f t="shared" si="34"/>
        <v/>
      </c>
      <c r="BW35" s="198" t="str">
        <f t="shared" si="34"/>
        <v>2.1.1.104</v>
      </c>
      <c r="BX35" s="198" t="str">
        <f t="shared" si="34"/>
        <v>2.1.1.104</v>
      </c>
      <c r="BY35" s="198" t="str">
        <f t="shared" si="34"/>
        <v>2.1.1.104</v>
      </c>
      <c r="BZ35" s="198" t="str">
        <f t="shared" si="34"/>
        <v>2.1.1.104</v>
      </c>
      <c r="CA35" s="198" t="str">
        <f t="shared" si="34"/>
        <v>2.1.1.104</v>
      </c>
      <c r="CB35" s="198" t="str">
        <f t="shared" si="34"/>
        <v>2.1.1.104</v>
      </c>
      <c r="CC35" s="198" t="str">
        <f t="shared" si="34"/>
        <v>2.1.1.104</v>
      </c>
      <c r="CD35" s="198" t="str">
        <f t="shared" si="34"/>
        <v>2.1.1.104</v>
      </c>
      <c r="CE35" s="198" t="str">
        <f t="shared" si="34"/>
        <v>2.1.1.104</v>
      </c>
      <c r="CF35" s="198" t="str">
        <f t="shared" si="34"/>
        <v>2.1.1.104</v>
      </c>
      <c r="CG35" s="198" t="str">
        <f t="shared" si="34"/>
        <v>2.1.1.104</v>
      </c>
      <c r="CH35" s="198" t="str">
        <f t="shared" si="34"/>
        <v>2.1.1.104</v>
      </c>
      <c r="CI35" s="198" t="str">
        <f t="shared" si="34"/>
        <v>2.1.1.104</v>
      </c>
      <c r="CJ35" s="198" t="str">
        <f t="shared" si="34"/>
        <v>2.1.1.104</v>
      </c>
      <c r="CK35" s="198" t="str">
        <f t="shared" si="34"/>
        <v>2.1.1.104</v>
      </c>
      <c r="CL35" s="198" t="str">
        <f t="shared" si="34"/>
        <v>2.1.1.104</v>
      </c>
      <c r="CM35" s="198" t="str">
        <f t="shared" si="34"/>
        <v>2.1.1.104</v>
      </c>
      <c r="CN35" s="198" t="str">
        <f t="shared" si="34"/>
        <v>2.1.1.104</v>
      </c>
      <c r="CO35" s="198" t="str">
        <f t="shared" si="34"/>
        <v>2.1.1.104</v>
      </c>
      <c r="CP35" s="198" t="str">
        <f t="shared" si="34"/>
        <v>2.1.1.104</v>
      </c>
      <c r="CQ35" s="198" t="str">
        <f t="shared" si="34"/>
        <v>2.1.1.104</v>
      </c>
      <c r="CR35" s="198" t="str">
        <f t="shared" si="34"/>
        <v>2.1.1.104</v>
      </c>
      <c r="CS35" s="198" t="str">
        <f t="shared" si="34"/>
        <v>2.1.1.104</v>
      </c>
      <c r="CT35" s="198" t="str">
        <f t="shared" si="34"/>
        <v>2.1.1.104</v>
      </c>
      <c r="CU35" s="198" t="str">
        <f t="shared" si="34"/>
        <v>2.1.1.104</v>
      </c>
      <c r="CV35" s="198" t="str">
        <f t="shared" si="34"/>
        <v>2.1.1.104</v>
      </c>
      <c r="CW35" s="198" t="str">
        <f t="shared" si="34"/>
        <v/>
      </c>
      <c r="CX35" s="198" t="str">
        <f t="shared" si="34"/>
        <v>2.1.1.104</v>
      </c>
      <c r="CY35" s="198" t="str">
        <f t="shared" si="34"/>
        <v>2.1.1.104</v>
      </c>
      <c r="CZ35" s="198" t="str">
        <f t="shared" si="34"/>
        <v>2.1.1.104</v>
      </c>
      <c r="DA35" s="198" t="str">
        <f t="shared" si="34"/>
        <v>2.1.1.104</v>
      </c>
      <c r="DB35" s="198" t="str">
        <f t="shared" si="34"/>
        <v>2.1.1.104</v>
      </c>
      <c r="DC35" s="198" t="str">
        <f t="shared" si="34"/>
        <v>2.1.1.104</v>
      </c>
      <c r="DE35" s="198"/>
      <c r="DF35" s="198"/>
      <c r="DG35" s="198" t="s">
        <v>1479</v>
      </c>
      <c r="DH35" s="198" t="s">
        <v>1473</v>
      </c>
      <c r="DI35" s="198" t="s">
        <v>1475</v>
      </c>
      <c r="DJ35" s="198"/>
      <c r="DK35" s="198"/>
      <c r="DL35" s="198"/>
      <c r="DM35" s="198" t="s">
        <v>1482</v>
      </c>
      <c r="DN35" s="198"/>
      <c r="DO35" s="198" t="s">
        <v>1482</v>
      </c>
      <c r="DP35" s="198"/>
      <c r="DQ35" s="198"/>
      <c r="DR35" s="198" t="s">
        <v>1472</v>
      </c>
      <c r="DS35" s="198"/>
      <c r="DT35" s="198"/>
      <c r="DU35" s="198"/>
      <c r="DV35" s="198"/>
      <c r="DW35" s="198" t="s">
        <v>1475</v>
      </c>
      <c r="DX35" s="198"/>
      <c r="DY35" s="198"/>
      <c r="DZ35" s="198"/>
      <c r="EA35" s="198" t="s">
        <v>1472</v>
      </c>
      <c r="EB35" s="198" t="s">
        <v>1476</v>
      </c>
      <c r="EC35" s="198" t="s">
        <v>1476</v>
      </c>
      <c r="ED35" s="198"/>
      <c r="EE35" s="198"/>
      <c r="EF35" s="198"/>
      <c r="EG35" s="198"/>
      <c r="EH35" s="198"/>
      <c r="EI35" s="198"/>
      <c r="EJ35" s="198"/>
      <c r="EK35" s="198"/>
      <c r="EL35" s="198"/>
      <c r="EM35" s="198"/>
      <c r="EN35" s="198" t="s">
        <v>1501</v>
      </c>
      <c r="EO35" s="198"/>
      <c r="EP35" s="198" t="s">
        <v>1500</v>
      </c>
      <c r="EQ35" s="198" t="s">
        <v>1494</v>
      </c>
      <c r="ER35" s="198"/>
      <c r="ES35" s="198"/>
      <c r="ET35" s="198" t="s">
        <v>1498</v>
      </c>
      <c r="EU35" s="198" t="s">
        <v>1501</v>
      </c>
      <c r="EV35" s="198" t="s">
        <v>1501</v>
      </c>
      <c r="EW35" s="198" t="s">
        <v>1500</v>
      </c>
      <c r="EX35" s="198"/>
      <c r="EY35" s="198" t="s">
        <v>1500</v>
      </c>
      <c r="EZ35" s="198"/>
      <c r="FA35" s="198" t="s">
        <v>1500</v>
      </c>
      <c r="FB35" s="198" t="s">
        <v>1505</v>
      </c>
      <c r="FC35" s="198"/>
      <c r="FD35" s="198" t="s">
        <v>1501</v>
      </c>
      <c r="FE35" s="198" t="s">
        <v>1517</v>
      </c>
      <c r="FF35" s="198" t="s">
        <v>1505</v>
      </c>
      <c r="FG35" s="198" t="s">
        <v>1501</v>
      </c>
      <c r="FH35" s="198"/>
      <c r="FI35" s="198"/>
      <c r="FJ35" s="198"/>
      <c r="FK35" s="198"/>
      <c r="FL35" s="198"/>
      <c r="FM35" s="198"/>
      <c r="FN35" s="198" t="s">
        <v>1472</v>
      </c>
      <c r="FO35" s="198"/>
      <c r="FP35" s="198" t="s">
        <v>1472</v>
      </c>
      <c r="FQ35" s="198"/>
      <c r="FR35" s="198" t="s">
        <v>1505</v>
      </c>
      <c r="FS35" s="198"/>
      <c r="FT35" s="198" t="s">
        <v>1468</v>
      </c>
      <c r="FU35" s="198"/>
      <c r="FV35" s="198"/>
      <c r="FW35" s="198"/>
      <c r="FX35" s="198"/>
      <c r="FY35" s="198"/>
      <c r="FZ35" s="198" t="s">
        <v>1517</v>
      </c>
      <c r="GA35" s="198"/>
      <c r="GB35" s="198"/>
      <c r="GC35" s="198" t="s">
        <v>1501</v>
      </c>
      <c r="GD35" s="198" t="s">
        <v>1505</v>
      </c>
      <c r="GE35" s="198"/>
      <c r="GF35" s="198" t="s">
        <v>1505</v>
      </c>
      <c r="GG35" s="198" t="s">
        <v>1505</v>
      </c>
      <c r="GH35" s="198" t="s">
        <v>1472</v>
      </c>
      <c r="GI35" s="198" t="s">
        <v>1473</v>
      </c>
      <c r="GJ35" s="198" t="s">
        <v>1500</v>
      </c>
      <c r="GK35" s="198"/>
      <c r="GL35" s="198" t="s">
        <v>1505</v>
      </c>
      <c r="GM35" s="198"/>
      <c r="GN35" s="198" t="s">
        <v>1528</v>
      </c>
      <c r="GO35" s="198" t="s">
        <v>1475</v>
      </c>
      <c r="GP35" s="198" t="s">
        <v>1505</v>
      </c>
      <c r="GQ35" s="198"/>
      <c r="GR35" s="198"/>
      <c r="GS35" s="198"/>
      <c r="GT35" s="198" t="s">
        <v>1478</v>
      </c>
      <c r="GU35" s="198" t="s">
        <v>1472</v>
      </c>
      <c r="GV35" s="198" t="s">
        <v>1487</v>
      </c>
      <c r="GW35" s="198"/>
      <c r="GX35" s="198"/>
      <c r="GY35" s="198"/>
      <c r="GZ35" s="198" t="s">
        <v>1472</v>
      </c>
      <c r="HA35" s="198" t="s">
        <v>1488</v>
      </c>
      <c r="HB35" s="198" t="s">
        <v>1499</v>
      </c>
      <c r="HC35" s="198" t="s">
        <v>1500</v>
      </c>
      <c r="HD35" s="198" t="s">
        <v>1517</v>
      </c>
    </row>
    <row r="36" ht="15.75" customHeight="1">
      <c r="A36" s="234">
        <v>36.0</v>
      </c>
      <c r="B36" s="198" t="s">
        <v>1502</v>
      </c>
      <c r="C36" s="198" t="str">
        <f t="shared" ref="C36:DC36" si="35">if(countif(DD:DD,$B36),INDIRECT(concat("B",$A36)),"")</f>
        <v/>
      </c>
      <c r="D36" s="198" t="str">
        <f t="shared" si="35"/>
        <v/>
      </c>
      <c r="E36" s="198" t="str">
        <f t="shared" si="35"/>
        <v/>
      </c>
      <c r="F36" s="198" t="str">
        <f t="shared" si="35"/>
        <v/>
      </c>
      <c r="G36" s="198" t="str">
        <f t="shared" si="35"/>
        <v>2.1.1.150</v>
      </c>
      <c r="H36" s="198" t="str">
        <f t="shared" si="35"/>
        <v>2.1.1.150</v>
      </c>
      <c r="I36" s="198" t="str">
        <f t="shared" si="35"/>
        <v/>
      </c>
      <c r="J36" s="198" t="str">
        <f t="shared" si="35"/>
        <v/>
      </c>
      <c r="K36" s="198" t="str">
        <f t="shared" si="35"/>
        <v/>
      </c>
      <c r="L36" s="198" t="str">
        <f t="shared" si="35"/>
        <v/>
      </c>
      <c r="M36" s="198" t="str">
        <f t="shared" si="35"/>
        <v/>
      </c>
      <c r="N36" s="198" t="str">
        <f t="shared" si="35"/>
        <v/>
      </c>
      <c r="O36" s="198" t="str">
        <f t="shared" si="35"/>
        <v/>
      </c>
      <c r="P36" s="198" t="str">
        <f t="shared" si="35"/>
        <v/>
      </c>
      <c r="Q36" s="198" t="str">
        <f t="shared" si="35"/>
        <v>2.1.1.150</v>
      </c>
      <c r="R36" s="198" t="str">
        <f t="shared" si="35"/>
        <v/>
      </c>
      <c r="S36" s="198" t="str">
        <f t="shared" si="35"/>
        <v/>
      </c>
      <c r="T36" s="198" t="str">
        <f t="shared" si="35"/>
        <v/>
      </c>
      <c r="U36" s="198" t="str">
        <f t="shared" si="35"/>
        <v/>
      </c>
      <c r="V36" s="198" t="str">
        <f t="shared" si="35"/>
        <v/>
      </c>
      <c r="W36" s="198" t="str">
        <f t="shared" si="35"/>
        <v/>
      </c>
      <c r="X36" s="198" t="str">
        <f t="shared" si="35"/>
        <v/>
      </c>
      <c r="Y36" s="198" t="str">
        <f t="shared" si="35"/>
        <v/>
      </c>
      <c r="Z36" s="198" t="str">
        <f t="shared" si="35"/>
        <v>2.1.1.150</v>
      </c>
      <c r="AA36" s="198" t="str">
        <f t="shared" si="35"/>
        <v/>
      </c>
      <c r="AB36" s="198" t="str">
        <f t="shared" si="35"/>
        <v/>
      </c>
      <c r="AC36" s="198" t="str">
        <f t="shared" si="35"/>
        <v/>
      </c>
      <c r="AD36" s="198" t="str">
        <f t="shared" si="35"/>
        <v/>
      </c>
      <c r="AE36" s="198" t="str">
        <f t="shared" si="35"/>
        <v/>
      </c>
      <c r="AF36" s="198" t="str">
        <f t="shared" si="35"/>
        <v/>
      </c>
      <c r="AG36" s="198" t="str">
        <f t="shared" si="35"/>
        <v/>
      </c>
      <c r="AH36" s="198" t="str">
        <f t="shared" si="35"/>
        <v/>
      </c>
      <c r="AI36" s="198" t="str">
        <f t="shared" si="35"/>
        <v/>
      </c>
      <c r="AJ36" s="198" t="str">
        <f t="shared" si="35"/>
        <v/>
      </c>
      <c r="AK36" s="198" t="str">
        <f t="shared" si="35"/>
        <v/>
      </c>
      <c r="AL36" s="198" t="str">
        <f t="shared" si="35"/>
        <v/>
      </c>
      <c r="AM36" s="198" t="str">
        <f t="shared" si="35"/>
        <v/>
      </c>
      <c r="AN36" s="198" t="str">
        <f t="shared" si="35"/>
        <v/>
      </c>
      <c r="AO36" s="198" t="str">
        <f t="shared" si="35"/>
        <v/>
      </c>
      <c r="AP36" s="198" t="str">
        <f t="shared" si="35"/>
        <v/>
      </c>
      <c r="AQ36" s="198" t="str">
        <f t="shared" si="35"/>
        <v/>
      </c>
      <c r="AR36" s="198" t="str">
        <f t="shared" si="35"/>
        <v/>
      </c>
      <c r="AS36" s="198" t="str">
        <f t="shared" si="35"/>
        <v>2.1.1.150</v>
      </c>
      <c r="AT36" s="198" t="str">
        <f t="shared" si="35"/>
        <v/>
      </c>
      <c r="AU36" s="198" t="str">
        <f t="shared" si="35"/>
        <v/>
      </c>
      <c r="AV36" s="198" t="str">
        <f t="shared" si="35"/>
        <v/>
      </c>
      <c r="AW36" s="198" t="str">
        <f t="shared" si="35"/>
        <v/>
      </c>
      <c r="AX36" s="198" t="str">
        <f t="shared" si="35"/>
        <v/>
      </c>
      <c r="AY36" s="198" t="str">
        <f t="shared" si="35"/>
        <v/>
      </c>
      <c r="AZ36" s="198" t="str">
        <f t="shared" si="35"/>
        <v/>
      </c>
      <c r="BA36" s="198" t="str">
        <f t="shared" si="35"/>
        <v/>
      </c>
      <c r="BB36" s="198" t="str">
        <f t="shared" si="35"/>
        <v/>
      </c>
      <c r="BC36" s="198" t="str">
        <f t="shared" si="35"/>
        <v>2.1.1.150</v>
      </c>
      <c r="BD36" s="198" t="str">
        <f t="shared" si="35"/>
        <v>2.1.1.150</v>
      </c>
      <c r="BE36" s="198" t="str">
        <f t="shared" si="35"/>
        <v/>
      </c>
      <c r="BF36" s="198" t="str">
        <f t="shared" si="35"/>
        <v/>
      </c>
      <c r="BG36" s="198" t="str">
        <f t="shared" si="35"/>
        <v/>
      </c>
      <c r="BH36" s="198" t="str">
        <f t="shared" si="35"/>
        <v/>
      </c>
      <c r="BI36" s="198" t="str">
        <f t="shared" si="35"/>
        <v/>
      </c>
      <c r="BJ36" s="198" t="str">
        <f t="shared" si="35"/>
        <v/>
      </c>
      <c r="BK36" s="198" t="str">
        <f t="shared" si="35"/>
        <v/>
      </c>
      <c r="BL36" s="198" t="str">
        <f t="shared" si="35"/>
        <v/>
      </c>
      <c r="BM36" s="198" t="str">
        <f t="shared" si="35"/>
        <v/>
      </c>
      <c r="BN36" s="198" t="str">
        <f t="shared" si="35"/>
        <v/>
      </c>
      <c r="BO36" s="198" t="str">
        <f t="shared" si="35"/>
        <v/>
      </c>
      <c r="BP36" s="198" t="str">
        <f t="shared" si="35"/>
        <v/>
      </c>
      <c r="BQ36" s="198" t="str">
        <f t="shared" si="35"/>
        <v/>
      </c>
      <c r="BR36" s="198" t="str">
        <f t="shared" si="35"/>
        <v/>
      </c>
      <c r="BS36" s="198" t="str">
        <f t="shared" si="35"/>
        <v/>
      </c>
      <c r="BT36" s="198" t="str">
        <f t="shared" si="35"/>
        <v/>
      </c>
      <c r="BU36" s="198" t="str">
        <f t="shared" si="35"/>
        <v/>
      </c>
      <c r="BV36" s="198" t="str">
        <f t="shared" si="35"/>
        <v/>
      </c>
      <c r="BW36" s="198" t="str">
        <f t="shared" si="35"/>
        <v/>
      </c>
      <c r="BX36" s="198" t="str">
        <f t="shared" si="35"/>
        <v/>
      </c>
      <c r="BY36" s="198" t="str">
        <f t="shared" si="35"/>
        <v>2.1.1.150</v>
      </c>
      <c r="BZ36" s="198" t="str">
        <f t="shared" si="35"/>
        <v/>
      </c>
      <c r="CA36" s="198" t="str">
        <f t="shared" si="35"/>
        <v/>
      </c>
      <c r="CB36" s="198" t="str">
        <f t="shared" si="35"/>
        <v/>
      </c>
      <c r="CC36" s="198" t="str">
        <f t="shared" si="35"/>
        <v/>
      </c>
      <c r="CD36" s="198" t="str">
        <f t="shared" si="35"/>
        <v/>
      </c>
      <c r="CE36" s="198" t="str">
        <f t="shared" si="35"/>
        <v/>
      </c>
      <c r="CF36" s="198" t="str">
        <f t="shared" si="35"/>
        <v/>
      </c>
      <c r="CG36" s="198" t="str">
        <f t="shared" si="35"/>
        <v/>
      </c>
      <c r="CH36" s="198" t="str">
        <f t="shared" si="35"/>
        <v/>
      </c>
      <c r="CI36" s="198" t="str">
        <f t="shared" si="35"/>
        <v/>
      </c>
      <c r="CJ36" s="198" t="str">
        <f t="shared" si="35"/>
        <v/>
      </c>
      <c r="CK36" s="198" t="str">
        <f t="shared" si="35"/>
        <v/>
      </c>
      <c r="CL36" s="198" t="str">
        <f t="shared" si="35"/>
        <v/>
      </c>
      <c r="CM36" s="198" t="str">
        <f t="shared" si="35"/>
        <v/>
      </c>
      <c r="CN36" s="198" t="str">
        <f t="shared" si="35"/>
        <v/>
      </c>
      <c r="CO36" s="198" t="str">
        <f t="shared" si="35"/>
        <v/>
      </c>
      <c r="CP36" s="198" t="str">
        <f t="shared" si="35"/>
        <v/>
      </c>
      <c r="CQ36" s="198" t="str">
        <f t="shared" si="35"/>
        <v/>
      </c>
      <c r="CR36" s="198" t="str">
        <f t="shared" si="35"/>
        <v/>
      </c>
      <c r="CS36" s="198" t="str">
        <f t="shared" si="35"/>
        <v/>
      </c>
      <c r="CT36" s="198" t="str">
        <f t="shared" si="35"/>
        <v>2.1.1.150</v>
      </c>
      <c r="CU36" s="198" t="str">
        <f t="shared" si="35"/>
        <v>2.1.1.150</v>
      </c>
      <c r="CV36" s="198" t="str">
        <f t="shared" si="35"/>
        <v/>
      </c>
      <c r="CW36" s="198" t="str">
        <f t="shared" si="35"/>
        <v/>
      </c>
      <c r="CX36" s="198" t="str">
        <f t="shared" si="35"/>
        <v/>
      </c>
      <c r="CY36" s="198" t="str">
        <f t="shared" si="35"/>
        <v/>
      </c>
      <c r="CZ36" s="198" t="str">
        <f t="shared" si="35"/>
        <v>2.1.1.150</v>
      </c>
      <c r="DA36" s="198" t="str">
        <f t="shared" si="35"/>
        <v>2.1.1.150</v>
      </c>
      <c r="DB36" s="198" t="str">
        <f t="shared" si="35"/>
        <v/>
      </c>
      <c r="DC36" s="198" t="str">
        <f t="shared" si="35"/>
        <v>2.1.1.150</v>
      </c>
      <c r="DE36" s="198"/>
      <c r="DF36" s="198"/>
      <c r="DG36" s="198" t="s">
        <v>1481</v>
      </c>
      <c r="DH36" s="198" t="s">
        <v>1474</v>
      </c>
      <c r="DI36" s="198" t="s">
        <v>1505</v>
      </c>
      <c r="DJ36" s="198"/>
      <c r="DK36" s="198"/>
      <c r="DL36" s="198"/>
      <c r="DM36" s="198"/>
      <c r="DN36" s="198"/>
      <c r="DO36" s="198"/>
      <c r="DP36" s="198"/>
      <c r="DQ36" s="198"/>
      <c r="DR36" s="198" t="s">
        <v>1487</v>
      </c>
      <c r="DS36" s="198"/>
      <c r="DT36" s="198"/>
      <c r="DU36" s="198"/>
      <c r="DV36" s="198"/>
      <c r="DW36" s="198"/>
      <c r="DX36" s="198"/>
      <c r="DY36" s="198"/>
      <c r="DZ36" s="198"/>
      <c r="EA36" s="198" t="s">
        <v>1487</v>
      </c>
      <c r="EB36" s="198" t="s">
        <v>1477</v>
      </c>
      <c r="EC36" s="198" t="s">
        <v>1477</v>
      </c>
      <c r="ED36" s="198"/>
      <c r="EE36" s="198"/>
      <c r="EF36" s="198"/>
      <c r="EG36" s="198"/>
      <c r="EH36" s="198"/>
      <c r="EI36" s="198"/>
      <c r="EJ36" s="198"/>
      <c r="EK36" s="198"/>
      <c r="EL36" s="198"/>
      <c r="EM36" s="198"/>
      <c r="EN36" s="198" t="s">
        <v>1500</v>
      </c>
      <c r="EO36" s="198"/>
      <c r="EP36" s="198" t="s">
        <v>1472</v>
      </c>
      <c r="EQ36" s="198" t="s">
        <v>1495</v>
      </c>
      <c r="ER36" s="198"/>
      <c r="ES36" s="198"/>
      <c r="ET36" s="198" t="s">
        <v>1517</v>
      </c>
      <c r="EU36" s="198" t="s">
        <v>1500</v>
      </c>
      <c r="EV36" s="198" t="s">
        <v>1500</v>
      </c>
      <c r="EW36" s="198" t="s">
        <v>1472</v>
      </c>
      <c r="EX36" s="198"/>
      <c r="EY36" s="198" t="s">
        <v>1505</v>
      </c>
      <c r="EZ36" s="198"/>
      <c r="FA36" s="198" t="s">
        <v>1505</v>
      </c>
      <c r="FB36" s="198"/>
      <c r="FC36" s="198"/>
      <c r="FD36" s="198" t="s">
        <v>1500</v>
      </c>
      <c r="FE36" s="198" t="s">
        <v>1503</v>
      </c>
      <c r="FF36" s="198"/>
      <c r="FG36" s="198" t="s">
        <v>1500</v>
      </c>
      <c r="FH36" s="198"/>
      <c r="FI36" s="198"/>
      <c r="FJ36" s="198"/>
      <c r="FK36" s="198"/>
      <c r="FL36" s="198"/>
      <c r="FM36" s="198"/>
      <c r="FN36" s="198" t="s">
        <v>1475</v>
      </c>
      <c r="FO36" s="198"/>
      <c r="FP36" s="198" t="s">
        <v>1475</v>
      </c>
      <c r="FQ36" s="198"/>
      <c r="FR36" s="198" t="s">
        <v>1472</v>
      </c>
      <c r="FS36" s="198"/>
      <c r="FT36" s="198" t="s">
        <v>1465</v>
      </c>
      <c r="FU36" s="198"/>
      <c r="FV36" s="198"/>
      <c r="FW36" s="198"/>
      <c r="FX36" s="198"/>
      <c r="FY36" s="198"/>
      <c r="FZ36" s="198" t="s">
        <v>1503</v>
      </c>
      <c r="GA36" s="198"/>
      <c r="GB36" s="198"/>
      <c r="GC36" s="198" t="s">
        <v>1500</v>
      </c>
      <c r="GD36" s="198" t="s">
        <v>1472</v>
      </c>
      <c r="GE36" s="198"/>
      <c r="GF36" s="198"/>
      <c r="GG36" s="198"/>
      <c r="GH36" s="198" t="s">
        <v>1505</v>
      </c>
      <c r="GI36" s="198" t="s">
        <v>1488</v>
      </c>
      <c r="GJ36" s="198" t="s">
        <v>1505</v>
      </c>
      <c r="GK36" s="198"/>
      <c r="GL36" s="198" t="s">
        <v>1472</v>
      </c>
      <c r="GM36" s="198"/>
      <c r="GN36" s="198"/>
      <c r="GO36" s="198"/>
      <c r="GP36" s="198" t="s">
        <v>1472</v>
      </c>
      <c r="GQ36" s="198"/>
      <c r="GR36" s="198"/>
      <c r="GS36" s="198"/>
      <c r="GT36" s="198" t="s">
        <v>1479</v>
      </c>
      <c r="GU36" s="198" t="s">
        <v>1487</v>
      </c>
      <c r="GV36" s="198" t="s">
        <v>1473</v>
      </c>
      <c r="GW36" s="198"/>
      <c r="GX36" s="198"/>
      <c r="GY36" s="198"/>
      <c r="GZ36" s="198" t="s">
        <v>1505</v>
      </c>
      <c r="HA36" s="198" t="s">
        <v>1498</v>
      </c>
      <c r="HB36" s="198" t="s">
        <v>1501</v>
      </c>
      <c r="HC36" s="198" t="s">
        <v>1505</v>
      </c>
      <c r="HD36" s="198" t="s">
        <v>1503</v>
      </c>
    </row>
    <row r="37" ht="15.75" customHeight="1">
      <c r="A37" s="234">
        <v>37.0</v>
      </c>
      <c r="B37" s="198" t="s">
        <v>1503</v>
      </c>
      <c r="C37" s="198" t="str">
        <f t="shared" ref="C37:DC37" si="36">if(countif(DD:DD,$B37),INDIRECT(concat("B",$A37)),"")</f>
        <v/>
      </c>
      <c r="D37" s="198" t="str">
        <f t="shared" si="36"/>
        <v/>
      </c>
      <c r="E37" s="198" t="str">
        <f t="shared" si="36"/>
        <v/>
      </c>
      <c r="F37" s="198" t="str">
        <f t="shared" si="36"/>
        <v/>
      </c>
      <c r="G37" s="198" t="str">
        <f t="shared" si="36"/>
        <v>2.1.1.212</v>
      </c>
      <c r="H37" s="198" t="str">
        <f t="shared" si="36"/>
        <v>2.1.1.212</v>
      </c>
      <c r="I37" s="198" t="str">
        <f t="shared" si="36"/>
        <v/>
      </c>
      <c r="J37" s="198" t="str">
        <f t="shared" si="36"/>
        <v/>
      </c>
      <c r="K37" s="198" t="str">
        <f t="shared" si="36"/>
        <v/>
      </c>
      <c r="L37" s="198" t="str">
        <f t="shared" si="36"/>
        <v/>
      </c>
      <c r="M37" s="198" t="str">
        <f t="shared" si="36"/>
        <v/>
      </c>
      <c r="N37" s="198" t="str">
        <f t="shared" si="36"/>
        <v/>
      </c>
      <c r="O37" s="198" t="str">
        <f t="shared" si="36"/>
        <v/>
      </c>
      <c r="P37" s="198" t="str">
        <f t="shared" si="36"/>
        <v/>
      </c>
      <c r="Q37" s="198" t="str">
        <f t="shared" si="36"/>
        <v>2.1.1.212</v>
      </c>
      <c r="R37" s="198" t="str">
        <f t="shared" si="36"/>
        <v/>
      </c>
      <c r="S37" s="198" t="str">
        <f t="shared" si="36"/>
        <v/>
      </c>
      <c r="T37" s="198" t="str">
        <f t="shared" si="36"/>
        <v/>
      </c>
      <c r="U37" s="198" t="str">
        <f t="shared" si="36"/>
        <v/>
      </c>
      <c r="V37" s="198" t="str">
        <f t="shared" si="36"/>
        <v/>
      </c>
      <c r="W37" s="198" t="str">
        <f t="shared" si="36"/>
        <v/>
      </c>
      <c r="X37" s="198" t="str">
        <f t="shared" si="36"/>
        <v/>
      </c>
      <c r="Y37" s="198" t="str">
        <f t="shared" si="36"/>
        <v/>
      </c>
      <c r="Z37" s="198" t="str">
        <f t="shared" si="36"/>
        <v>2.1.1.212</v>
      </c>
      <c r="AA37" s="198" t="str">
        <f t="shared" si="36"/>
        <v/>
      </c>
      <c r="AB37" s="198" t="str">
        <f t="shared" si="36"/>
        <v/>
      </c>
      <c r="AC37" s="198" t="str">
        <f t="shared" si="36"/>
        <v/>
      </c>
      <c r="AD37" s="198" t="str">
        <f t="shared" si="36"/>
        <v/>
      </c>
      <c r="AE37" s="198" t="str">
        <f t="shared" si="36"/>
        <v/>
      </c>
      <c r="AF37" s="198" t="str">
        <f t="shared" si="36"/>
        <v/>
      </c>
      <c r="AG37" s="198" t="str">
        <f t="shared" si="36"/>
        <v/>
      </c>
      <c r="AH37" s="198" t="str">
        <f t="shared" si="36"/>
        <v/>
      </c>
      <c r="AI37" s="198" t="str">
        <f t="shared" si="36"/>
        <v/>
      </c>
      <c r="AJ37" s="198" t="str">
        <f t="shared" si="36"/>
        <v/>
      </c>
      <c r="AK37" s="198" t="str">
        <f t="shared" si="36"/>
        <v/>
      </c>
      <c r="AL37" s="198" t="str">
        <f t="shared" si="36"/>
        <v/>
      </c>
      <c r="AM37" s="198" t="str">
        <f t="shared" si="36"/>
        <v/>
      </c>
      <c r="AN37" s="198" t="str">
        <f t="shared" si="36"/>
        <v/>
      </c>
      <c r="AO37" s="198" t="str">
        <f t="shared" si="36"/>
        <v/>
      </c>
      <c r="AP37" s="198" t="str">
        <f t="shared" si="36"/>
        <v/>
      </c>
      <c r="AQ37" s="198" t="str">
        <f t="shared" si="36"/>
        <v/>
      </c>
      <c r="AR37" s="198" t="str">
        <f t="shared" si="36"/>
        <v/>
      </c>
      <c r="AS37" s="198" t="str">
        <f t="shared" si="36"/>
        <v>2.1.1.212</v>
      </c>
      <c r="AT37" s="198" t="str">
        <f t="shared" si="36"/>
        <v/>
      </c>
      <c r="AU37" s="198" t="str">
        <f t="shared" si="36"/>
        <v/>
      </c>
      <c r="AV37" s="198" t="str">
        <f t="shared" si="36"/>
        <v/>
      </c>
      <c r="AW37" s="198" t="str">
        <f t="shared" si="36"/>
        <v/>
      </c>
      <c r="AX37" s="198" t="str">
        <f t="shared" si="36"/>
        <v/>
      </c>
      <c r="AY37" s="198" t="str">
        <f t="shared" si="36"/>
        <v/>
      </c>
      <c r="AZ37" s="198" t="str">
        <f t="shared" si="36"/>
        <v/>
      </c>
      <c r="BA37" s="198" t="str">
        <f t="shared" si="36"/>
        <v/>
      </c>
      <c r="BB37" s="198" t="str">
        <f t="shared" si="36"/>
        <v/>
      </c>
      <c r="BC37" s="198" t="str">
        <f t="shared" si="36"/>
        <v>2.1.1.212</v>
      </c>
      <c r="BD37" s="198" t="str">
        <f t="shared" si="36"/>
        <v>2.1.1.212</v>
      </c>
      <c r="BE37" s="198" t="str">
        <f t="shared" si="36"/>
        <v/>
      </c>
      <c r="BF37" s="198" t="str">
        <f t="shared" si="36"/>
        <v/>
      </c>
      <c r="BG37" s="198" t="str">
        <f t="shared" si="36"/>
        <v/>
      </c>
      <c r="BH37" s="198" t="str">
        <f t="shared" si="36"/>
        <v/>
      </c>
      <c r="BI37" s="198" t="str">
        <f t="shared" si="36"/>
        <v/>
      </c>
      <c r="BJ37" s="198" t="str">
        <f t="shared" si="36"/>
        <v/>
      </c>
      <c r="BK37" s="198" t="str">
        <f t="shared" si="36"/>
        <v/>
      </c>
      <c r="BL37" s="198" t="str">
        <f t="shared" si="36"/>
        <v/>
      </c>
      <c r="BM37" s="198" t="str">
        <f t="shared" si="36"/>
        <v/>
      </c>
      <c r="BN37" s="198" t="str">
        <f t="shared" si="36"/>
        <v/>
      </c>
      <c r="BO37" s="198" t="str">
        <f t="shared" si="36"/>
        <v/>
      </c>
      <c r="BP37" s="198" t="str">
        <f t="shared" si="36"/>
        <v/>
      </c>
      <c r="BQ37" s="198" t="str">
        <f t="shared" si="36"/>
        <v/>
      </c>
      <c r="BR37" s="198" t="str">
        <f t="shared" si="36"/>
        <v/>
      </c>
      <c r="BS37" s="198" t="str">
        <f t="shared" si="36"/>
        <v/>
      </c>
      <c r="BT37" s="198" t="str">
        <f t="shared" si="36"/>
        <v/>
      </c>
      <c r="BU37" s="198" t="str">
        <f t="shared" si="36"/>
        <v/>
      </c>
      <c r="BV37" s="198" t="str">
        <f t="shared" si="36"/>
        <v/>
      </c>
      <c r="BW37" s="198" t="str">
        <f t="shared" si="36"/>
        <v/>
      </c>
      <c r="BX37" s="198" t="str">
        <f t="shared" si="36"/>
        <v/>
      </c>
      <c r="BY37" s="198" t="str">
        <f t="shared" si="36"/>
        <v>2.1.1.212</v>
      </c>
      <c r="BZ37" s="198" t="str">
        <f t="shared" si="36"/>
        <v/>
      </c>
      <c r="CA37" s="198" t="str">
        <f t="shared" si="36"/>
        <v/>
      </c>
      <c r="CB37" s="198" t="str">
        <f t="shared" si="36"/>
        <v/>
      </c>
      <c r="CC37" s="198" t="str">
        <f t="shared" si="36"/>
        <v/>
      </c>
      <c r="CD37" s="198" t="str">
        <f t="shared" si="36"/>
        <v/>
      </c>
      <c r="CE37" s="198" t="str">
        <f t="shared" si="36"/>
        <v/>
      </c>
      <c r="CF37" s="198" t="str">
        <f t="shared" si="36"/>
        <v/>
      </c>
      <c r="CG37" s="198" t="str">
        <f t="shared" si="36"/>
        <v/>
      </c>
      <c r="CH37" s="198" t="str">
        <f t="shared" si="36"/>
        <v/>
      </c>
      <c r="CI37" s="198" t="str">
        <f t="shared" si="36"/>
        <v/>
      </c>
      <c r="CJ37" s="198" t="str">
        <f t="shared" si="36"/>
        <v/>
      </c>
      <c r="CK37" s="198" t="str">
        <f t="shared" si="36"/>
        <v/>
      </c>
      <c r="CL37" s="198" t="str">
        <f t="shared" si="36"/>
        <v/>
      </c>
      <c r="CM37" s="198" t="str">
        <f t="shared" si="36"/>
        <v/>
      </c>
      <c r="CN37" s="198" t="str">
        <f t="shared" si="36"/>
        <v/>
      </c>
      <c r="CO37" s="198" t="str">
        <f t="shared" si="36"/>
        <v/>
      </c>
      <c r="CP37" s="198" t="str">
        <f t="shared" si="36"/>
        <v/>
      </c>
      <c r="CQ37" s="198" t="str">
        <f t="shared" si="36"/>
        <v/>
      </c>
      <c r="CR37" s="198" t="str">
        <f t="shared" si="36"/>
        <v/>
      </c>
      <c r="CS37" s="198" t="str">
        <f t="shared" si="36"/>
        <v/>
      </c>
      <c r="CT37" s="198" t="str">
        <f t="shared" si="36"/>
        <v>2.1.1.212</v>
      </c>
      <c r="CU37" s="198" t="str">
        <f t="shared" si="36"/>
        <v>2.1.1.212</v>
      </c>
      <c r="CV37" s="198" t="str">
        <f t="shared" si="36"/>
        <v/>
      </c>
      <c r="CW37" s="198" t="str">
        <f t="shared" si="36"/>
        <v/>
      </c>
      <c r="CX37" s="198" t="str">
        <f t="shared" si="36"/>
        <v/>
      </c>
      <c r="CY37" s="198" t="str">
        <f t="shared" si="36"/>
        <v/>
      </c>
      <c r="CZ37" s="198" t="str">
        <f t="shared" si="36"/>
        <v>2.1.1.212</v>
      </c>
      <c r="DA37" s="198" t="str">
        <f t="shared" si="36"/>
        <v>2.1.1.212</v>
      </c>
      <c r="DB37" s="198" t="str">
        <f t="shared" si="36"/>
        <v/>
      </c>
      <c r="DC37" s="198" t="str">
        <f t="shared" si="36"/>
        <v>2.1.1.212</v>
      </c>
      <c r="DE37" s="198"/>
      <c r="DF37" s="198"/>
      <c r="DG37" s="198" t="s">
        <v>1482</v>
      </c>
      <c r="DH37" s="198" t="s">
        <v>1475</v>
      </c>
      <c r="DI37" s="198" t="s">
        <v>1476</v>
      </c>
      <c r="DJ37" s="198"/>
      <c r="DK37" s="198"/>
      <c r="DL37" s="198"/>
      <c r="DM37" s="198"/>
      <c r="DN37" s="198"/>
      <c r="DO37" s="198"/>
      <c r="DP37" s="198"/>
      <c r="DQ37" s="198"/>
      <c r="DR37" s="198" t="s">
        <v>1473</v>
      </c>
      <c r="DS37" s="198"/>
      <c r="DT37" s="198"/>
      <c r="DU37" s="198"/>
      <c r="DV37" s="198"/>
      <c r="DW37" s="198"/>
      <c r="DX37" s="198"/>
      <c r="DY37" s="198"/>
      <c r="DZ37" s="198"/>
      <c r="EA37" s="198" t="s">
        <v>1473</v>
      </c>
      <c r="EB37" s="198" t="s">
        <v>1478</v>
      </c>
      <c r="EC37" s="198" t="s">
        <v>1478</v>
      </c>
      <c r="ED37" s="198"/>
      <c r="EE37" s="198"/>
      <c r="EF37" s="198"/>
      <c r="EG37" s="198"/>
      <c r="EH37" s="198"/>
      <c r="EI37" s="198"/>
      <c r="EJ37" s="198"/>
      <c r="EK37" s="198"/>
      <c r="EL37" s="198"/>
      <c r="EM37" s="198"/>
      <c r="EN37" s="198" t="s">
        <v>1472</v>
      </c>
      <c r="EO37" s="198"/>
      <c r="EP37" s="198" t="s">
        <v>1505</v>
      </c>
      <c r="EQ37" s="198"/>
      <c r="ER37" s="198"/>
      <c r="ES37" s="198"/>
      <c r="ET37" s="198" t="s">
        <v>1503</v>
      </c>
      <c r="EU37" s="198" t="s">
        <v>1472</v>
      </c>
      <c r="EV37" s="198" t="s">
        <v>1472</v>
      </c>
      <c r="EW37" s="198" t="s">
        <v>1505</v>
      </c>
      <c r="EX37" s="198"/>
      <c r="EY37" s="198" t="s">
        <v>1472</v>
      </c>
      <c r="EZ37" s="198"/>
      <c r="FA37" s="198" t="s">
        <v>1472</v>
      </c>
      <c r="FB37" s="198"/>
      <c r="FC37" s="198"/>
      <c r="FD37" s="198" t="s">
        <v>1502</v>
      </c>
      <c r="FE37" s="198" t="s">
        <v>1504</v>
      </c>
      <c r="FF37" s="198"/>
      <c r="FG37" s="198" t="s">
        <v>1505</v>
      </c>
      <c r="FH37" s="198"/>
      <c r="FI37" s="198"/>
      <c r="FJ37" s="198"/>
      <c r="FK37" s="198"/>
      <c r="FL37" s="198"/>
      <c r="FM37" s="198"/>
      <c r="FN37" s="198"/>
      <c r="FO37" s="198"/>
      <c r="FP37" s="198"/>
      <c r="FQ37" s="198"/>
      <c r="FR37" s="198" t="s">
        <v>1475</v>
      </c>
      <c r="FS37" s="198"/>
      <c r="FT37" s="198" t="s">
        <v>1522</v>
      </c>
      <c r="FU37" s="198"/>
      <c r="FV37" s="198"/>
      <c r="FW37" s="198"/>
      <c r="FX37" s="198"/>
      <c r="FY37" s="198"/>
      <c r="FZ37" s="198" t="s">
        <v>1504</v>
      </c>
      <c r="GA37" s="198"/>
      <c r="GB37" s="198"/>
      <c r="GC37" s="198" t="s">
        <v>1505</v>
      </c>
      <c r="GD37" s="198"/>
      <c r="GE37" s="198"/>
      <c r="GF37" s="198"/>
      <c r="GG37" s="198"/>
      <c r="GH37" s="198"/>
      <c r="GI37" s="198" t="s">
        <v>1501</v>
      </c>
      <c r="GJ37" s="198" t="s">
        <v>1472</v>
      </c>
      <c r="GK37" s="198"/>
      <c r="GL37" s="198" t="s">
        <v>1475</v>
      </c>
      <c r="GM37" s="198"/>
      <c r="GN37" s="198"/>
      <c r="GO37" s="198"/>
      <c r="GP37" s="198" t="s">
        <v>1475</v>
      </c>
      <c r="GQ37" s="198"/>
      <c r="GR37" s="198"/>
      <c r="GS37" s="198"/>
      <c r="GT37" s="198" t="s">
        <v>1481</v>
      </c>
      <c r="GU37" s="198" t="s">
        <v>1473</v>
      </c>
      <c r="GV37" s="198" t="s">
        <v>1474</v>
      </c>
      <c r="GW37" s="198"/>
      <c r="GX37" s="198"/>
      <c r="GY37" s="198"/>
      <c r="GZ37" s="198" t="s">
        <v>1475</v>
      </c>
      <c r="HA37" s="198" t="s">
        <v>1517</v>
      </c>
      <c r="HB37" s="198" t="s">
        <v>1500</v>
      </c>
      <c r="HC37" s="198"/>
      <c r="HD37" s="198" t="s">
        <v>1504</v>
      </c>
    </row>
    <row r="38" ht="15.75" customHeight="1">
      <c r="A38" s="234">
        <v>38.0</v>
      </c>
      <c r="B38" s="236" t="s">
        <v>1521</v>
      </c>
      <c r="C38" s="198" t="str">
        <f t="shared" ref="C38:DC38" si="37">if(countif(DD:DD,$B38),INDIRECT(concat("B",$A38)),"")</f>
        <v/>
      </c>
      <c r="D38" s="198" t="str">
        <f t="shared" si="37"/>
        <v/>
      </c>
      <c r="E38" s="198" t="str">
        <f t="shared" si="37"/>
        <v/>
      </c>
      <c r="F38" s="198" t="str">
        <f t="shared" si="37"/>
        <v/>
      </c>
      <c r="G38" s="198" t="str">
        <f t="shared" si="37"/>
        <v/>
      </c>
      <c r="H38" s="198" t="str">
        <f t="shared" si="37"/>
        <v/>
      </c>
      <c r="I38" s="198" t="str">
        <f t="shared" si="37"/>
        <v/>
      </c>
      <c r="J38" s="198" t="str">
        <f t="shared" si="37"/>
        <v/>
      </c>
      <c r="K38" s="198" t="str">
        <f t="shared" si="37"/>
        <v/>
      </c>
      <c r="L38" s="198" t="str">
        <f t="shared" si="37"/>
        <v/>
      </c>
      <c r="M38" s="198" t="str">
        <f t="shared" si="37"/>
        <v/>
      </c>
      <c r="N38" s="198" t="str">
        <f t="shared" si="37"/>
        <v/>
      </c>
      <c r="O38" s="198" t="str">
        <f t="shared" si="37"/>
        <v/>
      </c>
      <c r="P38" s="198" t="str">
        <f t="shared" si="37"/>
        <v/>
      </c>
      <c r="Q38" s="198" t="str">
        <f t="shared" si="37"/>
        <v/>
      </c>
      <c r="R38" s="198" t="str">
        <f t="shared" si="37"/>
        <v/>
      </c>
      <c r="S38" s="198" t="str">
        <f t="shared" si="37"/>
        <v/>
      </c>
      <c r="T38" s="198" t="str">
        <f t="shared" si="37"/>
        <v/>
      </c>
      <c r="U38" s="198" t="str">
        <f t="shared" si="37"/>
        <v/>
      </c>
      <c r="V38" s="198" t="str">
        <f t="shared" si="37"/>
        <v/>
      </c>
      <c r="W38" s="198" t="str">
        <f t="shared" si="37"/>
        <v/>
      </c>
      <c r="X38" s="198" t="str">
        <f t="shared" si="37"/>
        <v/>
      </c>
      <c r="Y38" s="198" t="str">
        <f t="shared" si="37"/>
        <v/>
      </c>
      <c r="Z38" s="198" t="str">
        <f t="shared" si="37"/>
        <v/>
      </c>
      <c r="AA38" s="198" t="str">
        <f t="shared" si="37"/>
        <v/>
      </c>
      <c r="AB38" s="198" t="str">
        <f t="shared" si="37"/>
        <v/>
      </c>
      <c r="AC38" s="198" t="str">
        <f t="shared" si="37"/>
        <v/>
      </c>
      <c r="AD38" s="198" t="str">
        <f t="shared" si="37"/>
        <v/>
      </c>
      <c r="AE38" s="198" t="str">
        <f t="shared" si="37"/>
        <v/>
      </c>
      <c r="AF38" s="198" t="str">
        <f t="shared" si="37"/>
        <v/>
      </c>
      <c r="AG38" s="198" t="str">
        <f t="shared" si="37"/>
        <v/>
      </c>
      <c r="AH38" s="198" t="str">
        <f t="shared" si="37"/>
        <v/>
      </c>
      <c r="AI38" s="198" t="str">
        <f t="shared" si="37"/>
        <v/>
      </c>
      <c r="AJ38" s="198" t="str">
        <f t="shared" si="37"/>
        <v/>
      </c>
      <c r="AK38" s="198" t="str">
        <f t="shared" si="37"/>
        <v/>
      </c>
      <c r="AL38" s="198" t="str">
        <f t="shared" si="37"/>
        <v/>
      </c>
      <c r="AM38" s="198" t="str">
        <f t="shared" si="37"/>
        <v/>
      </c>
      <c r="AN38" s="198" t="str">
        <f t="shared" si="37"/>
        <v/>
      </c>
      <c r="AO38" s="198" t="str">
        <f t="shared" si="37"/>
        <v/>
      </c>
      <c r="AP38" s="198" t="str">
        <f t="shared" si="37"/>
        <v/>
      </c>
      <c r="AQ38" s="198" t="str">
        <f t="shared" si="37"/>
        <v/>
      </c>
      <c r="AR38" s="198" t="str">
        <f t="shared" si="37"/>
        <v/>
      </c>
      <c r="AS38" s="198" t="str">
        <f t="shared" si="37"/>
        <v>2.1.1.231</v>
      </c>
      <c r="AT38" s="198" t="str">
        <f t="shared" si="37"/>
        <v/>
      </c>
      <c r="AU38" s="198" t="str">
        <f t="shared" si="37"/>
        <v/>
      </c>
      <c r="AV38" s="198" t="str">
        <f t="shared" si="37"/>
        <v/>
      </c>
      <c r="AW38" s="198" t="str">
        <f t="shared" si="37"/>
        <v/>
      </c>
      <c r="AX38" s="198" t="str">
        <f t="shared" si="37"/>
        <v/>
      </c>
      <c r="AY38" s="198" t="str">
        <f t="shared" si="37"/>
        <v/>
      </c>
      <c r="AZ38" s="198" t="str">
        <f t="shared" si="37"/>
        <v/>
      </c>
      <c r="BA38" s="198" t="str">
        <f t="shared" si="37"/>
        <v/>
      </c>
      <c r="BB38" s="198" t="str">
        <f t="shared" si="37"/>
        <v/>
      </c>
      <c r="BC38" s="198" t="str">
        <f t="shared" si="37"/>
        <v/>
      </c>
      <c r="BD38" s="198" t="str">
        <f t="shared" si="37"/>
        <v/>
      </c>
      <c r="BE38" s="198" t="str">
        <f t="shared" si="37"/>
        <v/>
      </c>
      <c r="BF38" s="198" t="str">
        <f t="shared" si="37"/>
        <v/>
      </c>
      <c r="BG38" s="198" t="str">
        <f t="shared" si="37"/>
        <v/>
      </c>
      <c r="BH38" s="198" t="str">
        <f t="shared" si="37"/>
        <v/>
      </c>
      <c r="BI38" s="198" t="str">
        <f t="shared" si="37"/>
        <v/>
      </c>
      <c r="BJ38" s="198" t="str">
        <f t="shared" si="37"/>
        <v/>
      </c>
      <c r="BK38" s="198" t="str">
        <f t="shared" si="37"/>
        <v/>
      </c>
      <c r="BL38" s="198" t="str">
        <f t="shared" si="37"/>
        <v/>
      </c>
      <c r="BM38" s="198" t="str">
        <f t="shared" si="37"/>
        <v/>
      </c>
      <c r="BN38" s="198" t="str">
        <f t="shared" si="37"/>
        <v/>
      </c>
      <c r="BO38" s="198" t="str">
        <f t="shared" si="37"/>
        <v/>
      </c>
      <c r="BP38" s="198" t="str">
        <f t="shared" si="37"/>
        <v/>
      </c>
      <c r="BQ38" s="198" t="str">
        <f t="shared" si="37"/>
        <v/>
      </c>
      <c r="BR38" s="198" t="str">
        <f t="shared" si="37"/>
        <v/>
      </c>
      <c r="BS38" s="198" t="str">
        <f t="shared" si="37"/>
        <v/>
      </c>
      <c r="BT38" s="198" t="str">
        <f t="shared" si="37"/>
        <v/>
      </c>
      <c r="BU38" s="198" t="str">
        <f t="shared" si="37"/>
        <v/>
      </c>
      <c r="BV38" s="198" t="str">
        <f t="shared" si="37"/>
        <v/>
      </c>
      <c r="BW38" s="198" t="str">
        <f t="shared" si="37"/>
        <v/>
      </c>
      <c r="BX38" s="198" t="str">
        <f t="shared" si="37"/>
        <v/>
      </c>
      <c r="BY38" s="198" t="str">
        <f t="shared" si="37"/>
        <v/>
      </c>
      <c r="BZ38" s="198" t="str">
        <f t="shared" si="37"/>
        <v/>
      </c>
      <c r="CA38" s="198" t="str">
        <f t="shared" si="37"/>
        <v/>
      </c>
      <c r="CB38" s="198" t="str">
        <f t="shared" si="37"/>
        <v/>
      </c>
      <c r="CC38" s="198" t="str">
        <f t="shared" si="37"/>
        <v/>
      </c>
      <c r="CD38" s="198" t="str">
        <f t="shared" si="37"/>
        <v/>
      </c>
      <c r="CE38" s="198" t="str">
        <f t="shared" si="37"/>
        <v/>
      </c>
      <c r="CF38" s="198" t="str">
        <f t="shared" si="37"/>
        <v/>
      </c>
      <c r="CG38" s="198" t="str">
        <f t="shared" si="37"/>
        <v/>
      </c>
      <c r="CH38" s="198" t="str">
        <f t="shared" si="37"/>
        <v/>
      </c>
      <c r="CI38" s="198" t="str">
        <f t="shared" si="37"/>
        <v/>
      </c>
      <c r="CJ38" s="198" t="str">
        <f t="shared" si="37"/>
        <v/>
      </c>
      <c r="CK38" s="198" t="str">
        <f t="shared" si="37"/>
        <v/>
      </c>
      <c r="CL38" s="198" t="str">
        <f t="shared" si="37"/>
        <v/>
      </c>
      <c r="CM38" s="198" t="str">
        <f t="shared" si="37"/>
        <v/>
      </c>
      <c r="CN38" s="198" t="str">
        <f t="shared" si="37"/>
        <v/>
      </c>
      <c r="CO38" s="198" t="str">
        <f t="shared" si="37"/>
        <v/>
      </c>
      <c r="CP38" s="198" t="str">
        <f t="shared" si="37"/>
        <v/>
      </c>
      <c r="CQ38" s="198" t="str">
        <f t="shared" si="37"/>
        <v/>
      </c>
      <c r="CR38" s="198" t="str">
        <f t="shared" si="37"/>
        <v/>
      </c>
      <c r="CS38" s="198" t="str">
        <f t="shared" si="37"/>
        <v/>
      </c>
      <c r="CT38" s="198" t="str">
        <f t="shared" si="37"/>
        <v/>
      </c>
      <c r="CU38" s="198" t="str">
        <f t="shared" si="37"/>
        <v/>
      </c>
      <c r="CV38" s="198" t="str">
        <f t="shared" si="37"/>
        <v/>
      </c>
      <c r="CW38" s="198" t="str">
        <f t="shared" si="37"/>
        <v/>
      </c>
      <c r="CX38" s="198" t="str">
        <f t="shared" si="37"/>
        <v/>
      </c>
      <c r="CY38" s="198" t="str">
        <f t="shared" si="37"/>
        <v/>
      </c>
      <c r="CZ38" s="198" t="str">
        <f t="shared" si="37"/>
        <v>2.1.1.231</v>
      </c>
      <c r="DA38" s="198" t="str">
        <f t="shared" si="37"/>
        <v/>
      </c>
      <c r="DB38" s="198" t="str">
        <f t="shared" si="37"/>
        <v/>
      </c>
      <c r="DC38" s="198" t="str">
        <f t="shared" si="37"/>
        <v/>
      </c>
      <c r="DE38" s="198"/>
      <c r="DF38" s="198"/>
      <c r="DG38" s="198"/>
      <c r="DH38" s="198" t="s">
        <v>1505</v>
      </c>
      <c r="DI38" s="198" t="s">
        <v>1477</v>
      </c>
      <c r="DJ38" s="198"/>
      <c r="DK38" s="198"/>
      <c r="DL38" s="198"/>
      <c r="DM38" s="198"/>
      <c r="DN38" s="198"/>
      <c r="DO38" s="198"/>
      <c r="DP38" s="198"/>
      <c r="DQ38" s="198"/>
      <c r="DR38" s="198" t="s">
        <v>1474</v>
      </c>
      <c r="DS38" s="198"/>
      <c r="DT38" s="198"/>
      <c r="DU38" s="198"/>
      <c r="DV38" s="198"/>
      <c r="DW38" s="198"/>
      <c r="DX38" s="198"/>
      <c r="DY38" s="198"/>
      <c r="DZ38" s="198"/>
      <c r="EA38" s="198" t="s">
        <v>1474</v>
      </c>
      <c r="EB38" s="198" t="s">
        <v>1479</v>
      </c>
      <c r="EC38" s="198" t="s">
        <v>1479</v>
      </c>
      <c r="ED38" s="198"/>
      <c r="EE38" s="198"/>
      <c r="EF38" s="198"/>
      <c r="EG38" s="198"/>
      <c r="EH38" s="198"/>
      <c r="EI38" s="198"/>
      <c r="EJ38" s="198"/>
      <c r="EK38" s="198"/>
      <c r="EL38" s="198"/>
      <c r="EM38" s="198"/>
      <c r="EN38" s="198" t="s">
        <v>1505</v>
      </c>
      <c r="EO38" s="198"/>
      <c r="EP38" s="198"/>
      <c r="EQ38" s="198"/>
      <c r="ER38" s="198"/>
      <c r="ES38" s="198"/>
      <c r="ET38" s="198" t="s">
        <v>1504</v>
      </c>
      <c r="EU38" s="198" t="s">
        <v>1505</v>
      </c>
      <c r="EV38" s="198" t="s">
        <v>1495</v>
      </c>
      <c r="EW38" s="198" t="s">
        <v>1475</v>
      </c>
      <c r="EX38" s="198"/>
      <c r="EY38" s="198" t="s">
        <v>1475</v>
      </c>
      <c r="EZ38" s="198"/>
      <c r="FA38" s="198"/>
      <c r="FB38" s="198"/>
      <c r="FC38" s="198"/>
      <c r="FD38" s="198" t="s">
        <v>1516</v>
      </c>
      <c r="FE38" s="198" t="s">
        <v>1501</v>
      </c>
      <c r="FF38" s="198"/>
      <c r="FG38" s="198" t="s">
        <v>1472</v>
      </c>
      <c r="FH38" s="198"/>
      <c r="FI38" s="198"/>
      <c r="FJ38" s="198"/>
      <c r="FK38" s="198"/>
      <c r="FL38" s="198"/>
      <c r="FM38" s="198"/>
      <c r="FN38" s="198"/>
      <c r="FO38" s="198"/>
      <c r="FP38" s="198"/>
      <c r="FQ38" s="198"/>
      <c r="FR38" s="198"/>
      <c r="FS38" s="198"/>
      <c r="FT38" s="198" t="s">
        <v>1476</v>
      </c>
      <c r="FU38" s="198"/>
      <c r="FV38" s="198"/>
      <c r="FW38" s="198"/>
      <c r="FX38" s="198"/>
      <c r="FY38" s="198"/>
      <c r="FZ38" s="198" t="s">
        <v>1499</v>
      </c>
      <c r="GA38" s="198"/>
      <c r="GB38" s="198"/>
      <c r="GC38" s="198" t="s">
        <v>1472</v>
      </c>
      <c r="GD38" s="198"/>
      <c r="GE38" s="198"/>
      <c r="GF38" s="198"/>
      <c r="GG38" s="198"/>
      <c r="GH38" s="198"/>
      <c r="GI38" s="198" t="s">
        <v>1500</v>
      </c>
      <c r="GJ38" s="198" t="s">
        <v>1475</v>
      </c>
      <c r="GK38" s="198"/>
      <c r="GL38" s="198"/>
      <c r="GM38" s="198"/>
      <c r="GN38" s="198"/>
      <c r="GO38" s="198"/>
      <c r="GP38" s="198" t="s">
        <v>1528</v>
      </c>
      <c r="GQ38" s="198"/>
      <c r="GR38" s="198"/>
      <c r="GS38" s="198"/>
      <c r="GT38" s="198" t="s">
        <v>1482</v>
      </c>
      <c r="GU38" s="198" t="s">
        <v>1474</v>
      </c>
      <c r="GV38" s="198" t="s">
        <v>1475</v>
      </c>
      <c r="GW38" s="198"/>
      <c r="GX38" s="198"/>
      <c r="GY38" s="198"/>
      <c r="GZ38" s="198"/>
      <c r="HA38" s="198" t="s">
        <v>1503</v>
      </c>
      <c r="HB38" s="198" t="s">
        <v>1502</v>
      </c>
      <c r="HC38" s="198"/>
      <c r="HD38" s="198" t="s">
        <v>1499</v>
      </c>
    </row>
    <row r="39" ht="15.75" customHeight="1">
      <c r="A39" s="234">
        <v>39.0</v>
      </c>
      <c r="B39" s="236" t="s">
        <v>1522</v>
      </c>
      <c r="C39" s="198" t="str">
        <f t="shared" ref="C39:DC39" si="38">if(countif(DD:DD,$B39),INDIRECT(concat("B",$A39)),"")</f>
        <v/>
      </c>
      <c r="D39" s="198" t="str">
        <f t="shared" si="38"/>
        <v/>
      </c>
      <c r="E39" s="198" t="str">
        <f t="shared" si="38"/>
        <v/>
      </c>
      <c r="F39" s="198" t="str">
        <f t="shared" si="38"/>
        <v/>
      </c>
      <c r="G39" s="198" t="str">
        <f t="shared" si="38"/>
        <v/>
      </c>
      <c r="H39" s="198" t="str">
        <f t="shared" si="38"/>
        <v/>
      </c>
      <c r="I39" s="198" t="str">
        <f t="shared" si="38"/>
        <v/>
      </c>
      <c r="J39" s="198" t="str">
        <f t="shared" si="38"/>
        <v/>
      </c>
      <c r="K39" s="198" t="str">
        <f t="shared" si="38"/>
        <v/>
      </c>
      <c r="L39" s="198" t="str">
        <f t="shared" si="38"/>
        <v/>
      </c>
      <c r="M39" s="198" t="str">
        <f t="shared" si="38"/>
        <v/>
      </c>
      <c r="N39" s="198" t="str">
        <f t="shared" si="38"/>
        <v/>
      </c>
      <c r="O39" s="198" t="str">
        <f t="shared" si="38"/>
        <v/>
      </c>
      <c r="P39" s="198" t="str">
        <f t="shared" si="38"/>
        <v/>
      </c>
      <c r="Q39" s="198" t="str">
        <f t="shared" si="38"/>
        <v/>
      </c>
      <c r="R39" s="198" t="str">
        <f t="shared" si="38"/>
        <v/>
      </c>
      <c r="S39" s="198" t="str">
        <f t="shared" si="38"/>
        <v/>
      </c>
      <c r="T39" s="198" t="str">
        <f t="shared" si="38"/>
        <v/>
      </c>
      <c r="U39" s="198" t="str">
        <f t="shared" si="38"/>
        <v/>
      </c>
      <c r="V39" s="198" t="str">
        <f t="shared" si="38"/>
        <v/>
      </c>
      <c r="W39" s="198" t="str">
        <f t="shared" si="38"/>
        <v/>
      </c>
      <c r="X39" s="198" t="str">
        <f t="shared" si="38"/>
        <v/>
      </c>
      <c r="Y39" s="198" t="str">
        <f t="shared" si="38"/>
        <v/>
      </c>
      <c r="Z39" s="198" t="str">
        <f t="shared" si="38"/>
        <v/>
      </c>
      <c r="AA39" s="198" t="str">
        <f t="shared" si="38"/>
        <v/>
      </c>
      <c r="AB39" s="198" t="str">
        <f t="shared" si="38"/>
        <v/>
      </c>
      <c r="AC39" s="198" t="str">
        <f t="shared" si="38"/>
        <v/>
      </c>
      <c r="AD39" s="198" t="str">
        <f t="shared" si="38"/>
        <v/>
      </c>
      <c r="AE39" s="198" t="str">
        <f t="shared" si="38"/>
        <v/>
      </c>
      <c r="AF39" s="198" t="str">
        <f t="shared" si="38"/>
        <v/>
      </c>
      <c r="AG39" s="198" t="str">
        <f t="shared" si="38"/>
        <v/>
      </c>
      <c r="AH39" s="198" t="str">
        <f t="shared" si="38"/>
        <v/>
      </c>
      <c r="AI39" s="198" t="str">
        <f t="shared" si="38"/>
        <v/>
      </c>
      <c r="AJ39" s="198" t="str">
        <f t="shared" si="38"/>
        <v/>
      </c>
      <c r="AK39" s="198" t="str">
        <f t="shared" si="38"/>
        <v/>
      </c>
      <c r="AL39" s="198" t="str">
        <f t="shared" si="38"/>
        <v/>
      </c>
      <c r="AM39" s="198" t="str">
        <f t="shared" si="38"/>
        <v/>
      </c>
      <c r="AN39" s="198" t="str">
        <f t="shared" si="38"/>
        <v/>
      </c>
      <c r="AO39" s="198" t="str">
        <f t="shared" si="38"/>
        <v/>
      </c>
      <c r="AP39" s="198" t="str">
        <f t="shared" si="38"/>
        <v/>
      </c>
      <c r="AQ39" s="198" t="str">
        <f t="shared" si="38"/>
        <v/>
      </c>
      <c r="AR39" s="198" t="str">
        <f t="shared" si="38"/>
        <v/>
      </c>
      <c r="AS39" s="198" t="str">
        <f t="shared" si="38"/>
        <v/>
      </c>
      <c r="AT39" s="198" t="str">
        <f t="shared" si="38"/>
        <v/>
      </c>
      <c r="AU39" s="198" t="str">
        <f t="shared" si="38"/>
        <v/>
      </c>
      <c r="AV39" s="198" t="str">
        <f t="shared" si="38"/>
        <v/>
      </c>
      <c r="AW39" s="198" t="str">
        <f t="shared" si="38"/>
        <v/>
      </c>
      <c r="AX39" s="198" t="str">
        <f t="shared" si="38"/>
        <v/>
      </c>
      <c r="AY39" s="198" t="str">
        <f t="shared" si="38"/>
        <v/>
      </c>
      <c r="AZ39" s="198" t="str">
        <f t="shared" si="38"/>
        <v/>
      </c>
      <c r="BA39" s="198" t="str">
        <f t="shared" si="38"/>
        <v/>
      </c>
      <c r="BB39" s="198" t="str">
        <f t="shared" si="38"/>
        <v/>
      </c>
      <c r="BC39" s="198" t="str">
        <f t="shared" si="38"/>
        <v/>
      </c>
      <c r="BD39" s="198" t="str">
        <f t="shared" si="38"/>
        <v/>
      </c>
      <c r="BE39" s="198" t="str">
        <f t="shared" si="38"/>
        <v/>
      </c>
      <c r="BF39" s="198" t="str">
        <f t="shared" si="38"/>
        <v/>
      </c>
      <c r="BG39" s="198" t="str">
        <f t="shared" si="38"/>
        <v/>
      </c>
      <c r="BH39" s="198" t="str">
        <f t="shared" si="38"/>
        <v/>
      </c>
      <c r="BI39" s="198" t="str">
        <f t="shared" si="38"/>
        <v/>
      </c>
      <c r="BJ39" s="198" t="str">
        <f t="shared" si="38"/>
        <v/>
      </c>
      <c r="BK39" s="198" t="str">
        <f t="shared" si="38"/>
        <v/>
      </c>
      <c r="BL39" s="198" t="str">
        <f t="shared" si="38"/>
        <v/>
      </c>
      <c r="BM39" s="198" t="str">
        <f t="shared" si="38"/>
        <v/>
      </c>
      <c r="BN39" s="198" t="str">
        <f t="shared" si="38"/>
        <v/>
      </c>
      <c r="BO39" s="198" t="str">
        <f t="shared" si="38"/>
        <v/>
      </c>
      <c r="BP39" s="198" t="str">
        <f t="shared" si="38"/>
        <v/>
      </c>
      <c r="BQ39" s="198" t="str">
        <f t="shared" si="38"/>
        <v/>
      </c>
      <c r="BR39" s="198" t="str">
        <f t="shared" si="38"/>
        <v/>
      </c>
      <c r="BS39" s="198" t="str">
        <f t="shared" si="38"/>
        <v>2.1.1.232</v>
      </c>
      <c r="BT39" s="198" t="str">
        <f t="shared" si="38"/>
        <v>2.1.1.232</v>
      </c>
      <c r="BU39" s="198" t="str">
        <f t="shared" si="38"/>
        <v/>
      </c>
      <c r="BV39" s="198" t="str">
        <f t="shared" si="38"/>
        <v/>
      </c>
      <c r="BW39" s="198" t="str">
        <f t="shared" si="38"/>
        <v/>
      </c>
      <c r="BX39" s="198" t="str">
        <f t="shared" si="38"/>
        <v/>
      </c>
      <c r="BY39" s="198" t="str">
        <f t="shared" si="38"/>
        <v/>
      </c>
      <c r="BZ39" s="198" t="str">
        <f t="shared" si="38"/>
        <v/>
      </c>
      <c r="CA39" s="198" t="str">
        <f t="shared" si="38"/>
        <v/>
      </c>
      <c r="CB39" s="198" t="str">
        <f t="shared" si="38"/>
        <v/>
      </c>
      <c r="CC39" s="198" t="str">
        <f t="shared" si="38"/>
        <v/>
      </c>
      <c r="CD39" s="198" t="str">
        <f t="shared" si="38"/>
        <v/>
      </c>
      <c r="CE39" s="198" t="str">
        <f t="shared" si="38"/>
        <v/>
      </c>
      <c r="CF39" s="198" t="str">
        <f t="shared" si="38"/>
        <v/>
      </c>
      <c r="CG39" s="198" t="str">
        <f t="shared" si="38"/>
        <v/>
      </c>
      <c r="CH39" s="198" t="str">
        <f t="shared" si="38"/>
        <v/>
      </c>
      <c r="CI39" s="198" t="str">
        <f t="shared" si="38"/>
        <v/>
      </c>
      <c r="CJ39" s="198" t="str">
        <f t="shared" si="38"/>
        <v/>
      </c>
      <c r="CK39" s="198" t="str">
        <f t="shared" si="38"/>
        <v/>
      </c>
      <c r="CL39" s="198" t="str">
        <f t="shared" si="38"/>
        <v/>
      </c>
      <c r="CM39" s="198" t="str">
        <f t="shared" si="38"/>
        <v/>
      </c>
      <c r="CN39" s="198" t="str">
        <f t="shared" si="38"/>
        <v/>
      </c>
      <c r="CO39" s="198" t="str">
        <f t="shared" si="38"/>
        <v/>
      </c>
      <c r="CP39" s="198" t="str">
        <f t="shared" si="38"/>
        <v>2.1.1.232</v>
      </c>
      <c r="CQ39" s="198" t="str">
        <f t="shared" si="38"/>
        <v/>
      </c>
      <c r="CR39" s="198" t="str">
        <f t="shared" si="38"/>
        <v/>
      </c>
      <c r="CS39" s="198" t="str">
        <f t="shared" si="38"/>
        <v/>
      </c>
      <c r="CT39" s="198" t="str">
        <f t="shared" si="38"/>
        <v/>
      </c>
      <c r="CU39" s="198" t="str">
        <f t="shared" si="38"/>
        <v/>
      </c>
      <c r="CV39" s="198" t="str">
        <f t="shared" si="38"/>
        <v/>
      </c>
      <c r="CW39" s="198" t="str">
        <f t="shared" si="38"/>
        <v/>
      </c>
      <c r="CX39" s="198" t="str">
        <f t="shared" si="38"/>
        <v>2.1.1.232</v>
      </c>
      <c r="CY39" s="198" t="str">
        <f t="shared" si="38"/>
        <v/>
      </c>
      <c r="CZ39" s="198" t="str">
        <f t="shared" si="38"/>
        <v/>
      </c>
      <c r="DA39" s="198" t="str">
        <f t="shared" si="38"/>
        <v/>
      </c>
      <c r="DB39" s="198" t="str">
        <f t="shared" si="38"/>
        <v/>
      </c>
      <c r="DC39" s="198" t="str">
        <f t="shared" si="38"/>
        <v/>
      </c>
      <c r="DE39" s="198"/>
      <c r="DF39" s="198"/>
      <c r="DG39" s="198"/>
      <c r="DH39" s="198" t="s">
        <v>1476</v>
      </c>
      <c r="DI39" s="198" t="s">
        <v>1478</v>
      </c>
      <c r="DJ39" s="198"/>
      <c r="DK39" s="198"/>
      <c r="DL39" s="198"/>
      <c r="DM39" s="198"/>
      <c r="DN39" s="198"/>
      <c r="DO39" s="198"/>
      <c r="DP39" s="198"/>
      <c r="DQ39" s="198"/>
      <c r="DR39" s="198" t="s">
        <v>1475</v>
      </c>
      <c r="DS39" s="198"/>
      <c r="DT39" s="198"/>
      <c r="DU39" s="198"/>
      <c r="DV39" s="198"/>
      <c r="DW39" s="198"/>
      <c r="DX39" s="198"/>
      <c r="DY39" s="198"/>
      <c r="DZ39" s="198"/>
      <c r="EA39" s="198" t="s">
        <v>1475</v>
      </c>
      <c r="EB39" s="198" t="s">
        <v>1481</v>
      </c>
      <c r="EC39" s="198" t="s">
        <v>1481</v>
      </c>
      <c r="ED39" s="198"/>
      <c r="EE39" s="198"/>
      <c r="EF39" s="198"/>
      <c r="EG39" s="198"/>
      <c r="EH39" s="198"/>
      <c r="EI39" s="198"/>
      <c r="EJ39" s="198"/>
      <c r="EK39" s="198"/>
      <c r="EL39" s="198"/>
      <c r="EM39" s="198"/>
      <c r="EN39" s="198" t="s">
        <v>1475</v>
      </c>
      <c r="EO39" s="198"/>
      <c r="EP39" s="198"/>
      <c r="EQ39" s="198"/>
      <c r="ER39" s="198"/>
      <c r="ES39" s="198"/>
      <c r="ET39" s="198" t="s">
        <v>1499</v>
      </c>
      <c r="EU39" s="198" t="s">
        <v>1475</v>
      </c>
      <c r="EV39" s="198" t="s">
        <v>1505</v>
      </c>
      <c r="EW39" s="198"/>
      <c r="EX39" s="198"/>
      <c r="EY39" s="198"/>
      <c r="EZ39" s="198"/>
      <c r="FA39" s="198"/>
      <c r="FB39" s="198"/>
      <c r="FC39" s="198"/>
      <c r="FD39" s="198" t="s">
        <v>1490</v>
      </c>
      <c r="FE39" s="198" t="s">
        <v>1500</v>
      </c>
      <c r="FF39" s="198"/>
      <c r="FG39" s="198" t="s">
        <v>1475</v>
      </c>
      <c r="FH39" s="198"/>
      <c r="FI39" s="198"/>
      <c r="FJ39" s="198"/>
      <c r="FK39" s="198"/>
      <c r="FL39" s="198"/>
      <c r="FM39" s="198"/>
      <c r="FN39" s="198"/>
      <c r="FO39" s="198"/>
      <c r="FP39" s="198"/>
      <c r="FQ39" s="198"/>
      <c r="FR39" s="198"/>
      <c r="FS39" s="198"/>
      <c r="FT39" s="198" t="s">
        <v>1473</v>
      </c>
      <c r="FU39" s="198"/>
      <c r="FV39" s="198"/>
      <c r="FW39" s="198"/>
      <c r="FX39" s="198"/>
      <c r="FY39" s="198"/>
      <c r="FZ39" s="198" t="s">
        <v>1501</v>
      </c>
      <c r="GA39" s="198"/>
      <c r="GB39" s="198"/>
      <c r="GC39" s="198" t="s">
        <v>1475</v>
      </c>
      <c r="GD39" s="198"/>
      <c r="GE39" s="198"/>
      <c r="GF39" s="198"/>
      <c r="GG39" s="198"/>
      <c r="GH39" s="198"/>
      <c r="GI39" s="198" t="s">
        <v>1472</v>
      </c>
      <c r="GJ39" s="198"/>
      <c r="GK39" s="198"/>
      <c r="GL39" s="198"/>
      <c r="GM39" s="198"/>
      <c r="GN39" s="198"/>
      <c r="GO39" s="198"/>
      <c r="GP39" s="198"/>
      <c r="GQ39" s="198"/>
      <c r="GR39" s="198"/>
      <c r="GS39" s="198"/>
      <c r="GT39" s="198"/>
      <c r="GU39" s="198" t="s">
        <v>1475</v>
      </c>
      <c r="GV39" s="198" t="s">
        <v>1524</v>
      </c>
      <c r="GW39" s="198"/>
      <c r="GX39" s="198"/>
      <c r="GY39" s="198"/>
      <c r="GZ39" s="198"/>
      <c r="HA39" s="198" t="s">
        <v>1504</v>
      </c>
      <c r="HB39" s="198" t="s">
        <v>1516</v>
      </c>
      <c r="HC39" s="198"/>
      <c r="HD39" s="198" t="s">
        <v>1501</v>
      </c>
    </row>
    <row r="40" ht="15.75" customHeight="1">
      <c r="A40" s="234">
        <v>40.0</v>
      </c>
      <c r="B40" s="236" t="s">
        <v>1523</v>
      </c>
      <c r="C40" s="198" t="str">
        <f t="shared" ref="C40:DC40" si="39">if(countif(DD:DD,$B40),INDIRECT(concat("B",$A40)),"")</f>
        <v/>
      </c>
      <c r="D40" s="198" t="str">
        <f t="shared" si="39"/>
        <v/>
      </c>
      <c r="E40" s="198" t="str">
        <f t="shared" si="39"/>
        <v/>
      </c>
      <c r="F40" s="198" t="str">
        <f t="shared" si="39"/>
        <v/>
      </c>
      <c r="G40" s="198" t="str">
        <f t="shared" si="39"/>
        <v/>
      </c>
      <c r="H40" s="198" t="str">
        <f t="shared" si="39"/>
        <v/>
      </c>
      <c r="I40" s="198" t="str">
        <f t="shared" si="39"/>
        <v/>
      </c>
      <c r="J40" s="198" t="str">
        <f t="shared" si="39"/>
        <v/>
      </c>
      <c r="K40" s="198" t="str">
        <f t="shared" si="39"/>
        <v/>
      </c>
      <c r="L40" s="198" t="str">
        <f t="shared" si="39"/>
        <v/>
      </c>
      <c r="M40" s="198" t="str">
        <f t="shared" si="39"/>
        <v/>
      </c>
      <c r="N40" s="198" t="str">
        <f t="shared" si="39"/>
        <v/>
      </c>
      <c r="O40" s="198" t="str">
        <f t="shared" si="39"/>
        <v/>
      </c>
      <c r="P40" s="198" t="str">
        <f t="shared" si="39"/>
        <v/>
      </c>
      <c r="Q40" s="198" t="str">
        <f t="shared" si="39"/>
        <v/>
      </c>
      <c r="R40" s="198" t="str">
        <f t="shared" si="39"/>
        <v/>
      </c>
      <c r="S40" s="198" t="str">
        <f t="shared" si="39"/>
        <v/>
      </c>
      <c r="T40" s="198" t="str">
        <f t="shared" si="39"/>
        <v/>
      </c>
      <c r="U40" s="198" t="str">
        <f t="shared" si="39"/>
        <v/>
      </c>
      <c r="V40" s="198" t="str">
        <f t="shared" si="39"/>
        <v/>
      </c>
      <c r="W40" s="198" t="str">
        <f t="shared" si="39"/>
        <v/>
      </c>
      <c r="X40" s="198" t="str">
        <f t="shared" si="39"/>
        <v/>
      </c>
      <c r="Y40" s="198" t="str">
        <f t="shared" si="39"/>
        <v/>
      </c>
      <c r="Z40" s="198" t="str">
        <f t="shared" si="39"/>
        <v/>
      </c>
      <c r="AA40" s="198" t="str">
        <f t="shared" si="39"/>
        <v/>
      </c>
      <c r="AB40" s="198" t="str">
        <f t="shared" si="39"/>
        <v/>
      </c>
      <c r="AC40" s="198" t="str">
        <f t="shared" si="39"/>
        <v/>
      </c>
      <c r="AD40" s="198" t="str">
        <f t="shared" si="39"/>
        <v/>
      </c>
      <c r="AE40" s="198" t="str">
        <f t="shared" si="39"/>
        <v/>
      </c>
      <c r="AF40" s="198" t="str">
        <f t="shared" si="39"/>
        <v/>
      </c>
      <c r="AG40" s="198" t="str">
        <f t="shared" si="39"/>
        <v/>
      </c>
      <c r="AH40" s="198" t="str">
        <f t="shared" si="39"/>
        <v/>
      </c>
      <c r="AI40" s="198" t="str">
        <f t="shared" si="39"/>
        <v/>
      </c>
      <c r="AJ40" s="198" t="str">
        <f t="shared" si="39"/>
        <v/>
      </c>
      <c r="AK40" s="198" t="str">
        <f t="shared" si="39"/>
        <v/>
      </c>
      <c r="AL40" s="198" t="str">
        <f t="shared" si="39"/>
        <v/>
      </c>
      <c r="AM40" s="198" t="str">
        <f t="shared" si="39"/>
        <v/>
      </c>
      <c r="AN40" s="198" t="str">
        <f t="shared" si="39"/>
        <v/>
      </c>
      <c r="AO40" s="198" t="str">
        <f t="shared" si="39"/>
        <v/>
      </c>
      <c r="AP40" s="198" t="str">
        <f t="shared" si="39"/>
        <v/>
      </c>
      <c r="AQ40" s="198" t="str">
        <f t="shared" si="39"/>
        <v/>
      </c>
      <c r="AR40" s="198" t="str">
        <f t="shared" si="39"/>
        <v/>
      </c>
      <c r="AS40" s="198" t="str">
        <f t="shared" si="39"/>
        <v/>
      </c>
      <c r="AT40" s="198" t="str">
        <f t="shared" si="39"/>
        <v/>
      </c>
      <c r="AU40" s="198" t="str">
        <f t="shared" si="39"/>
        <v/>
      </c>
      <c r="AV40" s="198" t="str">
        <f t="shared" si="39"/>
        <v/>
      </c>
      <c r="AW40" s="198" t="str">
        <f t="shared" si="39"/>
        <v/>
      </c>
      <c r="AX40" s="198" t="str">
        <f t="shared" si="39"/>
        <v/>
      </c>
      <c r="AY40" s="198" t="str">
        <f t="shared" si="39"/>
        <v/>
      </c>
      <c r="AZ40" s="198" t="str">
        <f t="shared" si="39"/>
        <v/>
      </c>
      <c r="BA40" s="198" t="str">
        <f t="shared" si="39"/>
        <v/>
      </c>
      <c r="BB40" s="198" t="str">
        <f t="shared" si="39"/>
        <v/>
      </c>
      <c r="BC40" s="198" t="str">
        <f t="shared" si="39"/>
        <v/>
      </c>
      <c r="BD40" s="198" t="str">
        <f t="shared" si="39"/>
        <v/>
      </c>
      <c r="BE40" s="198" t="str">
        <f t="shared" si="39"/>
        <v/>
      </c>
      <c r="BF40" s="198" t="str">
        <f t="shared" si="39"/>
        <v/>
      </c>
      <c r="BG40" s="198" t="str">
        <f t="shared" si="39"/>
        <v/>
      </c>
      <c r="BH40" s="198" t="str">
        <f t="shared" si="39"/>
        <v/>
      </c>
      <c r="BI40" s="198" t="str">
        <f t="shared" si="39"/>
        <v/>
      </c>
      <c r="BJ40" s="198" t="str">
        <f t="shared" si="39"/>
        <v/>
      </c>
      <c r="BK40" s="198" t="str">
        <f t="shared" si="39"/>
        <v/>
      </c>
      <c r="BL40" s="198" t="str">
        <f t="shared" si="39"/>
        <v/>
      </c>
      <c r="BM40" s="198" t="str">
        <f t="shared" si="39"/>
        <v/>
      </c>
      <c r="BN40" s="198" t="str">
        <f t="shared" si="39"/>
        <v/>
      </c>
      <c r="BO40" s="198" t="str">
        <f t="shared" si="39"/>
        <v/>
      </c>
      <c r="BP40" s="198" t="str">
        <f t="shared" si="39"/>
        <v/>
      </c>
      <c r="BQ40" s="198" t="str">
        <f t="shared" si="39"/>
        <v/>
      </c>
      <c r="BR40" s="198" t="str">
        <f t="shared" si="39"/>
        <v/>
      </c>
      <c r="BS40" s="198" t="str">
        <f t="shared" si="39"/>
        <v/>
      </c>
      <c r="BT40" s="198" t="str">
        <f t="shared" si="39"/>
        <v/>
      </c>
      <c r="BU40" s="198" t="str">
        <f t="shared" si="39"/>
        <v/>
      </c>
      <c r="BV40" s="198" t="str">
        <f t="shared" si="39"/>
        <v/>
      </c>
      <c r="BW40" s="198" t="str">
        <f t="shared" si="39"/>
        <v/>
      </c>
      <c r="BX40" s="198" t="str">
        <f t="shared" si="39"/>
        <v/>
      </c>
      <c r="BY40" s="198" t="str">
        <f t="shared" si="39"/>
        <v/>
      </c>
      <c r="BZ40" s="198" t="str">
        <f t="shared" si="39"/>
        <v/>
      </c>
      <c r="CA40" s="198" t="str">
        <f t="shared" si="39"/>
        <v/>
      </c>
      <c r="CB40" s="198" t="str">
        <f t="shared" si="39"/>
        <v/>
      </c>
      <c r="CC40" s="198" t="str">
        <f t="shared" si="39"/>
        <v/>
      </c>
      <c r="CD40" s="198" t="str">
        <f t="shared" si="39"/>
        <v/>
      </c>
      <c r="CE40" s="198" t="str">
        <f t="shared" si="39"/>
        <v/>
      </c>
      <c r="CF40" s="198" t="str">
        <f t="shared" si="39"/>
        <v/>
      </c>
      <c r="CG40" s="198" t="str">
        <f t="shared" si="39"/>
        <v/>
      </c>
      <c r="CH40" s="198" t="str">
        <f t="shared" si="39"/>
        <v/>
      </c>
      <c r="CI40" s="198" t="str">
        <f t="shared" si="39"/>
        <v/>
      </c>
      <c r="CJ40" s="198" t="str">
        <f t="shared" si="39"/>
        <v/>
      </c>
      <c r="CK40" s="198" t="str">
        <f t="shared" si="39"/>
        <v/>
      </c>
      <c r="CL40" s="198" t="str">
        <f t="shared" si="39"/>
        <v/>
      </c>
      <c r="CM40" s="198" t="str">
        <f t="shared" si="39"/>
        <v/>
      </c>
      <c r="CN40" s="198" t="str">
        <f t="shared" si="39"/>
        <v/>
      </c>
      <c r="CO40" s="198" t="str">
        <f t="shared" si="39"/>
        <v/>
      </c>
      <c r="CP40" s="198" t="str">
        <f t="shared" si="39"/>
        <v/>
      </c>
      <c r="CQ40" s="198" t="str">
        <f t="shared" si="39"/>
        <v/>
      </c>
      <c r="CR40" s="198" t="str">
        <f t="shared" si="39"/>
        <v/>
      </c>
      <c r="CS40" s="198" t="str">
        <f t="shared" si="39"/>
        <v/>
      </c>
      <c r="CT40" s="198" t="str">
        <f t="shared" si="39"/>
        <v/>
      </c>
      <c r="CU40" s="198" t="str">
        <f t="shared" si="39"/>
        <v/>
      </c>
      <c r="CV40" s="198" t="str">
        <f t="shared" si="39"/>
        <v>2.1.1.267</v>
      </c>
      <c r="CW40" s="198" t="str">
        <f t="shared" si="39"/>
        <v/>
      </c>
      <c r="CX40" s="198" t="str">
        <f t="shared" si="39"/>
        <v/>
      </c>
      <c r="CY40" s="198" t="str">
        <f t="shared" si="39"/>
        <v/>
      </c>
      <c r="CZ40" s="198" t="str">
        <f t="shared" si="39"/>
        <v/>
      </c>
      <c r="DA40" s="198" t="str">
        <f t="shared" si="39"/>
        <v/>
      </c>
      <c r="DB40" s="198" t="str">
        <f t="shared" si="39"/>
        <v/>
      </c>
      <c r="DC40" s="198" t="str">
        <f t="shared" si="39"/>
        <v/>
      </c>
      <c r="DE40" s="198"/>
      <c r="DF40" s="198"/>
      <c r="DG40" s="198"/>
      <c r="DH40" s="198" t="s">
        <v>1477</v>
      </c>
      <c r="DI40" s="198" t="s">
        <v>1479</v>
      </c>
      <c r="DJ40" s="198"/>
      <c r="DK40" s="198"/>
      <c r="DL40" s="198"/>
      <c r="DM40" s="198"/>
      <c r="DN40" s="198"/>
      <c r="DO40" s="198"/>
      <c r="DP40" s="198"/>
      <c r="DQ40" s="198"/>
      <c r="DR40" s="198" t="s">
        <v>1505</v>
      </c>
      <c r="DS40" s="198"/>
      <c r="DT40" s="198"/>
      <c r="DU40" s="198"/>
      <c r="DV40" s="198"/>
      <c r="DW40" s="198"/>
      <c r="DX40" s="198"/>
      <c r="DY40" s="198"/>
      <c r="DZ40" s="198"/>
      <c r="EA40" s="198" t="s">
        <v>1505</v>
      </c>
      <c r="EB40" s="198" t="s">
        <v>1482</v>
      </c>
      <c r="EC40" s="198" t="s">
        <v>1482</v>
      </c>
      <c r="ED40" s="198"/>
      <c r="EE40" s="198"/>
      <c r="EF40" s="198"/>
      <c r="EG40" s="198"/>
      <c r="EH40" s="198"/>
      <c r="EI40" s="198"/>
      <c r="EJ40" s="198"/>
      <c r="EK40" s="198"/>
      <c r="EL40" s="198"/>
      <c r="EM40" s="198"/>
      <c r="EN40" s="198"/>
      <c r="EO40" s="198"/>
      <c r="EP40" s="198"/>
      <c r="EQ40" s="198"/>
      <c r="ER40" s="198"/>
      <c r="ES40" s="198"/>
      <c r="ET40" s="198" t="s">
        <v>1501</v>
      </c>
      <c r="EU40" s="198"/>
      <c r="EV40" s="198" t="s">
        <v>1475</v>
      </c>
      <c r="EW40" s="198"/>
      <c r="EX40" s="198"/>
      <c r="EY40" s="198"/>
      <c r="EZ40" s="198"/>
      <c r="FA40" s="198"/>
      <c r="FB40" s="198"/>
      <c r="FC40" s="198"/>
      <c r="FD40" s="198" t="s">
        <v>1515</v>
      </c>
      <c r="FE40" s="198" t="s">
        <v>1502</v>
      </c>
      <c r="FF40" s="198"/>
      <c r="FG40" s="198"/>
      <c r="FH40" s="198"/>
      <c r="FI40" s="198"/>
      <c r="FJ40" s="198"/>
      <c r="FK40" s="198"/>
      <c r="FL40" s="198"/>
      <c r="FM40" s="198"/>
      <c r="FN40" s="198"/>
      <c r="FO40" s="198"/>
      <c r="FP40" s="198"/>
      <c r="FQ40" s="198"/>
      <c r="FR40" s="198"/>
      <c r="FS40" s="198"/>
      <c r="FT40" s="198" t="s">
        <v>1495</v>
      </c>
      <c r="FU40" s="198"/>
      <c r="FV40" s="198"/>
      <c r="FW40" s="198"/>
      <c r="FX40" s="198"/>
      <c r="FY40" s="198"/>
      <c r="FZ40" s="198" t="s">
        <v>1500</v>
      </c>
      <c r="GA40" s="198"/>
      <c r="GB40" s="198"/>
      <c r="GC40" s="198"/>
      <c r="GD40" s="198"/>
      <c r="GE40" s="198"/>
      <c r="GF40" s="198"/>
      <c r="GG40" s="198"/>
      <c r="GH40" s="198"/>
      <c r="GI40" s="198" t="s">
        <v>1505</v>
      </c>
      <c r="GJ40" s="198"/>
      <c r="GK40" s="198"/>
      <c r="GL40" s="198"/>
      <c r="GM40" s="198"/>
      <c r="GN40" s="198"/>
      <c r="GO40" s="198"/>
      <c r="GP40" s="198"/>
      <c r="GQ40" s="198"/>
      <c r="GR40" s="198"/>
      <c r="GS40" s="198"/>
      <c r="GT40" s="198"/>
      <c r="GU40" s="198" t="s">
        <v>1524</v>
      </c>
      <c r="GV40" s="198" t="s">
        <v>1505</v>
      </c>
      <c r="GW40" s="198"/>
      <c r="GX40" s="198"/>
      <c r="GY40" s="198"/>
      <c r="GZ40" s="198"/>
      <c r="HA40" s="198" t="s">
        <v>1499</v>
      </c>
      <c r="HB40" s="198" t="s">
        <v>1490</v>
      </c>
      <c r="HC40" s="198"/>
      <c r="HD40" s="198" t="s">
        <v>1500</v>
      </c>
    </row>
    <row r="41" ht="15.75" customHeight="1">
      <c r="A41" s="234">
        <v>41.0</v>
      </c>
      <c r="B41" s="198" t="s">
        <v>1504</v>
      </c>
      <c r="C41" s="198" t="str">
        <f t="shared" ref="C41:DC41" si="40">if(countif(DD:DD,$B41),INDIRECT(concat("B",$A41)),"")</f>
        <v/>
      </c>
      <c r="D41" s="198" t="str">
        <f t="shared" si="40"/>
        <v/>
      </c>
      <c r="E41" s="198" t="str">
        <f t="shared" si="40"/>
        <v/>
      </c>
      <c r="F41" s="198" t="str">
        <f t="shared" si="40"/>
        <v/>
      </c>
      <c r="G41" s="198" t="str">
        <f t="shared" si="40"/>
        <v>2.1.1.46</v>
      </c>
      <c r="H41" s="198" t="str">
        <f t="shared" si="40"/>
        <v>2.1.1.46</v>
      </c>
      <c r="I41" s="198" t="str">
        <f t="shared" si="40"/>
        <v/>
      </c>
      <c r="J41" s="198" t="str">
        <f t="shared" si="40"/>
        <v/>
      </c>
      <c r="K41" s="198" t="str">
        <f t="shared" si="40"/>
        <v/>
      </c>
      <c r="L41" s="198" t="str">
        <f t="shared" si="40"/>
        <v/>
      </c>
      <c r="M41" s="198" t="str">
        <f t="shared" si="40"/>
        <v/>
      </c>
      <c r="N41" s="198" t="str">
        <f t="shared" si="40"/>
        <v/>
      </c>
      <c r="O41" s="198" t="str">
        <f t="shared" si="40"/>
        <v/>
      </c>
      <c r="P41" s="198" t="str">
        <f t="shared" si="40"/>
        <v/>
      </c>
      <c r="Q41" s="198" t="str">
        <f t="shared" si="40"/>
        <v>2.1.1.46</v>
      </c>
      <c r="R41" s="198" t="str">
        <f t="shared" si="40"/>
        <v/>
      </c>
      <c r="S41" s="198" t="str">
        <f t="shared" si="40"/>
        <v/>
      </c>
      <c r="T41" s="198" t="str">
        <f t="shared" si="40"/>
        <v/>
      </c>
      <c r="U41" s="198" t="str">
        <f t="shared" si="40"/>
        <v/>
      </c>
      <c r="V41" s="198" t="str">
        <f t="shared" si="40"/>
        <v/>
      </c>
      <c r="W41" s="198" t="str">
        <f t="shared" si="40"/>
        <v/>
      </c>
      <c r="X41" s="198" t="str">
        <f t="shared" si="40"/>
        <v/>
      </c>
      <c r="Y41" s="198" t="str">
        <f t="shared" si="40"/>
        <v/>
      </c>
      <c r="Z41" s="198" t="str">
        <f t="shared" si="40"/>
        <v>2.1.1.46</v>
      </c>
      <c r="AA41" s="198" t="str">
        <f t="shared" si="40"/>
        <v/>
      </c>
      <c r="AB41" s="198" t="str">
        <f t="shared" si="40"/>
        <v/>
      </c>
      <c r="AC41" s="198" t="str">
        <f t="shared" si="40"/>
        <v/>
      </c>
      <c r="AD41" s="198" t="str">
        <f t="shared" si="40"/>
        <v/>
      </c>
      <c r="AE41" s="198" t="str">
        <f t="shared" si="40"/>
        <v/>
      </c>
      <c r="AF41" s="198" t="str">
        <f t="shared" si="40"/>
        <v/>
      </c>
      <c r="AG41" s="198" t="str">
        <f t="shared" si="40"/>
        <v/>
      </c>
      <c r="AH41" s="198" t="str">
        <f t="shared" si="40"/>
        <v/>
      </c>
      <c r="AI41" s="198" t="str">
        <f t="shared" si="40"/>
        <v/>
      </c>
      <c r="AJ41" s="198" t="str">
        <f t="shared" si="40"/>
        <v/>
      </c>
      <c r="AK41" s="198" t="str">
        <f t="shared" si="40"/>
        <v/>
      </c>
      <c r="AL41" s="198" t="str">
        <f t="shared" si="40"/>
        <v/>
      </c>
      <c r="AM41" s="198" t="str">
        <f t="shared" si="40"/>
        <v/>
      </c>
      <c r="AN41" s="198" t="str">
        <f t="shared" si="40"/>
        <v/>
      </c>
      <c r="AO41" s="198" t="str">
        <f t="shared" si="40"/>
        <v/>
      </c>
      <c r="AP41" s="198" t="str">
        <f t="shared" si="40"/>
        <v/>
      </c>
      <c r="AQ41" s="198" t="str">
        <f t="shared" si="40"/>
        <v/>
      </c>
      <c r="AR41" s="198" t="str">
        <f t="shared" si="40"/>
        <v/>
      </c>
      <c r="AS41" s="198" t="str">
        <f t="shared" si="40"/>
        <v>2.1.1.46</v>
      </c>
      <c r="AT41" s="198" t="str">
        <f t="shared" si="40"/>
        <v/>
      </c>
      <c r="AU41" s="198" t="str">
        <f t="shared" si="40"/>
        <v/>
      </c>
      <c r="AV41" s="198" t="str">
        <f t="shared" si="40"/>
        <v/>
      </c>
      <c r="AW41" s="198" t="str">
        <f t="shared" si="40"/>
        <v/>
      </c>
      <c r="AX41" s="198" t="str">
        <f t="shared" si="40"/>
        <v/>
      </c>
      <c r="AY41" s="198" t="str">
        <f t="shared" si="40"/>
        <v/>
      </c>
      <c r="AZ41" s="198" t="str">
        <f t="shared" si="40"/>
        <v/>
      </c>
      <c r="BA41" s="198" t="str">
        <f t="shared" si="40"/>
        <v/>
      </c>
      <c r="BB41" s="198" t="str">
        <f t="shared" si="40"/>
        <v/>
      </c>
      <c r="BC41" s="198" t="str">
        <f t="shared" si="40"/>
        <v>2.1.1.46</v>
      </c>
      <c r="BD41" s="198" t="str">
        <f t="shared" si="40"/>
        <v>2.1.1.46</v>
      </c>
      <c r="BE41" s="198" t="str">
        <f t="shared" si="40"/>
        <v/>
      </c>
      <c r="BF41" s="198" t="str">
        <f t="shared" si="40"/>
        <v/>
      </c>
      <c r="BG41" s="198" t="str">
        <f t="shared" si="40"/>
        <v/>
      </c>
      <c r="BH41" s="198" t="str">
        <f t="shared" si="40"/>
        <v/>
      </c>
      <c r="BI41" s="198" t="str">
        <f t="shared" si="40"/>
        <v/>
      </c>
      <c r="BJ41" s="198" t="str">
        <f t="shared" si="40"/>
        <v/>
      </c>
      <c r="BK41" s="198" t="str">
        <f t="shared" si="40"/>
        <v/>
      </c>
      <c r="BL41" s="198" t="str">
        <f t="shared" si="40"/>
        <v/>
      </c>
      <c r="BM41" s="198" t="str">
        <f t="shared" si="40"/>
        <v/>
      </c>
      <c r="BN41" s="198" t="str">
        <f t="shared" si="40"/>
        <v/>
      </c>
      <c r="BO41" s="198" t="str">
        <f t="shared" si="40"/>
        <v/>
      </c>
      <c r="BP41" s="198" t="str">
        <f t="shared" si="40"/>
        <v/>
      </c>
      <c r="BQ41" s="198" t="str">
        <f t="shared" si="40"/>
        <v/>
      </c>
      <c r="BR41" s="198" t="str">
        <f t="shared" si="40"/>
        <v/>
      </c>
      <c r="BS41" s="198" t="str">
        <f t="shared" si="40"/>
        <v/>
      </c>
      <c r="BT41" s="198" t="str">
        <f t="shared" si="40"/>
        <v/>
      </c>
      <c r="BU41" s="198" t="str">
        <f t="shared" si="40"/>
        <v/>
      </c>
      <c r="BV41" s="198" t="str">
        <f t="shared" si="40"/>
        <v/>
      </c>
      <c r="BW41" s="198" t="str">
        <f t="shared" si="40"/>
        <v/>
      </c>
      <c r="BX41" s="198" t="str">
        <f t="shared" si="40"/>
        <v/>
      </c>
      <c r="BY41" s="198" t="str">
        <f t="shared" si="40"/>
        <v>2.1.1.46</v>
      </c>
      <c r="BZ41" s="198" t="str">
        <f t="shared" si="40"/>
        <v/>
      </c>
      <c r="CA41" s="198" t="str">
        <f t="shared" si="40"/>
        <v/>
      </c>
      <c r="CB41" s="198" t="str">
        <f t="shared" si="40"/>
        <v/>
      </c>
      <c r="CC41" s="198" t="str">
        <f t="shared" si="40"/>
        <v/>
      </c>
      <c r="CD41" s="198" t="str">
        <f t="shared" si="40"/>
        <v/>
      </c>
      <c r="CE41" s="198" t="str">
        <f t="shared" si="40"/>
        <v/>
      </c>
      <c r="CF41" s="198" t="str">
        <f t="shared" si="40"/>
        <v/>
      </c>
      <c r="CG41" s="198" t="str">
        <f t="shared" si="40"/>
        <v/>
      </c>
      <c r="CH41" s="198" t="str">
        <f t="shared" si="40"/>
        <v/>
      </c>
      <c r="CI41" s="198" t="str">
        <f t="shared" si="40"/>
        <v/>
      </c>
      <c r="CJ41" s="198" t="str">
        <f t="shared" si="40"/>
        <v/>
      </c>
      <c r="CK41" s="198" t="str">
        <f t="shared" si="40"/>
        <v/>
      </c>
      <c r="CL41" s="198" t="str">
        <f t="shared" si="40"/>
        <v/>
      </c>
      <c r="CM41" s="198" t="str">
        <f t="shared" si="40"/>
        <v/>
      </c>
      <c r="CN41" s="198" t="str">
        <f t="shared" si="40"/>
        <v/>
      </c>
      <c r="CO41" s="198" t="str">
        <f t="shared" si="40"/>
        <v/>
      </c>
      <c r="CP41" s="198" t="str">
        <f t="shared" si="40"/>
        <v/>
      </c>
      <c r="CQ41" s="198" t="str">
        <f t="shared" si="40"/>
        <v/>
      </c>
      <c r="CR41" s="198" t="str">
        <f t="shared" si="40"/>
        <v/>
      </c>
      <c r="CS41" s="198" t="str">
        <f t="shared" si="40"/>
        <v/>
      </c>
      <c r="CT41" s="198" t="str">
        <f t="shared" si="40"/>
        <v>2.1.1.46</v>
      </c>
      <c r="CU41" s="198" t="str">
        <f t="shared" si="40"/>
        <v>2.1.1.46</v>
      </c>
      <c r="CV41" s="198" t="str">
        <f t="shared" si="40"/>
        <v/>
      </c>
      <c r="CW41" s="198" t="str">
        <f t="shared" si="40"/>
        <v/>
      </c>
      <c r="CX41" s="198" t="str">
        <f t="shared" si="40"/>
        <v/>
      </c>
      <c r="CY41" s="198" t="str">
        <f t="shared" si="40"/>
        <v/>
      </c>
      <c r="CZ41" s="198" t="str">
        <f t="shared" si="40"/>
        <v>2.1.1.46</v>
      </c>
      <c r="DA41" s="198" t="str">
        <f t="shared" si="40"/>
        <v>2.1.1.46</v>
      </c>
      <c r="DB41" s="198" t="str">
        <f t="shared" si="40"/>
        <v/>
      </c>
      <c r="DC41" s="198" t="str">
        <f t="shared" si="40"/>
        <v>2.1.1.46</v>
      </c>
      <c r="DE41" s="198"/>
      <c r="DF41" s="198"/>
      <c r="DG41" s="198"/>
      <c r="DH41" s="198" t="s">
        <v>1478</v>
      </c>
      <c r="DI41" s="198" t="s">
        <v>1481</v>
      </c>
      <c r="DJ41" s="198"/>
      <c r="DK41" s="198"/>
      <c r="DL41" s="198"/>
      <c r="DM41" s="198"/>
      <c r="DN41" s="198"/>
      <c r="DO41" s="198"/>
      <c r="DP41" s="198"/>
      <c r="DQ41" s="198"/>
      <c r="DR41" s="198" t="s">
        <v>1476</v>
      </c>
      <c r="DS41" s="198"/>
      <c r="DT41" s="198"/>
      <c r="DU41" s="198"/>
      <c r="DV41" s="198"/>
      <c r="DW41" s="198"/>
      <c r="DX41" s="198"/>
      <c r="DY41" s="198"/>
      <c r="DZ41" s="198"/>
      <c r="EA41" s="198" t="s">
        <v>1476</v>
      </c>
      <c r="EB41" s="198"/>
      <c r="EC41" s="198"/>
      <c r="ED41" s="198"/>
      <c r="EE41" s="198"/>
      <c r="EF41" s="198"/>
      <c r="EG41" s="198"/>
      <c r="EH41" s="198"/>
      <c r="EI41" s="198"/>
      <c r="EJ41" s="198"/>
      <c r="EK41" s="198"/>
      <c r="EL41" s="198"/>
      <c r="EM41" s="198"/>
      <c r="EN41" s="198"/>
      <c r="EO41" s="198"/>
      <c r="EP41" s="198"/>
      <c r="EQ41" s="198"/>
      <c r="ER41" s="198"/>
      <c r="ES41" s="198"/>
      <c r="ET41" s="198" t="s">
        <v>1500</v>
      </c>
      <c r="EU41" s="198"/>
      <c r="EV41" s="198"/>
      <c r="EW41" s="198"/>
      <c r="EX41" s="198"/>
      <c r="EY41" s="198"/>
      <c r="EZ41" s="198"/>
      <c r="FA41" s="198"/>
      <c r="FB41" s="198"/>
      <c r="FC41" s="198"/>
      <c r="FD41" s="198" t="s">
        <v>1472</v>
      </c>
      <c r="FE41" s="198" t="s">
        <v>1516</v>
      </c>
      <c r="FF41" s="198"/>
      <c r="FG41" s="198"/>
      <c r="FH41" s="198"/>
      <c r="FI41" s="198"/>
      <c r="FJ41" s="198"/>
      <c r="FK41" s="198"/>
      <c r="FL41" s="198"/>
      <c r="FM41" s="198"/>
      <c r="FN41" s="198"/>
      <c r="FO41" s="198"/>
      <c r="FP41" s="198"/>
      <c r="FQ41" s="198"/>
      <c r="FR41" s="198"/>
      <c r="FS41" s="198"/>
      <c r="FT41" s="198" t="s">
        <v>1472</v>
      </c>
      <c r="FU41" s="198"/>
      <c r="FV41" s="198"/>
      <c r="FW41" s="198"/>
      <c r="FX41" s="198"/>
      <c r="FY41" s="198"/>
      <c r="FZ41" s="198" t="s">
        <v>1502</v>
      </c>
      <c r="GA41" s="198"/>
      <c r="GB41" s="198"/>
      <c r="GC41" s="198"/>
      <c r="GD41" s="198"/>
      <c r="GE41" s="198"/>
      <c r="GF41" s="198"/>
      <c r="GG41" s="198"/>
      <c r="GH41" s="198"/>
      <c r="GI41" s="198"/>
      <c r="GJ41" s="198"/>
      <c r="GK41" s="198"/>
      <c r="GL41" s="198"/>
      <c r="GM41" s="198"/>
      <c r="GN41" s="198"/>
      <c r="GO41" s="198"/>
      <c r="GP41" s="198"/>
      <c r="GQ41" s="198"/>
      <c r="GR41" s="198"/>
      <c r="GS41" s="198"/>
      <c r="GT41" s="198"/>
      <c r="GU41" s="198" t="s">
        <v>1505</v>
      </c>
      <c r="GV41" s="198" t="s">
        <v>1476</v>
      </c>
      <c r="GW41" s="198"/>
      <c r="GX41" s="198"/>
      <c r="GY41" s="198"/>
      <c r="GZ41" s="198"/>
      <c r="HA41" s="198" t="s">
        <v>1501</v>
      </c>
      <c r="HB41" s="198" t="s">
        <v>1485</v>
      </c>
      <c r="HC41" s="198"/>
      <c r="HD41" s="198" t="s">
        <v>1502</v>
      </c>
    </row>
    <row r="42" ht="15.75" customHeight="1">
      <c r="A42" s="234">
        <v>42.0</v>
      </c>
      <c r="B42" s="236" t="s">
        <v>1483</v>
      </c>
      <c r="C42" s="198" t="str">
        <f t="shared" ref="C42:DC42" si="41">if(countif(DD:DD,$B42),INDIRECT(concat("B",$A42)),"")</f>
        <v/>
      </c>
      <c r="D42" s="198" t="str">
        <f t="shared" si="41"/>
        <v>2.1.1.68</v>
      </c>
      <c r="E42" s="198" t="str">
        <f t="shared" si="41"/>
        <v>2.1.1.68</v>
      </c>
      <c r="F42" s="198" t="str">
        <f t="shared" si="41"/>
        <v>2.1.1.68</v>
      </c>
      <c r="G42" s="198" t="str">
        <f t="shared" si="41"/>
        <v>2.1.1.68</v>
      </c>
      <c r="H42" s="198" t="str">
        <f t="shared" si="41"/>
        <v>2.1.1.68</v>
      </c>
      <c r="I42" s="198" t="str">
        <f t="shared" si="41"/>
        <v>2.1.1.68</v>
      </c>
      <c r="J42" s="198" t="str">
        <f t="shared" si="41"/>
        <v/>
      </c>
      <c r="K42" s="198" t="str">
        <f t="shared" si="41"/>
        <v/>
      </c>
      <c r="L42" s="198" t="str">
        <f t="shared" si="41"/>
        <v>2.1.1.68</v>
      </c>
      <c r="M42" s="198" t="str">
        <f t="shared" si="41"/>
        <v/>
      </c>
      <c r="N42" s="198" t="str">
        <f t="shared" si="41"/>
        <v>2.1.1.68</v>
      </c>
      <c r="O42" s="198" t="str">
        <f t="shared" si="41"/>
        <v>2.1.1.68</v>
      </c>
      <c r="P42" s="198" t="str">
        <f t="shared" si="41"/>
        <v>2.1.1.68</v>
      </c>
      <c r="Q42" s="198" t="str">
        <f t="shared" si="41"/>
        <v>2.1.1.68</v>
      </c>
      <c r="R42" s="198" t="str">
        <f t="shared" si="41"/>
        <v>2.1.1.68</v>
      </c>
      <c r="S42" s="198" t="str">
        <f t="shared" si="41"/>
        <v>2.1.1.68</v>
      </c>
      <c r="T42" s="198" t="str">
        <f t="shared" si="41"/>
        <v>2.1.1.68</v>
      </c>
      <c r="U42" s="198" t="str">
        <f t="shared" si="41"/>
        <v>2.1.1.68</v>
      </c>
      <c r="V42" s="198" t="str">
        <f t="shared" si="41"/>
        <v>2.1.1.68</v>
      </c>
      <c r="W42" s="198" t="str">
        <f t="shared" si="41"/>
        <v/>
      </c>
      <c r="X42" s="198" t="str">
        <f t="shared" si="41"/>
        <v/>
      </c>
      <c r="Y42" s="198" t="str">
        <f t="shared" si="41"/>
        <v/>
      </c>
      <c r="Z42" s="198" t="str">
        <f t="shared" si="41"/>
        <v>2.1.1.68</v>
      </c>
      <c r="AA42" s="198" t="str">
        <f t="shared" si="41"/>
        <v>2.1.1.68</v>
      </c>
      <c r="AB42" s="198" t="str">
        <f t="shared" si="41"/>
        <v>2.1.1.68</v>
      </c>
      <c r="AC42" s="198" t="str">
        <f t="shared" si="41"/>
        <v/>
      </c>
      <c r="AD42" s="198" t="str">
        <f t="shared" si="41"/>
        <v>2.1.1.68</v>
      </c>
      <c r="AE42" s="198" t="str">
        <f t="shared" si="41"/>
        <v>2.1.1.68</v>
      </c>
      <c r="AF42" s="198" t="str">
        <f t="shared" si="41"/>
        <v>2.1.1.68</v>
      </c>
      <c r="AG42" s="198" t="str">
        <f t="shared" si="41"/>
        <v>2.1.1.68</v>
      </c>
      <c r="AH42" s="198" t="str">
        <f t="shared" si="41"/>
        <v>2.1.1.68</v>
      </c>
      <c r="AI42" s="198" t="str">
        <f t="shared" si="41"/>
        <v/>
      </c>
      <c r="AJ42" s="198" t="str">
        <f t="shared" si="41"/>
        <v>2.1.1.68</v>
      </c>
      <c r="AK42" s="198" t="str">
        <f t="shared" si="41"/>
        <v>2.1.1.68</v>
      </c>
      <c r="AL42" s="198" t="str">
        <f t="shared" si="41"/>
        <v>2.1.1.68</v>
      </c>
      <c r="AM42" s="198" t="str">
        <f t="shared" si="41"/>
        <v>2.1.1.68</v>
      </c>
      <c r="AN42" s="198" t="str">
        <f t="shared" si="41"/>
        <v>2.1.1.68</v>
      </c>
      <c r="AO42" s="198" t="str">
        <f t="shared" si="41"/>
        <v>2.1.1.68</v>
      </c>
      <c r="AP42" s="198" t="str">
        <f t="shared" si="41"/>
        <v>2.1.1.68</v>
      </c>
      <c r="AQ42" s="198" t="str">
        <f t="shared" si="41"/>
        <v>2.1.1.68</v>
      </c>
      <c r="AR42" s="198" t="str">
        <f t="shared" si="41"/>
        <v/>
      </c>
      <c r="AS42" s="198" t="str">
        <f t="shared" si="41"/>
        <v>2.1.1.68</v>
      </c>
      <c r="AT42" s="198" t="str">
        <f t="shared" si="41"/>
        <v>2.1.1.68</v>
      </c>
      <c r="AU42" s="198" t="str">
        <f t="shared" si="41"/>
        <v>2.1.1.68</v>
      </c>
      <c r="AV42" s="198" t="str">
        <f t="shared" si="41"/>
        <v>2.1.1.68</v>
      </c>
      <c r="AW42" s="198" t="str">
        <f t="shared" si="41"/>
        <v>2.1.1.68</v>
      </c>
      <c r="AX42" s="198" t="str">
        <f t="shared" si="41"/>
        <v>2.1.1.68</v>
      </c>
      <c r="AY42" s="198" t="str">
        <f t="shared" si="41"/>
        <v>2.1.1.68</v>
      </c>
      <c r="AZ42" s="198" t="str">
        <f t="shared" si="41"/>
        <v>2.1.1.68</v>
      </c>
      <c r="BA42" s="198" t="str">
        <f t="shared" si="41"/>
        <v>2.1.1.68</v>
      </c>
      <c r="BB42" s="198" t="str">
        <f t="shared" si="41"/>
        <v>2.1.1.68</v>
      </c>
      <c r="BC42" s="198" t="str">
        <f t="shared" si="41"/>
        <v>2.1.1.68</v>
      </c>
      <c r="BD42" s="198" t="str">
        <f t="shared" si="41"/>
        <v>2.1.1.68</v>
      </c>
      <c r="BE42" s="198" t="str">
        <f t="shared" si="41"/>
        <v>2.1.1.68</v>
      </c>
      <c r="BF42" s="198" t="str">
        <f t="shared" si="41"/>
        <v>2.1.1.68</v>
      </c>
      <c r="BG42" s="198" t="str">
        <f t="shared" si="41"/>
        <v/>
      </c>
      <c r="BH42" s="198" t="str">
        <f t="shared" si="41"/>
        <v/>
      </c>
      <c r="BI42" s="198" t="str">
        <f t="shared" si="41"/>
        <v>2.1.1.68</v>
      </c>
      <c r="BJ42" s="198" t="str">
        <f t="shared" si="41"/>
        <v/>
      </c>
      <c r="BK42" s="198" t="str">
        <f t="shared" si="41"/>
        <v>2.1.1.68</v>
      </c>
      <c r="BL42" s="198" t="str">
        <f t="shared" si="41"/>
        <v>2.1.1.68</v>
      </c>
      <c r="BM42" s="198" t="str">
        <f t="shared" si="41"/>
        <v>2.1.1.68</v>
      </c>
      <c r="BN42" s="198" t="str">
        <f t="shared" si="41"/>
        <v>2.1.1.68</v>
      </c>
      <c r="BO42" s="198" t="str">
        <f t="shared" si="41"/>
        <v>2.1.1.68</v>
      </c>
      <c r="BP42" s="198" t="str">
        <f t="shared" si="41"/>
        <v>2.1.1.68</v>
      </c>
      <c r="BQ42" s="198" t="str">
        <f t="shared" si="41"/>
        <v>2.1.1.68</v>
      </c>
      <c r="BR42" s="198" t="str">
        <f t="shared" si="41"/>
        <v/>
      </c>
      <c r="BS42" s="198" t="str">
        <f t="shared" si="41"/>
        <v>2.1.1.68</v>
      </c>
      <c r="BT42" s="198" t="str">
        <f t="shared" si="41"/>
        <v/>
      </c>
      <c r="BU42" s="198" t="str">
        <f t="shared" si="41"/>
        <v/>
      </c>
      <c r="BV42" s="198" t="str">
        <f t="shared" si="41"/>
        <v/>
      </c>
      <c r="BW42" s="198" t="str">
        <f t="shared" si="41"/>
        <v>2.1.1.68</v>
      </c>
      <c r="BX42" s="198" t="str">
        <f t="shared" si="41"/>
        <v>2.1.1.68</v>
      </c>
      <c r="BY42" s="198" t="str">
        <f t="shared" si="41"/>
        <v>2.1.1.68</v>
      </c>
      <c r="BZ42" s="198" t="str">
        <f t="shared" si="41"/>
        <v>2.1.1.68</v>
      </c>
      <c r="CA42" s="198" t="str">
        <f t="shared" si="41"/>
        <v>2.1.1.68</v>
      </c>
      <c r="CB42" s="198" t="str">
        <f t="shared" si="41"/>
        <v>2.1.1.68</v>
      </c>
      <c r="CC42" s="198" t="str">
        <f t="shared" si="41"/>
        <v>2.1.1.68</v>
      </c>
      <c r="CD42" s="198" t="str">
        <f t="shared" si="41"/>
        <v>2.1.1.68</v>
      </c>
      <c r="CE42" s="198" t="str">
        <f t="shared" si="41"/>
        <v>2.1.1.68</v>
      </c>
      <c r="CF42" s="198" t="str">
        <f t="shared" si="41"/>
        <v>2.1.1.68</v>
      </c>
      <c r="CG42" s="198" t="str">
        <f t="shared" si="41"/>
        <v>2.1.1.68</v>
      </c>
      <c r="CH42" s="198" t="str">
        <f t="shared" si="41"/>
        <v>2.1.1.68</v>
      </c>
      <c r="CI42" s="198" t="str">
        <f t="shared" si="41"/>
        <v>2.1.1.68</v>
      </c>
      <c r="CJ42" s="198" t="str">
        <f t="shared" si="41"/>
        <v>2.1.1.68</v>
      </c>
      <c r="CK42" s="198" t="str">
        <f t="shared" si="41"/>
        <v>2.1.1.68</v>
      </c>
      <c r="CL42" s="198" t="str">
        <f t="shared" si="41"/>
        <v/>
      </c>
      <c r="CM42" s="198" t="str">
        <f t="shared" si="41"/>
        <v>2.1.1.68</v>
      </c>
      <c r="CN42" s="198" t="str">
        <f t="shared" si="41"/>
        <v>2.1.1.68</v>
      </c>
      <c r="CO42" s="198" t="str">
        <f t="shared" si="41"/>
        <v>2.1.1.68</v>
      </c>
      <c r="CP42" s="198" t="str">
        <f t="shared" si="41"/>
        <v/>
      </c>
      <c r="CQ42" s="198" t="str">
        <f t="shared" si="41"/>
        <v>2.1.1.68</v>
      </c>
      <c r="CR42" s="198" t="str">
        <f t="shared" si="41"/>
        <v>2.1.1.68</v>
      </c>
      <c r="CS42" s="198" t="str">
        <f t="shared" si="41"/>
        <v>2.1.1.68</v>
      </c>
      <c r="CT42" s="198" t="str">
        <f t="shared" si="41"/>
        <v>2.1.1.68</v>
      </c>
      <c r="CU42" s="198" t="str">
        <f t="shared" si="41"/>
        <v>2.1.1.68</v>
      </c>
      <c r="CV42" s="198" t="str">
        <f t="shared" si="41"/>
        <v>2.1.1.68</v>
      </c>
      <c r="CW42" s="198" t="str">
        <f t="shared" si="41"/>
        <v/>
      </c>
      <c r="CX42" s="198" t="str">
        <f t="shared" si="41"/>
        <v/>
      </c>
      <c r="CY42" s="198" t="str">
        <f t="shared" si="41"/>
        <v>2.1.1.68</v>
      </c>
      <c r="CZ42" s="198" t="str">
        <f t="shared" si="41"/>
        <v>2.1.1.68</v>
      </c>
      <c r="DA42" s="198" t="str">
        <f t="shared" si="41"/>
        <v>2.1.1.68</v>
      </c>
      <c r="DB42" s="198" t="str">
        <f t="shared" si="41"/>
        <v>2.1.1.68</v>
      </c>
      <c r="DC42" s="198" t="str">
        <f t="shared" si="41"/>
        <v>2.1.1.68</v>
      </c>
      <c r="DE42" s="198"/>
      <c r="DF42" s="198"/>
      <c r="DG42" s="198"/>
      <c r="DH42" s="198" t="s">
        <v>1479</v>
      </c>
      <c r="DI42" s="198" t="s">
        <v>1482</v>
      </c>
      <c r="DJ42" s="198"/>
      <c r="DK42" s="198"/>
      <c r="DL42" s="198"/>
      <c r="DM42" s="198"/>
      <c r="DN42" s="198"/>
      <c r="DO42" s="198"/>
      <c r="DP42" s="198"/>
      <c r="DQ42" s="198"/>
      <c r="DR42" s="198" t="s">
        <v>1488</v>
      </c>
      <c r="DS42" s="198"/>
      <c r="DT42" s="198"/>
      <c r="DU42" s="198"/>
      <c r="DV42" s="198"/>
      <c r="DW42" s="198"/>
      <c r="DX42" s="198"/>
      <c r="DY42" s="198"/>
      <c r="DZ42" s="198"/>
      <c r="EA42" s="198" t="s">
        <v>1477</v>
      </c>
      <c r="EB42" s="198"/>
      <c r="EC42" s="198"/>
      <c r="ED42" s="198"/>
      <c r="EE42" s="198"/>
      <c r="EF42" s="198"/>
      <c r="EG42" s="198"/>
      <c r="EH42" s="198"/>
      <c r="EI42" s="198"/>
      <c r="EJ42" s="198"/>
      <c r="EK42" s="198"/>
      <c r="EL42" s="198"/>
      <c r="EM42" s="198"/>
      <c r="EN42" s="198"/>
      <c r="EO42" s="198"/>
      <c r="EP42" s="198"/>
      <c r="EQ42" s="198"/>
      <c r="ER42" s="198"/>
      <c r="ES42" s="198"/>
      <c r="ET42" s="198" t="s">
        <v>1519</v>
      </c>
      <c r="EU42" s="198"/>
      <c r="EV42" s="198"/>
      <c r="EW42" s="198"/>
      <c r="EX42" s="198"/>
      <c r="EY42" s="198"/>
      <c r="EZ42" s="198"/>
      <c r="FA42" s="198"/>
      <c r="FB42" s="198"/>
      <c r="FC42" s="198"/>
      <c r="FD42" s="198" t="s">
        <v>1505</v>
      </c>
      <c r="FE42" s="198" t="s">
        <v>1485</v>
      </c>
      <c r="FF42" s="198"/>
      <c r="FG42" s="198"/>
      <c r="FH42" s="198"/>
      <c r="FI42" s="198"/>
      <c r="FJ42" s="198"/>
      <c r="FK42" s="198"/>
      <c r="FL42" s="198"/>
      <c r="FM42" s="198"/>
      <c r="FN42" s="198"/>
      <c r="FO42" s="198"/>
      <c r="FP42" s="198"/>
      <c r="FQ42" s="198"/>
      <c r="FR42" s="198"/>
      <c r="FS42" s="198"/>
      <c r="FT42" s="198" t="s">
        <v>1475</v>
      </c>
      <c r="FU42" s="198"/>
      <c r="FV42" s="198"/>
      <c r="FW42" s="198"/>
      <c r="FX42" s="198"/>
      <c r="FY42" s="198"/>
      <c r="FZ42" s="198" t="s">
        <v>1524</v>
      </c>
      <c r="GA42" s="198"/>
      <c r="GB42" s="198"/>
      <c r="GC42" s="198"/>
      <c r="GD42" s="198"/>
      <c r="GE42" s="198"/>
      <c r="GF42" s="198"/>
      <c r="GG42" s="198"/>
      <c r="GH42" s="198"/>
      <c r="GI42" s="198"/>
      <c r="GJ42" s="198"/>
      <c r="GK42" s="198"/>
      <c r="GL42" s="198"/>
      <c r="GM42" s="198"/>
      <c r="GN42" s="198"/>
      <c r="GO42" s="198"/>
      <c r="GP42" s="198"/>
      <c r="GQ42" s="198"/>
      <c r="GR42" s="198"/>
      <c r="GS42" s="198"/>
      <c r="GT42" s="198"/>
      <c r="GU42" s="198" t="s">
        <v>1476</v>
      </c>
      <c r="GV42" s="198" t="s">
        <v>1477</v>
      </c>
      <c r="GW42" s="198"/>
      <c r="GX42" s="198"/>
      <c r="GY42" s="198"/>
      <c r="GZ42" s="198"/>
      <c r="HA42" s="198" t="s">
        <v>1500</v>
      </c>
      <c r="HB42" s="198" t="s">
        <v>1505</v>
      </c>
      <c r="HC42" s="198"/>
      <c r="HD42" s="198" t="s">
        <v>1524</v>
      </c>
    </row>
    <row r="43" ht="15.75" customHeight="1">
      <c r="A43" s="234">
        <v>43.0</v>
      </c>
      <c r="B43" s="198" t="s">
        <v>1516</v>
      </c>
      <c r="C43" s="198" t="str">
        <f t="shared" ref="C43:DC43" si="42">if(countif(DD:DD,$B43),INDIRECT(concat("B",$A43)),"")</f>
        <v/>
      </c>
      <c r="D43" s="198" t="str">
        <f t="shared" si="42"/>
        <v/>
      </c>
      <c r="E43" s="198" t="str">
        <f t="shared" si="42"/>
        <v/>
      </c>
      <c r="F43" s="198" t="str">
        <f t="shared" si="42"/>
        <v/>
      </c>
      <c r="G43" s="198" t="str">
        <f t="shared" si="42"/>
        <v/>
      </c>
      <c r="H43" s="198" t="str">
        <f t="shared" si="42"/>
        <v/>
      </c>
      <c r="I43" s="198" t="str">
        <f t="shared" si="42"/>
        <v/>
      </c>
      <c r="J43" s="198" t="str">
        <f t="shared" si="42"/>
        <v/>
      </c>
      <c r="K43" s="198" t="str">
        <f t="shared" si="42"/>
        <v/>
      </c>
      <c r="L43" s="198" t="str">
        <f t="shared" si="42"/>
        <v/>
      </c>
      <c r="M43" s="198" t="str">
        <f t="shared" si="42"/>
        <v/>
      </c>
      <c r="N43" s="198" t="str">
        <f t="shared" si="42"/>
        <v/>
      </c>
      <c r="O43" s="198" t="str">
        <f t="shared" si="42"/>
        <v/>
      </c>
      <c r="P43" s="198" t="str">
        <f t="shared" si="42"/>
        <v/>
      </c>
      <c r="Q43" s="198" t="str">
        <f t="shared" si="42"/>
        <v>2.3.1.115</v>
      </c>
      <c r="R43" s="198" t="str">
        <f t="shared" si="42"/>
        <v/>
      </c>
      <c r="S43" s="198" t="str">
        <f t="shared" si="42"/>
        <v/>
      </c>
      <c r="T43" s="198" t="str">
        <f t="shared" si="42"/>
        <v/>
      </c>
      <c r="U43" s="198" t="str">
        <f t="shared" si="42"/>
        <v/>
      </c>
      <c r="V43" s="198" t="str">
        <f t="shared" si="42"/>
        <v/>
      </c>
      <c r="W43" s="198" t="str">
        <f t="shared" si="42"/>
        <v/>
      </c>
      <c r="X43" s="198" t="str">
        <f t="shared" si="42"/>
        <v/>
      </c>
      <c r="Y43" s="198" t="str">
        <f t="shared" si="42"/>
        <v/>
      </c>
      <c r="Z43" s="198" t="str">
        <f t="shared" si="42"/>
        <v>2.3.1.115</v>
      </c>
      <c r="AA43" s="198" t="str">
        <f t="shared" si="42"/>
        <v/>
      </c>
      <c r="AB43" s="198" t="str">
        <f t="shared" si="42"/>
        <v/>
      </c>
      <c r="AC43" s="198" t="str">
        <f t="shared" si="42"/>
        <v/>
      </c>
      <c r="AD43" s="198" t="str">
        <f t="shared" si="42"/>
        <v/>
      </c>
      <c r="AE43" s="198" t="str">
        <f t="shared" si="42"/>
        <v/>
      </c>
      <c r="AF43" s="198" t="str">
        <f t="shared" si="42"/>
        <v/>
      </c>
      <c r="AG43" s="198" t="str">
        <f t="shared" si="42"/>
        <v/>
      </c>
      <c r="AH43" s="198" t="str">
        <f t="shared" si="42"/>
        <v/>
      </c>
      <c r="AI43" s="198" t="str">
        <f t="shared" si="42"/>
        <v/>
      </c>
      <c r="AJ43" s="198" t="str">
        <f t="shared" si="42"/>
        <v/>
      </c>
      <c r="AK43" s="198" t="str">
        <f t="shared" si="42"/>
        <v/>
      </c>
      <c r="AL43" s="198" t="str">
        <f t="shared" si="42"/>
        <v/>
      </c>
      <c r="AM43" s="198" t="str">
        <f t="shared" si="42"/>
        <v/>
      </c>
      <c r="AN43" s="198" t="str">
        <f t="shared" si="42"/>
        <v/>
      </c>
      <c r="AO43" s="198" t="str">
        <f t="shared" si="42"/>
        <v/>
      </c>
      <c r="AP43" s="198" t="str">
        <f t="shared" si="42"/>
        <v/>
      </c>
      <c r="AQ43" s="198" t="str">
        <f t="shared" si="42"/>
        <v/>
      </c>
      <c r="AR43" s="198" t="str">
        <f t="shared" si="42"/>
        <v/>
      </c>
      <c r="AS43" s="198" t="str">
        <f t="shared" si="42"/>
        <v>2.3.1.115</v>
      </c>
      <c r="AT43" s="198" t="str">
        <f t="shared" si="42"/>
        <v/>
      </c>
      <c r="AU43" s="198" t="str">
        <f t="shared" si="42"/>
        <v/>
      </c>
      <c r="AV43" s="198" t="str">
        <f t="shared" si="42"/>
        <v/>
      </c>
      <c r="AW43" s="198" t="str">
        <f t="shared" si="42"/>
        <v/>
      </c>
      <c r="AX43" s="198" t="str">
        <f t="shared" si="42"/>
        <v/>
      </c>
      <c r="AY43" s="198" t="str">
        <f t="shared" si="42"/>
        <v/>
      </c>
      <c r="AZ43" s="198" t="str">
        <f t="shared" si="42"/>
        <v/>
      </c>
      <c r="BA43" s="198" t="str">
        <f t="shared" si="42"/>
        <v/>
      </c>
      <c r="BB43" s="198" t="str">
        <f t="shared" si="42"/>
        <v/>
      </c>
      <c r="BC43" s="198" t="str">
        <f t="shared" si="42"/>
        <v>2.3.1.115</v>
      </c>
      <c r="BD43" s="198" t="str">
        <f t="shared" si="42"/>
        <v>2.3.1.115</v>
      </c>
      <c r="BE43" s="198" t="str">
        <f t="shared" si="42"/>
        <v/>
      </c>
      <c r="BF43" s="198" t="str">
        <f t="shared" si="42"/>
        <v/>
      </c>
      <c r="BG43" s="198" t="str">
        <f t="shared" si="42"/>
        <v/>
      </c>
      <c r="BH43" s="198" t="str">
        <f t="shared" si="42"/>
        <v/>
      </c>
      <c r="BI43" s="198" t="str">
        <f t="shared" si="42"/>
        <v/>
      </c>
      <c r="BJ43" s="198" t="str">
        <f t="shared" si="42"/>
        <v/>
      </c>
      <c r="BK43" s="198" t="str">
        <f t="shared" si="42"/>
        <v/>
      </c>
      <c r="BL43" s="198" t="str">
        <f t="shared" si="42"/>
        <v/>
      </c>
      <c r="BM43" s="198" t="str">
        <f t="shared" si="42"/>
        <v/>
      </c>
      <c r="BN43" s="198" t="str">
        <f t="shared" si="42"/>
        <v/>
      </c>
      <c r="BO43" s="198" t="str">
        <f t="shared" si="42"/>
        <v/>
      </c>
      <c r="BP43" s="198" t="str">
        <f t="shared" si="42"/>
        <v/>
      </c>
      <c r="BQ43" s="198" t="str">
        <f t="shared" si="42"/>
        <v/>
      </c>
      <c r="BR43" s="198" t="str">
        <f t="shared" si="42"/>
        <v/>
      </c>
      <c r="BS43" s="198" t="str">
        <f t="shared" si="42"/>
        <v/>
      </c>
      <c r="BT43" s="198" t="str">
        <f t="shared" si="42"/>
        <v/>
      </c>
      <c r="BU43" s="198" t="str">
        <f t="shared" si="42"/>
        <v/>
      </c>
      <c r="BV43" s="198" t="str">
        <f t="shared" si="42"/>
        <v/>
      </c>
      <c r="BW43" s="198" t="str">
        <f t="shared" si="42"/>
        <v/>
      </c>
      <c r="BX43" s="198" t="str">
        <f t="shared" si="42"/>
        <v/>
      </c>
      <c r="BY43" s="198" t="str">
        <f t="shared" si="42"/>
        <v/>
      </c>
      <c r="BZ43" s="198" t="str">
        <f t="shared" si="42"/>
        <v/>
      </c>
      <c r="CA43" s="198" t="str">
        <f t="shared" si="42"/>
        <v/>
      </c>
      <c r="CB43" s="198" t="str">
        <f t="shared" si="42"/>
        <v/>
      </c>
      <c r="CC43" s="198" t="str">
        <f t="shared" si="42"/>
        <v/>
      </c>
      <c r="CD43" s="198" t="str">
        <f t="shared" si="42"/>
        <v/>
      </c>
      <c r="CE43" s="198" t="str">
        <f t="shared" si="42"/>
        <v/>
      </c>
      <c r="CF43" s="198" t="str">
        <f t="shared" si="42"/>
        <v/>
      </c>
      <c r="CG43" s="198" t="str">
        <f t="shared" si="42"/>
        <v/>
      </c>
      <c r="CH43" s="198" t="str">
        <f t="shared" si="42"/>
        <v/>
      </c>
      <c r="CI43" s="198" t="str">
        <f t="shared" si="42"/>
        <v/>
      </c>
      <c r="CJ43" s="198" t="str">
        <f t="shared" si="42"/>
        <v/>
      </c>
      <c r="CK43" s="198" t="str">
        <f t="shared" si="42"/>
        <v/>
      </c>
      <c r="CL43" s="198" t="str">
        <f t="shared" si="42"/>
        <v/>
      </c>
      <c r="CM43" s="198" t="str">
        <f t="shared" si="42"/>
        <v/>
      </c>
      <c r="CN43" s="198" t="str">
        <f t="shared" si="42"/>
        <v/>
      </c>
      <c r="CO43" s="198" t="str">
        <f t="shared" si="42"/>
        <v/>
      </c>
      <c r="CP43" s="198" t="str">
        <f t="shared" si="42"/>
        <v/>
      </c>
      <c r="CQ43" s="198" t="str">
        <f t="shared" si="42"/>
        <v/>
      </c>
      <c r="CR43" s="198" t="str">
        <f t="shared" si="42"/>
        <v/>
      </c>
      <c r="CS43" s="198" t="str">
        <f t="shared" si="42"/>
        <v/>
      </c>
      <c r="CT43" s="198" t="str">
        <f t="shared" si="42"/>
        <v/>
      </c>
      <c r="CU43" s="198" t="str">
        <f t="shared" si="42"/>
        <v/>
      </c>
      <c r="CV43" s="198" t="str">
        <f t="shared" si="42"/>
        <v/>
      </c>
      <c r="CW43" s="198" t="str">
        <f t="shared" si="42"/>
        <v/>
      </c>
      <c r="CX43" s="198" t="str">
        <f t="shared" si="42"/>
        <v/>
      </c>
      <c r="CY43" s="198" t="str">
        <f t="shared" si="42"/>
        <v/>
      </c>
      <c r="CZ43" s="198" t="str">
        <f t="shared" si="42"/>
        <v>2.3.1.115</v>
      </c>
      <c r="DA43" s="198" t="str">
        <f t="shared" si="42"/>
        <v>2.3.1.115</v>
      </c>
      <c r="DB43" s="198" t="str">
        <f t="shared" si="42"/>
        <v/>
      </c>
      <c r="DC43" s="198" t="str">
        <f t="shared" si="42"/>
        <v/>
      </c>
      <c r="DE43" s="198"/>
      <c r="DF43" s="198"/>
      <c r="DG43" s="198"/>
      <c r="DH43" s="198" t="s">
        <v>1481</v>
      </c>
      <c r="DI43" s="198"/>
      <c r="DJ43" s="198"/>
      <c r="DK43" s="198"/>
      <c r="DL43" s="198"/>
      <c r="DM43" s="198"/>
      <c r="DN43" s="198"/>
      <c r="DO43" s="198"/>
      <c r="DP43" s="198"/>
      <c r="DQ43" s="198"/>
      <c r="DR43" s="198" t="s">
        <v>1477</v>
      </c>
      <c r="DS43" s="198"/>
      <c r="DT43" s="198"/>
      <c r="DU43" s="198"/>
      <c r="DV43" s="198"/>
      <c r="DW43" s="198"/>
      <c r="DX43" s="198"/>
      <c r="DY43" s="198"/>
      <c r="DZ43" s="198"/>
      <c r="EA43" s="198" t="s">
        <v>1478</v>
      </c>
      <c r="EB43" s="198"/>
      <c r="EC43" s="198"/>
      <c r="ED43" s="198"/>
      <c r="EE43" s="198"/>
      <c r="EF43" s="198"/>
      <c r="EG43" s="198"/>
      <c r="EH43" s="198"/>
      <c r="EI43" s="198"/>
      <c r="EJ43" s="198"/>
      <c r="EK43" s="198"/>
      <c r="EL43" s="198"/>
      <c r="EM43" s="198"/>
      <c r="EN43" s="198"/>
      <c r="EO43" s="198"/>
      <c r="EP43" s="198"/>
      <c r="EQ43" s="198"/>
      <c r="ER43" s="198"/>
      <c r="ES43" s="198"/>
      <c r="ET43" s="198" t="s">
        <v>1502</v>
      </c>
      <c r="EU43" s="198"/>
      <c r="EV43" s="198"/>
      <c r="EW43" s="198"/>
      <c r="EX43" s="198"/>
      <c r="EY43" s="198"/>
      <c r="EZ43" s="198"/>
      <c r="FA43" s="198"/>
      <c r="FB43" s="198"/>
      <c r="FC43" s="198"/>
      <c r="FD43" s="198"/>
      <c r="FE43" s="198" t="s">
        <v>1472</v>
      </c>
      <c r="FF43" s="198"/>
      <c r="FG43" s="198"/>
      <c r="FH43" s="198"/>
      <c r="FI43" s="198"/>
      <c r="FJ43" s="198"/>
      <c r="FK43" s="198"/>
      <c r="FL43" s="198"/>
      <c r="FM43" s="198"/>
      <c r="FN43" s="198"/>
      <c r="FO43" s="198"/>
      <c r="FP43" s="198"/>
      <c r="FQ43" s="198"/>
      <c r="FR43" s="198"/>
      <c r="FS43" s="198"/>
      <c r="FT43" s="198"/>
      <c r="FU43" s="198"/>
      <c r="FV43" s="198"/>
      <c r="FW43" s="198"/>
      <c r="FX43" s="198"/>
      <c r="FY43" s="198"/>
      <c r="FZ43" s="198" t="s">
        <v>1490</v>
      </c>
      <c r="GA43" s="198"/>
      <c r="GB43" s="198"/>
      <c r="GC43" s="198"/>
      <c r="GD43" s="198"/>
      <c r="GE43" s="198"/>
      <c r="GF43" s="198"/>
      <c r="GG43" s="198"/>
      <c r="GH43" s="198"/>
      <c r="GI43" s="198"/>
      <c r="GJ43" s="198"/>
      <c r="GK43" s="198"/>
      <c r="GL43" s="198"/>
      <c r="GM43" s="198"/>
      <c r="GN43" s="198"/>
      <c r="GO43" s="198"/>
      <c r="GP43" s="198"/>
      <c r="GQ43" s="198"/>
      <c r="GR43" s="198"/>
      <c r="GS43" s="198"/>
      <c r="GT43" s="198"/>
      <c r="GU43" s="198" t="s">
        <v>1477</v>
      </c>
      <c r="GV43" s="198" t="s">
        <v>1478</v>
      </c>
      <c r="GW43" s="198"/>
      <c r="GX43" s="198"/>
      <c r="GY43" s="198"/>
      <c r="GZ43" s="198"/>
      <c r="HA43" s="198" t="s">
        <v>1519</v>
      </c>
      <c r="HB43" s="198" t="s">
        <v>1472</v>
      </c>
      <c r="HC43" s="198"/>
      <c r="HD43" s="198" t="s">
        <v>1490</v>
      </c>
    </row>
    <row r="44" ht="15.75" customHeight="1">
      <c r="A44" s="234">
        <v>44.0</v>
      </c>
      <c r="B44" s="236" t="s">
        <v>1470</v>
      </c>
      <c r="C44" s="198" t="str">
        <f t="shared" ref="C44:DC44" si="43">if(countif(DD:DD,$B44),INDIRECT(concat("B",$A44)),"")</f>
        <v>2.3.1.133</v>
      </c>
      <c r="D44" s="198" t="str">
        <f t="shared" si="43"/>
        <v>2.3.1.133</v>
      </c>
      <c r="E44" s="198" t="str">
        <f t="shared" si="43"/>
        <v>2.3.1.133</v>
      </c>
      <c r="F44" s="198" t="str">
        <f t="shared" si="43"/>
        <v>2.3.1.133</v>
      </c>
      <c r="G44" s="198" t="str">
        <f t="shared" si="43"/>
        <v>2.3.1.133</v>
      </c>
      <c r="H44" s="198" t="str">
        <f t="shared" si="43"/>
        <v>2.3.1.133</v>
      </c>
      <c r="I44" s="198" t="str">
        <f t="shared" si="43"/>
        <v>2.3.1.133</v>
      </c>
      <c r="J44" s="198" t="str">
        <f t="shared" si="43"/>
        <v/>
      </c>
      <c r="K44" s="198" t="str">
        <f t="shared" si="43"/>
        <v/>
      </c>
      <c r="L44" s="198" t="str">
        <f t="shared" si="43"/>
        <v>2.3.1.133</v>
      </c>
      <c r="M44" s="198" t="str">
        <f t="shared" si="43"/>
        <v>2.3.1.133</v>
      </c>
      <c r="N44" s="198" t="str">
        <f t="shared" si="43"/>
        <v>2.3.1.133</v>
      </c>
      <c r="O44" s="198" t="str">
        <f t="shared" si="43"/>
        <v>2.3.1.133</v>
      </c>
      <c r="P44" s="198" t="str">
        <f t="shared" si="43"/>
        <v>2.3.1.133</v>
      </c>
      <c r="Q44" s="198" t="str">
        <f t="shared" si="43"/>
        <v>2.3.1.133</v>
      </c>
      <c r="R44" s="198" t="str">
        <f t="shared" si="43"/>
        <v>2.3.1.133</v>
      </c>
      <c r="S44" s="198" t="str">
        <f t="shared" si="43"/>
        <v>2.3.1.133</v>
      </c>
      <c r="T44" s="198" t="str">
        <f t="shared" si="43"/>
        <v>2.3.1.133</v>
      </c>
      <c r="U44" s="198" t="str">
        <f t="shared" si="43"/>
        <v>2.3.1.133</v>
      </c>
      <c r="V44" s="198" t="str">
        <f t="shared" si="43"/>
        <v>2.3.1.133</v>
      </c>
      <c r="W44" s="198" t="str">
        <f t="shared" si="43"/>
        <v/>
      </c>
      <c r="X44" s="198" t="str">
        <f t="shared" si="43"/>
        <v/>
      </c>
      <c r="Y44" s="198" t="str">
        <f t="shared" si="43"/>
        <v/>
      </c>
      <c r="Z44" s="198" t="str">
        <f t="shared" si="43"/>
        <v>2.3.1.133</v>
      </c>
      <c r="AA44" s="198" t="str">
        <f t="shared" si="43"/>
        <v>2.3.1.133</v>
      </c>
      <c r="AB44" s="198" t="str">
        <f t="shared" si="43"/>
        <v>2.3.1.133</v>
      </c>
      <c r="AC44" s="198" t="str">
        <f t="shared" si="43"/>
        <v/>
      </c>
      <c r="AD44" s="198" t="str">
        <f t="shared" si="43"/>
        <v>2.3.1.133</v>
      </c>
      <c r="AE44" s="198" t="str">
        <f t="shared" si="43"/>
        <v>2.3.1.133</v>
      </c>
      <c r="AF44" s="198" t="str">
        <f t="shared" si="43"/>
        <v>2.3.1.133</v>
      </c>
      <c r="AG44" s="198" t="str">
        <f t="shared" si="43"/>
        <v>2.3.1.133</v>
      </c>
      <c r="AH44" s="198" t="str">
        <f t="shared" si="43"/>
        <v>2.3.1.133</v>
      </c>
      <c r="AI44" s="198" t="str">
        <f t="shared" si="43"/>
        <v/>
      </c>
      <c r="AJ44" s="198" t="str">
        <f t="shared" si="43"/>
        <v>2.3.1.133</v>
      </c>
      <c r="AK44" s="198" t="str">
        <f t="shared" si="43"/>
        <v>2.3.1.133</v>
      </c>
      <c r="AL44" s="198" t="str">
        <f t="shared" si="43"/>
        <v>2.3.1.133</v>
      </c>
      <c r="AM44" s="198" t="str">
        <f t="shared" si="43"/>
        <v>2.3.1.133</v>
      </c>
      <c r="AN44" s="198" t="str">
        <f t="shared" si="43"/>
        <v>2.3.1.133</v>
      </c>
      <c r="AO44" s="198" t="str">
        <f t="shared" si="43"/>
        <v>2.3.1.133</v>
      </c>
      <c r="AP44" s="198" t="str">
        <f t="shared" si="43"/>
        <v>2.3.1.133</v>
      </c>
      <c r="AQ44" s="198" t="str">
        <f t="shared" si="43"/>
        <v>2.3.1.133</v>
      </c>
      <c r="AR44" s="198" t="str">
        <f t="shared" si="43"/>
        <v/>
      </c>
      <c r="AS44" s="198" t="str">
        <f t="shared" si="43"/>
        <v>2.3.1.133</v>
      </c>
      <c r="AT44" s="198" t="str">
        <f t="shared" si="43"/>
        <v>2.3.1.133</v>
      </c>
      <c r="AU44" s="198" t="str">
        <f t="shared" si="43"/>
        <v>2.3.1.133</v>
      </c>
      <c r="AV44" s="198" t="str">
        <f t="shared" si="43"/>
        <v>2.3.1.133</v>
      </c>
      <c r="AW44" s="198" t="str">
        <f t="shared" si="43"/>
        <v>2.3.1.133</v>
      </c>
      <c r="AX44" s="198" t="str">
        <f t="shared" si="43"/>
        <v>2.3.1.133</v>
      </c>
      <c r="AY44" s="198" t="str">
        <f t="shared" si="43"/>
        <v>2.3.1.133</v>
      </c>
      <c r="AZ44" s="198" t="str">
        <f t="shared" si="43"/>
        <v>2.3.1.133</v>
      </c>
      <c r="BA44" s="198" t="str">
        <f t="shared" si="43"/>
        <v>2.3.1.133</v>
      </c>
      <c r="BB44" s="198" t="str">
        <f t="shared" si="43"/>
        <v>2.3.1.133</v>
      </c>
      <c r="BC44" s="198" t="str">
        <f t="shared" si="43"/>
        <v>2.3.1.133</v>
      </c>
      <c r="BD44" s="198" t="str">
        <f t="shared" si="43"/>
        <v>2.3.1.133</v>
      </c>
      <c r="BE44" s="198" t="str">
        <f t="shared" si="43"/>
        <v>2.3.1.133</v>
      </c>
      <c r="BF44" s="198" t="str">
        <f t="shared" si="43"/>
        <v>2.3.1.133</v>
      </c>
      <c r="BG44" s="198" t="str">
        <f t="shared" si="43"/>
        <v/>
      </c>
      <c r="BH44" s="198" t="str">
        <f t="shared" si="43"/>
        <v/>
      </c>
      <c r="BI44" s="198" t="str">
        <f t="shared" si="43"/>
        <v>2.3.1.133</v>
      </c>
      <c r="BJ44" s="198" t="str">
        <f t="shared" si="43"/>
        <v/>
      </c>
      <c r="BK44" s="198" t="str">
        <f t="shared" si="43"/>
        <v>2.3.1.133</v>
      </c>
      <c r="BL44" s="198" t="str">
        <f t="shared" si="43"/>
        <v>2.3.1.133</v>
      </c>
      <c r="BM44" s="198" t="str">
        <f t="shared" si="43"/>
        <v>2.3.1.133</v>
      </c>
      <c r="BN44" s="198" t="str">
        <f t="shared" si="43"/>
        <v>2.3.1.133</v>
      </c>
      <c r="BO44" s="198" t="str">
        <f t="shared" si="43"/>
        <v>2.3.1.133</v>
      </c>
      <c r="BP44" s="198" t="str">
        <f t="shared" si="43"/>
        <v>2.3.1.133</v>
      </c>
      <c r="BQ44" s="198" t="str">
        <f t="shared" si="43"/>
        <v>2.3.1.133</v>
      </c>
      <c r="BR44" s="198" t="str">
        <f t="shared" si="43"/>
        <v>2.3.1.133</v>
      </c>
      <c r="BS44" s="198" t="str">
        <f t="shared" si="43"/>
        <v>2.3.1.133</v>
      </c>
      <c r="BT44" s="198" t="str">
        <f t="shared" si="43"/>
        <v>2.3.1.133</v>
      </c>
      <c r="BU44" s="198" t="str">
        <f t="shared" si="43"/>
        <v/>
      </c>
      <c r="BV44" s="198" t="str">
        <f t="shared" si="43"/>
        <v/>
      </c>
      <c r="BW44" s="198" t="str">
        <f t="shared" si="43"/>
        <v>2.3.1.133</v>
      </c>
      <c r="BX44" s="198" t="str">
        <f t="shared" si="43"/>
        <v>2.3.1.133</v>
      </c>
      <c r="BY44" s="198" t="str">
        <f t="shared" si="43"/>
        <v>2.3.1.133</v>
      </c>
      <c r="BZ44" s="198" t="str">
        <f t="shared" si="43"/>
        <v>2.3.1.133</v>
      </c>
      <c r="CA44" s="198" t="str">
        <f t="shared" si="43"/>
        <v>2.3.1.133</v>
      </c>
      <c r="CB44" s="198" t="str">
        <f t="shared" si="43"/>
        <v>2.3.1.133</v>
      </c>
      <c r="CC44" s="198" t="str">
        <f t="shared" si="43"/>
        <v>2.3.1.133</v>
      </c>
      <c r="CD44" s="198" t="str">
        <f t="shared" si="43"/>
        <v>2.3.1.133</v>
      </c>
      <c r="CE44" s="198" t="str">
        <f t="shared" si="43"/>
        <v>2.3.1.133</v>
      </c>
      <c r="CF44" s="198" t="str">
        <f t="shared" si="43"/>
        <v>2.3.1.133</v>
      </c>
      <c r="CG44" s="198" t="str">
        <f t="shared" si="43"/>
        <v>2.3.1.133</v>
      </c>
      <c r="CH44" s="198" t="str">
        <f t="shared" si="43"/>
        <v>2.3.1.133</v>
      </c>
      <c r="CI44" s="198" t="str">
        <f t="shared" si="43"/>
        <v>2.3.1.133</v>
      </c>
      <c r="CJ44" s="198" t="str">
        <f t="shared" si="43"/>
        <v>2.3.1.133</v>
      </c>
      <c r="CK44" s="198" t="str">
        <f t="shared" si="43"/>
        <v>2.3.1.133</v>
      </c>
      <c r="CL44" s="198" t="str">
        <f t="shared" si="43"/>
        <v>2.3.1.133</v>
      </c>
      <c r="CM44" s="198" t="str">
        <f t="shared" si="43"/>
        <v>2.3.1.133</v>
      </c>
      <c r="CN44" s="198" t="str">
        <f t="shared" si="43"/>
        <v>2.3.1.133</v>
      </c>
      <c r="CO44" s="198" t="str">
        <f t="shared" si="43"/>
        <v>2.3.1.133</v>
      </c>
      <c r="CP44" s="198" t="str">
        <f t="shared" si="43"/>
        <v>2.3.1.133</v>
      </c>
      <c r="CQ44" s="198" t="str">
        <f t="shared" si="43"/>
        <v>2.3.1.133</v>
      </c>
      <c r="CR44" s="198" t="str">
        <f t="shared" si="43"/>
        <v>2.3.1.133</v>
      </c>
      <c r="CS44" s="198" t="str">
        <f t="shared" si="43"/>
        <v>2.3.1.133</v>
      </c>
      <c r="CT44" s="198" t="str">
        <f t="shared" si="43"/>
        <v>2.3.1.133</v>
      </c>
      <c r="CU44" s="198" t="str">
        <f t="shared" si="43"/>
        <v>2.3.1.133</v>
      </c>
      <c r="CV44" s="198" t="str">
        <f t="shared" si="43"/>
        <v>2.3.1.133</v>
      </c>
      <c r="CW44" s="198" t="str">
        <f t="shared" si="43"/>
        <v/>
      </c>
      <c r="CX44" s="198" t="str">
        <f t="shared" si="43"/>
        <v>2.3.1.133</v>
      </c>
      <c r="CY44" s="198" t="str">
        <f t="shared" si="43"/>
        <v>2.3.1.133</v>
      </c>
      <c r="CZ44" s="198" t="str">
        <f t="shared" si="43"/>
        <v>2.3.1.133</v>
      </c>
      <c r="DA44" s="198" t="str">
        <f t="shared" si="43"/>
        <v>2.3.1.133</v>
      </c>
      <c r="DB44" s="198" t="str">
        <f t="shared" si="43"/>
        <v>2.3.1.133</v>
      </c>
      <c r="DC44" s="198" t="str">
        <f t="shared" si="43"/>
        <v>2.3.1.133</v>
      </c>
      <c r="DE44" s="198"/>
      <c r="DF44" s="198"/>
      <c r="DG44" s="198"/>
      <c r="DH44" s="198" t="s">
        <v>1482</v>
      </c>
      <c r="DI44" s="198"/>
      <c r="DJ44" s="198"/>
      <c r="DK44" s="198"/>
      <c r="DL44" s="198"/>
      <c r="DM44" s="198"/>
      <c r="DN44" s="198"/>
      <c r="DO44" s="198"/>
      <c r="DP44" s="198"/>
      <c r="DQ44" s="198"/>
      <c r="DR44" s="198" t="s">
        <v>1478</v>
      </c>
      <c r="DS44" s="198"/>
      <c r="DT44" s="198"/>
      <c r="DU44" s="198"/>
      <c r="DV44" s="198"/>
      <c r="DW44" s="198"/>
      <c r="DX44" s="198"/>
      <c r="DY44" s="198"/>
      <c r="DZ44" s="198"/>
      <c r="EA44" s="198" t="s">
        <v>1517</v>
      </c>
      <c r="EB44" s="198"/>
      <c r="EC44" s="198"/>
      <c r="ED44" s="198"/>
      <c r="EE44" s="198"/>
      <c r="EF44" s="198"/>
      <c r="EG44" s="198"/>
      <c r="EH44" s="198"/>
      <c r="EI44" s="198"/>
      <c r="EJ44" s="198"/>
      <c r="EK44" s="198"/>
      <c r="EL44" s="198"/>
      <c r="EM44" s="198"/>
      <c r="EN44" s="198"/>
      <c r="EO44" s="198"/>
      <c r="EP44" s="198"/>
      <c r="EQ44" s="198"/>
      <c r="ER44" s="198"/>
      <c r="ES44" s="198"/>
      <c r="ET44" s="198" t="s">
        <v>1524</v>
      </c>
      <c r="EU44" s="198"/>
      <c r="EV44" s="198"/>
      <c r="EW44" s="198"/>
      <c r="EX44" s="198"/>
      <c r="EY44" s="198"/>
      <c r="EZ44" s="198"/>
      <c r="FA44" s="198"/>
      <c r="FB44" s="198"/>
      <c r="FC44" s="198"/>
      <c r="FD44" s="198"/>
      <c r="FE44" s="198" t="s">
        <v>1505</v>
      </c>
      <c r="FF44" s="198"/>
      <c r="FG44" s="198"/>
      <c r="FH44" s="198"/>
      <c r="FI44" s="198"/>
      <c r="FJ44" s="198"/>
      <c r="FK44" s="198"/>
      <c r="FL44" s="198"/>
      <c r="FM44" s="198"/>
      <c r="FN44" s="198"/>
      <c r="FO44" s="198"/>
      <c r="FP44" s="198"/>
      <c r="FQ44" s="198"/>
      <c r="FR44" s="198"/>
      <c r="FS44" s="198"/>
      <c r="FT44" s="198"/>
      <c r="FU44" s="198"/>
      <c r="FV44" s="198"/>
      <c r="FW44" s="198"/>
      <c r="FX44" s="198"/>
      <c r="FY44" s="198"/>
      <c r="FZ44" s="198" t="s">
        <v>1515</v>
      </c>
      <c r="GA44" s="198"/>
      <c r="GB44" s="198"/>
      <c r="GC44" s="198"/>
      <c r="GD44" s="198"/>
      <c r="GE44" s="198"/>
      <c r="GF44" s="198"/>
      <c r="GG44" s="198"/>
      <c r="GH44" s="198"/>
      <c r="GI44" s="198"/>
      <c r="GJ44" s="198"/>
      <c r="GK44" s="198"/>
      <c r="GL44" s="198"/>
      <c r="GM44" s="198"/>
      <c r="GN44" s="198"/>
      <c r="GO44" s="198"/>
      <c r="GP44" s="198"/>
      <c r="GQ44" s="198"/>
      <c r="GR44" s="198"/>
      <c r="GS44" s="198"/>
      <c r="GT44" s="198"/>
      <c r="GU44" s="198" t="s">
        <v>1478</v>
      </c>
      <c r="GV44" s="198" t="s">
        <v>1517</v>
      </c>
      <c r="GW44" s="198"/>
      <c r="GX44" s="198"/>
      <c r="GY44" s="198"/>
      <c r="GZ44" s="198"/>
      <c r="HA44" s="198" t="s">
        <v>1502</v>
      </c>
      <c r="HB44" s="198" t="s">
        <v>1475</v>
      </c>
      <c r="HC44" s="198"/>
      <c r="HD44" s="198" t="s">
        <v>1515</v>
      </c>
    </row>
    <row r="45" ht="15.75" customHeight="1">
      <c r="A45" s="234">
        <v>45.0</v>
      </c>
      <c r="B45" s="236" t="s">
        <v>1525</v>
      </c>
      <c r="C45" s="198" t="str">
        <f t="shared" ref="C45:DC45" si="44">if(countif(DD:DD,$B45),INDIRECT(concat("B",$A45)),"")</f>
        <v/>
      </c>
      <c r="D45" s="198" t="str">
        <f t="shared" si="44"/>
        <v/>
      </c>
      <c r="E45" s="198" t="str">
        <f t="shared" si="44"/>
        <v/>
      </c>
      <c r="F45" s="198" t="str">
        <f t="shared" si="44"/>
        <v/>
      </c>
      <c r="G45" s="198" t="str">
        <f t="shared" si="44"/>
        <v/>
      </c>
      <c r="H45" s="198" t="str">
        <f t="shared" si="44"/>
        <v/>
      </c>
      <c r="I45" s="198" t="str">
        <f t="shared" si="44"/>
        <v/>
      </c>
      <c r="J45" s="198" t="str">
        <f t="shared" si="44"/>
        <v/>
      </c>
      <c r="K45" s="198" t="str">
        <f t="shared" si="44"/>
        <v/>
      </c>
      <c r="L45" s="198" t="str">
        <f t="shared" si="44"/>
        <v/>
      </c>
      <c r="M45" s="198" t="str">
        <f t="shared" si="44"/>
        <v/>
      </c>
      <c r="N45" s="198" t="str">
        <f t="shared" si="44"/>
        <v/>
      </c>
      <c r="O45" s="198" t="str">
        <f t="shared" si="44"/>
        <v/>
      </c>
      <c r="P45" s="198" t="str">
        <f t="shared" si="44"/>
        <v/>
      </c>
      <c r="Q45" s="198" t="str">
        <f t="shared" si="44"/>
        <v/>
      </c>
      <c r="R45" s="198" t="str">
        <f t="shared" si="44"/>
        <v/>
      </c>
      <c r="S45" s="198" t="str">
        <f t="shared" si="44"/>
        <v/>
      </c>
      <c r="T45" s="198" t="str">
        <f t="shared" si="44"/>
        <v/>
      </c>
      <c r="U45" s="198" t="str">
        <f t="shared" si="44"/>
        <v/>
      </c>
      <c r="V45" s="198" t="str">
        <f t="shared" si="44"/>
        <v/>
      </c>
      <c r="W45" s="198" t="str">
        <f t="shared" si="44"/>
        <v/>
      </c>
      <c r="X45" s="198" t="str">
        <f t="shared" si="44"/>
        <v/>
      </c>
      <c r="Y45" s="198" t="str">
        <f t="shared" si="44"/>
        <v/>
      </c>
      <c r="Z45" s="198" t="str">
        <f t="shared" si="44"/>
        <v/>
      </c>
      <c r="AA45" s="198" t="str">
        <f t="shared" si="44"/>
        <v/>
      </c>
      <c r="AB45" s="198" t="str">
        <f t="shared" si="44"/>
        <v/>
      </c>
      <c r="AC45" s="198" t="str">
        <f t="shared" si="44"/>
        <v/>
      </c>
      <c r="AD45" s="198" t="str">
        <f t="shared" si="44"/>
        <v/>
      </c>
      <c r="AE45" s="198" t="str">
        <f t="shared" si="44"/>
        <v/>
      </c>
      <c r="AF45" s="198" t="str">
        <f t="shared" si="44"/>
        <v/>
      </c>
      <c r="AG45" s="198" t="str">
        <f t="shared" si="44"/>
        <v/>
      </c>
      <c r="AH45" s="198" t="str">
        <f t="shared" si="44"/>
        <v/>
      </c>
      <c r="AI45" s="198" t="str">
        <f t="shared" si="44"/>
        <v/>
      </c>
      <c r="AJ45" s="198" t="str">
        <f t="shared" si="44"/>
        <v/>
      </c>
      <c r="AK45" s="198" t="str">
        <f t="shared" si="44"/>
        <v/>
      </c>
      <c r="AL45" s="198" t="str">
        <f t="shared" si="44"/>
        <v/>
      </c>
      <c r="AM45" s="198" t="str">
        <f t="shared" si="44"/>
        <v/>
      </c>
      <c r="AN45" s="198" t="str">
        <f t="shared" si="44"/>
        <v/>
      </c>
      <c r="AO45" s="198" t="str">
        <f t="shared" si="44"/>
        <v/>
      </c>
      <c r="AP45" s="198" t="str">
        <f t="shared" si="44"/>
        <v/>
      </c>
      <c r="AQ45" s="198" t="str">
        <f t="shared" si="44"/>
        <v/>
      </c>
      <c r="AR45" s="198" t="str">
        <f t="shared" si="44"/>
        <v/>
      </c>
      <c r="AS45" s="198" t="str">
        <f t="shared" si="44"/>
        <v/>
      </c>
      <c r="AT45" s="198" t="str">
        <f t="shared" si="44"/>
        <v/>
      </c>
      <c r="AU45" s="198" t="str">
        <f t="shared" si="44"/>
        <v/>
      </c>
      <c r="AV45" s="198" t="str">
        <f t="shared" si="44"/>
        <v/>
      </c>
      <c r="AW45" s="198" t="str">
        <f t="shared" si="44"/>
        <v/>
      </c>
      <c r="AX45" s="198" t="str">
        <f t="shared" si="44"/>
        <v/>
      </c>
      <c r="AY45" s="198" t="str">
        <f t="shared" si="44"/>
        <v/>
      </c>
      <c r="AZ45" s="198" t="str">
        <f t="shared" si="44"/>
        <v/>
      </c>
      <c r="BA45" s="198" t="str">
        <f t="shared" si="44"/>
        <v/>
      </c>
      <c r="BB45" s="198" t="str">
        <f t="shared" si="44"/>
        <v/>
      </c>
      <c r="BC45" s="198" t="str">
        <f t="shared" si="44"/>
        <v/>
      </c>
      <c r="BD45" s="198" t="str">
        <f t="shared" si="44"/>
        <v/>
      </c>
      <c r="BE45" s="198" t="str">
        <f t="shared" si="44"/>
        <v/>
      </c>
      <c r="BF45" s="198" t="str">
        <f t="shared" si="44"/>
        <v/>
      </c>
      <c r="BG45" s="198" t="str">
        <f t="shared" si="44"/>
        <v/>
      </c>
      <c r="BH45" s="198" t="str">
        <f t="shared" si="44"/>
        <v/>
      </c>
      <c r="BI45" s="198" t="str">
        <f t="shared" si="44"/>
        <v/>
      </c>
      <c r="BJ45" s="198" t="str">
        <f t="shared" si="44"/>
        <v/>
      </c>
      <c r="BK45" s="198" t="str">
        <f t="shared" si="44"/>
        <v/>
      </c>
      <c r="BL45" s="198" t="str">
        <f t="shared" si="44"/>
        <v/>
      </c>
      <c r="BM45" s="198" t="str">
        <f t="shared" si="44"/>
        <v/>
      </c>
      <c r="BN45" s="198" t="str">
        <f t="shared" si="44"/>
        <v/>
      </c>
      <c r="BO45" s="198" t="str">
        <f t="shared" si="44"/>
        <v/>
      </c>
      <c r="BP45" s="198" t="str">
        <f t="shared" si="44"/>
        <v/>
      </c>
      <c r="BQ45" s="198" t="str">
        <f t="shared" si="44"/>
        <v/>
      </c>
      <c r="BR45" s="198" t="str">
        <f t="shared" si="44"/>
        <v/>
      </c>
      <c r="BS45" s="198" t="str">
        <f t="shared" si="44"/>
        <v/>
      </c>
      <c r="BT45" s="198" t="str">
        <f t="shared" si="44"/>
        <v/>
      </c>
      <c r="BU45" s="198" t="str">
        <f t="shared" si="44"/>
        <v/>
      </c>
      <c r="BV45" s="198" t="str">
        <f t="shared" si="44"/>
        <v/>
      </c>
      <c r="BW45" s="198" t="str">
        <f t="shared" si="44"/>
        <v/>
      </c>
      <c r="BX45" s="198" t="str">
        <f t="shared" si="44"/>
        <v/>
      </c>
      <c r="BY45" s="198" t="str">
        <f t="shared" si="44"/>
        <v/>
      </c>
      <c r="BZ45" s="198" t="str">
        <f t="shared" si="44"/>
        <v/>
      </c>
      <c r="CA45" s="198" t="str">
        <f t="shared" si="44"/>
        <v/>
      </c>
      <c r="CB45" s="198" t="str">
        <f t="shared" si="44"/>
        <v/>
      </c>
      <c r="CC45" s="198" t="str">
        <f t="shared" si="44"/>
        <v/>
      </c>
      <c r="CD45" s="198" t="str">
        <f t="shared" si="44"/>
        <v/>
      </c>
      <c r="CE45" s="198" t="str">
        <f t="shared" si="44"/>
        <v/>
      </c>
      <c r="CF45" s="198" t="str">
        <f t="shared" si="44"/>
        <v/>
      </c>
      <c r="CG45" s="198" t="str">
        <f t="shared" si="44"/>
        <v/>
      </c>
      <c r="CH45" s="198" t="str">
        <f t="shared" si="44"/>
        <v/>
      </c>
      <c r="CI45" s="198" t="str">
        <f t="shared" si="44"/>
        <v/>
      </c>
      <c r="CJ45" s="198" t="str">
        <f t="shared" si="44"/>
        <v/>
      </c>
      <c r="CK45" s="198" t="str">
        <f t="shared" si="44"/>
        <v>2.3.1.215</v>
      </c>
      <c r="CL45" s="198" t="str">
        <f t="shared" si="44"/>
        <v/>
      </c>
      <c r="CM45" s="198" t="str">
        <f t="shared" si="44"/>
        <v/>
      </c>
      <c r="CN45" s="198" t="str">
        <f t="shared" si="44"/>
        <v/>
      </c>
      <c r="CO45" s="198" t="str">
        <f t="shared" si="44"/>
        <v/>
      </c>
      <c r="CP45" s="198" t="str">
        <f t="shared" si="44"/>
        <v/>
      </c>
      <c r="CQ45" s="198" t="str">
        <f t="shared" si="44"/>
        <v/>
      </c>
      <c r="CR45" s="198" t="str">
        <f t="shared" si="44"/>
        <v/>
      </c>
      <c r="CS45" s="198" t="str">
        <f t="shared" si="44"/>
        <v/>
      </c>
      <c r="CT45" s="198" t="str">
        <f t="shared" si="44"/>
        <v/>
      </c>
      <c r="CU45" s="198" t="str">
        <f t="shared" si="44"/>
        <v/>
      </c>
      <c r="CV45" s="198" t="str">
        <f t="shared" si="44"/>
        <v/>
      </c>
      <c r="CW45" s="198" t="str">
        <f t="shared" si="44"/>
        <v/>
      </c>
      <c r="CX45" s="198" t="str">
        <f t="shared" si="44"/>
        <v/>
      </c>
      <c r="CY45" s="198" t="str">
        <f t="shared" si="44"/>
        <v/>
      </c>
      <c r="CZ45" s="198" t="str">
        <f t="shared" si="44"/>
        <v/>
      </c>
      <c r="DA45" s="198" t="str">
        <f t="shared" si="44"/>
        <v/>
      </c>
      <c r="DB45" s="198" t="str">
        <f t="shared" si="44"/>
        <v/>
      </c>
      <c r="DC45" s="198" t="str">
        <f t="shared" si="44"/>
        <v/>
      </c>
      <c r="DE45" s="198"/>
      <c r="DF45" s="198"/>
      <c r="DG45" s="198"/>
      <c r="DH45" s="198"/>
      <c r="DI45" s="198"/>
      <c r="DJ45" s="198"/>
      <c r="DK45" s="198"/>
      <c r="DL45" s="198"/>
      <c r="DM45" s="198"/>
      <c r="DN45" s="198"/>
      <c r="DO45" s="198"/>
      <c r="DP45" s="198"/>
      <c r="DQ45" s="198"/>
      <c r="DR45" s="198" t="s">
        <v>1517</v>
      </c>
      <c r="DS45" s="198"/>
      <c r="DT45" s="198"/>
      <c r="DU45" s="198"/>
      <c r="DV45" s="198"/>
      <c r="DW45" s="198"/>
      <c r="DX45" s="198"/>
      <c r="DY45" s="198"/>
      <c r="DZ45" s="198"/>
      <c r="EA45" s="198" t="s">
        <v>1479</v>
      </c>
      <c r="EB45" s="198"/>
      <c r="EC45" s="198"/>
      <c r="ED45" s="198"/>
      <c r="EE45" s="198"/>
      <c r="EF45" s="198"/>
      <c r="EG45" s="198"/>
      <c r="EH45" s="198"/>
      <c r="EI45" s="198"/>
      <c r="EJ45" s="198"/>
      <c r="EK45" s="198"/>
      <c r="EL45" s="198"/>
      <c r="EM45" s="198"/>
      <c r="EN45" s="198"/>
      <c r="EO45" s="198"/>
      <c r="EP45" s="198"/>
      <c r="EQ45" s="198"/>
      <c r="ER45" s="198"/>
      <c r="ES45" s="198"/>
      <c r="ET45" s="198" t="s">
        <v>1516</v>
      </c>
      <c r="EU45" s="198"/>
      <c r="EV45" s="198"/>
      <c r="EW45" s="198"/>
      <c r="EX45" s="198"/>
      <c r="EY45" s="198"/>
      <c r="EZ45" s="198"/>
      <c r="FA45" s="198"/>
      <c r="FB45" s="198"/>
      <c r="FC45" s="198"/>
      <c r="FD45" s="198"/>
      <c r="FE45" s="198" t="s">
        <v>1475</v>
      </c>
      <c r="FF45" s="198"/>
      <c r="FG45" s="198"/>
      <c r="FH45" s="198"/>
      <c r="FI45" s="198"/>
      <c r="FJ45" s="198"/>
      <c r="FK45" s="198"/>
      <c r="FL45" s="198"/>
      <c r="FM45" s="198"/>
      <c r="FN45" s="198"/>
      <c r="FO45" s="198"/>
      <c r="FP45" s="198"/>
      <c r="FQ45" s="198"/>
      <c r="FR45" s="198"/>
      <c r="FS45" s="198"/>
      <c r="FT45" s="198"/>
      <c r="FU45" s="198"/>
      <c r="FV45" s="198"/>
      <c r="FW45" s="198"/>
      <c r="FX45" s="198"/>
      <c r="FY45" s="198"/>
      <c r="FZ45" s="198" t="s">
        <v>1485</v>
      </c>
      <c r="GA45" s="198"/>
      <c r="GB45" s="198"/>
      <c r="GC45" s="198"/>
      <c r="GD45" s="198"/>
      <c r="GE45" s="198"/>
      <c r="GF45" s="198"/>
      <c r="GG45" s="198"/>
      <c r="GH45" s="198"/>
      <c r="GI45" s="198"/>
      <c r="GJ45" s="198"/>
      <c r="GK45" s="198"/>
      <c r="GL45" s="198"/>
      <c r="GM45" s="198"/>
      <c r="GN45" s="198"/>
      <c r="GO45" s="198"/>
      <c r="GP45" s="198"/>
      <c r="GQ45" s="198"/>
      <c r="GR45" s="198"/>
      <c r="GS45" s="198"/>
      <c r="GT45" s="198"/>
      <c r="GU45" s="198" t="s">
        <v>1517</v>
      </c>
      <c r="GV45" s="198" t="s">
        <v>1479</v>
      </c>
      <c r="GW45" s="198"/>
      <c r="GX45" s="198"/>
      <c r="GY45" s="198"/>
      <c r="GZ45" s="198"/>
      <c r="HA45" s="198" t="s">
        <v>1524</v>
      </c>
      <c r="HB45" s="198"/>
      <c r="HC45" s="198"/>
      <c r="HD45" s="198" t="s">
        <v>1485</v>
      </c>
    </row>
    <row r="46" ht="15.75" customHeight="1">
      <c r="A46" s="234">
        <v>46.0</v>
      </c>
      <c r="B46" s="236" t="s">
        <v>1471</v>
      </c>
      <c r="C46" s="198" t="str">
        <f t="shared" ref="C46:DC46" si="45">if(countif(DD:DD,$B46),INDIRECT(concat("B",$A46)),"")</f>
        <v>2.3.1.74</v>
      </c>
      <c r="D46" s="198" t="str">
        <f t="shared" si="45"/>
        <v>2.3.1.74</v>
      </c>
      <c r="E46" s="198" t="str">
        <f t="shared" si="45"/>
        <v>2.3.1.74</v>
      </c>
      <c r="F46" s="198" t="str">
        <f t="shared" si="45"/>
        <v>2.3.1.74</v>
      </c>
      <c r="G46" s="198" t="str">
        <f t="shared" si="45"/>
        <v>2.3.1.74</v>
      </c>
      <c r="H46" s="198" t="str">
        <f t="shared" si="45"/>
        <v>2.3.1.74</v>
      </c>
      <c r="I46" s="198" t="str">
        <f t="shared" si="45"/>
        <v>2.3.1.74</v>
      </c>
      <c r="J46" s="198" t="str">
        <f t="shared" si="45"/>
        <v/>
      </c>
      <c r="K46" s="198" t="str">
        <f t="shared" si="45"/>
        <v/>
      </c>
      <c r="L46" s="198" t="str">
        <f t="shared" si="45"/>
        <v>2.3.1.74</v>
      </c>
      <c r="M46" s="198" t="str">
        <f t="shared" si="45"/>
        <v>2.3.1.74</v>
      </c>
      <c r="N46" s="198" t="str">
        <f t="shared" si="45"/>
        <v>2.3.1.74</v>
      </c>
      <c r="O46" s="198" t="str">
        <f t="shared" si="45"/>
        <v>2.3.1.74</v>
      </c>
      <c r="P46" s="198" t="str">
        <f t="shared" si="45"/>
        <v>2.3.1.74</v>
      </c>
      <c r="Q46" s="198" t="str">
        <f t="shared" si="45"/>
        <v>2.3.1.74</v>
      </c>
      <c r="R46" s="198" t="str">
        <f t="shared" si="45"/>
        <v>2.3.1.74</v>
      </c>
      <c r="S46" s="198" t="str">
        <f t="shared" si="45"/>
        <v/>
      </c>
      <c r="T46" s="198" t="str">
        <f t="shared" si="45"/>
        <v>2.3.1.74</v>
      </c>
      <c r="U46" s="198" t="str">
        <f t="shared" si="45"/>
        <v>2.3.1.74</v>
      </c>
      <c r="V46" s="198" t="str">
        <f t="shared" si="45"/>
        <v>2.3.1.74</v>
      </c>
      <c r="W46" s="198" t="str">
        <f t="shared" si="45"/>
        <v/>
      </c>
      <c r="X46" s="198" t="str">
        <f t="shared" si="45"/>
        <v/>
      </c>
      <c r="Y46" s="198" t="str">
        <f t="shared" si="45"/>
        <v/>
      </c>
      <c r="Z46" s="198" t="str">
        <f t="shared" si="45"/>
        <v>2.3.1.74</v>
      </c>
      <c r="AA46" s="198" t="str">
        <f t="shared" si="45"/>
        <v>2.3.1.74</v>
      </c>
      <c r="AB46" s="198" t="str">
        <f t="shared" si="45"/>
        <v>2.3.1.74</v>
      </c>
      <c r="AC46" s="198" t="str">
        <f t="shared" si="45"/>
        <v/>
      </c>
      <c r="AD46" s="198" t="str">
        <f t="shared" si="45"/>
        <v>2.3.1.74</v>
      </c>
      <c r="AE46" s="198" t="str">
        <f t="shared" si="45"/>
        <v>2.3.1.74</v>
      </c>
      <c r="AF46" s="198" t="str">
        <f t="shared" si="45"/>
        <v>2.3.1.74</v>
      </c>
      <c r="AG46" s="198" t="str">
        <f t="shared" si="45"/>
        <v>2.3.1.74</v>
      </c>
      <c r="AH46" s="198" t="str">
        <f t="shared" si="45"/>
        <v>2.3.1.74</v>
      </c>
      <c r="AI46" s="198" t="str">
        <f t="shared" si="45"/>
        <v/>
      </c>
      <c r="AJ46" s="198" t="str">
        <f t="shared" si="45"/>
        <v>2.3.1.74</v>
      </c>
      <c r="AK46" s="198" t="str">
        <f t="shared" si="45"/>
        <v>2.3.1.74</v>
      </c>
      <c r="AL46" s="198" t="str">
        <f t="shared" si="45"/>
        <v>2.3.1.74</v>
      </c>
      <c r="AM46" s="198" t="str">
        <f t="shared" si="45"/>
        <v>2.3.1.74</v>
      </c>
      <c r="AN46" s="198" t="str">
        <f t="shared" si="45"/>
        <v>2.3.1.74</v>
      </c>
      <c r="AO46" s="198" t="str">
        <f t="shared" si="45"/>
        <v>2.3.1.74</v>
      </c>
      <c r="AP46" s="198" t="str">
        <f t="shared" si="45"/>
        <v>2.3.1.74</v>
      </c>
      <c r="AQ46" s="198" t="str">
        <f t="shared" si="45"/>
        <v>2.3.1.74</v>
      </c>
      <c r="AR46" s="198" t="str">
        <f t="shared" si="45"/>
        <v/>
      </c>
      <c r="AS46" s="198" t="str">
        <f t="shared" si="45"/>
        <v>2.3.1.74</v>
      </c>
      <c r="AT46" s="198" t="str">
        <f t="shared" si="45"/>
        <v>2.3.1.74</v>
      </c>
      <c r="AU46" s="198" t="str">
        <f t="shared" si="45"/>
        <v>2.3.1.74</v>
      </c>
      <c r="AV46" s="198" t="str">
        <f t="shared" si="45"/>
        <v>2.3.1.74</v>
      </c>
      <c r="AW46" s="198" t="str">
        <f t="shared" si="45"/>
        <v>2.3.1.74</v>
      </c>
      <c r="AX46" s="198" t="str">
        <f t="shared" si="45"/>
        <v>2.3.1.74</v>
      </c>
      <c r="AY46" s="198" t="str">
        <f t="shared" si="45"/>
        <v>2.3.1.74</v>
      </c>
      <c r="AZ46" s="198" t="str">
        <f t="shared" si="45"/>
        <v>2.3.1.74</v>
      </c>
      <c r="BA46" s="198" t="str">
        <f t="shared" si="45"/>
        <v>2.3.1.74</v>
      </c>
      <c r="BB46" s="198" t="str">
        <f t="shared" si="45"/>
        <v>2.3.1.74</v>
      </c>
      <c r="BC46" s="198" t="str">
        <f t="shared" si="45"/>
        <v>2.3.1.74</v>
      </c>
      <c r="BD46" s="198" t="str">
        <f t="shared" si="45"/>
        <v>2.3.1.74</v>
      </c>
      <c r="BE46" s="198" t="str">
        <f t="shared" si="45"/>
        <v>2.3.1.74</v>
      </c>
      <c r="BF46" s="198" t="str">
        <f t="shared" si="45"/>
        <v>2.3.1.74</v>
      </c>
      <c r="BG46" s="198" t="str">
        <f t="shared" si="45"/>
        <v/>
      </c>
      <c r="BH46" s="198" t="str">
        <f t="shared" si="45"/>
        <v/>
      </c>
      <c r="BI46" s="198" t="str">
        <f t="shared" si="45"/>
        <v>2.3.1.74</v>
      </c>
      <c r="BJ46" s="198" t="str">
        <f t="shared" si="45"/>
        <v/>
      </c>
      <c r="BK46" s="198" t="str">
        <f t="shared" si="45"/>
        <v>2.3.1.74</v>
      </c>
      <c r="BL46" s="198" t="str">
        <f t="shared" si="45"/>
        <v>2.3.1.74</v>
      </c>
      <c r="BM46" s="198" t="str">
        <f t="shared" si="45"/>
        <v>2.3.1.74</v>
      </c>
      <c r="BN46" s="198" t="str">
        <f t="shared" si="45"/>
        <v>2.3.1.74</v>
      </c>
      <c r="BO46" s="198" t="str">
        <f t="shared" si="45"/>
        <v>2.3.1.74</v>
      </c>
      <c r="BP46" s="198" t="str">
        <f t="shared" si="45"/>
        <v>2.3.1.74</v>
      </c>
      <c r="BQ46" s="198" t="str">
        <f t="shared" si="45"/>
        <v>2.3.1.74</v>
      </c>
      <c r="BR46" s="198" t="str">
        <f t="shared" si="45"/>
        <v>2.3.1.74</v>
      </c>
      <c r="BS46" s="198" t="str">
        <f t="shared" si="45"/>
        <v>2.3.1.74</v>
      </c>
      <c r="BT46" s="198" t="str">
        <f t="shared" si="45"/>
        <v>2.3.1.74</v>
      </c>
      <c r="BU46" s="198" t="str">
        <f t="shared" si="45"/>
        <v/>
      </c>
      <c r="BV46" s="198" t="str">
        <f t="shared" si="45"/>
        <v/>
      </c>
      <c r="BW46" s="198" t="str">
        <f t="shared" si="45"/>
        <v>2.3.1.74</v>
      </c>
      <c r="BX46" s="198" t="str">
        <f t="shared" si="45"/>
        <v>2.3.1.74</v>
      </c>
      <c r="BY46" s="198" t="str">
        <f t="shared" si="45"/>
        <v>2.3.1.74</v>
      </c>
      <c r="BZ46" s="198" t="str">
        <f t="shared" si="45"/>
        <v>2.3.1.74</v>
      </c>
      <c r="CA46" s="198" t="str">
        <f t="shared" si="45"/>
        <v>2.3.1.74</v>
      </c>
      <c r="CB46" s="198" t="str">
        <f t="shared" si="45"/>
        <v>2.3.1.74</v>
      </c>
      <c r="CC46" s="198" t="str">
        <f t="shared" si="45"/>
        <v>2.3.1.74</v>
      </c>
      <c r="CD46" s="198" t="str">
        <f t="shared" si="45"/>
        <v>2.3.1.74</v>
      </c>
      <c r="CE46" s="198" t="str">
        <f t="shared" si="45"/>
        <v>2.3.1.74</v>
      </c>
      <c r="CF46" s="198" t="str">
        <f t="shared" si="45"/>
        <v>2.3.1.74</v>
      </c>
      <c r="CG46" s="198" t="str">
        <f t="shared" si="45"/>
        <v>2.3.1.74</v>
      </c>
      <c r="CH46" s="198" t="str">
        <f t="shared" si="45"/>
        <v>2.3.1.74</v>
      </c>
      <c r="CI46" s="198" t="str">
        <f t="shared" si="45"/>
        <v>2.3.1.74</v>
      </c>
      <c r="CJ46" s="198" t="str">
        <f t="shared" si="45"/>
        <v>2.3.1.74</v>
      </c>
      <c r="CK46" s="198" t="str">
        <f t="shared" si="45"/>
        <v>2.3.1.74</v>
      </c>
      <c r="CL46" s="198" t="str">
        <f t="shared" si="45"/>
        <v>2.3.1.74</v>
      </c>
      <c r="CM46" s="198" t="str">
        <f t="shared" si="45"/>
        <v>2.3.1.74</v>
      </c>
      <c r="CN46" s="198" t="str">
        <f t="shared" si="45"/>
        <v>2.3.1.74</v>
      </c>
      <c r="CO46" s="198" t="str">
        <f t="shared" si="45"/>
        <v>2.3.1.74</v>
      </c>
      <c r="CP46" s="198" t="str">
        <f t="shared" si="45"/>
        <v>2.3.1.74</v>
      </c>
      <c r="CQ46" s="198" t="str">
        <f t="shared" si="45"/>
        <v>2.3.1.74</v>
      </c>
      <c r="CR46" s="198" t="str">
        <f t="shared" si="45"/>
        <v>2.3.1.74</v>
      </c>
      <c r="CS46" s="198" t="str">
        <f t="shared" si="45"/>
        <v>2.3.1.74</v>
      </c>
      <c r="CT46" s="198" t="str">
        <f t="shared" si="45"/>
        <v>2.3.1.74</v>
      </c>
      <c r="CU46" s="198" t="str">
        <f t="shared" si="45"/>
        <v>2.3.1.74</v>
      </c>
      <c r="CV46" s="198" t="str">
        <f t="shared" si="45"/>
        <v>2.3.1.74</v>
      </c>
      <c r="CW46" s="198" t="str">
        <f t="shared" si="45"/>
        <v/>
      </c>
      <c r="CX46" s="198" t="str">
        <f t="shared" si="45"/>
        <v>2.3.1.74</v>
      </c>
      <c r="CY46" s="198" t="str">
        <f t="shared" si="45"/>
        <v>2.3.1.74</v>
      </c>
      <c r="CZ46" s="198" t="str">
        <f t="shared" si="45"/>
        <v>2.3.1.74</v>
      </c>
      <c r="DA46" s="198" t="str">
        <f t="shared" si="45"/>
        <v>2.3.1.74</v>
      </c>
      <c r="DB46" s="198" t="str">
        <f t="shared" si="45"/>
        <v>2.3.1.74</v>
      </c>
      <c r="DC46" s="198" t="str">
        <f t="shared" si="45"/>
        <v>2.3.1.74</v>
      </c>
      <c r="DE46" s="198"/>
      <c r="DF46" s="198"/>
      <c r="DG46" s="198"/>
      <c r="DH46" s="198"/>
      <c r="DI46" s="198"/>
      <c r="DJ46" s="198"/>
      <c r="DK46" s="198"/>
      <c r="DL46" s="198"/>
      <c r="DM46" s="198"/>
      <c r="DN46" s="198"/>
      <c r="DO46" s="198"/>
      <c r="DP46" s="198"/>
      <c r="DQ46" s="198"/>
      <c r="DR46" s="198" t="s">
        <v>1479</v>
      </c>
      <c r="DS46" s="198"/>
      <c r="DT46" s="198"/>
      <c r="DU46" s="198"/>
      <c r="DV46" s="198"/>
      <c r="DW46" s="198"/>
      <c r="DX46" s="198"/>
      <c r="DY46" s="198"/>
      <c r="DZ46" s="198"/>
      <c r="EA46" s="198" t="s">
        <v>1481</v>
      </c>
      <c r="EB46" s="198"/>
      <c r="EC46" s="198"/>
      <c r="ED46" s="198"/>
      <c r="EE46" s="198"/>
      <c r="EF46" s="198"/>
      <c r="EG46" s="198"/>
      <c r="EH46" s="198"/>
      <c r="EI46" s="198"/>
      <c r="EJ46" s="198"/>
      <c r="EK46" s="198"/>
      <c r="EL46" s="198"/>
      <c r="EM46" s="198"/>
      <c r="EN46" s="198"/>
      <c r="EO46" s="198"/>
      <c r="EP46" s="198"/>
      <c r="EQ46" s="198"/>
      <c r="ER46" s="198"/>
      <c r="ES46" s="198"/>
      <c r="ET46" s="198" t="s">
        <v>1490</v>
      </c>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198"/>
      <c r="FQ46" s="198"/>
      <c r="FR46" s="198"/>
      <c r="FS46" s="198"/>
      <c r="FT46" s="198"/>
      <c r="FU46" s="198"/>
      <c r="FV46" s="198"/>
      <c r="FW46" s="198"/>
      <c r="FX46" s="198"/>
      <c r="FY46" s="198"/>
      <c r="FZ46" s="198" t="s">
        <v>1505</v>
      </c>
      <c r="GA46" s="198"/>
      <c r="GB46" s="198"/>
      <c r="GC46" s="198"/>
      <c r="GD46" s="198"/>
      <c r="GE46" s="198"/>
      <c r="GF46" s="198"/>
      <c r="GG46" s="198"/>
      <c r="GH46" s="198"/>
      <c r="GI46" s="198"/>
      <c r="GJ46" s="198"/>
      <c r="GK46" s="198"/>
      <c r="GL46" s="198"/>
      <c r="GM46" s="198"/>
      <c r="GN46" s="198"/>
      <c r="GO46" s="198"/>
      <c r="GP46" s="198"/>
      <c r="GQ46" s="198"/>
      <c r="GR46" s="198"/>
      <c r="GS46" s="198"/>
      <c r="GT46" s="198"/>
      <c r="GU46" s="198" t="s">
        <v>1479</v>
      </c>
      <c r="GV46" s="198" t="s">
        <v>1481</v>
      </c>
      <c r="GW46" s="198"/>
      <c r="GX46" s="198"/>
      <c r="GY46" s="198"/>
      <c r="GZ46" s="198"/>
      <c r="HA46" s="198" t="s">
        <v>1516</v>
      </c>
      <c r="HB46" s="198"/>
      <c r="HC46" s="198"/>
      <c r="HD46" s="198" t="s">
        <v>1505</v>
      </c>
    </row>
    <row r="47" ht="15.75" customHeight="1">
      <c r="A47" s="234">
        <v>47.0</v>
      </c>
      <c r="B47" s="198" t="s">
        <v>1492</v>
      </c>
      <c r="C47" s="198" t="str">
        <f t="shared" ref="C47:DC47" si="46">if(countif(DD:DD,$B47),INDIRECT(concat("B",$A47)),"")</f>
        <v/>
      </c>
      <c r="D47" s="198" t="str">
        <f t="shared" si="46"/>
        <v/>
      </c>
      <c r="E47" s="198" t="str">
        <f t="shared" si="46"/>
        <v/>
      </c>
      <c r="F47" s="198" t="str">
        <f t="shared" si="46"/>
        <v>2.3.1.91</v>
      </c>
      <c r="G47" s="198" t="str">
        <f t="shared" si="46"/>
        <v/>
      </c>
      <c r="H47" s="198" t="str">
        <f t="shared" si="46"/>
        <v/>
      </c>
      <c r="I47" s="198" t="str">
        <f t="shared" si="46"/>
        <v/>
      </c>
      <c r="J47" s="198" t="str">
        <f t="shared" si="46"/>
        <v/>
      </c>
      <c r="K47" s="198" t="str">
        <f t="shared" si="46"/>
        <v/>
      </c>
      <c r="L47" s="198" t="str">
        <f t="shared" si="46"/>
        <v/>
      </c>
      <c r="M47" s="198" t="str">
        <f t="shared" si="46"/>
        <v>2.3.1.91</v>
      </c>
      <c r="N47" s="198" t="str">
        <f t="shared" si="46"/>
        <v>2.3.1.91</v>
      </c>
      <c r="O47" s="198" t="str">
        <f t="shared" si="46"/>
        <v/>
      </c>
      <c r="P47" s="198" t="str">
        <f t="shared" si="46"/>
        <v>2.3.1.91</v>
      </c>
      <c r="Q47" s="198" t="str">
        <f t="shared" si="46"/>
        <v/>
      </c>
      <c r="R47" s="198" t="str">
        <f t="shared" si="46"/>
        <v/>
      </c>
      <c r="S47" s="198" t="str">
        <f t="shared" si="46"/>
        <v>2.3.1.91</v>
      </c>
      <c r="T47" s="198" t="str">
        <f t="shared" si="46"/>
        <v/>
      </c>
      <c r="U47" s="198" t="str">
        <f t="shared" si="46"/>
        <v/>
      </c>
      <c r="V47" s="198" t="str">
        <f t="shared" si="46"/>
        <v/>
      </c>
      <c r="W47" s="198" t="str">
        <f t="shared" si="46"/>
        <v/>
      </c>
      <c r="X47" s="198" t="str">
        <f t="shared" si="46"/>
        <v/>
      </c>
      <c r="Y47" s="198" t="str">
        <f t="shared" si="46"/>
        <v/>
      </c>
      <c r="Z47" s="198" t="str">
        <f t="shared" si="46"/>
        <v/>
      </c>
      <c r="AA47" s="198" t="str">
        <f t="shared" si="46"/>
        <v/>
      </c>
      <c r="AB47" s="198" t="str">
        <f t="shared" si="46"/>
        <v/>
      </c>
      <c r="AC47" s="198" t="str">
        <f t="shared" si="46"/>
        <v/>
      </c>
      <c r="AD47" s="198" t="str">
        <f t="shared" si="46"/>
        <v/>
      </c>
      <c r="AE47" s="198" t="str">
        <f t="shared" si="46"/>
        <v/>
      </c>
      <c r="AF47" s="198" t="str">
        <f t="shared" si="46"/>
        <v/>
      </c>
      <c r="AG47" s="198" t="str">
        <f t="shared" si="46"/>
        <v/>
      </c>
      <c r="AH47" s="198" t="str">
        <f t="shared" si="46"/>
        <v/>
      </c>
      <c r="AI47" s="198" t="str">
        <f t="shared" si="46"/>
        <v/>
      </c>
      <c r="AJ47" s="198" t="str">
        <f t="shared" si="46"/>
        <v/>
      </c>
      <c r="AK47" s="198" t="str">
        <f t="shared" si="46"/>
        <v/>
      </c>
      <c r="AL47" s="198" t="str">
        <f t="shared" si="46"/>
        <v/>
      </c>
      <c r="AM47" s="198" t="str">
        <f t="shared" si="46"/>
        <v/>
      </c>
      <c r="AN47" s="198" t="str">
        <f t="shared" si="46"/>
        <v/>
      </c>
      <c r="AO47" s="198" t="str">
        <f t="shared" si="46"/>
        <v/>
      </c>
      <c r="AP47" s="198" t="str">
        <f t="shared" si="46"/>
        <v>2.3.1.91</v>
      </c>
      <c r="AQ47" s="198" t="str">
        <f t="shared" si="46"/>
        <v/>
      </c>
      <c r="AR47" s="198" t="str">
        <f t="shared" si="46"/>
        <v/>
      </c>
      <c r="AS47" s="198" t="str">
        <f t="shared" si="46"/>
        <v/>
      </c>
      <c r="AT47" s="198" t="str">
        <f t="shared" si="46"/>
        <v/>
      </c>
      <c r="AU47" s="198" t="str">
        <f t="shared" si="46"/>
        <v/>
      </c>
      <c r="AV47" s="198" t="str">
        <f t="shared" si="46"/>
        <v/>
      </c>
      <c r="AW47" s="198" t="str">
        <f t="shared" si="46"/>
        <v/>
      </c>
      <c r="AX47" s="198" t="str">
        <f t="shared" si="46"/>
        <v/>
      </c>
      <c r="AY47" s="198" t="str">
        <f t="shared" si="46"/>
        <v/>
      </c>
      <c r="AZ47" s="198" t="str">
        <f t="shared" si="46"/>
        <v/>
      </c>
      <c r="BA47" s="198" t="str">
        <f t="shared" si="46"/>
        <v/>
      </c>
      <c r="BB47" s="198" t="str">
        <f t="shared" si="46"/>
        <v/>
      </c>
      <c r="BC47" s="198" t="str">
        <f t="shared" si="46"/>
        <v/>
      </c>
      <c r="BD47" s="198" t="str">
        <f t="shared" si="46"/>
        <v/>
      </c>
      <c r="BE47" s="198" t="str">
        <f t="shared" si="46"/>
        <v/>
      </c>
      <c r="BF47" s="198" t="str">
        <f t="shared" si="46"/>
        <v/>
      </c>
      <c r="BG47" s="198" t="str">
        <f t="shared" si="46"/>
        <v/>
      </c>
      <c r="BH47" s="198" t="str">
        <f t="shared" si="46"/>
        <v/>
      </c>
      <c r="BI47" s="198" t="str">
        <f t="shared" si="46"/>
        <v/>
      </c>
      <c r="BJ47" s="198" t="str">
        <f t="shared" si="46"/>
        <v/>
      </c>
      <c r="BK47" s="198" t="str">
        <f t="shared" si="46"/>
        <v/>
      </c>
      <c r="BL47" s="198" t="str">
        <f t="shared" si="46"/>
        <v/>
      </c>
      <c r="BM47" s="198" t="str">
        <f t="shared" si="46"/>
        <v/>
      </c>
      <c r="BN47" s="198" t="str">
        <f t="shared" si="46"/>
        <v/>
      </c>
      <c r="BO47" s="198" t="str">
        <f t="shared" si="46"/>
        <v/>
      </c>
      <c r="BP47" s="198" t="str">
        <f t="shared" si="46"/>
        <v/>
      </c>
      <c r="BQ47" s="198" t="str">
        <f t="shared" si="46"/>
        <v/>
      </c>
      <c r="BR47" s="198" t="str">
        <f t="shared" si="46"/>
        <v/>
      </c>
      <c r="BS47" s="198" t="str">
        <f t="shared" si="46"/>
        <v/>
      </c>
      <c r="BT47" s="198" t="str">
        <f t="shared" si="46"/>
        <v/>
      </c>
      <c r="BU47" s="198" t="str">
        <f t="shared" si="46"/>
        <v/>
      </c>
      <c r="BV47" s="198" t="str">
        <f t="shared" si="46"/>
        <v/>
      </c>
      <c r="BW47" s="198" t="str">
        <f t="shared" si="46"/>
        <v/>
      </c>
      <c r="BX47" s="198" t="str">
        <f t="shared" si="46"/>
        <v/>
      </c>
      <c r="BY47" s="198" t="str">
        <f t="shared" si="46"/>
        <v/>
      </c>
      <c r="BZ47" s="198" t="str">
        <f t="shared" si="46"/>
        <v/>
      </c>
      <c r="CA47" s="198" t="str">
        <f t="shared" si="46"/>
        <v/>
      </c>
      <c r="CB47" s="198" t="str">
        <f t="shared" si="46"/>
        <v/>
      </c>
      <c r="CC47" s="198" t="str">
        <f t="shared" si="46"/>
        <v/>
      </c>
      <c r="CD47" s="198" t="str">
        <f t="shared" si="46"/>
        <v/>
      </c>
      <c r="CE47" s="198" t="str">
        <f t="shared" si="46"/>
        <v/>
      </c>
      <c r="CF47" s="198" t="str">
        <f t="shared" si="46"/>
        <v/>
      </c>
      <c r="CG47" s="198" t="str">
        <f t="shared" si="46"/>
        <v/>
      </c>
      <c r="CH47" s="198" t="str">
        <f t="shared" si="46"/>
        <v/>
      </c>
      <c r="CI47" s="198" t="str">
        <f t="shared" si="46"/>
        <v/>
      </c>
      <c r="CJ47" s="198" t="str">
        <f t="shared" si="46"/>
        <v/>
      </c>
      <c r="CK47" s="198" t="str">
        <f t="shared" si="46"/>
        <v/>
      </c>
      <c r="CL47" s="198" t="str">
        <f t="shared" si="46"/>
        <v/>
      </c>
      <c r="CM47" s="198" t="str">
        <f t="shared" si="46"/>
        <v/>
      </c>
      <c r="CN47" s="198" t="str">
        <f t="shared" si="46"/>
        <v/>
      </c>
      <c r="CO47" s="198" t="str">
        <f t="shared" si="46"/>
        <v/>
      </c>
      <c r="CP47" s="198" t="str">
        <f t="shared" si="46"/>
        <v/>
      </c>
      <c r="CQ47" s="198" t="str">
        <f t="shared" si="46"/>
        <v/>
      </c>
      <c r="CR47" s="198" t="str">
        <f t="shared" si="46"/>
        <v/>
      </c>
      <c r="CS47" s="198" t="str">
        <f t="shared" si="46"/>
        <v/>
      </c>
      <c r="CT47" s="198" t="str">
        <f t="shared" si="46"/>
        <v/>
      </c>
      <c r="CU47" s="198" t="str">
        <f t="shared" si="46"/>
        <v/>
      </c>
      <c r="CV47" s="198" t="str">
        <f t="shared" si="46"/>
        <v/>
      </c>
      <c r="CW47" s="198" t="str">
        <f t="shared" si="46"/>
        <v/>
      </c>
      <c r="CX47" s="198" t="str">
        <f t="shared" si="46"/>
        <v/>
      </c>
      <c r="CY47" s="198" t="str">
        <f t="shared" si="46"/>
        <v/>
      </c>
      <c r="CZ47" s="198" t="str">
        <f t="shared" si="46"/>
        <v/>
      </c>
      <c r="DA47" s="198" t="str">
        <f t="shared" si="46"/>
        <v/>
      </c>
      <c r="DB47" s="198" t="str">
        <f t="shared" si="46"/>
        <v/>
      </c>
      <c r="DC47" s="198" t="str">
        <f t="shared" si="46"/>
        <v/>
      </c>
      <c r="DE47" s="198"/>
      <c r="DF47" s="198"/>
      <c r="DG47" s="198"/>
      <c r="DH47" s="198"/>
      <c r="DI47" s="198"/>
      <c r="DJ47" s="198"/>
      <c r="DK47" s="198"/>
      <c r="DL47" s="198"/>
      <c r="DM47" s="198"/>
      <c r="DN47" s="198"/>
      <c r="DO47" s="198"/>
      <c r="DP47" s="198"/>
      <c r="DQ47" s="198"/>
      <c r="DR47" s="198" t="s">
        <v>1481</v>
      </c>
      <c r="DS47" s="198"/>
      <c r="DT47" s="198"/>
      <c r="DU47" s="198"/>
      <c r="DV47" s="198"/>
      <c r="DW47" s="198"/>
      <c r="DX47" s="198"/>
      <c r="DY47" s="198"/>
      <c r="DZ47" s="198"/>
      <c r="EA47" s="198" t="s">
        <v>1482</v>
      </c>
      <c r="EB47" s="198"/>
      <c r="EC47" s="198"/>
      <c r="ED47" s="198"/>
      <c r="EE47" s="198"/>
      <c r="EF47" s="198"/>
      <c r="EG47" s="198"/>
      <c r="EH47" s="198"/>
      <c r="EI47" s="198"/>
      <c r="EJ47" s="198"/>
      <c r="EK47" s="198"/>
      <c r="EL47" s="198"/>
      <c r="EM47" s="198"/>
      <c r="EN47" s="198"/>
      <c r="EO47" s="198"/>
      <c r="EP47" s="198"/>
      <c r="EQ47" s="198"/>
      <c r="ER47" s="198"/>
      <c r="ES47" s="198"/>
      <c r="ET47" s="198" t="s">
        <v>1485</v>
      </c>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198"/>
      <c r="FQ47" s="198"/>
      <c r="FR47" s="198"/>
      <c r="FS47" s="198"/>
      <c r="FT47" s="198"/>
      <c r="FU47" s="198"/>
      <c r="FV47" s="198"/>
      <c r="FW47" s="198"/>
      <c r="FX47" s="198"/>
      <c r="FY47" s="198"/>
      <c r="FZ47" s="198" t="s">
        <v>1472</v>
      </c>
      <c r="GA47" s="198"/>
      <c r="GB47" s="198"/>
      <c r="GC47" s="198"/>
      <c r="GD47" s="198"/>
      <c r="GE47" s="198"/>
      <c r="GF47" s="198"/>
      <c r="GG47" s="198"/>
      <c r="GH47" s="198"/>
      <c r="GI47" s="198"/>
      <c r="GJ47" s="198"/>
      <c r="GK47" s="198"/>
      <c r="GL47" s="198"/>
      <c r="GM47" s="198"/>
      <c r="GN47" s="198"/>
      <c r="GO47" s="198"/>
      <c r="GP47" s="198"/>
      <c r="GQ47" s="198"/>
      <c r="GR47" s="198"/>
      <c r="GS47" s="198"/>
      <c r="GT47" s="198"/>
      <c r="GU47" s="198" t="s">
        <v>1481</v>
      </c>
      <c r="GV47" s="198" t="s">
        <v>1482</v>
      </c>
      <c r="GW47" s="198"/>
      <c r="GX47" s="198"/>
      <c r="GY47" s="198"/>
      <c r="GZ47" s="198"/>
      <c r="HA47" s="198" t="s">
        <v>1490</v>
      </c>
      <c r="HB47" s="198"/>
      <c r="HC47" s="198"/>
      <c r="HD47" s="198" t="s">
        <v>1472</v>
      </c>
    </row>
    <row r="48" ht="15.75" customHeight="1">
      <c r="A48" s="234">
        <v>48.0</v>
      </c>
      <c r="B48" s="198" t="s">
        <v>1486</v>
      </c>
      <c r="C48" s="198" t="str">
        <f t="shared" ref="C48:DC48" si="47">if(countif(DD:DD,$B48),INDIRECT(concat("B",$A48)),"")</f>
        <v/>
      </c>
      <c r="D48" s="198" t="str">
        <f t="shared" si="47"/>
        <v/>
      </c>
      <c r="E48" s="198" t="str">
        <f t="shared" si="47"/>
        <v>2.3.1.92</v>
      </c>
      <c r="F48" s="198" t="str">
        <f t="shared" si="47"/>
        <v>2.3.1.92</v>
      </c>
      <c r="G48" s="198" t="str">
        <f t="shared" si="47"/>
        <v/>
      </c>
      <c r="H48" s="198" t="str">
        <f t="shared" si="47"/>
        <v/>
      </c>
      <c r="I48" s="198" t="str">
        <f t="shared" si="47"/>
        <v/>
      </c>
      <c r="J48" s="198" t="str">
        <f t="shared" si="47"/>
        <v/>
      </c>
      <c r="K48" s="198" t="str">
        <f t="shared" si="47"/>
        <v/>
      </c>
      <c r="L48" s="198" t="str">
        <f t="shared" si="47"/>
        <v/>
      </c>
      <c r="M48" s="198" t="str">
        <f t="shared" si="47"/>
        <v/>
      </c>
      <c r="N48" s="198" t="str">
        <f t="shared" si="47"/>
        <v/>
      </c>
      <c r="O48" s="198" t="str">
        <f t="shared" si="47"/>
        <v/>
      </c>
      <c r="P48" s="198" t="str">
        <f t="shared" si="47"/>
        <v/>
      </c>
      <c r="Q48" s="198" t="str">
        <f t="shared" si="47"/>
        <v/>
      </c>
      <c r="R48" s="198" t="str">
        <f t="shared" si="47"/>
        <v/>
      </c>
      <c r="S48" s="198" t="str">
        <f t="shared" si="47"/>
        <v/>
      </c>
      <c r="T48" s="198" t="str">
        <f t="shared" si="47"/>
        <v/>
      </c>
      <c r="U48" s="198" t="str">
        <f t="shared" si="47"/>
        <v/>
      </c>
      <c r="V48" s="198" t="str">
        <f t="shared" si="47"/>
        <v/>
      </c>
      <c r="W48" s="198" t="str">
        <f t="shared" si="47"/>
        <v/>
      </c>
      <c r="X48" s="198" t="str">
        <f t="shared" si="47"/>
        <v/>
      </c>
      <c r="Y48" s="198" t="str">
        <f t="shared" si="47"/>
        <v/>
      </c>
      <c r="Z48" s="198" t="str">
        <f t="shared" si="47"/>
        <v/>
      </c>
      <c r="AA48" s="198" t="str">
        <f t="shared" si="47"/>
        <v/>
      </c>
      <c r="AB48" s="198" t="str">
        <f t="shared" si="47"/>
        <v/>
      </c>
      <c r="AC48" s="198" t="str">
        <f t="shared" si="47"/>
        <v/>
      </c>
      <c r="AD48" s="198" t="str">
        <f t="shared" si="47"/>
        <v/>
      </c>
      <c r="AE48" s="198" t="str">
        <f t="shared" si="47"/>
        <v/>
      </c>
      <c r="AF48" s="198" t="str">
        <f t="shared" si="47"/>
        <v/>
      </c>
      <c r="AG48" s="198" t="str">
        <f t="shared" si="47"/>
        <v/>
      </c>
      <c r="AH48" s="198" t="str">
        <f t="shared" si="47"/>
        <v/>
      </c>
      <c r="AI48" s="198" t="str">
        <f t="shared" si="47"/>
        <v/>
      </c>
      <c r="AJ48" s="198" t="str">
        <f t="shared" si="47"/>
        <v/>
      </c>
      <c r="AK48" s="198" t="str">
        <f t="shared" si="47"/>
        <v/>
      </c>
      <c r="AL48" s="198" t="str">
        <f t="shared" si="47"/>
        <v/>
      </c>
      <c r="AM48" s="198" t="str">
        <f t="shared" si="47"/>
        <v/>
      </c>
      <c r="AN48" s="198" t="str">
        <f t="shared" si="47"/>
        <v/>
      </c>
      <c r="AO48" s="198" t="str">
        <f t="shared" si="47"/>
        <v/>
      </c>
      <c r="AP48" s="198" t="str">
        <f t="shared" si="47"/>
        <v/>
      </c>
      <c r="AQ48" s="198" t="str">
        <f t="shared" si="47"/>
        <v/>
      </c>
      <c r="AR48" s="198" t="str">
        <f t="shared" si="47"/>
        <v/>
      </c>
      <c r="AS48" s="198" t="str">
        <f t="shared" si="47"/>
        <v/>
      </c>
      <c r="AT48" s="198" t="str">
        <f t="shared" si="47"/>
        <v/>
      </c>
      <c r="AU48" s="198" t="str">
        <f t="shared" si="47"/>
        <v/>
      </c>
      <c r="AV48" s="198" t="str">
        <f t="shared" si="47"/>
        <v/>
      </c>
      <c r="AW48" s="198" t="str">
        <f t="shared" si="47"/>
        <v/>
      </c>
      <c r="AX48" s="198" t="str">
        <f t="shared" si="47"/>
        <v/>
      </c>
      <c r="AY48" s="198" t="str">
        <f t="shared" si="47"/>
        <v/>
      </c>
      <c r="AZ48" s="198" t="str">
        <f t="shared" si="47"/>
        <v/>
      </c>
      <c r="BA48" s="198" t="str">
        <f t="shared" si="47"/>
        <v/>
      </c>
      <c r="BB48" s="198" t="str">
        <f t="shared" si="47"/>
        <v/>
      </c>
      <c r="BC48" s="198" t="str">
        <f t="shared" si="47"/>
        <v/>
      </c>
      <c r="BD48" s="198" t="str">
        <f t="shared" si="47"/>
        <v/>
      </c>
      <c r="BE48" s="198" t="str">
        <f t="shared" si="47"/>
        <v/>
      </c>
      <c r="BF48" s="198" t="str">
        <f t="shared" si="47"/>
        <v/>
      </c>
      <c r="BG48" s="198" t="str">
        <f t="shared" si="47"/>
        <v/>
      </c>
      <c r="BH48" s="198" t="str">
        <f t="shared" si="47"/>
        <v/>
      </c>
      <c r="BI48" s="198" t="str">
        <f t="shared" si="47"/>
        <v/>
      </c>
      <c r="BJ48" s="198" t="str">
        <f t="shared" si="47"/>
        <v/>
      </c>
      <c r="BK48" s="198" t="str">
        <f t="shared" si="47"/>
        <v/>
      </c>
      <c r="BL48" s="198" t="str">
        <f t="shared" si="47"/>
        <v/>
      </c>
      <c r="BM48" s="198" t="str">
        <f t="shared" si="47"/>
        <v/>
      </c>
      <c r="BN48" s="198" t="str">
        <f t="shared" si="47"/>
        <v/>
      </c>
      <c r="BO48" s="198" t="str">
        <f t="shared" si="47"/>
        <v/>
      </c>
      <c r="BP48" s="198" t="str">
        <f t="shared" si="47"/>
        <v/>
      </c>
      <c r="BQ48" s="198" t="str">
        <f t="shared" si="47"/>
        <v/>
      </c>
      <c r="BR48" s="198" t="str">
        <f t="shared" si="47"/>
        <v/>
      </c>
      <c r="BS48" s="198" t="str">
        <f t="shared" si="47"/>
        <v/>
      </c>
      <c r="BT48" s="198" t="str">
        <f t="shared" si="47"/>
        <v/>
      </c>
      <c r="BU48" s="198" t="str">
        <f t="shared" si="47"/>
        <v/>
      </c>
      <c r="BV48" s="198" t="str">
        <f t="shared" si="47"/>
        <v/>
      </c>
      <c r="BW48" s="198" t="str">
        <f t="shared" si="47"/>
        <v/>
      </c>
      <c r="BX48" s="198" t="str">
        <f t="shared" si="47"/>
        <v/>
      </c>
      <c r="BY48" s="198" t="str">
        <f t="shared" si="47"/>
        <v/>
      </c>
      <c r="BZ48" s="198" t="str">
        <f t="shared" si="47"/>
        <v/>
      </c>
      <c r="CA48" s="198" t="str">
        <f t="shared" si="47"/>
        <v/>
      </c>
      <c r="CB48" s="198" t="str">
        <f t="shared" si="47"/>
        <v/>
      </c>
      <c r="CC48" s="198" t="str">
        <f t="shared" si="47"/>
        <v/>
      </c>
      <c r="CD48" s="198" t="str">
        <f t="shared" si="47"/>
        <v/>
      </c>
      <c r="CE48" s="198" t="str">
        <f t="shared" si="47"/>
        <v/>
      </c>
      <c r="CF48" s="198" t="str">
        <f t="shared" si="47"/>
        <v/>
      </c>
      <c r="CG48" s="198" t="str">
        <f t="shared" si="47"/>
        <v/>
      </c>
      <c r="CH48" s="198" t="str">
        <f t="shared" si="47"/>
        <v/>
      </c>
      <c r="CI48" s="198" t="str">
        <f t="shared" si="47"/>
        <v/>
      </c>
      <c r="CJ48" s="198" t="str">
        <f t="shared" si="47"/>
        <v/>
      </c>
      <c r="CK48" s="198" t="str">
        <f t="shared" si="47"/>
        <v/>
      </c>
      <c r="CL48" s="198" t="str">
        <f t="shared" si="47"/>
        <v/>
      </c>
      <c r="CM48" s="198" t="str">
        <f t="shared" si="47"/>
        <v/>
      </c>
      <c r="CN48" s="198" t="str">
        <f t="shared" si="47"/>
        <v/>
      </c>
      <c r="CO48" s="198" t="str">
        <f t="shared" si="47"/>
        <v/>
      </c>
      <c r="CP48" s="198" t="str">
        <f t="shared" si="47"/>
        <v/>
      </c>
      <c r="CQ48" s="198" t="str">
        <f t="shared" si="47"/>
        <v/>
      </c>
      <c r="CR48" s="198" t="str">
        <f t="shared" si="47"/>
        <v/>
      </c>
      <c r="CS48" s="198" t="str">
        <f t="shared" si="47"/>
        <v/>
      </c>
      <c r="CT48" s="198" t="str">
        <f t="shared" si="47"/>
        <v/>
      </c>
      <c r="CU48" s="198" t="str">
        <f t="shared" si="47"/>
        <v/>
      </c>
      <c r="CV48" s="198" t="str">
        <f t="shared" si="47"/>
        <v/>
      </c>
      <c r="CW48" s="198" t="str">
        <f t="shared" si="47"/>
        <v/>
      </c>
      <c r="CX48" s="198" t="str">
        <f t="shared" si="47"/>
        <v/>
      </c>
      <c r="CY48" s="198" t="str">
        <f t="shared" si="47"/>
        <v/>
      </c>
      <c r="CZ48" s="198" t="str">
        <f t="shared" si="47"/>
        <v/>
      </c>
      <c r="DA48" s="198" t="str">
        <f t="shared" si="47"/>
        <v/>
      </c>
      <c r="DB48" s="198" t="str">
        <f t="shared" si="47"/>
        <v/>
      </c>
      <c r="DC48" s="198" t="str">
        <f t="shared" si="47"/>
        <v/>
      </c>
      <c r="DD48" s="198"/>
      <c r="DE48" s="198"/>
      <c r="DF48" s="198"/>
      <c r="DG48" s="198"/>
      <c r="DH48" s="198"/>
      <c r="DI48" s="198"/>
      <c r="DJ48" s="198"/>
      <c r="DK48" s="198"/>
      <c r="DL48" s="198"/>
      <c r="DM48" s="198"/>
      <c r="DN48" s="198"/>
      <c r="DO48" s="198"/>
      <c r="DP48" s="198"/>
      <c r="DQ48" s="198"/>
      <c r="DR48" s="198" t="s">
        <v>1482</v>
      </c>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t="s">
        <v>1505</v>
      </c>
      <c r="EU48" s="198"/>
      <c r="EV48" s="198"/>
      <c r="EW48" s="198"/>
      <c r="EX48" s="198"/>
      <c r="EY48" s="198"/>
      <c r="EZ48" s="198"/>
      <c r="FA48" s="198"/>
      <c r="FB48" s="198"/>
      <c r="FC48" s="198"/>
      <c r="FD48" s="198"/>
      <c r="FE48" s="198"/>
      <c r="FF48" s="198"/>
      <c r="FG48" s="198"/>
      <c r="FH48" s="198"/>
      <c r="FI48" s="198"/>
      <c r="FJ48" s="198"/>
      <c r="FK48" s="198"/>
      <c r="FL48" s="198"/>
      <c r="FM48" s="198"/>
      <c r="FN48" s="198"/>
      <c r="FO48" s="198"/>
      <c r="FP48" s="198"/>
      <c r="FQ48" s="198"/>
      <c r="FR48" s="198"/>
      <c r="FS48" s="198"/>
      <c r="FT48" s="198"/>
      <c r="FU48" s="198"/>
      <c r="FV48" s="198"/>
      <c r="FW48" s="198"/>
      <c r="FX48" s="198"/>
      <c r="FY48" s="198"/>
      <c r="FZ48" s="198" t="s">
        <v>1475</v>
      </c>
      <c r="GA48" s="198"/>
      <c r="GB48" s="198"/>
      <c r="GC48" s="198"/>
      <c r="GD48" s="198"/>
      <c r="GE48" s="198"/>
      <c r="GF48" s="198"/>
      <c r="GG48" s="198"/>
      <c r="GH48" s="198"/>
      <c r="GI48" s="198"/>
      <c r="GJ48" s="198"/>
      <c r="GK48" s="198"/>
      <c r="GL48" s="198"/>
      <c r="GM48" s="198"/>
      <c r="GN48" s="198"/>
      <c r="GO48" s="198"/>
      <c r="GP48" s="198"/>
      <c r="GQ48" s="198"/>
      <c r="GR48" s="198"/>
      <c r="GS48" s="198"/>
      <c r="GT48" s="198"/>
      <c r="GU48" s="198" t="s">
        <v>1482</v>
      </c>
      <c r="GV48" s="198"/>
      <c r="GW48" s="198"/>
      <c r="GX48" s="198"/>
      <c r="GY48" s="198"/>
      <c r="GZ48" s="198"/>
      <c r="HA48" s="198" t="s">
        <v>1485</v>
      </c>
      <c r="HB48" s="198"/>
      <c r="HC48" s="198"/>
      <c r="HD48" s="198" t="s">
        <v>1475</v>
      </c>
    </row>
    <row r="49" ht="15.75" customHeight="1">
      <c r="A49" s="234">
        <v>49.0</v>
      </c>
      <c r="B49" s="236" t="s">
        <v>1472</v>
      </c>
      <c r="C49" s="198" t="str">
        <f t="shared" ref="C49:DC49" si="48">if(countif(DD:DD,$B49),INDIRECT(concat("B",$A49)),"")</f>
        <v>2.4.1.-</v>
      </c>
      <c r="D49" s="198" t="str">
        <f t="shared" si="48"/>
        <v/>
      </c>
      <c r="E49" s="198" t="str">
        <f t="shared" si="48"/>
        <v/>
      </c>
      <c r="F49" s="198" t="str">
        <f t="shared" si="48"/>
        <v>2.4.1.-</v>
      </c>
      <c r="G49" s="198" t="str">
        <f t="shared" si="48"/>
        <v>2.4.1.-</v>
      </c>
      <c r="H49" s="198" t="str">
        <f t="shared" si="48"/>
        <v>2.4.1.-</v>
      </c>
      <c r="I49" s="198" t="str">
        <f t="shared" si="48"/>
        <v>2.4.1.-</v>
      </c>
      <c r="J49" s="198" t="str">
        <f t="shared" si="48"/>
        <v/>
      </c>
      <c r="K49" s="198" t="str">
        <f t="shared" si="48"/>
        <v/>
      </c>
      <c r="L49" s="198" t="str">
        <f t="shared" si="48"/>
        <v>2.4.1.-</v>
      </c>
      <c r="M49" s="198" t="str">
        <f t="shared" si="48"/>
        <v>2.4.1.-</v>
      </c>
      <c r="N49" s="198" t="str">
        <f t="shared" si="48"/>
        <v/>
      </c>
      <c r="O49" s="198" t="str">
        <f t="shared" si="48"/>
        <v/>
      </c>
      <c r="P49" s="198" t="str">
        <f t="shared" si="48"/>
        <v/>
      </c>
      <c r="Q49" s="198" t="str">
        <f t="shared" si="48"/>
        <v>2.4.1.-</v>
      </c>
      <c r="R49" s="198" t="str">
        <f t="shared" si="48"/>
        <v>2.4.1.-</v>
      </c>
      <c r="S49" s="198" t="str">
        <f t="shared" si="48"/>
        <v/>
      </c>
      <c r="T49" s="198" t="str">
        <f t="shared" si="48"/>
        <v>2.4.1.-</v>
      </c>
      <c r="U49" s="198" t="str">
        <f t="shared" si="48"/>
        <v>2.4.1.-</v>
      </c>
      <c r="V49" s="198" t="str">
        <f t="shared" si="48"/>
        <v>2.4.1.-</v>
      </c>
      <c r="W49" s="198" t="str">
        <f t="shared" si="48"/>
        <v/>
      </c>
      <c r="X49" s="198" t="str">
        <f t="shared" si="48"/>
        <v/>
      </c>
      <c r="Y49" s="198" t="str">
        <f t="shared" si="48"/>
        <v/>
      </c>
      <c r="Z49" s="198" t="str">
        <f t="shared" si="48"/>
        <v>2.4.1.-</v>
      </c>
      <c r="AA49" s="198" t="str">
        <f t="shared" si="48"/>
        <v>2.4.1.-</v>
      </c>
      <c r="AB49" s="198" t="str">
        <f t="shared" si="48"/>
        <v>2.4.1.-</v>
      </c>
      <c r="AC49" s="198" t="str">
        <f t="shared" si="48"/>
        <v/>
      </c>
      <c r="AD49" s="198" t="str">
        <f t="shared" si="48"/>
        <v>2.4.1.-</v>
      </c>
      <c r="AE49" s="198" t="str">
        <f t="shared" si="48"/>
        <v>2.4.1.-</v>
      </c>
      <c r="AF49" s="198" t="str">
        <f t="shared" si="48"/>
        <v>2.4.1.-</v>
      </c>
      <c r="AG49" s="198" t="str">
        <f t="shared" si="48"/>
        <v>2.4.1.-</v>
      </c>
      <c r="AH49" s="198" t="str">
        <f t="shared" si="48"/>
        <v>2.4.1.-</v>
      </c>
      <c r="AI49" s="198" t="str">
        <f t="shared" si="48"/>
        <v/>
      </c>
      <c r="AJ49" s="198" t="str">
        <f t="shared" si="48"/>
        <v>2.4.1.-</v>
      </c>
      <c r="AK49" s="198" t="str">
        <f t="shared" si="48"/>
        <v>2.4.1.-</v>
      </c>
      <c r="AL49" s="198" t="str">
        <f t="shared" si="48"/>
        <v/>
      </c>
      <c r="AM49" s="198" t="str">
        <f t="shared" si="48"/>
        <v>2.4.1.-</v>
      </c>
      <c r="AN49" s="198" t="str">
        <f t="shared" si="48"/>
        <v>2.4.1.-</v>
      </c>
      <c r="AO49" s="198" t="str">
        <f t="shared" si="48"/>
        <v>2.4.1.-</v>
      </c>
      <c r="AP49" s="198" t="str">
        <f t="shared" si="48"/>
        <v/>
      </c>
      <c r="AQ49" s="198" t="str">
        <f t="shared" si="48"/>
        <v>2.4.1.-</v>
      </c>
      <c r="AR49" s="198" t="str">
        <f t="shared" si="48"/>
        <v/>
      </c>
      <c r="AS49" s="198" t="str">
        <f t="shared" si="48"/>
        <v>2.4.1.-</v>
      </c>
      <c r="AT49" s="198" t="str">
        <f t="shared" si="48"/>
        <v>2.4.1.-</v>
      </c>
      <c r="AU49" s="198" t="str">
        <f t="shared" si="48"/>
        <v>2.4.1.-</v>
      </c>
      <c r="AV49" s="198" t="str">
        <f t="shared" si="48"/>
        <v>2.4.1.-</v>
      </c>
      <c r="AW49" s="198" t="str">
        <f t="shared" si="48"/>
        <v/>
      </c>
      <c r="AX49" s="198" t="str">
        <f t="shared" si="48"/>
        <v>2.4.1.-</v>
      </c>
      <c r="AY49" s="198" t="str">
        <f t="shared" si="48"/>
        <v/>
      </c>
      <c r="AZ49" s="198" t="str">
        <f t="shared" si="48"/>
        <v>2.4.1.-</v>
      </c>
      <c r="BA49" s="198" t="str">
        <f t="shared" si="48"/>
        <v>2.4.1.-</v>
      </c>
      <c r="BB49" s="198" t="str">
        <f t="shared" si="48"/>
        <v/>
      </c>
      <c r="BC49" s="198" t="str">
        <f t="shared" si="48"/>
        <v>2.4.1.-</v>
      </c>
      <c r="BD49" s="198" t="str">
        <f t="shared" si="48"/>
        <v>2.4.1.-</v>
      </c>
      <c r="BE49" s="198" t="str">
        <f t="shared" si="48"/>
        <v>2.4.1.-</v>
      </c>
      <c r="BF49" s="198" t="str">
        <f t="shared" si="48"/>
        <v>2.4.1.-</v>
      </c>
      <c r="BG49" s="198" t="str">
        <f t="shared" si="48"/>
        <v/>
      </c>
      <c r="BH49" s="198" t="str">
        <f t="shared" si="48"/>
        <v/>
      </c>
      <c r="BI49" s="198" t="str">
        <f t="shared" si="48"/>
        <v>2.4.1.-</v>
      </c>
      <c r="BJ49" s="198" t="str">
        <f t="shared" si="48"/>
        <v/>
      </c>
      <c r="BK49" s="198" t="str">
        <f t="shared" si="48"/>
        <v>2.4.1.-</v>
      </c>
      <c r="BL49" s="198" t="str">
        <f t="shared" si="48"/>
        <v>2.4.1.-</v>
      </c>
      <c r="BM49" s="198" t="str">
        <f t="shared" si="48"/>
        <v>2.4.1.-</v>
      </c>
      <c r="BN49" s="198" t="str">
        <f t="shared" si="48"/>
        <v/>
      </c>
      <c r="BO49" s="198" t="str">
        <f t="shared" si="48"/>
        <v>2.4.1.-</v>
      </c>
      <c r="BP49" s="198" t="str">
        <f t="shared" si="48"/>
        <v/>
      </c>
      <c r="BQ49" s="198" t="str">
        <f t="shared" si="48"/>
        <v>2.4.1.-</v>
      </c>
      <c r="BR49" s="198" t="str">
        <f t="shared" si="48"/>
        <v>2.4.1.-</v>
      </c>
      <c r="BS49" s="198" t="str">
        <f t="shared" si="48"/>
        <v>2.4.1.-</v>
      </c>
      <c r="BT49" s="198" t="str">
        <f t="shared" si="48"/>
        <v>2.4.1.-</v>
      </c>
      <c r="BU49" s="198" t="str">
        <f t="shared" si="48"/>
        <v/>
      </c>
      <c r="BV49" s="198" t="str">
        <f t="shared" si="48"/>
        <v/>
      </c>
      <c r="BW49" s="198" t="str">
        <f t="shared" si="48"/>
        <v>2.4.1.-</v>
      </c>
      <c r="BX49" s="198" t="str">
        <f t="shared" si="48"/>
        <v/>
      </c>
      <c r="BY49" s="198" t="str">
        <f t="shared" si="48"/>
        <v>2.4.1.-</v>
      </c>
      <c r="BZ49" s="198" t="str">
        <f t="shared" si="48"/>
        <v>2.4.1.-</v>
      </c>
      <c r="CA49" s="198" t="str">
        <f t="shared" si="48"/>
        <v/>
      </c>
      <c r="CB49" s="198" t="str">
        <f t="shared" si="48"/>
        <v>2.4.1.-</v>
      </c>
      <c r="CC49" s="198" t="str">
        <f t="shared" si="48"/>
        <v>2.4.1.-</v>
      </c>
      <c r="CD49" s="198" t="str">
        <f t="shared" si="48"/>
        <v>2.4.1.-</v>
      </c>
      <c r="CE49" s="198" t="str">
        <f t="shared" si="48"/>
        <v>2.4.1.-</v>
      </c>
      <c r="CF49" s="198" t="str">
        <f t="shared" si="48"/>
        <v>2.4.1.-</v>
      </c>
      <c r="CG49" s="198" t="str">
        <f t="shared" si="48"/>
        <v>2.4.1.-</v>
      </c>
      <c r="CH49" s="198" t="str">
        <f t="shared" si="48"/>
        <v>2.4.1.-</v>
      </c>
      <c r="CI49" s="198" t="str">
        <f t="shared" si="48"/>
        <v>2.4.1.-</v>
      </c>
      <c r="CJ49" s="198" t="str">
        <f t="shared" si="48"/>
        <v/>
      </c>
      <c r="CK49" s="198" t="str">
        <f t="shared" si="48"/>
        <v>2.4.1.-</v>
      </c>
      <c r="CL49" s="198" t="str">
        <f t="shared" si="48"/>
        <v>2.4.1.-</v>
      </c>
      <c r="CM49" s="198" t="str">
        <f t="shared" si="48"/>
        <v/>
      </c>
      <c r="CN49" s="198" t="str">
        <f t="shared" si="48"/>
        <v/>
      </c>
      <c r="CO49" s="198" t="str">
        <f t="shared" si="48"/>
        <v>2.4.1.-</v>
      </c>
      <c r="CP49" s="198" t="str">
        <f t="shared" si="48"/>
        <v>2.4.1.-</v>
      </c>
      <c r="CQ49" s="198" t="str">
        <f t="shared" si="48"/>
        <v>2.4.1.-</v>
      </c>
      <c r="CR49" s="198" t="str">
        <f t="shared" si="48"/>
        <v/>
      </c>
      <c r="CS49" s="198" t="str">
        <f t="shared" si="48"/>
        <v>2.4.1.-</v>
      </c>
      <c r="CT49" s="198" t="str">
        <f t="shared" si="48"/>
        <v>2.4.1.-</v>
      </c>
      <c r="CU49" s="198" t="str">
        <f t="shared" si="48"/>
        <v>2.4.1.-</v>
      </c>
      <c r="CV49" s="198" t="str">
        <f t="shared" si="48"/>
        <v/>
      </c>
      <c r="CW49" s="198" t="str">
        <f t="shared" si="48"/>
        <v/>
      </c>
      <c r="CX49" s="198" t="str">
        <f t="shared" si="48"/>
        <v>2.4.1.-</v>
      </c>
      <c r="CY49" s="198" t="str">
        <f t="shared" si="48"/>
        <v>2.4.1.-</v>
      </c>
      <c r="CZ49" s="198" t="str">
        <f t="shared" si="48"/>
        <v>2.4.1.-</v>
      </c>
      <c r="DA49" s="198" t="str">
        <f t="shared" si="48"/>
        <v>2.4.1.-</v>
      </c>
      <c r="DB49" s="198" t="str">
        <f t="shared" si="48"/>
        <v>2.4.1.-</v>
      </c>
      <c r="DC49" s="198" t="str">
        <f t="shared" si="48"/>
        <v>2.4.1.-</v>
      </c>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c r="DZ49" s="198"/>
      <c r="EA49" s="198"/>
      <c r="EB49" s="198"/>
      <c r="EC49" s="198"/>
      <c r="ED49" s="198"/>
      <c r="EE49" s="198"/>
      <c r="EF49" s="198"/>
      <c r="EG49" s="198"/>
      <c r="EH49" s="198"/>
      <c r="EI49" s="198"/>
      <c r="EJ49" s="198"/>
      <c r="EK49" s="198"/>
      <c r="EL49" s="198"/>
      <c r="EM49" s="198"/>
      <c r="EN49" s="198"/>
      <c r="EO49" s="198"/>
      <c r="EP49" s="198"/>
      <c r="EQ49" s="198"/>
      <c r="ER49" s="198"/>
      <c r="ES49" s="198"/>
      <c r="ET49" s="198" t="s">
        <v>1472</v>
      </c>
      <c r="EU49" s="198"/>
      <c r="EV49" s="198"/>
      <c r="EW49" s="198"/>
      <c r="EX49" s="198"/>
      <c r="EY49" s="198"/>
      <c r="EZ49" s="198"/>
      <c r="FA49" s="198"/>
      <c r="FB49" s="198"/>
      <c r="FC49" s="198"/>
      <c r="FD49" s="198"/>
      <c r="FE49" s="198"/>
      <c r="FF49" s="198"/>
      <c r="FG49" s="198"/>
      <c r="FH49" s="198"/>
      <c r="FI49" s="198"/>
      <c r="FJ49" s="198"/>
      <c r="FK49" s="198"/>
      <c r="FL49" s="198"/>
      <c r="FM49" s="198"/>
      <c r="FN49" s="198"/>
      <c r="FO49" s="198"/>
      <c r="FP49" s="198"/>
      <c r="FQ49" s="198"/>
      <c r="FR49" s="198"/>
      <c r="FS49" s="198"/>
      <c r="FT49" s="198"/>
      <c r="FU49" s="198"/>
      <c r="FV49" s="198"/>
      <c r="FW49" s="198"/>
      <c r="FX49" s="198"/>
      <c r="FY49" s="198"/>
      <c r="FZ49" s="198"/>
      <c r="GA49" s="198"/>
      <c r="GB49" s="198"/>
      <c r="GC49" s="198"/>
      <c r="GD49" s="198"/>
      <c r="GE49" s="198"/>
      <c r="GF49" s="198"/>
      <c r="GG49" s="198"/>
      <c r="GH49" s="198"/>
      <c r="GI49" s="198"/>
      <c r="GJ49" s="198"/>
      <c r="GK49" s="198"/>
      <c r="GL49" s="198"/>
      <c r="GM49" s="198"/>
      <c r="GN49" s="198"/>
      <c r="GO49" s="198"/>
      <c r="GP49" s="198"/>
      <c r="GQ49" s="198"/>
      <c r="GR49" s="198"/>
      <c r="GS49" s="198"/>
      <c r="GT49" s="198"/>
      <c r="GU49" s="198"/>
      <c r="GV49" s="198"/>
      <c r="GW49" s="198"/>
      <c r="GX49" s="198"/>
      <c r="GY49" s="198"/>
      <c r="GZ49" s="198"/>
      <c r="HA49" s="198" t="s">
        <v>1505</v>
      </c>
      <c r="HB49" s="198"/>
      <c r="HC49" s="198"/>
      <c r="HD49" s="198"/>
    </row>
    <row r="50" ht="15.75" customHeight="1">
      <c r="A50" s="234">
        <v>50.0</v>
      </c>
      <c r="B50" s="236" t="s">
        <v>1487</v>
      </c>
      <c r="C50" s="198" t="str">
        <f t="shared" ref="C50:DC50" si="49">if(countif(DD:DD,$B50),INDIRECT(concat("B",$A50)),"")</f>
        <v/>
      </c>
      <c r="D50" s="198" t="str">
        <f t="shared" si="49"/>
        <v/>
      </c>
      <c r="E50" s="198" t="str">
        <f t="shared" si="49"/>
        <v>2.4.1.111</v>
      </c>
      <c r="F50" s="198" t="str">
        <f t="shared" si="49"/>
        <v>2.4.1.111</v>
      </c>
      <c r="G50" s="198" t="str">
        <f t="shared" si="49"/>
        <v>2.4.1.111</v>
      </c>
      <c r="H50" s="198" t="str">
        <f t="shared" si="49"/>
        <v>2.4.1.111</v>
      </c>
      <c r="I50" s="198" t="str">
        <f t="shared" si="49"/>
        <v/>
      </c>
      <c r="J50" s="198" t="str">
        <f t="shared" si="49"/>
        <v/>
      </c>
      <c r="K50" s="198" t="str">
        <f t="shared" si="49"/>
        <v/>
      </c>
      <c r="L50" s="198" t="str">
        <f t="shared" si="49"/>
        <v>2.4.1.111</v>
      </c>
      <c r="M50" s="198" t="str">
        <f t="shared" si="49"/>
        <v/>
      </c>
      <c r="N50" s="198" t="str">
        <f t="shared" si="49"/>
        <v>2.4.1.111</v>
      </c>
      <c r="O50" s="198" t="str">
        <f t="shared" si="49"/>
        <v>2.4.1.111</v>
      </c>
      <c r="P50" s="198" t="str">
        <f t="shared" si="49"/>
        <v>2.4.1.111</v>
      </c>
      <c r="Q50" s="198" t="str">
        <f t="shared" si="49"/>
        <v>2.4.1.111</v>
      </c>
      <c r="R50" s="198" t="str">
        <f t="shared" si="49"/>
        <v>2.4.1.111</v>
      </c>
      <c r="S50" s="198" t="str">
        <f t="shared" si="49"/>
        <v>2.4.1.111</v>
      </c>
      <c r="T50" s="198" t="str">
        <f t="shared" si="49"/>
        <v>2.4.1.111</v>
      </c>
      <c r="U50" s="198" t="str">
        <f t="shared" si="49"/>
        <v>2.4.1.111</v>
      </c>
      <c r="V50" s="198" t="str">
        <f t="shared" si="49"/>
        <v>2.4.1.111</v>
      </c>
      <c r="W50" s="198" t="str">
        <f t="shared" si="49"/>
        <v/>
      </c>
      <c r="X50" s="198" t="str">
        <f t="shared" si="49"/>
        <v/>
      </c>
      <c r="Y50" s="198" t="str">
        <f t="shared" si="49"/>
        <v/>
      </c>
      <c r="Z50" s="198" t="str">
        <f t="shared" si="49"/>
        <v>2.4.1.111</v>
      </c>
      <c r="AA50" s="198" t="str">
        <f t="shared" si="49"/>
        <v>2.4.1.111</v>
      </c>
      <c r="AB50" s="198" t="str">
        <f t="shared" si="49"/>
        <v>2.4.1.111</v>
      </c>
      <c r="AC50" s="198" t="str">
        <f t="shared" si="49"/>
        <v/>
      </c>
      <c r="AD50" s="198" t="str">
        <f t="shared" si="49"/>
        <v>2.4.1.111</v>
      </c>
      <c r="AE50" s="198" t="str">
        <f t="shared" si="49"/>
        <v>2.4.1.111</v>
      </c>
      <c r="AF50" s="198" t="str">
        <f t="shared" si="49"/>
        <v>2.4.1.111</v>
      </c>
      <c r="AG50" s="198" t="str">
        <f t="shared" si="49"/>
        <v>2.4.1.111</v>
      </c>
      <c r="AH50" s="198" t="str">
        <f t="shared" si="49"/>
        <v>2.4.1.111</v>
      </c>
      <c r="AI50" s="198" t="str">
        <f t="shared" si="49"/>
        <v/>
      </c>
      <c r="AJ50" s="198" t="str">
        <f t="shared" si="49"/>
        <v>2.4.1.111</v>
      </c>
      <c r="AK50" s="198" t="str">
        <f t="shared" si="49"/>
        <v/>
      </c>
      <c r="AL50" s="198" t="str">
        <f t="shared" si="49"/>
        <v/>
      </c>
      <c r="AM50" s="198" t="str">
        <f t="shared" si="49"/>
        <v>2.4.1.111</v>
      </c>
      <c r="AN50" s="198" t="str">
        <f t="shared" si="49"/>
        <v/>
      </c>
      <c r="AO50" s="198" t="str">
        <f t="shared" si="49"/>
        <v>2.4.1.111</v>
      </c>
      <c r="AP50" s="198" t="str">
        <f t="shared" si="49"/>
        <v>2.4.1.111</v>
      </c>
      <c r="AQ50" s="198" t="str">
        <f t="shared" si="49"/>
        <v>2.4.1.111</v>
      </c>
      <c r="AR50" s="198" t="str">
        <f t="shared" si="49"/>
        <v/>
      </c>
      <c r="AS50" s="198" t="str">
        <f t="shared" si="49"/>
        <v>2.4.1.111</v>
      </c>
      <c r="AT50" s="198" t="str">
        <f t="shared" si="49"/>
        <v>2.4.1.111</v>
      </c>
      <c r="AU50" s="198" t="str">
        <f t="shared" si="49"/>
        <v>2.4.1.111</v>
      </c>
      <c r="AV50" s="198" t="str">
        <f t="shared" si="49"/>
        <v>2.4.1.111</v>
      </c>
      <c r="AW50" s="198" t="str">
        <f t="shared" si="49"/>
        <v>2.4.1.111</v>
      </c>
      <c r="AX50" s="198" t="str">
        <f t="shared" si="49"/>
        <v>2.4.1.111</v>
      </c>
      <c r="AY50" s="198" t="str">
        <f t="shared" si="49"/>
        <v>2.4.1.111</v>
      </c>
      <c r="AZ50" s="198" t="str">
        <f t="shared" si="49"/>
        <v>2.4.1.111</v>
      </c>
      <c r="BA50" s="198" t="str">
        <f t="shared" si="49"/>
        <v>2.4.1.111</v>
      </c>
      <c r="BB50" s="198" t="str">
        <f t="shared" si="49"/>
        <v>2.4.1.111</v>
      </c>
      <c r="BC50" s="198" t="str">
        <f t="shared" si="49"/>
        <v>2.4.1.111</v>
      </c>
      <c r="BD50" s="198" t="str">
        <f t="shared" si="49"/>
        <v>2.4.1.111</v>
      </c>
      <c r="BE50" s="198" t="str">
        <f t="shared" si="49"/>
        <v>2.4.1.111</v>
      </c>
      <c r="BF50" s="198" t="str">
        <f t="shared" si="49"/>
        <v>2.4.1.111</v>
      </c>
      <c r="BG50" s="198" t="str">
        <f t="shared" si="49"/>
        <v/>
      </c>
      <c r="BH50" s="198" t="str">
        <f t="shared" si="49"/>
        <v/>
      </c>
      <c r="BI50" s="198" t="str">
        <f t="shared" si="49"/>
        <v/>
      </c>
      <c r="BJ50" s="198" t="str">
        <f t="shared" si="49"/>
        <v/>
      </c>
      <c r="BK50" s="198" t="str">
        <f t="shared" si="49"/>
        <v/>
      </c>
      <c r="BL50" s="198" t="str">
        <f t="shared" si="49"/>
        <v/>
      </c>
      <c r="BM50" s="198" t="str">
        <f t="shared" si="49"/>
        <v>2.4.1.111</v>
      </c>
      <c r="BN50" s="198" t="str">
        <f t="shared" si="49"/>
        <v>2.4.1.111</v>
      </c>
      <c r="BO50" s="198" t="str">
        <f t="shared" si="49"/>
        <v>2.4.1.111</v>
      </c>
      <c r="BP50" s="198" t="str">
        <f t="shared" si="49"/>
        <v>2.4.1.111</v>
      </c>
      <c r="BQ50" s="198" t="str">
        <f t="shared" si="49"/>
        <v>2.4.1.111</v>
      </c>
      <c r="BR50" s="198" t="str">
        <f t="shared" si="49"/>
        <v/>
      </c>
      <c r="BS50" s="198" t="str">
        <f t="shared" si="49"/>
        <v/>
      </c>
      <c r="BT50" s="198" t="str">
        <f t="shared" si="49"/>
        <v/>
      </c>
      <c r="BU50" s="198" t="str">
        <f t="shared" si="49"/>
        <v/>
      </c>
      <c r="BV50" s="198" t="str">
        <f t="shared" si="49"/>
        <v/>
      </c>
      <c r="BW50" s="198" t="str">
        <f t="shared" si="49"/>
        <v>2.4.1.111</v>
      </c>
      <c r="BX50" s="198" t="str">
        <f t="shared" si="49"/>
        <v/>
      </c>
      <c r="BY50" s="198" t="str">
        <f t="shared" si="49"/>
        <v>2.4.1.111</v>
      </c>
      <c r="BZ50" s="198" t="str">
        <f t="shared" si="49"/>
        <v/>
      </c>
      <c r="CA50" s="198" t="str">
        <f t="shared" si="49"/>
        <v/>
      </c>
      <c r="CB50" s="198" t="str">
        <f t="shared" si="49"/>
        <v>2.4.1.111</v>
      </c>
      <c r="CC50" s="198" t="str">
        <f t="shared" si="49"/>
        <v>2.4.1.111</v>
      </c>
      <c r="CD50" s="198" t="str">
        <f t="shared" si="49"/>
        <v>2.4.1.111</v>
      </c>
      <c r="CE50" s="198" t="str">
        <f t="shared" si="49"/>
        <v>2.4.1.111</v>
      </c>
      <c r="CF50" s="198" t="str">
        <f t="shared" si="49"/>
        <v>2.4.1.111</v>
      </c>
      <c r="CG50" s="198" t="str">
        <f t="shared" si="49"/>
        <v>2.4.1.111</v>
      </c>
      <c r="CH50" s="198" t="str">
        <f t="shared" si="49"/>
        <v>2.4.1.111</v>
      </c>
      <c r="CI50" s="198" t="str">
        <f t="shared" si="49"/>
        <v>2.4.1.111</v>
      </c>
      <c r="CJ50" s="198" t="str">
        <f t="shared" si="49"/>
        <v/>
      </c>
      <c r="CK50" s="198" t="str">
        <f t="shared" si="49"/>
        <v>2.4.1.111</v>
      </c>
      <c r="CL50" s="198" t="str">
        <f t="shared" si="49"/>
        <v/>
      </c>
      <c r="CM50" s="198" t="str">
        <f t="shared" si="49"/>
        <v>2.4.1.111</v>
      </c>
      <c r="CN50" s="198" t="str">
        <f t="shared" si="49"/>
        <v>2.4.1.111</v>
      </c>
      <c r="CO50" s="198" t="str">
        <f t="shared" si="49"/>
        <v>2.4.1.111</v>
      </c>
      <c r="CP50" s="198" t="str">
        <f t="shared" si="49"/>
        <v/>
      </c>
      <c r="CQ50" s="198" t="str">
        <f t="shared" si="49"/>
        <v>2.4.1.111</v>
      </c>
      <c r="CR50" s="198" t="str">
        <f t="shared" si="49"/>
        <v>2.4.1.111</v>
      </c>
      <c r="CS50" s="198" t="str">
        <f t="shared" si="49"/>
        <v>2.4.1.111</v>
      </c>
      <c r="CT50" s="198" t="str">
        <f t="shared" si="49"/>
        <v>2.4.1.111</v>
      </c>
      <c r="CU50" s="198" t="str">
        <f t="shared" si="49"/>
        <v>2.4.1.111</v>
      </c>
      <c r="CV50" s="198" t="str">
        <f t="shared" si="49"/>
        <v>2.4.1.111</v>
      </c>
      <c r="CW50" s="198" t="str">
        <f t="shared" si="49"/>
        <v/>
      </c>
      <c r="CX50" s="198" t="str">
        <f t="shared" si="49"/>
        <v/>
      </c>
      <c r="CY50" s="198" t="str">
        <f t="shared" si="49"/>
        <v>2.4.1.111</v>
      </c>
      <c r="CZ50" s="198" t="str">
        <f t="shared" si="49"/>
        <v>2.4.1.111</v>
      </c>
      <c r="DA50" s="198" t="str">
        <f t="shared" si="49"/>
        <v>2.4.1.111</v>
      </c>
      <c r="DB50" s="198" t="str">
        <f t="shared" si="49"/>
        <v>2.4.1.111</v>
      </c>
      <c r="DC50" s="198" t="str">
        <f t="shared" si="49"/>
        <v>2.4.1.111</v>
      </c>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198"/>
      <c r="EJ50" s="198"/>
      <c r="EK50" s="198"/>
      <c r="EL50" s="198"/>
      <c r="EM50" s="198"/>
      <c r="EN50" s="198"/>
      <c r="EO50" s="198"/>
      <c r="EP50" s="198"/>
      <c r="EQ50" s="198"/>
      <c r="ER50" s="198"/>
      <c r="ES50" s="198"/>
      <c r="ET50" s="198" t="s">
        <v>1475</v>
      </c>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198"/>
      <c r="FQ50" s="198"/>
      <c r="FR50" s="198"/>
      <c r="FS50" s="198"/>
      <c r="FT50" s="198"/>
      <c r="FU50" s="198"/>
      <c r="FV50" s="198"/>
      <c r="FW50" s="198"/>
      <c r="FX50" s="198"/>
      <c r="FY50" s="198"/>
      <c r="FZ50" s="198"/>
      <c r="GA50" s="198"/>
      <c r="GB50" s="198"/>
      <c r="GC50" s="198"/>
      <c r="GD50" s="198"/>
      <c r="GE50" s="198"/>
      <c r="GF50" s="198"/>
      <c r="GG50" s="198"/>
      <c r="GH50" s="198"/>
      <c r="GI50" s="198"/>
      <c r="GJ50" s="198"/>
      <c r="GK50" s="198"/>
      <c r="GL50" s="198"/>
      <c r="GM50" s="198"/>
      <c r="GN50" s="198"/>
      <c r="GO50" s="198"/>
      <c r="GP50" s="198"/>
      <c r="GQ50" s="198"/>
      <c r="GR50" s="198"/>
      <c r="GS50" s="198"/>
      <c r="GT50" s="198"/>
      <c r="GU50" s="198"/>
      <c r="GV50" s="198"/>
      <c r="GW50" s="198"/>
      <c r="GX50" s="198"/>
      <c r="GY50" s="198"/>
      <c r="GZ50" s="198"/>
      <c r="HA50" s="198" t="s">
        <v>1472</v>
      </c>
      <c r="HB50" s="198"/>
      <c r="HC50" s="198"/>
      <c r="HD50" s="198"/>
    </row>
    <row r="51" ht="15.75" customHeight="1">
      <c r="A51" s="234">
        <v>51.0</v>
      </c>
      <c r="B51" s="198" t="s">
        <v>1473</v>
      </c>
      <c r="C51" s="198" t="str">
        <f t="shared" ref="C51:DC51" si="50">if(countif(DD:DD,$B51),INDIRECT(concat("B",$A51)),"")</f>
        <v>2.4.1.115</v>
      </c>
      <c r="D51" s="198" t="str">
        <f t="shared" si="50"/>
        <v/>
      </c>
      <c r="E51" s="198" t="str">
        <f t="shared" si="50"/>
        <v/>
      </c>
      <c r="F51" s="198" t="str">
        <f t="shared" si="50"/>
        <v/>
      </c>
      <c r="G51" s="198" t="str">
        <f t="shared" si="50"/>
        <v>2.4.1.115</v>
      </c>
      <c r="H51" s="198" t="str">
        <f t="shared" si="50"/>
        <v>2.4.1.115</v>
      </c>
      <c r="I51" s="198" t="str">
        <f t="shared" si="50"/>
        <v>2.4.1.115</v>
      </c>
      <c r="J51" s="198" t="str">
        <f t="shared" si="50"/>
        <v/>
      </c>
      <c r="K51" s="198" t="str">
        <f t="shared" si="50"/>
        <v/>
      </c>
      <c r="L51" s="198" t="str">
        <f t="shared" si="50"/>
        <v>2.4.1.115</v>
      </c>
      <c r="M51" s="198" t="str">
        <f t="shared" si="50"/>
        <v>2.4.1.115</v>
      </c>
      <c r="N51" s="198" t="str">
        <f t="shared" si="50"/>
        <v/>
      </c>
      <c r="O51" s="198" t="str">
        <f t="shared" si="50"/>
        <v/>
      </c>
      <c r="P51" s="198" t="str">
        <f t="shared" si="50"/>
        <v/>
      </c>
      <c r="Q51" s="198" t="str">
        <f t="shared" si="50"/>
        <v>2.4.1.115</v>
      </c>
      <c r="R51" s="198" t="str">
        <f t="shared" si="50"/>
        <v/>
      </c>
      <c r="S51" s="198" t="str">
        <f t="shared" si="50"/>
        <v/>
      </c>
      <c r="T51" s="198" t="str">
        <f t="shared" si="50"/>
        <v>2.4.1.115</v>
      </c>
      <c r="U51" s="198" t="str">
        <f t="shared" si="50"/>
        <v/>
      </c>
      <c r="V51" s="198" t="str">
        <f t="shared" si="50"/>
        <v>2.4.1.115</v>
      </c>
      <c r="W51" s="198" t="str">
        <f t="shared" si="50"/>
        <v/>
      </c>
      <c r="X51" s="198" t="str">
        <f t="shared" si="50"/>
        <v/>
      </c>
      <c r="Y51" s="198" t="str">
        <f t="shared" si="50"/>
        <v/>
      </c>
      <c r="Z51" s="198" t="str">
        <f t="shared" si="50"/>
        <v>2.4.1.115</v>
      </c>
      <c r="AA51" s="198" t="str">
        <f t="shared" si="50"/>
        <v>2.4.1.115</v>
      </c>
      <c r="AB51" s="198" t="str">
        <f t="shared" si="50"/>
        <v>2.4.1.115</v>
      </c>
      <c r="AC51" s="198" t="str">
        <f t="shared" si="50"/>
        <v/>
      </c>
      <c r="AD51" s="198" t="str">
        <f t="shared" si="50"/>
        <v/>
      </c>
      <c r="AE51" s="198" t="str">
        <f t="shared" si="50"/>
        <v/>
      </c>
      <c r="AF51" s="198" t="str">
        <f t="shared" si="50"/>
        <v/>
      </c>
      <c r="AG51" s="198" t="str">
        <f t="shared" si="50"/>
        <v/>
      </c>
      <c r="AH51" s="198" t="str">
        <f t="shared" si="50"/>
        <v/>
      </c>
      <c r="AI51" s="198" t="str">
        <f t="shared" si="50"/>
        <v/>
      </c>
      <c r="AJ51" s="198" t="str">
        <f t="shared" si="50"/>
        <v>2.4.1.115</v>
      </c>
      <c r="AK51" s="198" t="str">
        <f t="shared" si="50"/>
        <v>2.4.1.115</v>
      </c>
      <c r="AL51" s="198" t="str">
        <f t="shared" si="50"/>
        <v>2.4.1.115</v>
      </c>
      <c r="AM51" s="198" t="str">
        <f t="shared" si="50"/>
        <v>2.4.1.115</v>
      </c>
      <c r="AN51" s="198" t="str">
        <f t="shared" si="50"/>
        <v>2.4.1.115</v>
      </c>
      <c r="AO51" s="198" t="str">
        <f t="shared" si="50"/>
        <v>2.4.1.115</v>
      </c>
      <c r="AP51" s="198" t="str">
        <f t="shared" si="50"/>
        <v/>
      </c>
      <c r="AQ51" s="198" t="str">
        <f t="shared" si="50"/>
        <v>2.4.1.115</v>
      </c>
      <c r="AR51" s="198" t="str">
        <f t="shared" si="50"/>
        <v/>
      </c>
      <c r="AS51" s="198" t="str">
        <f t="shared" si="50"/>
        <v>2.4.1.115</v>
      </c>
      <c r="AT51" s="198" t="str">
        <f t="shared" si="50"/>
        <v>2.4.1.115</v>
      </c>
      <c r="AU51" s="198" t="str">
        <f t="shared" si="50"/>
        <v>2.4.1.115</v>
      </c>
      <c r="AV51" s="198" t="str">
        <f t="shared" si="50"/>
        <v>2.4.1.115</v>
      </c>
      <c r="AW51" s="198" t="str">
        <f t="shared" si="50"/>
        <v>2.4.1.115</v>
      </c>
      <c r="AX51" s="198" t="str">
        <f t="shared" si="50"/>
        <v>2.4.1.115</v>
      </c>
      <c r="AY51" s="198" t="str">
        <f t="shared" si="50"/>
        <v>2.4.1.115</v>
      </c>
      <c r="AZ51" s="198" t="str">
        <f t="shared" si="50"/>
        <v>2.4.1.115</v>
      </c>
      <c r="BA51" s="198" t="str">
        <f t="shared" si="50"/>
        <v/>
      </c>
      <c r="BB51" s="198" t="str">
        <f t="shared" si="50"/>
        <v>2.4.1.115</v>
      </c>
      <c r="BC51" s="198" t="str">
        <f t="shared" si="50"/>
        <v>2.4.1.115</v>
      </c>
      <c r="BD51" s="198" t="str">
        <f t="shared" si="50"/>
        <v/>
      </c>
      <c r="BE51" s="198" t="str">
        <f t="shared" si="50"/>
        <v>2.4.1.115</v>
      </c>
      <c r="BF51" s="198" t="str">
        <f t="shared" si="50"/>
        <v>2.4.1.115</v>
      </c>
      <c r="BG51" s="198" t="str">
        <f t="shared" si="50"/>
        <v/>
      </c>
      <c r="BH51" s="198" t="str">
        <f t="shared" si="50"/>
        <v/>
      </c>
      <c r="BI51" s="198" t="str">
        <f t="shared" si="50"/>
        <v/>
      </c>
      <c r="BJ51" s="198" t="str">
        <f t="shared" si="50"/>
        <v/>
      </c>
      <c r="BK51" s="198" t="str">
        <f t="shared" si="50"/>
        <v>2.4.1.115</v>
      </c>
      <c r="BL51" s="198" t="str">
        <f t="shared" si="50"/>
        <v>2.4.1.115</v>
      </c>
      <c r="BM51" s="198" t="str">
        <f t="shared" si="50"/>
        <v>2.4.1.115</v>
      </c>
      <c r="BN51" s="198" t="str">
        <f t="shared" si="50"/>
        <v>2.4.1.115</v>
      </c>
      <c r="BO51" s="198" t="str">
        <f t="shared" si="50"/>
        <v>2.4.1.115</v>
      </c>
      <c r="BP51" s="198" t="str">
        <f t="shared" si="50"/>
        <v>2.4.1.115</v>
      </c>
      <c r="BQ51" s="198" t="str">
        <f t="shared" si="50"/>
        <v>2.4.1.115</v>
      </c>
      <c r="BR51" s="198" t="str">
        <f t="shared" si="50"/>
        <v>2.4.1.115</v>
      </c>
      <c r="BS51" s="198" t="str">
        <f t="shared" si="50"/>
        <v>2.4.1.115</v>
      </c>
      <c r="BT51" s="198" t="str">
        <f t="shared" si="50"/>
        <v>2.4.1.115</v>
      </c>
      <c r="BU51" s="198" t="str">
        <f t="shared" si="50"/>
        <v/>
      </c>
      <c r="BV51" s="198" t="str">
        <f t="shared" si="50"/>
        <v/>
      </c>
      <c r="BW51" s="198" t="str">
        <f t="shared" si="50"/>
        <v>2.4.1.115</v>
      </c>
      <c r="BX51" s="198" t="str">
        <f t="shared" si="50"/>
        <v>2.4.1.115</v>
      </c>
      <c r="BY51" s="198" t="str">
        <f t="shared" si="50"/>
        <v>2.4.1.115</v>
      </c>
      <c r="BZ51" s="198" t="str">
        <f t="shared" si="50"/>
        <v>2.4.1.115</v>
      </c>
      <c r="CA51" s="198" t="str">
        <f t="shared" si="50"/>
        <v/>
      </c>
      <c r="CB51" s="198" t="str">
        <f t="shared" si="50"/>
        <v>2.4.1.115</v>
      </c>
      <c r="CC51" s="198" t="str">
        <f t="shared" si="50"/>
        <v>2.4.1.115</v>
      </c>
      <c r="CD51" s="198" t="str">
        <f t="shared" si="50"/>
        <v>2.4.1.115</v>
      </c>
      <c r="CE51" s="198" t="str">
        <f t="shared" si="50"/>
        <v>2.4.1.115</v>
      </c>
      <c r="CF51" s="198" t="str">
        <f t="shared" si="50"/>
        <v>2.4.1.115</v>
      </c>
      <c r="CG51" s="198" t="str">
        <f t="shared" si="50"/>
        <v>2.4.1.115</v>
      </c>
      <c r="CH51" s="198" t="str">
        <f t="shared" si="50"/>
        <v>2.4.1.115</v>
      </c>
      <c r="CI51" s="198" t="str">
        <f t="shared" si="50"/>
        <v>2.4.1.115</v>
      </c>
      <c r="CJ51" s="198" t="str">
        <f t="shared" si="50"/>
        <v/>
      </c>
      <c r="CK51" s="198" t="str">
        <f t="shared" si="50"/>
        <v>2.4.1.115</v>
      </c>
      <c r="CL51" s="198" t="str">
        <f t="shared" si="50"/>
        <v>2.4.1.115</v>
      </c>
      <c r="CM51" s="198" t="str">
        <f t="shared" si="50"/>
        <v>2.4.1.115</v>
      </c>
      <c r="CN51" s="198" t="str">
        <f t="shared" si="50"/>
        <v>2.4.1.115</v>
      </c>
      <c r="CO51" s="198" t="str">
        <f t="shared" si="50"/>
        <v>2.4.1.115</v>
      </c>
      <c r="CP51" s="198" t="str">
        <f t="shared" si="50"/>
        <v>2.4.1.115</v>
      </c>
      <c r="CQ51" s="198" t="str">
        <f t="shared" si="50"/>
        <v>2.4.1.115</v>
      </c>
      <c r="CR51" s="198" t="str">
        <f t="shared" si="50"/>
        <v/>
      </c>
      <c r="CS51" s="198" t="str">
        <f t="shared" si="50"/>
        <v>2.4.1.115</v>
      </c>
      <c r="CT51" s="198" t="str">
        <f t="shared" si="50"/>
        <v>2.4.1.115</v>
      </c>
      <c r="CU51" s="198" t="str">
        <f t="shared" si="50"/>
        <v>2.4.1.115</v>
      </c>
      <c r="CV51" s="198" t="str">
        <f t="shared" si="50"/>
        <v>2.4.1.115</v>
      </c>
      <c r="CW51" s="198" t="str">
        <f t="shared" si="50"/>
        <v/>
      </c>
      <c r="CX51" s="198" t="str">
        <f t="shared" si="50"/>
        <v>2.4.1.115</v>
      </c>
      <c r="CY51" s="198" t="str">
        <f t="shared" si="50"/>
        <v>2.4.1.115</v>
      </c>
      <c r="CZ51" s="198" t="str">
        <f t="shared" si="50"/>
        <v>2.4.1.115</v>
      </c>
      <c r="DA51" s="198" t="str">
        <f t="shared" si="50"/>
        <v/>
      </c>
      <c r="DB51" s="198" t="str">
        <f t="shared" si="50"/>
        <v>2.4.1.115</v>
      </c>
      <c r="DC51" s="198" t="str">
        <f t="shared" si="50"/>
        <v>2.4.1.115</v>
      </c>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c r="GF51" s="198"/>
      <c r="GG51" s="198"/>
      <c r="GH51" s="198"/>
      <c r="GI51" s="198"/>
      <c r="GJ51" s="198"/>
      <c r="GK51" s="198"/>
      <c r="GL51" s="198"/>
      <c r="GM51" s="198"/>
      <c r="GN51" s="198"/>
      <c r="GO51" s="198"/>
      <c r="GP51" s="198"/>
      <c r="GQ51" s="198"/>
      <c r="GR51" s="198"/>
      <c r="GS51" s="198"/>
      <c r="GT51" s="198"/>
      <c r="GU51" s="198"/>
      <c r="GV51" s="198"/>
      <c r="GW51" s="198"/>
      <c r="GX51" s="198"/>
      <c r="GY51" s="198"/>
      <c r="GZ51" s="198"/>
      <c r="HA51" s="198" t="s">
        <v>1475</v>
      </c>
      <c r="HB51" s="198"/>
      <c r="HC51" s="198"/>
      <c r="HD51" s="198"/>
    </row>
    <row r="52" ht="15.75" customHeight="1">
      <c r="A52" s="234">
        <v>52.0</v>
      </c>
      <c r="B52" s="198" t="s">
        <v>1493</v>
      </c>
      <c r="C52" s="198" t="str">
        <f t="shared" ref="C52:DC52" si="51">if(countif(DD:DD,$B52),INDIRECT(concat("B",$A52)),"")</f>
        <v/>
      </c>
      <c r="D52" s="198" t="str">
        <f t="shared" si="51"/>
        <v/>
      </c>
      <c r="E52" s="198" t="str">
        <f t="shared" si="51"/>
        <v/>
      </c>
      <c r="F52" s="198" t="str">
        <f t="shared" si="51"/>
        <v>2.4.1.120</v>
      </c>
      <c r="G52" s="198" t="str">
        <f t="shared" si="51"/>
        <v/>
      </c>
      <c r="H52" s="198" t="str">
        <f t="shared" si="51"/>
        <v/>
      </c>
      <c r="I52" s="198" t="str">
        <f t="shared" si="51"/>
        <v/>
      </c>
      <c r="J52" s="198" t="str">
        <f t="shared" si="51"/>
        <v/>
      </c>
      <c r="K52" s="198" t="str">
        <f t="shared" si="51"/>
        <v/>
      </c>
      <c r="L52" s="198" t="str">
        <f t="shared" si="51"/>
        <v/>
      </c>
      <c r="M52" s="198" t="str">
        <f t="shared" si="51"/>
        <v/>
      </c>
      <c r="N52" s="198" t="str">
        <f t="shared" si="51"/>
        <v>2.4.1.120</v>
      </c>
      <c r="O52" s="198" t="str">
        <f t="shared" si="51"/>
        <v>2.4.1.120</v>
      </c>
      <c r="P52" s="198" t="str">
        <f t="shared" si="51"/>
        <v>2.4.1.120</v>
      </c>
      <c r="Q52" s="198" t="str">
        <f t="shared" si="51"/>
        <v/>
      </c>
      <c r="R52" s="198" t="str">
        <f t="shared" si="51"/>
        <v>2.4.1.120</v>
      </c>
      <c r="S52" s="198" t="str">
        <f t="shared" si="51"/>
        <v>2.4.1.120</v>
      </c>
      <c r="T52" s="198" t="str">
        <f t="shared" si="51"/>
        <v/>
      </c>
      <c r="U52" s="198" t="str">
        <f t="shared" si="51"/>
        <v/>
      </c>
      <c r="V52" s="198" t="str">
        <f t="shared" si="51"/>
        <v/>
      </c>
      <c r="W52" s="198" t="str">
        <f t="shared" si="51"/>
        <v/>
      </c>
      <c r="X52" s="198" t="str">
        <f t="shared" si="51"/>
        <v/>
      </c>
      <c r="Y52" s="198" t="str">
        <f t="shared" si="51"/>
        <v/>
      </c>
      <c r="Z52" s="198" t="str">
        <f t="shared" si="51"/>
        <v/>
      </c>
      <c r="AA52" s="198" t="str">
        <f t="shared" si="51"/>
        <v/>
      </c>
      <c r="AB52" s="198" t="str">
        <f t="shared" si="51"/>
        <v/>
      </c>
      <c r="AC52" s="198" t="str">
        <f t="shared" si="51"/>
        <v/>
      </c>
      <c r="AD52" s="198" t="str">
        <f t="shared" si="51"/>
        <v/>
      </c>
      <c r="AE52" s="198" t="str">
        <f t="shared" si="51"/>
        <v/>
      </c>
      <c r="AF52" s="198" t="str">
        <f t="shared" si="51"/>
        <v/>
      </c>
      <c r="AG52" s="198" t="str">
        <f t="shared" si="51"/>
        <v/>
      </c>
      <c r="AH52" s="198" t="str">
        <f t="shared" si="51"/>
        <v/>
      </c>
      <c r="AI52" s="198" t="str">
        <f t="shared" si="51"/>
        <v/>
      </c>
      <c r="AJ52" s="198" t="str">
        <f t="shared" si="51"/>
        <v/>
      </c>
      <c r="AK52" s="198" t="str">
        <f t="shared" si="51"/>
        <v/>
      </c>
      <c r="AL52" s="198" t="str">
        <f t="shared" si="51"/>
        <v/>
      </c>
      <c r="AM52" s="198" t="str">
        <f t="shared" si="51"/>
        <v/>
      </c>
      <c r="AN52" s="198" t="str">
        <f t="shared" si="51"/>
        <v/>
      </c>
      <c r="AO52" s="198" t="str">
        <f t="shared" si="51"/>
        <v/>
      </c>
      <c r="AP52" s="198" t="str">
        <f t="shared" si="51"/>
        <v>2.4.1.120</v>
      </c>
      <c r="AQ52" s="198" t="str">
        <f t="shared" si="51"/>
        <v/>
      </c>
      <c r="AR52" s="198" t="str">
        <f t="shared" si="51"/>
        <v/>
      </c>
      <c r="AS52" s="198" t="str">
        <f t="shared" si="51"/>
        <v/>
      </c>
      <c r="AT52" s="198" t="str">
        <f t="shared" si="51"/>
        <v/>
      </c>
      <c r="AU52" s="198" t="str">
        <f t="shared" si="51"/>
        <v/>
      </c>
      <c r="AV52" s="198" t="str">
        <f t="shared" si="51"/>
        <v/>
      </c>
      <c r="AW52" s="198" t="str">
        <f t="shared" si="51"/>
        <v/>
      </c>
      <c r="AX52" s="198" t="str">
        <f t="shared" si="51"/>
        <v/>
      </c>
      <c r="AY52" s="198" t="str">
        <f t="shared" si="51"/>
        <v/>
      </c>
      <c r="AZ52" s="198" t="str">
        <f t="shared" si="51"/>
        <v/>
      </c>
      <c r="BA52" s="198" t="str">
        <f t="shared" si="51"/>
        <v/>
      </c>
      <c r="BB52" s="198" t="str">
        <f t="shared" si="51"/>
        <v/>
      </c>
      <c r="BC52" s="198" t="str">
        <f t="shared" si="51"/>
        <v/>
      </c>
      <c r="BD52" s="198" t="str">
        <f t="shared" si="51"/>
        <v/>
      </c>
      <c r="BE52" s="198" t="str">
        <f t="shared" si="51"/>
        <v/>
      </c>
      <c r="BF52" s="198" t="str">
        <f t="shared" si="51"/>
        <v/>
      </c>
      <c r="BG52" s="198" t="str">
        <f t="shared" si="51"/>
        <v/>
      </c>
      <c r="BH52" s="198" t="str">
        <f t="shared" si="51"/>
        <v/>
      </c>
      <c r="BI52" s="198" t="str">
        <f t="shared" si="51"/>
        <v/>
      </c>
      <c r="BJ52" s="198" t="str">
        <f t="shared" si="51"/>
        <v/>
      </c>
      <c r="BK52" s="198" t="str">
        <f t="shared" si="51"/>
        <v/>
      </c>
      <c r="BL52" s="198" t="str">
        <f t="shared" si="51"/>
        <v/>
      </c>
      <c r="BM52" s="198" t="str">
        <f t="shared" si="51"/>
        <v/>
      </c>
      <c r="BN52" s="198" t="str">
        <f t="shared" si="51"/>
        <v/>
      </c>
      <c r="BO52" s="198" t="str">
        <f t="shared" si="51"/>
        <v/>
      </c>
      <c r="BP52" s="198" t="str">
        <f t="shared" si="51"/>
        <v/>
      </c>
      <c r="BQ52" s="198" t="str">
        <f t="shared" si="51"/>
        <v/>
      </c>
      <c r="BR52" s="198" t="str">
        <f t="shared" si="51"/>
        <v/>
      </c>
      <c r="BS52" s="198" t="str">
        <f t="shared" si="51"/>
        <v/>
      </c>
      <c r="BT52" s="198" t="str">
        <f t="shared" si="51"/>
        <v/>
      </c>
      <c r="BU52" s="198" t="str">
        <f t="shared" si="51"/>
        <v/>
      </c>
      <c r="BV52" s="198" t="str">
        <f t="shared" si="51"/>
        <v/>
      </c>
      <c r="BW52" s="198" t="str">
        <f t="shared" si="51"/>
        <v/>
      </c>
      <c r="BX52" s="198" t="str">
        <f t="shared" si="51"/>
        <v/>
      </c>
      <c r="BY52" s="198" t="str">
        <f t="shared" si="51"/>
        <v/>
      </c>
      <c r="BZ52" s="198" t="str">
        <f t="shared" si="51"/>
        <v/>
      </c>
      <c r="CA52" s="198" t="str">
        <f t="shared" si="51"/>
        <v/>
      </c>
      <c r="CB52" s="198" t="str">
        <f t="shared" si="51"/>
        <v/>
      </c>
      <c r="CC52" s="198" t="str">
        <f t="shared" si="51"/>
        <v/>
      </c>
      <c r="CD52" s="198" t="str">
        <f t="shared" si="51"/>
        <v/>
      </c>
      <c r="CE52" s="198" t="str">
        <f t="shared" si="51"/>
        <v/>
      </c>
      <c r="CF52" s="198" t="str">
        <f t="shared" si="51"/>
        <v/>
      </c>
      <c r="CG52" s="198" t="str">
        <f t="shared" si="51"/>
        <v/>
      </c>
      <c r="CH52" s="198" t="str">
        <f t="shared" si="51"/>
        <v/>
      </c>
      <c r="CI52" s="198" t="str">
        <f t="shared" si="51"/>
        <v/>
      </c>
      <c r="CJ52" s="198" t="str">
        <f t="shared" si="51"/>
        <v/>
      </c>
      <c r="CK52" s="198" t="str">
        <f t="shared" si="51"/>
        <v/>
      </c>
      <c r="CL52" s="198" t="str">
        <f t="shared" si="51"/>
        <v/>
      </c>
      <c r="CM52" s="198" t="str">
        <f t="shared" si="51"/>
        <v/>
      </c>
      <c r="CN52" s="198" t="str">
        <f t="shared" si="51"/>
        <v/>
      </c>
      <c r="CO52" s="198" t="str">
        <f t="shared" si="51"/>
        <v/>
      </c>
      <c r="CP52" s="198" t="str">
        <f t="shared" si="51"/>
        <v/>
      </c>
      <c r="CQ52" s="198" t="str">
        <f t="shared" si="51"/>
        <v/>
      </c>
      <c r="CR52" s="198" t="str">
        <f t="shared" si="51"/>
        <v/>
      </c>
      <c r="CS52" s="198" t="str">
        <f t="shared" si="51"/>
        <v/>
      </c>
      <c r="CT52" s="198" t="str">
        <f t="shared" si="51"/>
        <v/>
      </c>
      <c r="CU52" s="198" t="str">
        <f t="shared" si="51"/>
        <v/>
      </c>
      <c r="CV52" s="198" t="str">
        <f t="shared" si="51"/>
        <v/>
      </c>
      <c r="CW52" s="198" t="str">
        <f t="shared" si="51"/>
        <v/>
      </c>
      <c r="CX52" s="198" t="str">
        <f t="shared" si="51"/>
        <v/>
      </c>
      <c r="CY52" s="198" t="str">
        <f t="shared" si="51"/>
        <v/>
      </c>
      <c r="CZ52" s="198" t="str">
        <f t="shared" si="51"/>
        <v/>
      </c>
      <c r="DA52" s="198" t="str">
        <f t="shared" si="51"/>
        <v/>
      </c>
      <c r="DB52" s="198" t="str">
        <f t="shared" si="51"/>
        <v/>
      </c>
      <c r="DC52" s="198" t="str">
        <f t="shared" si="51"/>
        <v/>
      </c>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c r="GF52" s="198"/>
      <c r="GG52" s="198"/>
      <c r="GH52" s="198"/>
      <c r="GI52" s="198"/>
      <c r="GJ52" s="198"/>
      <c r="GK52" s="198"/>
      <c r="GL52" s="198"/>
      <c r="GM52" s="198"/>
      <c r="GN52" s="198"/>
      <c r="GO52" s="198"/>
      <c r="GP52" s="198"/>
      <c r="GQ52" s="198"/>
      <c r="GR52" s="198"/>
      <c r="GS52" s="198"/>
      <c r="GT52" s="198"/>
      <c r="GU52" s="198"/>
      <c r="GV52" s="198"/>
      <c r="GW52" s="198"/>
      <c r="GX52" s="198"/>
      <c r="GY52" s="198"/>
      <c r="GZ52" s="198"/>
      <c r="HA52" s="198"/>
      <c r="HB52" s="198"/>
      <c r="HC52" s="198"/>
      <c r="HD52" s="198"/>
    </row>
    <row r="53" ht="15.75" customHeight="1">
      <c r="A53" s="234">
        <v>53.0</v>
      </c>
      <c r="B53" s="236" t="s">
        <v>1474</v>
      </c>
      <c r="C53" s="198" t="str">
        <f t="shared" ref="C53:DC53" si="52">if(countif(DD:DD,$B53),INDIRECT(concat("B",$A53)),"")</f>
        <v>2.4.1.128</v>
      </c>
      <c r="D53" s="198" t="str">
        <f t="shared" si="52"/>
        <v>2.4.1.128</v>
      </c>
      <c r="E53" s="198" t="str">
        <f t="shared" si="52"/>
        <v/>
      </c>
      <c r="F53" s="198" t="str">
        <f t="shared" si="52"/>
        <v/>
      </c>
      <c r="G53" s="198" t="str">
        <f t="shared" si="52"/>
        <v>2.4.1.128</v>
      </c>
      <c r="H53" s="198" t="str">
        <f t="shared" si="52"/>
        <v>2.4.1.128</v>
      </c>
      <c r="I53" s="198" t="str">
        <f t="shared" si="52"/>
        <v>2.4.1.128</v>
      </c>
      <c r="J53" s="198" t="str">
        <f t="shared" si="52"/>
        <v/>
      </c>
      <c r="K53" s="198" t="str">
        <f t="shared" si="52"/>
        <v/>
      </c>
      <c r="L53" s="198" t="str">
        <f t="shared" si="52"/>
        <v>2.4.1.128</v>
      </c>
      <c r="M53" s="198" t="str">
        <f t="shared" si="52"/>
        <v>2.4.1.128</v>
      </c>
      <c r="N53" s="198" t="str">
        <f t="shared" si="52"/>
        <v>2.4.1.128</v>
      </c>
      <c r="O53" s="198" t="str">
        <f t="shared" si="52"/>
        <v>2.4.1.128</v>
      </c>
      <c r="P53" s="198" t="str">
        <f t="shared" si="52"/>
        <v>2.4.1.128</v>
      </c>
      <c r="Q53" s="198" t="str">
        <f t="shared" si="52"/>
        <v>2.4.1.128</v>
      </c>
      <c r="R53" s="198" t="str">
        <f t="shared" si="52"/>
        <v>2.4.1.128</v>
      </c>
      <c r="S53" s="198" t="str">
        <f t="shared" si="52"/>
        <v/>
      </c>
      <c r="T53" s="198" t="str">
        <f t="shared" si="52"/>
        <v>2.4.1.128</v>
      </c>
      <c r="U53" s="198" t="str">
        <f t="shared" si="52"/>
        <v>2.4.1.128</v>
      </c>
      <c r="V53" s="198" t="str">
        <f t="shared" si="52"/>
        <v>2.4.1.128</v>
      </c>
      <c r="W53" s="198" t="str">
        <f t="shared" si="52"/>
        <v/>
      </c>
      <c r="X53" s="198" t="str">
        <f t="shared" si="52"/>
        <v/>
      </c>
      <c r="Y53" s="198" t="str">
        <f t="shared" si="52"/>
        <v/>
      </c>
      <c r="Z53" s="198" t="str">
        <f t="shared" si="52"/>
        <v>2.4.1.128</v>
      </c>
      <c r="AA53" s="198" t="str">
        <f t="shared" si="52"/>
        <v>2.4.1.128</v>
      </c>
      <c r="AB53" s="198" t="str">
        <f t="shared" si="52"/>
        <v>2.4.1.128</v>
      </c>
      <c r="AC53" s="198" t="str">
        <f t="shared" si="52"/>
        <v/>
      </c>
      <c r="AD53" s="198" t="str">
        <f t="shared" si="52"/>
        <v>2.4.1.128</v>
      </c>
      <c r="AE53" s="198" t="str">
        <f t="shared" si="52"/>
        <v>2.4.1.128</v>
      </c>
      <c r="AF53" s="198" t="str">
        <f t="shared" si="52"/>
        <v>2.4.1.128</v>
      </c>
      <c r="AG53" s="198" t="str">
        <f t="shared" si="52"/>
        <v>2.4.1.128</v>
      </c>
      <c r="AH53" s="198" t="str">
        <f t="shared" si="52"/>
        <v>2.4.1.128</v>
      </c>
      <c r="AI53" s="198" t="str">
        <f t="shared" si="52"/>
        <v/>
      </c>
      <c r="AJ53" s="198" t="str">
        <f t="shared" si="52"/>
        <v>2.4.1.128</v>
      </c>
      <c r="AK53" s="198" t="str">
        <f t="shared" si="52"/>
        <v>2.4.1.128</v>
      </c>
      <c r="AL53" s="198" t="str">
        <f t="shared" si="52"/>
        <v>2.4.1.128</v>
      </c>
      <c r="AM53" s="198" t="str">
        <f t="shared" si="52"/>
        <v>2.4.1.128</v>
      </c>
      <c r="AN53" s="198" t="str">
        <f t="shared" si="52"/>
        <v>2.4.1.128</v>
      </c>
      <c r="AO53" s="198" t="str">
        <f t="shared" si="52"/>
        <v>2.4.1.128</v>
      </c>
      <c r="AP53" s="198" t="str">
        <f t="shared" si="52"/>
        <v>2.4.1.128</v>
      </c>
      <c r="AQ53" s="198" t="str">
        <f t="shared" si="52"/>
        <v>2.4.1.128</v>
      </c>
      <c r="AR53" s="198" t="str">
        <f t="shared" si="52"/>
        <v/>
      </c>
      <c r="AS53" s="198" t="str">
        <f t="shared" si="52"/>
        <v>2.4.1.128</v>
      </c>
      <c r="AT53" s="198" t="str">
        <f t="shared" si="52"/>
        <v>2.4.1.128</v>
      </c>
      <c r="AU53" s="198" t="str">
        <f t="shared" si="52"/>
        <v>2.4.1.128</v>
      </c>
      <c r="AV53" s="198" t="str">
        <f t="shared" si="52"/>
        <v>2.4.1.128</v>
      </c>
      <c r="AW53" s="198" t="str">
        <f t="shared" si="52"/>
        <v>2.4.1.128</v>
      </c>
      <c r="AX53" s="198" t="str">
        <f t="shared" si="52"/>
        <v>2.4.1.128</v>
      </c>
      <c r="AY53" s="198" t="str">
        <f t="shared" si="52"/>
        <v>2.4.1.128</v>
      </c>
      <c r="AZ53" s="198" t="str">
        <f t="shared" si="52"/>
        <v>2.4.1.128</v>
      </c>
      <c r="BA53" s="198" t="str">
        <f t="shared" si="52"/>
        <v>2.4.1.128</v>
      </c>
      <c r="BB53" s="198" t="str">
        <f t="shared" si="52"/>
        <v>2.4.1.128</v>
      </c>
      <c r="BC53" s="198" t="str">
        <f t="shared" si="52"/>
        <v>2.4.1.128</v>
      </c>
      <c r="BD53" s="198" t="str">
        <f t="shared" si="52"/>
        <v>2.4.1.128</v>
      </c>
      <c r="BE53" s="198" t="str">
        <f t="shared" si="52"/>
        <v>2.4.1.128</v>
      </c>
      <c r="BF53" s="198" t="str">
        <f t="shared" si="52"/>
        <v>2.4.1.128</v>
      </c>
      <c r="BG53" s="198" t="str">
        <f t="shared" si="52"/>
        <v/>
      </c>
      <c r="BH53" s="198" t="str">
        <f t="shared" si="52"/>
        <v/>
      </c>
      <c r="BI53" s="198" t="str">
        <f t="shared" si="52"/>
        <v>2.4.1.128</v>
      </c>
      <c r="BJ53" s="198" t="str">
        <f t="shared" si="52"/>
        <v/>
      </c>
      <c r="BK53" s="198" t="str">
        <f t="shared" si="52"/>
        <v>2.4.1.128</v>
      </c>
      <c r="BL53" s="198" t="str">
        <f t="shared" si="52"/>
        <v/>
      </c>
      <c r="BM53" s="198" t="str">
        <f t="shared" si="52"/>
        <v>2.4.1.128</v>
      </c>
      <c r="BN53" s="198" t="str">
        <f t="shared" si="52"/>
        <v>2.4.1.128</v>
      </c>
      <c r="BO53" s="198" t="str">
        <f t="shared" si="52"/>
        <v>2.4.1.128</v>
      </c>
      <c r="BP53" s="198" t="str">
        <f t="shared" si="52"/>
        <v>2.4.1.128</v>
      </c>
      <c r="BQ53" s="198" t="str">
        <f t="shared" si="52"/>
        <v>2.4.1.128</v>
      </c>
      <c r="BR53" s="198" t="str">
        <f t="shared" si="52"/>
        <v>2.4.1.128</v>
      </c>
      <c r="BS53" s="198" t="str">
        <f t="shared" si="52"/>
        <v/>
      </c>
      <c r="BT53" s="198" t="str">
        <f t="shared" si="52"/>
        <v/>
      </c>
      <c r="BU53" s="198" t="str">
        <f t="shared" si="52"/>
        <v/>
      </c>
      <c r="BV53" s="198" t="str">
        <f t="shared" si="52"/>
        <v/>
      </c>
      <c r="BW53" s="198" t="str">
        <f t="shared" si="52"/>
        <v>2.4.1.128</v>
      </c>
      <c r="BX53" s="198" t="str">
        <f t="shared" si="52"/>
        <v>2.4.1.128</v>
      </c>
      <c r="BY53" s="198" t="str">
        <f t="shared" si="52"/>
        <v>2.4.1.128</v>
      </c>
      <c r="BZ53" s="198" t="str">
        <f t="shared" si="52"/>
        <v>2.4.1.128</v>
      </c>
      <c r="CA53" s="198" t="str">
        <f t="shared" si="52"/>
        <v/>
      </c>
      <c r="CB53" s="198" t="str">
        <f t="shared" si="52"/>
        <v>2.4.1.128</v>
      </c>
      <c r="CC53" s="198" t="str">
        <f t="shared" si="52"/>
        <v>2.4.1.128</v>
      </c>
      <c r="CD53" s="198" t="str">
        <f t="shared" si="52"/>
        <v>2.4.1.128</v>
      </c>
      <c r="CE53" s="198" t="str">
        <f t="shared" si="52"/>
        <v>2.4.1.128</v>
      </c>
      <c r="CF53" s="198" t="str">
        <f t="shared" si="52"/>
        <v>2.4.1.128</v>
      </c>
      <c r="CG53" s="198" t="str">
        <f t="shared" si="52"/>
        <v>2.4.1.128</v>
      </c>
      <c r="CH53" s="198" t="str">
        <f t="shared" si="52"/>
        <v>2.4.1.128</v>
      </c>
      <c r="CI53" s="198" t="str">
        <f t="shared" si="52"/>
        <v>2.4.1.128</v>
      </c>
      <c r="CJ53" s="198" t="str">
        <f t="shared" si="52"/>
        <v/>
      </c>
      <c r="CK53" s="198" t="str">
        <f t="shared" si="52"/>
        <v>2.4.1.128</v>
      </c>
      <c r="CL53" s="198" t="str">
        <f t="shared" si="52"/>
        <v/>
      </c>
      <c r="CM53" s="198" t="str">
        <f t="shared" si="52"/>
        <v>2.4.1.128</v>
      </c>
      <c r="CN53" s="198" t="str">
        <f t="shared" si="52"/>
        <v>2.4.1.128</v>
      </c>
      <c r="CO53" s="198" t="str">
        <f t="shared" si="52"/>
        <v>2.4.1.128</v>
      </c>
      <c r="CP53" s="198" t="str">
        <f t="shared" si="52"/>
        <v>2.4.1.128</v>
      </c>
      <c r="CQ53" s="198" t="str">
        <f t="shared" si="52"/>
        <v>2.4.1.128</v>
      </c>
      <c r="CR53" s="198" t="str">
        <f t="shared" si="52"/>
        <v>2.4.1.128</v>
      </c>
      <c r="CS53" s="198" t="str">
        <f t="shared" si="52"/>
        <v>2.4.1.128</v>
      </c>
      <c r="CT53" s="198" t="str">
        <f t="shared" si="52"/>
        <v>2.4.1.128</v>
      </c>
      <c r="CU53" s="198" t="str">
        <f t="shared" si="52"/>
        <v>2.4.1.128</v>
      </c>
      <c r="CV53" s="198" t="str">
        <f t="shared" si="52"/>
        <v>2.4.1.128</v>
      </c>
      <c r="CW53" s="198" t="str">
        <f t="shared" si="52"/>
        <v/>
      </c>
      <c r="CX53" s="198" t="str">
        <f t="shared" si="52"/>
        <v/>
      </c>
      <c r="CY53" s="198" t="str">
        <f t="shared" si="52"/>
        <v>2.4.1.128</v>
      </c>
      <c r="CZ53" s="198" t="str">
        <f t="shared" si="52"/>
        <v>2.4.1.128</v>
      </c>
      <c r="DA53" s="198" t="str">
        <f t="shared" si="52"/>
        <v>2.4.1.128</v>
      </c>
      <c r="DB53" s="198" t="str">
        <f t="shared" si="52"/>
        <v>2.4.1.128</v>
      </c>
      <c r="DC53" s="198" t="str">
        <f t="shared" si="52"/>
        <v>2.4.1.128</v>
      </c>
      <c r="DD53" s="198"/>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c r="EY53" s="236"/>
      <c r="EZ53" s="236"/>
      <c r="FA53" s="236"/>
      <c r="FB53" s="236"/>
      <c r="FC53" s="236"/>
      <c r="FD53" s="236"/>
      <c r="FE53" s="236"/>
      <c r="FF53" s="236"/>
      <c r="FG53" s="236"/>
      <c r="FH53" s="236"/>
      <c r="FI53" s="236"/>
      <c r="FJ53" s="236"/>
      <c r="FK53" s="236"/>
      <c r="FL53" s="236"/>
      <c r="FM53" s="236"/>
      <c r="FN53" s="236"/>
      <c r="FO53" s="236"/>
      <c r="FP53" s="236"/>
      <c r="FQ53" s="236"/>
      <c r="FR53" s="236"/>
      <c r="FS53" s="236"/>
      <c r="FT53" s="236"/>
      <c r="FU53" s="236"/>
      <c r="FV53" s="236"/>
      <c r="FW53" s="236"/>
      <c r="FX53" s="236"/>
      <c r="FY53" s="236"/>
      <c r="FZ53" s="236"/>
      <c r="GA53" s="236"/>
      <c r="GB53" s="236"/>
      <c r="GC53" s="236"/>
      <c r="GD53" s="236"/>
      <c r="GE53" s="236"/>
      <c r="GF53" s="236"/>
      <c r="GG53" s="236"/>
      <c r="GH53" s="236"/>
      <c r="GI53" s="236"/>
      <c r="GJ53" s="236"/>
      <c r="GK53" s="236"/>
      <c r="GL53" s="236"/>
      <c r="GM53" s="236"/>
      <c r="GN53" s="236"/>
      <c r="GO53" s="236"/>
      <c r="GP53" s="236"/>
      <c r="GQ53" s="236"/>
      <c r="GR53" s="236"/>
      <c r="GS53" s="236"/>
      <c r="GT53" s="236"/>
      <c r="GU53" s="236"/>
      <c r="GV53" s="236"/>
      <c r="GW53" s="236"/>
      <c r="GX53" s="236"/>
      <c r="GY53" s="236"/>
      <c r="GZ53" s="236"/>
      <c r="HA53" s="236"/>
      <c r="HB53" s="236"/>
      <c r="HC53" s="236"/>
      <c r="HD53" s="236"/>
    </row>
    <row r="54" ht="15.75" customHeight="1">
      <c r="A54" s="234">
        <v>54.0</v>
      </c>
      <c r="B54" s="198" t="s">
        <v>1475</v>
      </c>
      <c r="C54" s="198" t="str">
        <f t="shared" ref="C54:DC54" si="53">if(countif(DD:DD,$B54),INDIRECT(concat("B",$A54)),"")</f>
        <v>2.4.1.159</v>
      </c>
      <c r="D54" s="198" t="str">
        <f t="shared" si="53"/>
        <v>2.4.1.159</v>
      </c>
      <c r="E54" s="198" t="str">
        <f t="shared" si="53"/>
        <v/>
      </c>
      <c r="F54" s="198" t="str">
        <f t="shared" si="53"/>
        <v/>
      </c>
      <c r="G54" s="198" t="str">
        <f t="shared" si="53"/>
        <v>2.4.1.159</v>
      </c>
      <c r="H54" s="198" t="str">
        <f t="shared" si="53"/>
        <v>2.4.1.159</v>
      </c>
      <c r="I54" s="198" t="str">
        <f t="shared" si="53"/>
        <v>2.4.1.159</v>
      </c>
      <c r="J54" s="198" t="str">
        <f t="shared" si="53"/>
        <v/>
      </c>
      <c r="K54" s="198" t="str">
        <f t="shared" si="53"/>
        <v/>
      </c>
      <c r="L54" s="198" t="str">
        <f t="shared" si="53"/>
        <v>2.4.1.159</v>
      </c>
      <c r="M54" s="198" t="str">
        <f t="shared" si="53"/>
        <v>2.4.1.159</v>
      </c>
      <c r="N54" s="198" t="str">
        <f t="shared" si="53"/>
        <v/>
      </c>
      <c r="O54" s="198" t="str">
        <f t="shared" si="53"/>
        <v/>
      </c>
      <c r="P54" s="198" t="str">
        <f t="shared" si="53"/>
        <v/>
      </c>
      <c r="Q54" s="198" t="str">
        <f t="shared" si="53"/>
        <v>2.4.1.159</v>
      </c>
      <c r="R54" s="198" t="str">
        <f t="shared" si="53"/>
        <v/>
      </c>
      <c r="S54" s="198" t="str">
        <f t="shared" si="53"/>
        <v/>
      </c>
      <c r="T54" s="198" t="str">
        <f t="shared" si="53"/>
        <v>2.4.1.159</v>
      </c>
      <c r="U54" s="198" t="str">
        <f t="shared" si="53"/>
        <v>2.4.1.159</v>
      </c>
      <c r="V54" s="198" t="str">
        <f t="shared" si="53"/>
        <v>2.4.1.159</v>
      </c>
      <c r="W54" s="198" t="str">
        <f t="shared" si="53"/>
        <v/>
      </c>
      <c r="X54" s="198" t="str">
        <f t="shared" si="53"/>
        <v/>
      </c>
      <c r="Y54" s="198" t="str">
        <f t="shared" si="53"/>
        <v/>
      </c>
      <c r="Z54" s="198" t="str">
        <f t="shared" si="53"/>
        <v>2.4.1.159</v>
      </c>
      <c r="AA54" s="198" t="str">
        <f t="shared" si="53"/>
        <v>2.4.1.159</v>
      </c>
      <c r="AB54" s="198" t="str">
        <f t="shared" si="53"/>
        <v>2.4.1.159</v>
      </c>
      <c r="AC54" s="198" t="str">
        <f t="shared" si="53"/>
        <v/>
      </c>
      <c r="AD54" s="198" t="str">
        <f t="shared" si="53"/>
        <v/>
      </c>
      <c r="AE54" s="198" t="str">
        <f t="shared" si="53"/>
        <v/>
      </c>
      <c r="AF54" s="198" t="str">
        <f t="shared" si="53"/>
        <v/>
      </c>
      <c r="AG54" s="198" t="str">
        <f t="shared" si="53"/>
        <v/>
      </c>
      <c r="AH54" s="198" t="str">
        <f t="shared" si="53"/>
        <v/>
      </c>
      <c r="AI54" s="198" t="str">
        <f t="shared" si="53"/>
        <v/>
      </c>
      <c r="AJ54" s="198" t="str">
        <f t="shared" si="53"/>
        <v>2.4.1.159</v>
      </c>
      <c r="AK54" s="198" t="str">
        <f t="shared" si="53"/>
        <v/>
      </c>
      <c r="AL54" s="198" t="str">
        <f t="shared" si="53"/>
        <v>2.4.1.159</v>
      </c>
      <c r="AM54" s="198" t="str">
        <f t="shared" si="53"/>
        <v>2.4.1.159</v>
      </c>
      <c r="AN54" s="198" t="str">
        <f t="shared" si="53"/>
        <v>2.4.1.159</v>
      </c>
      <c r="AO54" s="198" t="str">
        <f t="shared" si="53"/>
        <v/>
      </c>
      <c r="AP54" s="198" t="str">
        <f t="shared" si="53"/>
        <v/>
      </c>
      <c r="AQ54" s="198" t="str">
        <f t="shared" si="53"/>
        <v/>
      </c>
      <c r="AR54" s="198" t="str">
        <f t="shared" si="53"/>
        <v/>
      </c>
      <c r="AS54" s="198" t="str">
        <f t="shared" si="53"/>
        <v>2.4.1.159</v>
      </c>
      <c r="AT54" s="198" t="str">
        <f t="shared" si="53"/>
        <v>2.4.1.159</v>
      </c>
      <c r="AU54" s="198" t="str">
        <f t="shared" si="53"/>
        <v>2.4.1.159</v>
      </c>
      <c r="AV54" s="198" t="str">
        <f t="shared" si="53"/>
        <v>2.4.1.159</v>
      </c>
      <c r="AW54" s="198" t="str">
        <f t="shared" si="53"/>
        <v>2.4.1.159</v>
      </c>
      <c r="AX54" s="198" t="str">
        <f t="shared" si="53"/>
        <v>2.4.1.159</v>
      </c>
      <c r="AY54" s="198" t="str">
        <f t="shared" si="53"/>
        <v>2.4.1.159</v>
      </c>
      <c r="AZ54" s="198" t="str">
        <f t="shared" si="53"/>
        <v/>
      </c>
      <c r="BA54" s="198" t="str">
        <f t="shared" si="53"/>
        <v/>
      </c>
      <c r="BB54" s="198" t="str">
        <f t="shared" si="53"/>
        <v>2.4.1.159</v>
      </c>
      <c r="BC54" s="198" t="str">
        <f t="shared" si="53"/>
        <v/>
      </c>
      <c r="BD54" s="198" t="str">
        <f t="shared" si="53"/>
        <v>2.4.1.159</v>
      </c>
      <c r="BE54" s="198" t="str">
        <f t="shared" si="53"/>
        <v/>
      </c>
      <c r="BF54" s="198" t="str">
        <f t="shared" si="53"/>
        <v>2.4.1.159</v>
      </c>
      <c r="BG54" s="198" t="str">
        <f t="shared" si="53"/>
        <v/>
      </c>
      <c r="BH54" s="198" t="str">
        <f t="shared" si="53"/>
        <v/>
      </c>
      <c r="BI54" s="198" t="str">
        <f t="shared" si="53"/>
        <v/>
      </c>
      <c r="BJ54" s="198" t="str">
        <f t="shared" si="53"/>
        <v/>
      </c>
      <c r="BK54" s="198" t="str">
        <f t="shared" si="53"/>
        <v>2.4.1.159</v>
      </c>
      <c r="BL54" s="198" t="str">
        <f t="shared" si="53"/>
        <v/>
      </c>
      <c r="BM54" s="198" t="str">
        <f t="shared" si="53"/>
        <v>2.4.1.159</v>
      </c>
      <c r="BN54" s="198" t="str">
        <f t="shared" si="53"/>
        <v>2.4.1.159</v>
      </c>
      <c r="BO54" s="198" t="str">
        <f t="shared" si="53"/>
        <v>2.4.1.159</v>
      </c>
      <c r="BP54" s="198" t="str">
        <f t="shared" si="53"/>
        <v>2.4.1.159</v>
      </c>
      <c r="BQ54" s="198" t="str">
        <f t="shared" si="53"/>
        <v>2.4.1.159</v>
      </c>
      <c r="BR54" s="198" t="str">
        <f t="shared" si="53"/>
        <v>2.4.1.159</v>
      </c>
      <c r="BS54" s="198" t="str">
        <f t="shared" si="53"/>
        <v>2.4.1.159</v>
      </c>
      <c r="BT54" s="198" t="str">
        <f t="shared" si="53"/>
        <v>2.4.1.159</v>
      </c>
      <c r="BU54" s="198" t="str">
        <f t="shared" si="53"/>
        <v/>
      </c>
      <c r="BV54" s="198" t="str">
        <f t="shared" si="53"/>
        <v/>
      </c>
      <c r="BW54" s="198" t="str">
        <f t="shared" si="53"/>
        <v>2.4.1.159</v>
      </c>
      <c r="BX54" s="198" t="str">
        <f t="shared" si="53"/>
        <v>2.4.1.159</v>
      </c>
      <c r="BY54" s="198" t="str">
        <f t="shared" si="53"/>
        <v>2.4.1.159</v>
      </c>
      <c r="BZ54" s="198" t="str">
        <f t="shared" si="53"/>
        <v>2.4.1.159</v>
      </c>
      <c r="CA54" s="198" t="str">
        <f t="shared" si="53"/>
        <v/>
      </c>
      <c r="CB54" s="198" t="str">
        <f t="shared" si="53"/>
        <v>2.4.1.159</v>
      </c>
      <c r="CC54" s="198" t="str">
        <f t="shared" si="53"/>
        <v/>
      </c>
      <c r="CD54" s="198" t="str">
        <f t="shared" si="53"/>
        <v/>
      </c>
      <c r="CE54" s="198" t="str">
        <f t="shared" si="53"/>
        <v/>
      </c>
      <c r="CF54" s="198" t="str">
        <f t="shared" si="53"/>
        <v/>
      </c>
      <c r="CG54" s="198" t="str">
        <f t="shared" si="53"/>
        <v/>
      </c>
      <c r="CH54" s="198" t="str">
        <f t="shared" si="53"/>
        <v/>
      </c>
      <c r="CI54" s="198" t="str">
        <f t="shared" si="53"/>
        <v>2.4.1.159</v>
      </c>
      <c r="CJ54" s="198" t="str">
        <f t="shared" si="53"/>
        <v/>
      </c>
      <c r="CK54" s="198" t="str">
        <f t="shared" si="53"/>
        <v>2.4.1.159</v>
      </c>
      <c r="CL54" s="198" t="str">
        <f t="shared" si="53"/>
        <v>2.4.1.159</v>
      </c>
      <c r="CM54" s="198" t="str">
        <f t="shared" si="53"/>
        <v>2.4.1.159</v>
      </c>
      <c r="CN54" s="198" t="str">
        <f t="shared" si="53"/>
        <v>2.4.1.159</v>
      </c>
      <c r="CO54" s="198" t="str">
        <f t="shared" si="53"/>
        <v>2.4.1.159</v>
      </c>
      <c r="CP54" s="198" t="str">
        <f t="shared" si="53"/>
        <v>2.4.1.159</v>
      </c>
      <c r="CQ54" s="198" t="str">
        <f t="shared" si="53"/>
        <v>2.4.1.159</v>
      </c>
      <c r="CR54" s="198" t="str">
        <f t="shared" si="53"/>
        <v/>
      </c>
      <c r="CS54" s="198" t="str">
        <f t="shared" si="53"/>
        <v/>
      </c>
      <c r="CT54" s="198" t="str">
        <f t="shared" si="53"/>
        <v>2.4.1.159</v>
      </c>
      <c r="CU54" s="198" t="str">
        <f t="shared" si="53"/>
        <v>2.4.1.159</v>
      </c>
      <c r="CV54" s="198" t="str">
        <f t="shared" si="53"/>
        <v/>
      </c>
      <c r="CW54" s="198" t="str">
        <f t="shared" si="53"/>
        <v/>
      </c>
      <c r="CX54" s="198" t="str">
        <f t="shared" si="53"/>
        <v>2.4.1.159</v>
      </c>
      <c r="CY54" s="198" t="str">
        <f t="shared" si="53"/>
        <v>2.4.1.159</v>
      </c>
      <c r="CZ54" s="198" t="str">
        <f t="shared" si="53"/>
        <v>2.4.1.159</v>
      </c>
      <c r="DA54" s="198" t="str">
        <f t="shared" si="53"/>
        <v>2.4.1.159</v>
      </c>
      <c r="DB54" s="198" t="str">
        <f t="shared" si="53"/>
        <v/>
      </c>
      <c r="DC54" s="198" t="str">
        <f t="shared" si="53"/>
        <v>2.4.1.159</v>
      </c>
      <c r="DD54" s="198"/>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c r="EY54" s="236"/>
      <c r="EZ54" s="236"/>
      <c r="FA54" s="236"/>
      <c r="FB54" s="236"/>
      <c r="FC54" s="236"/>
      <c r="FD54" s="236"/>
      <c r="FE54" s="236"/>
      <c r="FF54" s="236"/>
      <c r="FG54" s="236"/>
      <c r="FH54" s="236"/>
      <c r="FI54" s="236"/>
      <c r="FJ54" s="236"/>
      <c r="FK54" s="236"/>
      <c r="FL54" s="236"/>
      <c r="FM54" s="236"/>
      <c r="FN54" s="236"/>
      <c r="FO54" s="236"/>
      <c r="FP54" s="236"/>
      <c r="FQ54" s="236"/>
      <c r="FR54" s="236"/>
      <c r="FS54" s="236"/>
      <c r="FT54" s="236"/>
      <c r="FU54" s="236"/>
      <c r="FV54" s="236"/>
      <c r="FW54" s="236"/>
      <c r="FX54" s="236"/>
      <c r="FY54" s="236"/>
      <c r="FZ54" s="236"/>
      <c r="GA54" s="236"/>
      <c r="GB54" s="236"/>
      <c r="GC54" s="236"/>
      <c r="GD54" s="236"/>
      <c r="GE54" s="236"/>
      <c r="GF54" s="236"/>
      <c r="GG54" s="236"/>
      <c r="GH54" s="236"/>
      <c r="GI54" s="236"/>
      <c r="GJ54" s="236"/>
      <c r="GK54" s="236"/>
      <c r="GL54" s="236"/>
      <c r="GM54" s="236"/>
      <c r="GN54" s="236"/>
      <c r="GO54" s="236"/>
      <c r="GP54" s="236"/>
      <c r="GQ54" s="236"/>
      <c r="GR54" s="236"/>
      <c r="GS54" s="236"/>
      <c r="GT54" s="236"/>
      <c r="GU54" s="236"/>
      <c r="GV54" s="236"/>
      <c r="GW54" s="236"/>
      <c r="GX54" s="236"/>
      <c r="GY54" s="236"/>
      <c r="GZ54" s="236"/>
      <c r="HA54" s="236"/>
      <c r="HB54" s="236"/>
      <c r="HC54" s="236"/>
      <c r="HD54" s="236"/>
    </row>
    <row r="55" ht="15.75" customHeight="1">
      <c r="A55" s="234">
        <v>55.0</v>
      </c>
      <c r="B55" s="236" t="s">
        <v>1524</v>
      </c>
      <c r="C55" s="198" t="str">
        <f t="shared" ref="C55:DC55" si="54">if(countif(DD:DD,$B55),INDIRECT(concat("B",$A55)),"")</f>
        <v/>
      </c>
      <c r="D55" s="198" t="str">
        <f t="shared" si="54"/>
        <v/>
      </c>
      <c r="E55" s="198" t="str">
        <f t="shared" si="54"/>
        <v/>
      </c>
      <c r="F55" s="198" t="str">
        <f t="shared" si="54"/>
        <v/>
      </c>
      <c r="G55" s="198" t="str">
        <f t="shared" si="54"/>
        <v/>
      </c>
      <c r="H55" s="198" t="str">
        <f t="shared" si="54"/>
        <v/>
      </c>
      <c r="I55" s="198" t="str">
        <f t="shared" si="54"/>
        <v/>
      </c>
      <c r="J55" s="198" t="str">
        <f t="shared" si="54"/>
        <v/>
      </c>
      <c r="K55" s="198" t="str">
        <f t="shared" si="54"/>
        <v/>
      </c>
      <c r="L55" s="198" t="str">
        <f t="shared" si="54"/>
        <v/>
      </c>
      <c r="M55" s="198" t="str">
        <f t="shared" si="54"/>
        <v/>
      </c>
      <c r="N55" s="198" t="str">
        <f t="shared" si="54"/>
        <v/>
      </c>
      <c r="O55" s="198" t="str">
        <f t="shared" si="54"/>
        <v/>
      </c>
      <c r="P55" s="198" t="str">
        <f t="shared" si="54"/>
        <v/>
      </c>
      <c r="Q55" s="198" t="str">
        <f t="shared" si="54"/>
        <v/>
      </c>
      <c r="R55" s="198" t="str">
        <f t="shared" si="54"/>
        <v/>
      </c>
      <c r="S55" s="198" t="str">
        <f t="shared" si="54"/>
        <v/>
      </c>
      <c r="T55" s="198" t="str">
        <f t="shared" si="54"/>
        <v/>
      </c>
      <c r="U55" s="198" t="str">
        <f t="shared" si="54"/>
        <v/>
      </c>
      <c r="V55" s="198" t="str">
        <f t="shared" si="54"/>
        <v/>
      </c>
      <c r="W55" s="198" t="str">
        <f t="shared" si="54"/>
        <v/>
      </c>
      <c r="X55" s="198" t="str">
        <f t="shared" si="54"/>
        <v/>
      </c>
      <c r="Y55" s="198" t="str">
        <f t="shared" si="54"/>
        <v/>
      </c>
      <c r="Z55" s="198" t="str">
        <f t="shared" si="54"/>
        <v/>
      </c>
      <c r="AA55" s="198" t="str">
        <f t="shared" si="54"/>
        <v/>
      </c>
      <c r="AB55" s="198" t="str">
        <f t="shared" si="54"/>
        <v/>
      </c>
      <c r="AC55" s="198" t="str">
        <f t="shared" si="54"/>
        <v/>
      </c>
      <c r="AD55" s="198" t="str">
        <f t="shared" si="54"/>
        <v/>
      </c>
      <c r="AE55" s="198" t="str">
        <f t="shared" si="54"/>
        <v/>
      </c>
      <c r="AF55" s="198" t="str">
        <f t="shared" si="54"/>
        <v/>
      </c>
      <c r="AG55" s="198" t="str">
        <f t="shared" si="54"/>
        <v/>
      </c>
      <c r="AH55" s="198" t="str">
        <f t="shared" si="54"/>
        <v/>
      </c>
      <c r="AI55" s="198" t="str">
        <f t="shared" si="54"/>
        <v/>
      </c>
      <c r="AJ55" s="198" t="str">
        <f t="shared" si="54"/>
        <v/>
      </c>
      <c r="AK55" s="198" t="str">
        <f t="shared" si="54"/>
        <v/>
      </c>
      <c r="AL55" s="198" t="str">
        <f t="shared" si="54"/>
        <v/>
      </c>
      <c r="AM55" s="198" t="str">
        <f t="shared" si="54"/>
        <v/>
      </c>
      <c r="AN55" s="198" t="str">
        <f t="shared" si="54"/>
        <v/>
      </c>
      <c r="AO55" s="198" t="str">
        <f t="shared" si="54"/>
        <v/>
      </c>
      <c r="AP55" s="198" t="str">
        <f t="shared" si="54"/>
        <v/>
      </c>
      <c r="AQ55" s="198" t="str">
        <f t="shared" si="54"/>
        <v/>
      </c>
      <c r="AR55" s="198" t="str">
        <f t="shared" si="54"/>
        <v/>
      </c>
      <c r="AS55" s="198" t="str">
        <f t="shared" si="54"/>
        <v>2.4.1.170</v>
      </c>
      <c r="AT55" s="198" t="str">
        <f t="shared" si="54"/>
        <v/>
      </c>
      <c r="AU55" s="198" t="str">
        <f t="shared" si="54"/>
        <v/>
      </c>
      <c r="AV55" s="198" t="str">
        <f t="shared" si="54"/>
        <v/>
      </c>
      <c r="AW55" s="198" t="str">
        <f t="shared" si="54"/>
        <v/>
      </c>
      <c r="AX55" s="198" t="str">
        <f t="shared" si="54"/>
        <v/>
      </c>
      <c r="AY55" s="198" t="str">
        <f t="shared" si="54"/>
        <v/>
      </c>
      <c r="AZ55" s="198" t="str">
        <f t="shared" si="54"/>
        <v/>
      </c>
      <c r="BA55" s="198" t="str">
        <f t="shared" si="54"/>
        <v/>
      </c>
      <c r="BB55" s="198" t="str">
        <f t="shared" si="54"/>
        <v/>
      </c>
      <c r="BC55" s="198" t="str">
        <f t="shared" si="54"/>
        <v/>
      </c>
      <c r="BD55" s="198" t="str">
        <f t="shared" si="54"/>
        <v/>
      </c>
      <c r="BE55" s="198" t="str">
        <f t="shared" si="54"/>
        <v/>
      </c>
      <c r="BF55" s="198" t="str">
        <f t="shared" si="54"/>
        <v/>
      </c>
      <c r="BG55" s="198" t="str">
        <f t="shared" si="54"/>
        <v/>
      </c>
      <c r="BH55" s="198" t="str">
        <f t="shared" si="54"/>
        <v/>
      </c>
      <c r="BI55" s="198" t="str">
        <f t="shared" si="54"/>
        <v/>
      </c>
      <c r="BJ55" s="198" t="str">
        <f t="shared" si="54"/>
        <v/>
      </c>
      <c r="BK55" s="198" t="str">
        <f t="shared" si="54"/>
        <v/>
      </c>
      <c r="BL55" s="198" t="str">
        <f t="shared" si="54"/>
        <v/>
      </c>
      <c r="BM55" s="198" t="str">
        <f t="shared" si="54"/>
        <v/>
      </c>
      <c r="BN55" s="198" t="str">
        <f t="shared" si="54"/>
        <v/>
      </c>
      <c r="BO55" s="198" t="str">
        <f t="shared" si="54"/>
        <v/>
      </c>
      <c r="BP55" s="198" t="str">
        <f t="shared" si="54"/>
        <v/>
      </c>
      <c r="BQ55" s="198" t="str">
        <f t="shared" si="54"/>
        <v/>
      </c>
      <c r="BR55" s="198" t="str">
        <f t="shared" si="54"/>
        <v/>
      </c>
      <c r="BS55" s="198" t="str">
        <f t="shared" si="54"/>
        <v/>
      </c>
      <c r="BT55" s="198" t="str">
        <f t="shared" si="54"/>
        <v/>
      </c>
      <c r="BU55" s="198" t="str">
        <f t="shared" si="54"/>
        <v/>
      </c>
      <c r="BV55" s="198" t="str">
        <f t="shared" si="54"/>
        <v/>
      </c>
      <c r="BW55" s="198" t="str">
        <f t="shared" si="54"/>
        <v/>
      </c>
      <c r="BX55" s="198" t="str">
        <f t="shared" si="54"/>
        <v/>
      </c>
      <c r="BY55" s="198" t="str">
        <f t="shared" si="54"/>
        <v>2.4.1.170</v>
      </c>
      <c r="BZ55" s="198" t="str">
        <f t="shared" si="54"/>
        <v/>
      </c>
      <c r="CA55" s="198" t="str">
        <f t="shared" si="54"/>
        <v/>
      </c>
      <c r="CB55" s="198" t="str">
        <f t="shared" si="54"/>
        <v/>
      </c>
      <c r="CC55" s="198" t="str">
        <f t="shared" si="54"/>
        <v/>
      </c>
      <c r="CD55" s="198" t="str">
        <f t="shared" si="54"/>
        <v/>
      </c>
      <c r="CE55" s="198" t="str">
        <f t="shared" si="54"/>
        <v/>
      </c>
      <c r="CF55" s="198" t="str">
        <f t="shared" si="54"/>
        <v/>
      </c>
      <c r="CG55" s="198" t="str">
        <f t="shared" si="54"/>
        <v/>
      </c>
      <c r="CH55" s="198" t="str">
        <f t="shared" si="54"/>
        <v/>
      </c>
      <c r="CI55" s="198" t="str">
        <f t="shared" si="54"/>
        <v/>
      </c>
      <c r="CJ55" s="198" t="str">
        <f t="shared" si="54"/>
        <v/>
      </c>
      <c r="CK55" s="198" t="str">
        <f t="shared" si="54"/>
        <v/>
      </c>
      <c r="CL55" s="198" t="str">
        <f t="shared" si="54"/>
        <v/>
      </c>
      <c r="CM55" s="198" t="str">
        <f t="shared" si="54"/>
        <v/>
      </c>
      <c r="CN55" s="198" t="str">
        <f t="shared" si="54"/>
        <v/>
      </c>
      <c r="CO55" s="198" t="str">
        <f t="shared" si="54"/>
        <v/>
      </c>
      <c r="CP55" s="198" t="str">
        <f t="shared" si="54"/>
        <v/>
      </c>
      <c r="CQ55" s="198" t="str">
        <f t="shared" si="54"/>
        <v/>
      </c>
      <c r="CR55" s="198" t="str">
        <f t="shared" si="54"/>
        <v/>
      </c>
      <c r="CS55" s="198" t="str">
        <f t="shared" si="54"/>
        <v/>
      </c>
      <c r="CT55" s="198" t="str">
        <f t="shared" si="54"/>
        <v>2.4.1.170</v>
      </c>
      <c r="CU55" s="198" t="str">
        <f t="shared" si="54"/>
        <v>2.4.1.170</v>
      </c>
      <c r="CV55" s="198" t="str">
        <f t="shared" si="54"/>
        <v/>
      </c>
      <c r="CW55" s="198" t="str">
        <f t="shared" si="54"/>
        <v/>
      </c>
      <c r="CX55" s="198" t="str">
        <f t="shared" si="54"/>
        <v/>
      </c>
      <c r="CY55" s="198" t="str">
        <f t="shared" si="54"/>
        <v/>
      </c>
      <c r="CZ55" s="198" t="str">
        <f t="shared" si="54"/>
        <v>2.4.1.170</v>
      </c>
      <c r="DA55" s="198" t="str">
        <f t="shared" si="54"/>
        <v/>
      </c>
      <c r="DB55" s="198" t="str">
        <f t="shared" si="54"/>
        <v/>
      </c>
      <c r="DC55" s="198" t="str">
        <f t="shared" si="54"/>
        <v>2.4.1.170</v>
      </c>
      <c r="DD55" s="198"/>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c r="EY55" s="236"/>
      <c r="EZ55" s="236"/>
      <c r="FA55" s="236"/>
      <c r="FB55" s="236"/>
      <c r="FC55" s="236"/>
      <c r="FD55" s="236"/>
      <c r="FE55" s="236"/>
      <c r="FF55" s="236"/>
      <c r="FG55" s="236"/>
      <c r="FH55" s="236"/>
      <c r="FI55" s="236"/>
      <c r="FJ55" s="236"/>
      <c r="FK55" s="236"/>
      <c r="FL55" s="236"/>
      <c r="FM55" s="236"/>
      <c r="FN55" s="236"/>
      <c r="FO55" s="236"/>
      <c r="FP55" s="236"/>
      <c r="FQ55" s="236"/>
      <c r="FR55" s="236"/>
      <c r="FS55" s="236"/>
      <c r="FT55" s="236"/>
      <c r="FU55" s="236"/>
      <c r="FV55" s="236"/>
      <c r="FW55" s="236"/>
      <c r="FX55" s="236"/>
      <c r="FY55" s="236"/>
      <c r="FZ55" s="236"/>
      <c r="GA55" s="236"/>
      <c r="GB55" s="236"/>
      <c r="GC55" s="236"/>
      <c r="GD55" s="236"/>
      <c r="GE55" s="236"/>
      <c r="GF55" s="236"/>
      <c r="GG55" s="236"/>
      <c r="GH55" s="236"/>
      <c r="GI55" s="236"/>
      <c r="GJ55" s="236"/>
      <c r="GK55" s="236"/>
      <c r="GL55" s="236"/>
      <c r="GM55" s="236"/>
      <c r="GN55" s="236"/>
      <c r="GO55" s="236"/>
      <c r="GP55" s="236"/>
      <c r="GQ55" s="236"/>
      <c r="GR55" s="236"/>
      <c r="GS55" s="236"/>
      <c r="GT55" s="236"/>
      <c r="GU55" s="236"/>
      <c r="GV55" s="236"/>
      <c r="GW55" s="236"/>
      <c r="GX55" s="236"/>
      <c r="GY55" s="236"/>
      <c r="GZ55" s="236"/>
      <c r="HA55" s="236"/>
      <c r="HB55" s="236"/>
      <c r="HC55" s="236"/>
      <c r="HD55" s="236"/>
    </row>
    <row r="56" ht="15.75" customHeight="1">
      <c r="A56" s="234">
        <v>56.0</v>
      </c>
      <c r="B56" s="236" t="s">
        <v>1528</v>
      </c>
      <c r="C56" s="198" t="str">
        <f t="shared" ref="C56:DC56" si="55">if(countif(DD:DD,$B56),INDIRECT(concat("B",$A56)),"")</f>
        <v/>
      </c>
      <c r="D56" s="198" t="str">
        <f t="shared" si="55"/>
        <v/>
      </c>
      <c r="E56" s="198" t="str">
        <f t="shared" si="55"/>
        <v/>
      </c>
      <c r="F56" s="198" t="str">
        <f t="shared" si="55"/>
        <v/>
      </c>
      <c r="G56" s="198" t="str">
        <f t="shared" si="55"/>
        <v/>
      </c>
      <c r="H56" s="198" t="str">
        <f t="shared" si="55"/>
        <v/>
      </c>
      <c r="I56" s="198" t="str">
        <f t="shared" si="55"/>
        <v/>
      </c>
      <c r="J56" s="198" t="str">
        <f t="shared" si="55"/>
        <v/>
      </c>
      <c r="K56" s="198" t="str">
        <f t="shared" si="55"/>
        <v/>
      </c>
      <c r="L56" s="198" t="str">
        <f t="shared" si="55"/>
        <v/>
      </c>
      <c r="M56" s="198" t="str">
        <f t="shared" si="55"/>
        <v/>
      </c>
      <c r="N56" s="198" t="str">
        <f t="shared" si="55"/>
        <v/>
      </c>
      <c r="O56" s="198" t="str">
        <f t="shared" si="55"/>
        <v/>
      </c>
      <c r="P56" s="198" t="str">
        <f t="shared" si="55"/>
        <v/>
      </c>
      <c r="Q56" s="198" t="str">
        <f t="shared" si="55"/>
        <v/>
      </c>
      <c r="R56" s="198" t="str">
        <f t="shared" si="55"/>
        <v/>
      </c>
      <c r="S56" s="198" t="str">
        <f t="shared" si="55"/>
        <v/>
      </c>
      <c r="T56" s="198" t="str">
        <f t="shared" si="55"/>
        <v/>
      </c>
      <c r="U56" s="198" t="str">
        <f t="shared" si="55"/>
        <v/>
      </c>
      <c r="V56" s="198" t="str">
        <f t="shared" si="55"/>
        <v/>
      </c>
      <c r="W56" s="198" t="str">
        <f t="shared" si="55"/>
        <v/>
      </c>
      <c r="X56" s="198" t="str">
        <f t="shared" si="55"/>
        <v/>
      </c>
      <c r="Y56" s="198" t="str">
        <f t="shared" si="55"/>
        <v/>
      </c>
      <c r="Z56" s="198" t="str">
        <f t="shared" si="55"/>
        <v/>
      </c>
      <c r="AA56" s="198" t="str">
        <f t="shared" si="55"/>
        <v/>
      </c>
      <c r="AB56" s="198" t="str">
        <f t="shared" si="55"/>
        <v/>
      </c>
      <c r="AC56" s="198" t="str">
        <f t="shared" si="55"/>
        <v/>
      </c>
      <c r="AD56" s="198" t="str">
        <f t="shared" si="55"/>
        <v/>
      </c>
      <c r="AE56" s="198" t="str">
        <f t="shared" si="55"/>
        <v/>
      </c>
      <c r="AF56" s="198" t="str">
        <f t="shared" si="55"/>
        <v/>
      </c>
      <c r="AG56" s="198" t="str">
        <f t="shared" si="55"/>
        <v/>
      </c>
      <c r="AH56" s="198" t="str">
        <f t="shared" si="55"/>
        <v/>
      </c>
      <c r="AI56" s="198" t="str">
        <f t="shared" si="55"/>
        <v/>
      </c>
      <c r="AJ56" s="198" t="str">
        <f t="shared" si="55"/>
        <v/>
      </c>
      <c r="AK56" s="198" t="str">
        <f t="shared" si="55"/>
        <v/>
      </c>
      <c r="AL56" s="198" t="str">
        <f t="shared" si="55"/>
        <v/>
      </c>
      <c r="AM56" s="198" t="str">
        <f t="shared" si="55"/>
        <v/>
      </c>
      <c r="AN56" s="198" t="str">
        <f t="shared" si="55"/>
        <v/>
      </c>
      <c r="AO56" s="198" t="str">
        <f t="shared" si="55"/>
        <v/>
      </c>
      <c r="AP56" s="198" t="str">
        <f t="shared" si="55"/>
        <v/>
      </c>
      <c r="AQ56" s="198" t="str">
        <f t="shared" si="55"/>
        <v/>
      </c>
      <c r="AR56" s="198" t="str">
        <f t="shared" si="55"/>
        <v/>
      </c>
      <c r="AS56" s="198" t="str">
        <f t="shared" si="55"/>
        <v/>
      </c>
      <c r="AT56" s="198" t="str">
        <f t="shared" si="55"/>
        <v/>
      </c>
      <c r="AU56" s="198" t="str">
        <f t="shared" si="55"/>
        <v/>
      </c>
      <c r="AV56" s="198" t="str">
        <f t="shared" si="55"/>
        <v/>
      </c>
      <c r="AW56" s="198" t="str">
        <f t="shared" si="55"/>
        <v/>
      </c>
      <c r="AX56" s="198" t="str">
        <f t="shared" si="55"/>
        <v/>
      </c>
      <c r="AY56" s="198" t="str">
        <f t="shared" si="55"/>
        <v/>
      </c>
      <c r="AZ56" s="198" t="str">
        <f t="shared" si="55"/>
        <v/>
      </c>
      <c r="BA56" s="198" t="str">
        <f t="shared" si="55"/>
        <v/>
      </c>
      <c r="BB56" s="198" t="str">
        <f t="shared" si="55"/>
        <v/>
      </c>
      <c r="BC56" s="198" t="str">
        <f t="shared" si="55"/>
        <v/>
      </c>
      <c r="BD56" s="198" t="str">
        <f t="shared" si="55"/>
        <v/>
      </c>
      <c r="BE56" s="198" t="str">
        <f t="shared" si="55"/>
        <v/>
      </c>
      <c r="BF56" s="198" t="str">
        <f t="shared" si="55"/>
        <v/>
      </c>
      <c r="BG56" s="198" t="str">
        <f t="shared" si="55"/>
        <v/>
      </c>
      <c r="BH56" s="198" t="str">
        <f t="shared" si="55"/>
        <v/>
      </c>
      <c r="BI56" s="198" t="str">
        <f t="shared" si="55"/>
        <v/>
      </c>
      <c r="BJ56" s="198" t="str">
        <f t="shared" si="55"/>
        <v/>
      </c>
      <c r="BK56" s="198" t="str">
        <f t="shared" si="55"/>
        <v/>
      </c>
      <c r="BL56" s="198" t="str">
        <f t="shared" si="55"/>
        <v/>
      </c>
      <c r="BM56" s="198" t="str">
        <f t="shared" si="55"/>
        <v/>
      </c>
      <c r="BN56" s="198" t="str">
        <f t="shared" si="55"/>
        <v/>
      </c>
      <c r="BO56" s="198" t="str">
        <f t="shared" si="55"/>
        <v/>
      </c>
      <c r="BP56" s="198" t="str">
        <f t="shared" si="55"/>
        <v/>
      </c>
      <c r="BQ56" s="198" t="str">
        <f t="shared" si="55"/>
        <v/>
      </c>
      <c r="BR56" s="198" t="str">
        <f t="shared" si="55"/>
        <v/>
      </c>
      <c r="BS56" s="198" t="str">
        <f t="shared" si="55"/>
        <v/>
      </c>
      <c r="BT56" s="198" t="str">
        <f t="shared" si="55"/>
        <v/>
      </c>
      <c r="BU56" s="198" t="str">
        <f t="shared" si="55"/>
        <v/>
      </c>
      <c r="BV56" s="198" t="str">
        <f t="shared" si="55"/>
        <v/>
      </c>
      <c r="BW56" s="198" t="str">
        <f t="shared" si="55"/>
        <v/>
      </c>
      <c r="BX56" s="198" t="str">
        <f t="shared" si="55"/>
        <v/>
      </c>
      <c r="BY56" s="198" t="str">
        <f t="shared" si="55"/>
        <v/>
      </c>
      <c r="BZ56" s="198" t="str">
        <f t="shared" si="55"/>
        <v/>
      </c>
      <c r="CA56" s="198" t="str">
        <f t="shared" si="55"/>
        <v/>
      </c>
      <c r="CB56" s="198" t="str">
        <f t="shared" si="55"/>
        <v/>
      </c>
      <c r="CC56" s="198" t="str">
        <f t="shared" si="55"/>
        <v/>
      </c>
      <c r="CD56" s="198" t="str">
        <f t="shared" si="55"/>
        <v/>
      </c>
      <c r="CE56" s="198" t="str">
        <f t="shared" si="55"/>
        <v/>
      </c>
      <c r="CF56" s="198" t="str">
        <f t="shared" si="55"/>
        <v/>
      </c>
      <c r="CG56" s="198" t="str">
        <f t="shared" si="55"/>
        <v/>
      </c>
      <c r="CH56" s="198" t="str">
        <f t="shared" si="55"/>
        <v/>
      </c>
      <c r="CI56" s="198" t="str">
        <f t="shared" si="55"/>
        <v/>
      </c>
      <c r="CJ56" s="198" t="str">
        <f t="shared" si="55"/>
        <v/>
      </c>
      <c r="CK56" s="198" t="str">
        <f t="shared" si="55"/>
        <v/>
      </c>
      <c r="CL56" s="198" t="str">
        <f t="shared" si="55"/>
        <v/>
      </c>
      <c r="CM56" s="198" t="str">
        <f t="shared" si="55"/>
        <v>2.4.1.234</v>
      </c>
      <c r="CN56" s="198" t="str">
        <f t="shared" si="55"/>
        <v/>
      </c>
      <c r="CO56" s="198" t="str">
        <f t="shared" si="55"/>
        <v>2.4.1.234</v>
      </c>
      <c r="CP56" s="198" t="str">
        <f t="shared" si="55"/>
        <v/>
      </c>
      <c r="CQ56" s="198" t="str">
        <f t="shared" si="55"/>
        <v/>
      </c>
      <c r="CR56" s="198" t="str">
        <f t="shared" si="55"/>
        <v/>
      </c>
      <c r="CS56" s="198" t="str">
        <f t="shared" si="55"/>
        <v/>
      </c>
      <c r="CT56" s="198" t="str">
        <f t="shared" si="55"/>
        <v/>
      </c>
      <c r="CU56" s="198" t="str">
        <f t="shared" si="55"/>
        <v/>
      </c>
      <c r="CV56" s="198" t="str">
        <f t="shared" si="55"/>
        <v/>
      </c>
      <c r="CW56" s="198" t="str">
        <f t="shared" si="55"/>
        <v/>
      </c>
      <c r="CX56" s="198" t="str">
        <f t="shared" si="55"/>
        <v/>
      </c>
      <c r="CY56" s="198" t="str">
        <f t="shared" si="55"/>
        <v/>
      </c>
      <c r="CZ56" s="198" t="str">
        <f t="shared" si="55"/>
        <v/>
      </c>
      <c r="DA56" s="198" t="str">
        <f t="shared" si="55"/>
        <v/>
      </c>
      <c r="DB56" s="198" t="str">
        <f t="shared" si="55"/>
        <v/>
      </c>
      <c r="DC56" s="198" t="str">
        <f t="shared" si="55"/>
        <v/>
      </c>
      <c r="DD56" s="198"/>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c r="EY56" s="236"/>
      <c r="EZ56" s="236"/>
      <c r="FA56" s="236"/>
      <c r="FB56" s="236"/>
      <c r="FC56" s="236"/>
      <c r="FD56" s="236"/>
      <c r="FE56" s="236"/>
      <c r="FF56" s="236"/>
      <c r="FG56" s="236"/>
      <c r="FH56" s="236"/>
      <c r="FI56" s="236"/>
      <c r="FJ56" s="236"/>
      <c r="FK56" s="236"/>
      <c r="FL56" s="236"/>
      <c r="FM56" s="236"/>
      <c r="FN56" s="236"/>
      <c r="FO56" s="236"/>
      <c r="FP56" s="236"/>
      <c r="FQ56" s="236"/>
      <c r="FR56" s="236"/>
      <c r="FS56" s="236"/>
      <c r="FT56" s="236"/>
      <c r="FU56" s="236"/>
      <c r="FV56" s="236"/>
      <c r="FW56" s="236"/>
      <c r="FX56" s="236"/>
      <c r="FY56" s="236"/>
      <c r="FZ56" s="236"/>
      <c r="GA56" s="236"/>
      <c r="GB56" s="236"/>
      <c r="GC56" s="236"/>
      <c r="GD56" s="236"/>
      <c r="GE56" s="236"/>
      <c r="GF56" s="236"/>
      <c r="GG56" s="236"/>
      <c r="GH56" s="236"/>
      <c r="GI56" s="236"/>
      <c r="GJ56" s="236"/>
      <c r="GK56" s="236"/>
      <c r="GL56" s="236"/>
      <c r="GM56" s="236"/>
      <c r="GN56" s="236"/>
      <c r="GO56" s="236"/>
      <c r="GP56" s="236"/>
      <c r="GQ56" s="236"/>
      <c r="GR56" s="236"/>
      <c r="GS56" s="236"/>
      <c r="GT56" s="236"/>
      <c r="GU56" s="236"/>
      <c r="GV56" s="236"/>
      <c r="GW56" s="236"/>
      <c r="GX56" s="236"/>
      <c r="GY56" s="236"/>
      <c r="GZ56" s="236"/>
      <c r="HA56" s="236"/>
      <c r="HB56" s="236"/>
      <c r="HC56" s="236"/>
      <c r="HD56" s="236"/>
    </row>
    <row r="57" ht="15.75" customHeight="1">
      <c r="A57" s="234">
        <v>57.0</v>
      </c>
      <c r="B57" s="198" t="s">
        <v>1520</v>
      </c>
      <c r="C57" s="198" t="str">
        <f t="shared" ref="C57:DC57" si="56">if(countif(DD:DD,$B57),INDIRECT(concat("B",$A57)),"")</f>
        <v/>
      </c>
      <c r="D57" s="198" t="str">
        <f t="shared" si="56"/>
        <v/>
      </c>
      <c r="E57" s="198" t="str">
        <f t="shared" si="56"/>
        <v/>
      </c>
      <c r="F57" s="198" t="str">
        <f t="shared" si="56"/>
        <v/>
      </c>
      <c r="G57" s="198" t="str">
        <f t="shared" si="56"/>
        <v/>
      </c>
      <c r="H57" s="198" t="str">
        <f t="shared" si="56"/>
        <v/>
      </c>
      <c r="I57" s="198" t="str">
        <f t="shared" si="56"/>
        <v/>
      </c>
      <c r="J57" s="198" t="str">
        <f t="shared" si="56"/>
        <v/>
      </c>
      <c r="K57" s="198" t="str">
        <f t="shared" si="56"/>
        <v/>
      </c>
      <c r="L57" s="198" t="str">
        <f t="shared" si="56"/>
        <v/>
      </c>
      <c r="M57" s="198" t="str">
        <f t="shared" si="56"/>
        <v/>
      </c>
      <c r="N57" s="198" t="str">
        <f t="shared" si="56"/>
        <v/>
      </c>
      <c r="O57" s="198" t="str">
        <f t="shared" si="56"/>
        <v/>
      </c>
      <c r="P57" s="198" t="str">
        <f t="shared" si="56"/>
        <v/>
      </c>
      <c r="Q57" s="198" t="str">
        <f t="shared" si="56"/>
        <v/>
      </c>
      <c r="R57" s="198" t="str">
        <f t="shared" si="56"/>
        <v/>
      </c>
      <c r="S57" s="198" t="str">
        <f t="shared" si="56"/>
        <v/>
      </c>
      <c r="T57" s="198" t="str">
        <f t="shared" si="56"/>
        <v/>
      </c>
      <c r="U57" s="198" t="str">
        <f t="shared" si="56"/>
        <v/>
      </c>
      <c r="V57" s="198" t="str">
        <f t="shared" si="56"/>
        <v/>
      </c>
      <c r="W57" s="198" t="str">
        <f t="shared" si="56"/>
        <v/>
      </c>
      <c r="X57" s="198" t="str">
        <f t="shared" si="56"/>
        <v/>
      </c>
      <c r="Y57" s="198" t="str">
        <f t="shared" si="56"/>
        <v/>
      </c>
      <c r="Z57" s="198" t="str">
        <f t="shared" si="56"/>
        <v/>
      </c>
      <c r="AA57" s="198" t="str">
        <f t="shared" si="56"/>
        <v>2.4.1.236</v>
      </c>
      <c r="AB57" s="198" t="str">
        <f t="shared" si="56"/>
        <v>2.4.1.236</v>
      </c>
      <c r="AC57" s="198" t="str">
        <f t="shared" si="56"/>
        <v/>
      </c>
      <c r="AD57" s="198" t="str">
        <f t="shared" si="56"/>
        <v/>
      </c>
      <c r="AE57" s="198" t="str">
        <f t="shared" si="56"/>
        <v/>
      </c>
      <c r="AF57" s="198" t="str">
        <f t="shared" si="56"/>
        <v/>
      </c>
      <c r="AG57" s="198" t="str">
        <f t="shared" si="56"/>
        <v/>
      </c>
      <c r="AH57" s="198" t="str">
        <f t="shared" si="56"/>
        <v/>
      </c>
      <c r="AI57" s="198" t="str">
        <f t="shared" si="56"/>
        <v/>
      </c>
      <c r="AJ57" s="198" t="str">
        <f t="shared" si="56"/>
        <v/>
      </c>
      <c r="AK57" s="198" t="str">
        <f t="shared" si="56"/>
        <v/>
      </c>
      <c r="AL57" s="198" t="str">
        <f t="shared" si="56"/>
        <v/>
      </c>
      <c r="AM57" s="198" t="str">
        <f t="shared" si="56"/>
        <v/>
      </c>
      <c r="AN57" s="198" t="str">
        <f t="shared" si="56"/>
        <v/>
      </c>
      <c r="AO57" s="198" t="str">
        <f t="shared" si="56"/>
        <v/>
      </c>
      <c r="AP57" s="198" t="str">
        <f t="shared" si="56"/>
        <v/>
      </c>
      <c r="AQ57" s="198" t="str">
        <f t="shared" si="56"/>
        <v/>
      </c>
      <c r="AR57" s="198" t="str">
        <f t="shared" si="56"/>
        <v/>
      </c>
      <c r="AS57" s="198" t="str">
        <f t="shared" si="56"/>
        <v/>
      </c>
      <c r="AT57" s="198" t="str">
        <f t="shared" si="56"/>
        <v/>
      </c>
      <c r="AU57" s="198" t="str">
        <f t="shared" si="56"/>
        <v/>
      </c>
      <c r="AV57" s="198" t="str">
        <f t="shared" si="56"/>
        <v/>
      </c>
      <c r="AW57" s="198" t="str">
        <f t="shared" si="56"/>
        <v/>
      </c>
      <c r="AX57" s="198" t="str">
        <f t="shared" si="56"/>
        <v/>
      </c>
      <c r="AY57" s="198" t="str">
        <f t="shared" si="56"/>
        <v/>
      </c>
      <c r="AZ57" s="198" t="str">
        <f t="shared" si="56"/>
        <v/>
      </c>
      <c r="BA57" s="198" t="str">
        <f t="shared" si="56"/>
        <v/>
      </c>
      <c r="BB57" s="198" t="str">
        <f t="shared" si="56"/>
        <v/>
      </c>
      <c r="BC57" s="198" t="str">
        <f t="shared" si="56"/>
        <v/>
      </c>
      <c r="BD57" s="198" t="str">
        <f t="shared" si="56"/>
        <v/>
      </c>
      <c r="BE57" s="198" t="str">
        <f t="shared" si="56"/>
        <v/>
      </c>
      <c r="BF57" s="198" t="str">
        <f t="shared" si="56"/>
        <v/>
      </c>
      <c r="BG57" s="198" t="str">
        <f t="shared" si="56"/>
        <v/>
      </c>
      <c r="BH57" s="198" t="str">
        <f t="shared" si="56"/>
        <v/>
      </c>
      <c r="BI57" s="198" t="str">
        <f t="shared" si="56"/>
        <v/>
      </c>
      <c r="BJ57" s="198" t="str">
        <f t="shared" si="56"/>
        <v/>
      </c>
      <c r="BK57" s="198" t="str">
        <f t="shared" si="56"/>
        <v/>
      </c>
      <c r="BL57" s="198" t="str">
        <f t="shared" si="56"/>
        <v/>
      </c>
      <c r="BM57" s="198" t="str">
        <f t="shared" si="56"/>
        <v/>
      </c>
      <c r="BN57" s="198" t="str">
        <f t="shared" si="56"/>
        <v/>
      </c>
      <c r="BO57" s="198" t="str">
        <f t="shared" si="56"/>
        <v/>
      </c>
      <c r="BP57" s="198" t="str">
        <f t="shared" si="56"/>
        <v/>
      </c>
      <c r="BQ57" s="198" t="str">
        <f t="shared" si="56"/>
        <v/>
      </c>
      <c r="BR57" s="198" t="str">
        <f t="shared" si="56"/>
        <v/>
      </c>
      <c r="BS57" s="198" t="str">
        <f t="shared" si="56"/>
        <v/>
      </c>
      <c r="BT57" s="198" t="str">
        <f t="shared" si="56"/>
        <v/>
      </c>
      <c r="BU57" s="198" t="str">
        <f t="shared" si="56"/>
        <v/>
      </c>
      <c r="BV57" s="198" t="str">
        <f t="shared" si="56"/>
        <v/>
      </c>
      <c r="BW57" s="198" t="str">
        <f t="shared" si="56"/>
        <v/>
      </c>
      <c r="BX57" s="198" t="str">
        <f t="shared" si="56"/>
        <v/>
      </c>
      <c r="BY57" s="198" t="str">
        <f t="shared" si="56"/>
        <v/>
      </c>
      <c r="BZ57" s="198" t="str">
        <f t="shared" si="56"/>
        <v/>
      </c>
      <c r="CA57" s="198" t="str">
        <f t="shared" si="56"/>
        <v/>
      </c>
      <c r="CB57" s="198" t="str">
        <f t="shared" si="56"/>
        <v/>
      </c>
      <c r="CC57" s="198" t="str">
        <f t="shared" si="56"/>
        <v/>
      </c>
      <c r="CD57" s="198" t="str">
        <f t="shared" si="56"/>
        <v/>
      </c>
      <c r="CE57" s="198" t="str">
        <f t="shared" si="56"/>
        <v/>
      </c>
      <c r="CF57" s="198" t="str">
        <f t="shared" si="56"/>
        <v/>
      </c>
      <c r="CG57" s="198" t="str">
        <f t="shared" si="56"/>
        <v/>
      </c>
      <c r="CH57" s="198" t="str">
        <f t="shared" si="56"/>
        <v/>
      </c>
      <c r="CI57" s="198" t="str">
        <f t="shared" si="56"/>
        <v/>
      </c>
      <c r="CJ57" s="198" t="str">
        <f t="shared" si="56"/>
        <v/>
      </c>
      <c r="CK57" s="198" t="str">
        <f t="shared" si="56"/>
        <v/>
      </c>
      <c r="CL57" s="198" t="str">
        <f t="shared" si="56"/>
        <v/>
      </c>
      <c r="CM57" s="198" t="str">
        <f t="shared" si="56"/>
        <v/>
      </c>
      <c r="CN57" s="198" t="str">
        <f t="shared" si="56"/>
        <v/>
      </c>
      <c r="CO57" s="198" t="str">
        <f t="shared" si="56"/>
        <v/>
      </c>
      <c r="CP57" s="198" t="str">
        <f t="shared" si="56"/>
        <v/>
      </c>
      <c r="CQ57" s="198" t="str">
        <f t="shared" si="56"/>
        <v/>
      </c>
      <c r="CR57" s="198" t="str">
        <f t="shared" si="56"/>
        <v/>
      </c>
      <c r="CS57" s="198" t="str">
        <f t="shared" si="56"/>
        <v/>
      </c>
      <c r="CT57" s="198" t="str">
        <f t="shared" si="56"/>
        <v/>
      </c>
      <c r="CU57" s="198" t="str">
        <f t="shared" si="56"/>
        <v/>
      </c>
      <c r="CV57" s="198" t="str">
        <f t="shared" si="56"/>
        <v>2.4.1.236</v>
      </c>
      <c r="CW57" s="198" t="str">
        <f t="shared" si="56"/>
        <v/>
      </c>
      <c r="CX57" s="198" t="str">
        <f t="shared" si="56"/>
        <v/>
      </c>
      <c r="CY57" s="198" t="str">
        <f t="shared" si="56"/>
        <v/>
      </c>
      <c r="CZ57" s="198" t="str">
        <f t="shared" si="56"/>
        <v/>
      </c>
      <c r="DA57" s="198" t="str">
        <f t="shared" si="56"/>
        <v/>
      </c>
      <c r="DB57" s="198" t="str">
        <f t="shared" si="56"/>
        <v/>
      </c>
      <c r="DC57" s="198" t="str">
        <f t="shared" si="56"/>
        <v/>
      </c>
      <c r="DD57" s="198"/>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c r="EY57" s="236"/>
      <c r="EZ57" s="236"/>
      <c r="FA57" s="236"/>
      <c r="FB57" s="236"/>
      <c r="FC57" s="236"/>
      <c r="FD57" s="236"/>
      <c r="FE57" s="236"/>
      <c r="FF57" s="236"/>
      <c r="FG57" s="236"/>
      <c r="FH57" s="236"/>
      <c r="FI57" s="236"/>
      <c r="FJ57" s="236"/>
      <c r="FK57" s="236"/>
      <c r="FL57" s="236"/>
      <c r="FM57" s="236"/>
      <c r="FN57" s="236"/>
      <c r="FO57" s="236"/>
      <c r="FP57" s="236"/>
      <c r="FQ57" s="236"/>
      <c r="FR57" s="236"/>
      <c r="FS57" s="236"/>
      <c r="FT57" s="236"/>
      <c r="FU57" s="236"/>
      <c r="FV57" s="236"/>
      <c r="FW57" s="236"/>
      <c r="FX57" s="236"/>
      <c r="FY57" s="236"/>
      <c r="FZ57" s="236"/>
      <c r="GA57" s="236"/>
      <c r="GB57" s="236"/>
      <c r="GC57" s="236"/>
      <c r="GD57" s="236"/>
      <c r="GE57" s="236"/>
      <c r="GF57" s="236"/>
      <c r="GG57" s="236"/>
      <c r="GH57" s="236"/>
      <c r="GI57" s="236"/>
      <c r="GJ57" s="236"/>
      <c r="GK57" s="236"/>
      <c r="GL57" s="236"/>
      <c r="GM57" s="236"/>
      <c r="GN57" s="236"/>
      <c r="GO57" s="236"/>
      <c r="GP57" s="236"/>
      <c r="GQ57" s="236"/>
      <c r="GR57" s="236"/>
      <c r="GS57" s="236"/>
      <c r="GT57" s="236"/>
      <c r="GU57" s="236"/>
      <c r="GV57" s="236"/>
      <c r="GW57" s="236"/>
      <c r="GX57" s="236"/>
      <c r="GY57" s="236"/>
      <c r="GZ57" s="236"/>
      <c r="HA57" s="236"/>
      <c r="HB57" s="236"/>
      <c r="HC57" s="236"/>
      <c r="HD57" s="236"/>
    </row>
    <row r="58" ht="15.75" customHeight="1">
      <c r="A58" s="234">
        <v>58.0</v>
      </c>
      <c r="B58" s="236" t="s">
        <v>1505</v>
      </c>
      <c r="C58" s="198" t="str">
        <f t="shared" ref="C58:DC58" si="57">if(countif(DD:DD,$B58),INDIRECT(concat("B",$A58)),"")</f>
        <v/>
      </c>
      <c r="D58" s="198" t="str">
        <f t="shared" si="57"/>
        <v/>
      </c>
      <c r="E58" s="198" t="str">
        <f t="shared" si="57"/>
        <v/>
      </c>
      <c r="F58" s="198" t="str">
        <f t="shared" si="57"/>
        <v/>
      </c>
      <c r="G58" s="198" t="str">
        <f t="shared" si="57"/>
        <v>2.4.1.239</v>
      </c>
      <c r="H58" s="198" t="str">
        <f t="shared" si="57"/>
        <v>2.4.1.239</v>
      </c>
      <c r="I58" s="198" t="str">
        <f t="shared" si="57"/>
        <v/>
      </c>
      <c r="J58" s="198" t="str">
        <f t="shared" si="57"/>
        <v/>
      </c>
      <c r="K58" s="198" t="str">
        <f t="shared" si="57"/>
        <v/>
      </c>
      <c r="L58" s="198" t="str">
        <f t="shared" si="57"/>
        <v>2.4.1.239</v>
      </c>
      <c r="M58" s="198" t="str">
        <f t="shared" si="57"/>
        <v/>
      </c>
      <c r="N58" s="198" t="str">
        <f t="shared" si="57"/>
        <v/>
      </c>
      <c r="O58" s="198" t="str">
        <f t="shared" si="57"/>
        <v/>
      </c>
      <c r="P58" s="198" t="str">
        <f t="shared" si="57"/>
        <v/>
      </c>
      <c r="Q58" s="198" t="str">
        <f t="shared" si="57"/>
        <v>2.4.1.239</v>
      </c>
      <c r="R58" s="198" t="str">
        <f t="shared" si="57"/>
        <v/>
      </c>
      <c r="S58" s="198" t="str">
        <f t="shared" si="57"/>
        <v/>
      </c>
      <c r="T58" s="198" t="str">
        <f t="shared" si="57"/>
        <v/>
      </c>
      <c r="U58" s="198" t="str">
        <f t="shared" si="57"/>
        <v/>
      </c>
      <c r="V58" s="198" t="str">
        <f t="shared" si="57"/>
        <v>2.4.1.239</v>
      </c>
      <c r="W58" s="198" t="str">
        <f t="shared" si="57"/>
        <v/>
      </c>
      <c r="X58" s="198" t="str">
        <f t="shared" si="57"/>
        <v/>
      </c>
      <c r="Y58" s="198" t="str">
        <f t="shared" si="57"/>
        <v/>
      </c>
      <c r="Z58" s="198" t="str">
        <f t="shared" si="57"/>
        <v>2.4.1.239</v>
      </c>
      <c r="AA58" s="198" t="str">
        <f t="shared" si="57"/>
        <v>2.4.1.239</v>
      </c>
      <c r="AB58" s="198" t="str">
        <f t="shared" si="57"/>
        <v>2.4.1.239</v>
      </c>
      <c r="AC58" s="198" t="str">
        <f t="shared" si="57"/>
        <v/>
      </c>
      <c r="AD58" s="198" t="str">
        <f t="shared" si="57"/>
        <v>2.4.1.239</v>
      </c>
      <c r="AE58" s="198" t="str">
        <f t="shared" si="57"/>
        <v>2.4.1.239</v>
      </c>
      <c r="AF58" s="198" t="str">
        <f t="shared" si="57"/>
        <v>2.4.1.239</v>
      </c>
      <c r="AG58" s="198" t="str">
        <f t="shared" si="57"/>
        <v>2.4.1.239</v>
      </c>
      <c r="AH58" s="198" t="str">
        <f t="shared" si="57"/>
        <v>2.4.1.239</v>
      </c>
      <c r="AI58" s="198" t="str">
        <f t="shared" si="57"/>
        <v/>
      </c>
      <c r="AJ58" s="198" t="str">
        <f t="shared" si="57"/>
        <v>2.4.1.239</v>
      </c>
      <c r="AK58" s="198" t="str">
        <f t="shared" si="57"/>
        <v>2.4.1.239</v>
      </c>
      <c r="AL58" s="198" t="str">
        <f t="shared" si="57"/>
        <v/>
      </c>
      <c r="AM58" s="198" t="str">
        <f t="shared" si="57"/>
        <v>2.4.1.239</v>
      </c>
      <c r="AN58" s="198" t="str">
        <f t="shared" si="57"/>
        <v/>
      </c>
      <c r="AO58" s="198" t="str">
        <f t="shared" si="57"/>
        <v>2.4.1.239</v>
      </c>
      <c r="AP58" s="198" t="str">
        <f t="shared" si="57"/>
        <v/>
      </c>
      <c r="AQ58" s="198" t="str">
        <f t="shared" si="57"/>
        <v>2.4.1.239</v>
      </c>
      <c r="AR58" s="198" t="str">
        <f t="shared" si="57"/>
        <v/>
      </c>
      <c r="AS58" s="198" t="str">
        <f t="shared" si="57"/>
        <v>2.4.1.239</v>
      </c>
      <c r="AT58" s="198" t="str">
        <f t="shared" si="57"/>
        <v>2.4.1.239</v>
      </c>
      <c r="AU58" s="198" t="str">
        <f t="shared" si="57"/>
        <v>2.4.1.239</v>
      </c>
      <c r="AV58" s="198" t="str">
        <f t="shared" si="57"/>
        <v>2.4.1.239</v>
      </c>
      <c r="AW58" s="198" t="str">
        <f t="shared" si="57"/>
        <v/>
      </c>
      <c r="AX58" s="198" t="str">
        <f t="shared" si="57"/>
        <v>2.4.1.239</v>
      </c>
      <c r="AY58" s="198" t="str">
        <f t="shared" si="57"/>
        <v/>
      </c>
      <c r="AZ58" s="198" t="str">
        <f t="shared" si="57"/>
        <v>2.4.1.239</v>
      </c>
      <c r="BA58" s="198" t="str">
        <f t="shared" si="57"/>
        <v>2.4.1.239</v>
      </c>
      <c r="BB58" s="198" t="str">
        <f t="shared" si="57"/>
        <v/>
      </c>
      <c r="BC58" s="198" t="str">
        <f t="shared" si="57"/>
        <v>2.4.1.239</v>
      </c>
      <c r="BD58" s="198" t="str">
        <f t="shared" si="57"/>
        <v>2.4.1.239</v>
      </c>
      <c r="BE58" s="198" t="str">
        <f t="shared" si="57"/>
        <v>2.4.1.239</v>
      </c>
      <c r="BF58" s="198" t="str">
        <f t="shared" si="57"/>
        <v>2.4.1.239</v>
      </c>
      <c r="BG58" s="198" t="str">
        <f t="shared" si="57"/>
        <v/>
      </c>
      <c r="BH58" s="198" t="str">
        <f t="shared" si="57"/>
        <v/>
      </c>
      <c r="BI58" s="198" t="str">
        <f t="shared" si="57"/>
        <v>2.4.1.239</v>
      </c>
      <c r="BJ58" s="198" t="str">
        <f t="shared" si="57"/>
        <v/>
      </c>
      <c r="BK58" s="198" t="str">
        <f t="shared" si="57"/>
        <v/>
      </c>
      <c r="BL58" s="198" t="str">
        <f t="shared" si="57"/>
        <v>2.4.1.239</v>
      </c>
      <c r="BM58" s="198" t="str">
        <f t="shared" si="57"/>
        <v>2.4.1.239</v>
      </c>
      <c r="BN58" s="198" t="str">
        <f t="shared" si="57"/>
        <v/>
      </c>
      <c r="BO58" s="198" t="str">
        <f t="shared" si="57"/>
        <v>2.4.1.239</v>
      </c>
      <c r="BP58" s="198" t="str">
        <f t="shared" si="57"/>
        <v/>
      </c>
      <c r="BQ58" s="198" t="str">
        <f t="shared" si="57"/>
        <v>2.4.1.239</v>
      </c>
      <c r="BR58" s="198" t="str">
        <f t="shared" si="57"/>
        <v/>
      </c>
      <c r="BS58" s="198" t="str">
        <f t="shared" si="57"/>
        <v/>
      </c>
      <c r="BT58" s="198" t="str">
        <f t="shared" si="57"/>
        <v/>
      </c>
      <c r="BU58" s="198" t="str">
        <f t="shared" si="57"/>
        <v/>
      </c>
      <c r="BV58" s="198" t="str">
        <f t="shared" si="57"/>
        <v/>
      </c>
      <c r="BW58" s="198" t="str">
        <f t="shared" si="57"/>
        <v>2.4.1.239</v>
      </c>
      <c r="BX58" s="198" t="str">
        <f t="shared" si="57"/>
        <v/>
      </c>
      <c r="BY58" s="198" t="str">
        <f t="shared" si="57"/>
        <v>2.4.1.239</v>
      </c>
      <c r="BZ58" s="198" t="str">
        <f t="shared" si="57"/>
        <v/>
      </c>
      <c r="CA58" s="198" t="str">
        <f t="shared" si="57"/>
        <v/>
      </c>
      <c r="CB58" s="198" t="str">
        <f t="shared" si="57"/>
        <v>2.4.1.239</v>
      </c>
      <c r="CC58" s="198" t="str">
        <f t="shared" si="57"/>
        <v>2.4.1.239</v>
      </c>
      <c r="CD58" s="198" t="str">
        <f t="shared" si="57"/>
        <v>2.4.1.239</v>
      </c>
      <c r="CE58" s="198" t="str">
        <f t="shared" si="57"/>
        <v>2.4.1.239</v>
      </c>
      <c r="CF58" s="198" t="str">
        <f t="shared" si="57"/>
        <v>2.4.1.239</v>
      </c>
      <c r="CG58" s="198" t="str">
        <f t="shared" si="57"/>
        <v>2.4.1.239</v>
      </c>
      <c r="CH58" s="198" t="str">
        <f t="shared" si="57"/>
        <v>2.4.1.239</v>
      </c>
      <c r="CI58" s="198" t="str">
        <f t="shared" si="57"/>
        <v>2.4.1.239</v>
      </c>
      <c r="CJ58" s="198" t="str">
        <f t="shared" si="57"/>
        <v/>
      </c>
      <c r="CK58" s="198" t="str">
        <f t="shared" si="57"/>
        <v>2.4.1.239</v>
      </c>
      <c r="CL58" s="198" t="str">
        <f t="shared" si="57"/>
        <v/>
      </c>
      <c r="CM58" s="198" t="str">
        <f t="shared" si="57"/>
        <v/>
      </c>
      <c r="CN58" s="198" t="str">
        <f t="shared" si="57"/>
        <v/>
      </c>
      <c r="CO58" s="198" t="str">
        <f t="shared" si="57"/>
        <v>2.4.1.239</v>
      </c>
      <c r="CP58" s="198" t="str">
        <f t="shared" si="57"/>
        <v/>
      </c>
      <c r="CQ58" s="198" t="str">
        <f t="shared" si="57"/>
        <v>2.4.1.239</v>
      </c>
      <c r="CR58" s="198" t="str">
        <f t="shared" si="57"/>
        <v/>
      </c>
      <c r="CS58" s="198" t="str">
        <f t="shared" si="57"/>
        <v>2.4.1.239</v>
      </c>
      <c r="CT58" s="198" t="str">
        <f t="shared" si="57"/>
        <v>2.4.1.239</v>
      </c>
      <c r="CU58" s="198" t="str">
        <f t="shared" si="57"/>
        <v>2.4.1.239</v>
      </c>
      <c r="CV58" s="198" t="str">
        <f t="shared" si="57"/>
        <v/>
      </c>
      <c r="CW58" s="198" t="str">
        <f t="shared" si="57"/>
        <v/>
      </c>
      <c r="CX58" s="198" t="str">
        <f t="shared" si="57"/>
        <v/>
      </c>
      <c r="CY58" s="198" t="str">
        <f t="shared" si="57"/>
        <v>2.4.1.239</v>
      </c>
      <c r="CZ58" s="198" t="str">
        <f t="shared" si="57"/>
        <v>2.4.1.239</v>
      </c>
      <c r="DA58" s="198" t="str">
        <f t="shared" si="57"/>
        <v>2.4.1.239</v>
      </c>
      <c r="DB58" s="198" t="str">
        <f t="shared" si="57"/>
        <v>2.4.1.239</v>
      </c>
      <c r="DC58" s="198" t="str">
        <f t="shared" si="57"/>
        <v>2.4.1.239</v>
      </c>
      <c r="DD58" s="198"/>
      <c r="DE58" s="236"/>
      <c r="DF58" s="236"/>
      <c r="DG58" s="236"/>
      <c r="DH58" s="236"/>
      <c r="DI58" s="236"/>
      <c r="DJ58" s="236"/>
      <c r="DK58" s="236"/>
      <c r="DL58" s="236"/>
      <c r="DM58" s="236"/>
      <c r="DN58" s="236"/>
      <c r="DO58" s="236"/>
      <c r="DP58" s="236"/>
      <c r="DQ58" s="236"/>
      <c r="DR58" s="236"/>
      <c r="DS58" s="236"/>
      <c r="DT58" s="236"/>
      <c r="DU58" s="236"/>
      <c r="DV58" s="236"/>
      <c r="DW58" s="236"/>
      <c r="DX58" s="236"/>
      <c r="DY58" s="236"/>
      <c r="DZ58" s="236"/>
      <c r="EA58" s="236"/>
      <c r="EB58" s="236"/>
      <c r="EC58" s="236"/>
      <c r="ED58" s="236"/>
      <c r="EE58" s="236"/>
      <c r="EF58" s="236"/>
      <c r="EG58" s="236"/>
      <c r="EH58" s="236"/>
      <c r="EI58" s="236"/>
      <c r="EJ58" s="236"/>
      <c r="EK58" s="236"/>
      <c r="EL58" s="236"/>
      <c r="EM58" s="236"/>
      <c r="EN58" s="236"/>
      <c r="EO58" s="236"/>
      <c r="EP58" s="236"/>
      <c r="EQ58" s="236"/>
      <c r="ER58" s="236"/>
      <c r="ES58" s="236"/>
      <c r="ET58" s="236"/>
      <c r="EU58" s="236"/>
      <c r="EV58" s="236"/>
      <c r="EW58" s="236"/>
      <c r="EX58" s="236"/>
      <c r="EY58" s="236"/>
      <c r="EZ58" s="236"/>
      <c r="FA58" s="236"/>
      <c r="FB58" s="236"/>
      <c r="FC58" s="236"/>
      <c r="FD58" s="236"/>
      <c r="FE58" s="236"/>
      <c r="FF58" s="236"/>
      <c r="FG58" s="236"/>
      <c r="FH58" s="236"/>
      <c r="FI58" s="236"/>
      <c r="FJ58" s="236"/>
      <c r="FK58" s="236"/>
      <c r="FL58" s="236"/>
      <c r="FM58" s="236"/>
      <c r="FN58" s="236"/>
      <c r="FO58" s="236"/>
      <c r="FP58" s="236"/>
      <c r="FQ58" s="236"/>
      <c r="FR58" s="236"/>
      <c r="FS58" s="236"/>
      <c r="FT58" s="236"/>
      <c r="FU58" s="236"/>
      <c r="FV58" s="236"/>
      <c r="FW58" s="236"/>
      <c r="FX58" s="236"/>
      <c r="FY58" s="236"/>
      <c r="FZ58" s="236"/>
      <c r="GA58" s="236"/>
      <c r="GB58" s="236"/>
      <c r="GC58" s="236"/>
      <c r="GD58" s="236"/>
      <c r="GE58" s="236"/>
      <c r="GF58" s="236"/>
      <c r="GG58" s="236"/>
      <c r="GH58" s="236"/>
      <c r="GI58" s="236"/>
      <c r="GJ58" s="236"/>
      <c r="GK58" s="236"/>
      <c r="GL58" s="236"/>
      <c r="GM58" s="236"/>
      <c r="GN58" s="236"/>
      <c r="GO58" s="236"/>
      <c r="GP58" s="236"/>
      <c r="GQ58" s="236"/>
      <c r="GR58" s="236"/>
      <c r="GS58" s="236"/>
      <c r="GT58" s="236"/>
      <c r="GU58" s="236"/>
      <c r="GV58" s="236"/>
      <c r="GW58" s="236"/>
      <c r="GX58" s="236"/>
      <c r="GY58" s="236"/>
      <c r="GZ58" s="236"/>
      <c r="HA58" s="236"/>
      <c r="HB58" s="236"/>
      <c r="HC58" s="236"/>
      <c r="HD58" s="236"/>
    </row>
    <row r="59" ht="15.75" customHeight="1">
      <c r="A59" s="234">
        <v>59.0</v>
      </c>
      <c r="B59" s="236" t="s">
        <v>1526</v>
      </c>
      <c r="C59" s="198" t="str">
        <f t="shared" ref="C59:DC59" si="58">if(countif(DD:DD,$B59),INDIRECT(concat("B",$A59)),"")</f>
        <v/>
      </c>
      <c r="D59" s="198" t="str">
        <f t="shared" si="58"/>
        <v/>
      </c>
      <c r="E59" s="198" t="str">
        <f t="shared" si="58"/>
        <v/>
      </c>
      <c r="F59" s="198" t="str">
        <f t="shared" si="58"/>
        <v/>
      </c>
      <c r="G59" s="198" t="str">
        <f t="shared" si="58"/>
        <v/>
      </c>
      <c r="H59" s="198" t="str">
        <f t="shared" si="58"/>
        <v/>
      </c>
      <c r="I59" s="198" t="str">
        <f t="shared" si="58"/>
        <v/>
      </c>
      <c r="J59" s="198" t="str">
        <f t="shared" si="58"/>
        <v/>
      </c>
      <c r="K59" s="198" t="str">
        <f t="shared" si="58"/>
        <v/>
      </c>
      <c r="L59" s="198" t="str">
        <f t="shared" si="58"/>
        <v/>
      </c>
      <c r="M59" s="198" t="str">
        <f t="shared" si="58"/>
        <v/>
      </c>
      <c r="N59" s="198" t="str">
        <f t="shared" si="58"/>
        <v/>
      </c>
      <c r="O59" s="198" t="str">
        <f t="shared" si="58"/>
        <v/>
      </c>
      <c r="P59" s="198" t="str">
        <f t="shared" si="58"/>
        <v/>
      </c>
      <c r="Q59" s="198" t="str">
        <f t="shared" si="58"/>
        <v/>
      </c>
      <c r="R59" s="198" t="str">
        <f t="shared" si="58"/>
        <v/>
      </c>
      <c r="S59" s="198" t="str">
        <f t="shared" si="58"/>
        <v/>
      </c>
      <c r="T59" s="198" t="str">
        <f t="shared" si="58"/>
        <v/>
      </c>
      <c r="U59" s="198" t="str">
        <f t="shared" si="58"/>
        <v/>
      </c>
      <c r="V59" s="198" t="str">
        <f t="shared" si="58"/>
        <v/>
      </c>
      <c r="W59" s="198" t="str">
        <f t="shared" si="58"/>
        <v/>
      </c>
      <c r="X59" s="198" t="str">
        <f t="shared" si="58"/>
        <v/>
      </c>
      <c r="Y59" s="198" t="str">
        <f t="shared" si="58"/>
        <v/>
      </c>
      <c r="Z59" s="198" t="str">
        <f t="shared" si="58"/>
        <v/>
      </c>
      <c r="AA59" s="198" t="str">
        <f t="shared" si="58"/>
        <v/>
      </c>
      <c r="AB59" s="198" t="str">
        <f t="shared" si="58"/>
        <v/>
      </c>
      <c r="AC59" s="198" t="str">
        <f t="shared" si="58"/>
        <v/>
      </c>
      <c r="AD59" s="198" t="str">
        <f t="shared" si="58"/>
        <v/>
      </c>
      <c r="AE59" s="198" t="str">
        <f t="shared" si="58"/>
        <v/>
      </c>
      <c r="AF59" s="198" t="str">
        <f t="shared" si="58"/>
        <v/>
      </c>
      <c r="AG59" s="198" t="str">
        <f t="shared" si="58"/>
        <v/>
      </c>
      <c r="AH59" s="198" t="str">
        <f t="shared" si="58"/>
        <v/>
      </c>
      <c r="AI59" s="198" t="str">
        <f t="shared" si="58"/>
        <v/>
      </c>
      <c r="AJ59" s="198" t="str">
        <f t="shared" si="58"/>
        <v/>
      </c>
      <c r="AK59" s="198" t="str">
        <f t="shared" si="58"/>
        <v/>
      </c>
      <c r="AL59" s="198" t="str">
        <f t="shared" si="58"/>
        <v/>
      </c>
      <c r="AM59" s="198" t="str">
        <f t="shared" si="58"/>
        <v/>
      </c>
      <c r="AN59" s="198" t="str">
        <f t="shared" si="58"/>
        <v/>
      </c>
      <c r="AO59" s="198" t="str">
        <f t="shared" si="58"/>
        <v/>
      </c>
      <c r="AP59" s="198" t="str">
        <f t="shared" si="58"/>
        <v/>
      </c>
      <c r="AQ59" s="198" t="str">
        <f t="shared" si="58"/>
        <v/>
      </c>
      <c r="AR59" s="198" t="str">
        <f t="shared" si="58"/>
        <v/>
      </c>
      <c r="AS59" s="198" t="str">
        <f t="shared" si="58"/>
        <v/>
      </c>
      <c r="AT59" s="198" t="str">
        <f t="shared" si="58"/>
        <v/>
      </c>
      <c r="AU59" s="198" t="str">
        <f t="shared" si="58"/>
        <v/>
      </c>
      <c r="AV59" s="198" t="str">
        <f t="shared" si="58"/>
        <v/>
      </c>
      <c r="AW59" s="198" t="str">
        <f t="shared" si="58"/>
        <v/>
      </c>
      <c r="AX59" s="198" t="str">
        <f t="shared" si="58"/>
        <v/>
      </c>
      <c r="AY59" s="198" t="str">
        <f t="shared" si="58"/>
        <v>2.4.1.297</v>
      </c>
      <c r="AZ59" s="198" t="str">
        <f t="shared" si="58"/>
        <v/>
      </c>
      <c r="BA59" s="198" t="str">
        <f t="shared" si="58"/>
        <v/>
      </c>
      <c r="BB59" s="198" t="str">
        <f t="shared" si="58"/>
        <v/>
      </c>
      <c r="BC59" s="198" t="str">
        <f t="shared" si="58"/>
        <v/>
      </c>
      <c r="BD59" s="198" t="str">
        <f t="shared" si="58"/>
        <v/>
      </c>
      <c r="BE59" s="198" t="str">
        <f t="shared" si="58"/>
        <v/>
      </c>
      <c r="BF59" s="198" t="str">
        <f t="shared" si="58"/>
        <v/>
      </c>
      <c r="BG59" s="198" t="str">
        <f t="shared" si="58"/>
        <v/>
      </c>
      <c r="BH59" s="198" t="str">
        <f t="shared" si="58"/>
        <v/>
      </c>
      <c r="BI59" s="198" t="str">
        <f t="shared" si="58"/>
        <v/>
      </c>
      <c r="BJ59" s="198" t="str">
        <f t="shared" si="58"/>
        <v/>
      </c>
      <c r="BK59" s="198" t="str">
        <f t="shared" si="58"/>
        <v/>
      </c>
      <c r="BL59" s="198" t="str">
        <f t="shared" si="58"/>
        <v/>
      </c>
      <c r="BM59" s="198" t="str">
        <f t="shared" si="58"/>
        <v/>
      </c>
      <c r="BN59" s="198" t="str">
        <f t="shared" si="58"/>
        <v/>
      </c>
      <c r="BO59" s="198" t="str">
        <f t="shared" si="58"/>
        <v/>
      </c>
      <c r="BP59" s="198" t="str">
        <f t="shared" si="58"/>
        <v/>
      </c>
      <c r="BQ59" s="198" t="str">
        <f t="shared" si="58"/>
        <v/>
      </c>
      <c r="BR59" s="198" t="str">
        <f t="shared" si="58"/>
        <v/>
      </c>
      <c r="BS59" s="198" t="str">
        <f t="shared" si="58"/>
        <v/>
      </c>
      <c r="BT59" s="198" t="str">
        <f t="shared" si="58"/>
        <v/>
      </c>
      <c r="BU59" s="198" t="str">
        <f t="shared" si="58"/>
        <v/>
      </c>
      <c r="BV59" s="198" t="str">
        <f t="shared" si="58"/>
        <v/>
      </c>
      <c r="BW59" s="198" t="str">
        <f t="shared" si="58"/>
        <v/>
      </c>
      <c r="BX59" s="198" t="str">
        <f t="shared" si="58"/>
        <v/>
      </c>
      <c r="BY59" s="198" t="str">
        <f t="shared" si="58"/>
        <v/>
      </c>
      <c r="BZ59" s="198" t="str">
        <f t="shared" si="58"/>
        <v/>
      </c>
      <c r="CA59" s="198" t="str">
        <f t="shared" si="58"/>
        <v/>
      </c>
      <c r="CB59" s="198" t="str">
        <f t="shared" si="58"/>
        <v/>
      </c>
      <c r="CC59" s="198" t="str">
        <f t="shared" si="58"/>
        <v/>
      </c>
      <c r="CD59" s="198" t="str">
        <f t="shared" si="58"/>
        <v/>
      </c>
      <c r="CE59" s="198" t="str">
        <f t="shared" si="58"/>
        <v/>
      </c>
      <c r="CF59" s="198" t="str">
        <f t="shared" si="58"/>
        <v/>
      </c>
      <c r="CG59" s="198" t="str">
        <f t="shared" si="58"/>
        <v/>
      </c>
      <c r="CH59" s="198" t="str">
        <f t="shared" si="58"/>
        <v/>
      </c>
      <c r="CI59" s="198" t="str">
        <f t="shared" si="58"/>
        <v/>
      </c>
      <c r="CJ59" s="198" t="str">
        <f t="shared" si="58"/>
        <v/>
      </c>
      <c r="CK59" s="198" t="str">
        <f t="shared" si="58"/>
        <v/>
      </c>
      <c r="CL59" s="198" t="str">
        <f t="shared" si="58"/>
        <v/>
      </c>
      <c r="CM59" s="198" t="str">
        <f t="shared" si="58"/>
        <v/>
      </c>
      <c r="CN59" s="198" t="str">
        <f t="shared" si="58"/>
        <v/>
      </c>
      <c r="CO59" s="198" t="str">
        <f t="shared" si="58"/>
        <v/>
      </c>
      <c r="CP59" s="198" t="str">
        <f t="shared" si="58"/>
        <v/>
      </c>
      <c r="CQ59" s="198" t="str">
        <f t="shared" si="58"/>
        <v/>
      </c>
      <c r="CR59" s="198" t="str">
        <f t="shared" si="58"/>
        <v/>
      </c>
      <c r="CS59" s="198" t="str">
        <f t="shared" si="58"/>
        <v/>
      </c>
      <c r="CT59" s="198" t="str">
        <f t="shared" si="58"/>
        <v/>
      </c>
      <c r="CU59" s="198" t="str">
        <f t="shared" si="58"/>
        <v/>
      </c>
      <c r="CV59" s="198" t="str">
        <f t="shared" si="58"/>
        <v/>
      </c>
      <c r="CW59" s="198" t="str">
        <f t="shared" si="58"/>
        <v/>
      </c>
      <c r="CX59" s="198" t="str">
        <f t="shared" si="58"/>
        <v/>
      </c>
      <c r="CY59" s="198" t="str">
        <f t="shared" si="58"/>
        <v/>
      </c>
      <c r="CZ59" s="198" t="str">
        <f t="shared" si="58"/>
        <v/>
      </c>
      <c r="DA59" s="198" t="str">
        <f t="shared" si="58"/>
        <v/>
      </c>
      <c r="DB59" s="198" t="str">
        <f t="shared" si="58"/>
        <v/>
      </c>
      <c r="DC59" s="198" t="str">
        <f t="shared" si="58"/>
        <v/>
      </c>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c r="EY59" s="236"/>
      <c r="EZ59" s="236"/>
      <c r="FA59" s="236"/>
      <c r="FB59" s="236"/>
      <c r="FC59" s="236"/>
      <c r="FD59" s="236"/>
      <c r="FE59" s="236"/>
      <c r="FF59" s="236"/>
      <c r="FG59" s="236"/>
      <c r="FH59" s="236"/>
      <c r="FI59" s="236"/>
      <c r="FJ59" s="236"/>
      <c r="FK59" s="236"/>
      <c r="FL59" s="236"/>
      <c r="FM59" s="236"/>
      <c r="FN59" s="236"/>
      <c r="FO59" s="236"/>
      <c r="FP59" s="236"/>
      <c r="FQ59" s="236"/>
      <c r="FR59" s="236"/>
      <c r="FS59" s="236"/>
      <c r="FT59" s="236"/>
      <c r="FU59" s="236"/>
      <c r="FV59" s="236"/>
      <c r="FW59" s="236"/>
      <c r="FX59" s="236"/>
      <c r="FY59" s="236"/>
      <c r="FZ59" s="236"/>
      <c r="GA59" s="236"/>
      <c r="GB59" s="236"/>
      <c r="GC59" s="236"/>
      <c r="GD59" s="236"/>
      <c r="GE59" s="236"/>
      <c r="GF59" s="236"/>
      <c r="GG59" s="236"/>
      <c r="GH59" s="236"/>
      <c r="GI59" s="236"/>
      <c r="GJ59" s="236"/>
      <c r="GK59" s="236"/>
      <c r="GL59" s="236"/>
      <c r="GM59" s="236"/>
      <c r="GN59" s="236"/>
      <c r="GO59" s="236"/>
      <c r="GP59" s="236"/>
      <c r="GQ59" s="236"/>
      <c r="GR59" s="236"/>
      <c r="GS59" s="236"/>
      <c r="GT59" s="236"/>
      <c r="GU59" s="236"/>
      <c r="GV59" s="236"/>
      <c r="GW59" s="236"/>
      <c r="GX59" s="236"/>
      <c r="GY59" s="236"/>
      <c r="GZ59" s="236"/>
      <c r="HA59" s="236"/>
      <c r="HB59" s="236"/>
      <c r="HC59" s="236"/>
      <c r="HD59" s="236"/>
    </row>
    <row r="60" ht="15.75" customHeight="1">
      <c r="A60" s="234">
        <v>60.0</v>
      </c>
      <c r="B60" s="198" t="s">
        <v>1494</v>
      </c>
      <c r="C60" s="198" t="str">
        <f t="shared" ref="C60:DC60" si="59">if(countif(DD:DD,$B60),INDIRECT(concat("B",$A60)),"")</f>
        <v/>
      </c>
      <c r="D60" s="198" t="str">
        <f t="shared" si="59"/>
        <v/>
      </c>
      <c r="E60" s="198" t="str">
        <f t="shared" si="59"/>
        <v/>
      </c>
      <c r="F60" s="198" t="str">
        <f t="shared" si="59"/>
        <v>2.4.1.298</v>
      </c>
      <c r="G60" s="198" t="str">
        <f t="shared" si="59"/>
        <v/>
      </c>
      <c r="H60" s="198" t="str">
        <f t="shared" si="59"/>
        <v/>
      </c>
      <c r="I60" s="198" t="str">
        <f t="shared" si="59"/>
        <v/>
      </c>
      <c r="J60" s="198" t="str">
        <f t="shared" si="59"/>
        <v/>
      </c>
      <c r="K60" s="198" t="str">
        <f t="shared" si="59"/>
        <v/>
      </c>
      <c r="L60" s="198" t="str">
        <f t="shared" si="59"/>
        <v/>
      </c>
      <c r="M60" s="198" t="str">
        <f t="shared" si="59"/>
        <v/>
      </c>
      <c r="N60" s="198" t="str">
        <f t="shared" si="59"/>
        <v>2.4.1.298</v>
      </c>
      <c r="O60" s="198" t="str">
        <f t="shared" si="59"/>
        <v/>
      </c>
      <c r="P60" s="198" t="str">
        <f t="shared" si="59"/>
        <v>2.4.1.298</v>
      </c>
      <c r="Q60" s="198" t="str">
        <f t="shared" si="59"/>
        <v/>
      </c>
      <c r="R60" s="198" t="str">
        <f t="shared" si="59"/>
        <v/>
      </c>
      <c r="S60" s="198" t="str">
        <f t="shared" si="59"/>
        <v>2.4.1.298</v>
      </c>
      <c r="T60" s="198" t="str">
        <f t="shared" si="59"/>
        <v/>
      </c>
      <c r="U60" s="198" t="str">
        <f t="shared" si="59"/>
        <v/>
      </c>
      <c r="V60" s="198" t="str">
        <f t="shared" si="59"/>
        <v/>
      </c>
      <c r="W60" s="198" t="str">
        <f t="shared" si="59"/>
        <v/>
      </c>
      <c r="X60" s="198" t="str">
        <f t="shared" si="59"/>
        <v/>
      </c>
      <c r="Y60" s="198" t="str">
        <f t="shared" si="59"/>
        <v/>
      </c>
      <c r="Z60" s="198" t="str">
        <f t="shared" si="59"/>
        <v/>
      </c>
      <c r="AA60" s="198" t="str">
        <f t="shared" si="59"/>
        <v/>
      </c>
      <c r="AB60" s="198" t="str">
        <f t="shared" si="59"/>
        <v/>
      </c>
      <c r="AC60" s="198" t="str">
        <f t="shared" si="59"/>
        <v/>
      </c>
      <c r="AD60" s="198" t="str">
        <f t="shared" si="59"/>
        <v/>
      </c>
      <c r="AE60" s="198" t="str">
        <f t="shared" si="59"/>
        <v/>
      </c>
      <c r="AF60" s="198" t="str">
        <f t="shared" si="59"/>
        <v/>
      </c>
      <c r="AG60" s="198" t="str">
        <f t="shared" si="59"/>
        <v/>
      </c>
      <c r="AH60" s="198" t="str">
        <f t="shared" si="59"/>
        <v/>
      </c>
      <c r="AI60" s="198" t="str">
        <f t="shared" si="59"/>
        <v/>
      </c>
      <c r="AJ60" s="198" t="str">
        <f t="shared" si="59"/>
        <v/>
      </c>
      <c r="AK60" s="198" t="str">
        <f t="shared" si="59"/>
        <v/>
      </c>
      <c r="AL60" s="198" t="str">
        <f t="shared" si="59"/>
        <v/>
      </c>
      <c r="AM60" s="198" t="str">
        <f t="shared" si="59"/>
        <v/>
      </c>
      <c r="AN60" s="198" t="str">
        <f t="shared" si="59"/>
        <v/>
      </c>
      <c r="AO60" s="198" t="str">
        <f t="shared" si="59"/>
        <v/>
      </c>
      <c r="AP60" s="198" t="str">
        <f t="shared" si="59"/>
        <v>2.4.1.298</v>
      </c>
      <c r="AQ60" s="198" t="str">
        <f t="shared" si="59"/>
        <v/>
      </c>
      <c r="AR60" s="198" t="str">
        <f t="shared" si="59"/>
        <v/>
      </c>
      <c r="AS60" s="198" t="str">
        <f t="shared" si="59"/>
        <v/>
      </c>
      <c r="AT60" s="198" t="str">
        <f t="shared" si="59"/>
        <v/>
      </c>
      <c r="AU60" s="198" t="str">
        <f t="shared" si="59"/>
        <v/>
      </c>
      <c r="AV60" s="198" t="str">
        <f t="shared" si="59"/>
        <v/>
      </c>
      <c r="AW60" s="198" t="str">
        <f t="shared" si="59"/>
        <v/>
      </c>
      <c r="AX60" s="198" t="str">
        <f t="shared" si="59"/>
        <v/>
      </c>
      <c r="AY60" s="198" t="str">
        <f t="shared" si="59"/>
        <v/>
      </c>
      <c r="AZ60" s="198" t="str">
        <f t="shared" si="59"/>
        <v/>
      </c>
      <c r="BA60" s="198" t="str">
        <f t="shared" si="59"/>
        <v/>
      </c>
      <c r="BB60" s="198" t="str">
        <f t="shared" si="59"/>
        <v/>
      </c>
      <c r="BC60" s="198" t="str">
        <f t="shared" si="59"/>
        <v/>
      </c>
      <c r="BD60" s="198" t="str">
        <f t="shared" si="59"/>
        <v/>
      </c>
      <c r="BE60" s="198" t="str">
        <f t="shared" si="59"/>
        <v/>
      </c>
      <c r="BF60" s="198" t="str">
        <f t="shared" si="59"/>
        <v/>
      </c>
      <c r="BG60" s="198" t="str">
        <f t="shared" si="59"/>
        <v/>
      </c>
      <c r="BH60" s="198" t="str">
        <f t="shared" si="59"/>
        <v/>
      </c>
      <c r="BI60" s="198" t="str">
        <f t="shared" si="59"/>
        <v/>
      </c>
      <c r="BJ60" s="198" t="str">
        <f t="shared" si="59"/>
        <v/>
      </c>
      <c r="BK60" s="198" t="str">
        <f t="shared" si="59"/>
        <v/>
      </c>
      <c r="BL60" s="198" t="str">
        <f t="shared" si="59"/>
        <v/>
      </c>
      <c r="BM60" s="198" t="str">
        <f t="shared" si="59"/>
        <v/>
      </c>
      <c r="BN60" s="198" t="str">
        <f t="shared" si="59"/>
        <v/>
      </c>
      <c r="BO60" s="198" t="str">
        <f t="shared" si="59"/>
        <v/>
      </c>
      <c r="BP60" s="198" t="str">
        <f t="shared" si="59"/>
        <v/>
      </c>
      <c r="BQ60" s="198" t="str">
        <f t="shared" si="59"/>
        <v/>
      </c>
      <c r="BR60" s="198" t="str">
        <f t="shared" si="59"/>
        <v/>
      </c>
      <c r="BS60" s="198" t="str">
        <f t="shared" si="59"/>
        <v/>
      </c>
      <c r="BT60" s="198" t="str">
        <f t="shared" si="59"/>
        <v/>
      </c>
      <c r="BU60" s="198" t="str">
        <f t="shared" si="59"/>
        <v/>
      </c>
      <c r="BV60" s="198" t="str">
        <f t="shared" si="59"/>
        <v/>
      </c>
      <c r="BW60" s="198" t="str">
        <f t="shared" si="59"/>
        <v/>
      </c>
      <c r="BX60" s="198" t="str">
        <f t="shared" si="59"/>
        <v/>
      </c>
      <c r="BY60" s="198" t="str">
        <f t="shared" si="59"/>
        <v/>
      </c>
      <c r="BZ60" s="198" t="str">
        <f t="shared" si="59"/>
        <v/>
      </c>
      <c r="CA60" s="198" t="str">
        <f t="shared" si="59"/>
        <v/>
      </c>
      <c r="CB60" s="198" t="str">
        <f t="shared" si="59"/>
        <v/>
      </c>
      <c r="CC60" s="198" t="str">
        <f t="shared" si="59"/>
        <v/>
      </c>
      <c r="CD60" s="198" t="str">
        <f t="shared" si="59"/>
        <v/>
      </c>
      <c r="CE60" s="198" t="str">
        <f t="shared" si="59"/>
        <v/>
      </c>
      <c r="CF60" s="198" t="str">
        <f t="shared" si="59"/>
        <v/>
      </c>
      <c r="CG60" s="198" t="str">
        <f t="shared" si="59"/>
        <v/>
      </c>
      <c r="CH60" s="198" t="str">
        <f t="shared" si="59"/>
        <v/>
      </c>
      <c r="CI60" s="198" t="str">
        <f t="shared" si="59"/>
        <v/>
      </c>
      <c r="CJ60" s="198" t="str">
        <f t="shared" si="59"/>
        <v/>
      </c>
      <c r="CK60" s="198" t="str">
        <f t="shared" si="59"/>
        <v/>
      </c>
      <c r="CL60" s="198" t="str">
        <f t="shared" si="59"/>
        <v/>
      </c>
      <c r="CM60" s="198" t="str">
        <f t="shared" si="59"/>
        <v/>
      </c>
      <c r="CN60" s="198" t="str">
        <f t="shared" si="59"/>
        <v/>
      </c>
      <c r="CO60" s="198" t="str">
        <f t="shared" si="59"/>
        <v/>
      </c>
      <c r="CP60" s="198" t="str">
        <f t="shared" si="59"/>
        <v/>
      </c>
      <c r="CQ60" s="198" t="str">
        <f t="shared" si="59"/>
        <v/>
      </c>
      <c r="CR60" s="198" t="str">
        <f t="shared" si="59"/>
        <v>2.4.1.298</v>
      </c>
      <c r="CS60" s="198" t="str">
        <f t="shared" si="59"/>
        <v/>
      </c>
      <c r="CT60" s="198" t="str">
        <f t="shared" si="59"/>
        <v/>
      </c>
      <c r="CU60" s="198" t="str">
        <f t="shared" si="59"/>
        <v/>
      </c>
      <c r="CV60" s="198" t="str">
        <f t="shared" si="59"/>
        <v/>
      </c>
      <c r="CW60" s="198" t="str">
        <f t="shared" si="59"/>
        <v/>
      </c>
      <c r="CX60" s="198" t="str">
        <f t="shared" si="59"/>
        <v/>
      </c>
      <c r="CY60" s="198" t="str">
        <f t="shared" si="59"/>
        <v/>
      </c>
      <c r="CZ60" s="198" t="str">
        <f t="shared" si="59"/>
        <v/>
      </c>
      <c r="DA60" s="198" t="str">
        <f t="shared" si="59"/>
        <v/>
      </c>
      <c r="DB60" s="198" t="str">
        <f t="shared" si="59"/>
        <v/>
      </c>
      <c r="DC60" s="198" t="str">
        <f t="shared" si="59"/>
        <v/>
      </c>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c r="EY60" s="236"/>
      <c r="EZ60" s="236"/>
      <c r="FA60" s="236"/>
      <c r="FB60" s="236"/>
      <c r="FC60" s="236"/>
      <c r="FD60" s="236"/>
      <c r="FE60" s="236"/>
      <c r="FF60" s="236"/>
      <c r="FG60" s="236"/>
      <c r="FH60" s="236"/>
      <c r="FI60" s="236"/>
      <c r="FJ60" s="236"/>
      <c r="FK60" s="236"/>
      <c r="FL60" s="236"/>
      <c r="FM60" s="236"/>
      <c r="FN60" s="236"/>
      <c r="FO60" s="236"/>
      <c r="FP60" s="236"/>
      <c r="FQ60" s="236"/>
      <c r="FR60" s="236"/>
      <c r="FS60" s="236"/>
      <c r="FT60" s="236"/>
      <c r="FU60" s="236"/>
      <c r="FV60" s="236"/>
      <c r="FW60" s="236"/>
      <c r="FX60" s="236"/>
      <c r="FY60" s="236"/>
      <c r="FZ60" s="236"/>
      <c r="GA60" s="236"/>
      <c r="GB60" s="236"/>
      <c r="GC60" s="236"/>
      <c r="GD60" s="236"/>
      <c r="GE60" s="236"/>
      <c r="GF60" s="236"/>
      <c r="GG60" s="236"/>
      <c r="GH60" s="236"/>
      <c r="GI60" s="236"/>
      <c r="GJ60" s="236"/>
      <c r="GK60" s="236"/>
      <c r="GL60" s="236"/>
      <c r="GM60" s="236"/>
      <c r="GN60" s="236"/>
      <c r="GO60" s="236"/>
      <c r="GP60" s="236"/>
      <c r="GQ60" s="236"/>
      <c r="GR60" s="236"/>
      <c r="GS60" s="236"/>
      <c r="GT60" s="236"/>
      <c r="GU60" s="236"/>
      <c r="GV60" s="236"/>
      <c r="GW60" s="236"/>
      <c r="GX60" s="236"/>
      <c r="GY60" s="236"/>
      <c r="GZ60" s="236"/>
      <c r="HA60" s="236"/>
      <c r="HB60" s="236"/>
      <c r="HC60" s="236"/>
      <c r="HD60" s="236"/>
    </row>
    <row r="61" ht="15.75" customHeight="1">
      <c r="A61" s="234">
        <v>61.0</v>
      </c>
      <c r="B61" s="198" t="s">
        <v>1476</v>
      </c>
      <c r="C61" s="198" t="str">
        <f t="shared" ref="C61:DC61" si="60">if(countif(DD:DD,$B61),INDIRECT(concat("B",$A61)),"")</f>
        <v>2.4.1.357</v>
      </c>
      <c r="D61" s="198" t="str">
        <f t="shared" si="60"/>
        <v>2.4.1.357</v>
      </c>
      <c r="E61" s="198" t="str">
        <f t="shared" si="60"/>
        <v/>
      </c>
      <c r="F61" s="198" t="str">
        <f t="shared" si="60"/>
        <v/>
      </c>
      <c r="G61" s="198" t="str">
        <f t="shared" si="60"/>
        <v>2.4.1.357</v>
      </c>
      <c r="H61" s="198" t="str">
        <f t="shared" si="60"/>
        <v>2.4.1.357</v>
      </c>
      <c r="I61" s="198" t="str">
        <f t="shared" si="60"/>
        <v>2.4.1.357</v>
      </c>
      <c r="J61" s="198" t="str">
        <f t="shared" si="60"/>
        <v/>
      </c>
      <c r="K61" s="198" t="str">
        <f t="shared" si="60"/>
        <v/>
      </c>
      <c r="L61" s="198" t="str">
        <f t="shared" si="60"/>
        <v>2.4.1.357</v>
      </c>
      <c r="M61" s="198" t="str">
        <f t="shared" si="60"/>
        <v>2.4.1.357</v>
      </c>
      <c r="N61" s="198" t="str">
        <f t="shared" si="60"/>
        <v/>
      </c>
      <c r="O61" s="198" t="str">
        <f t="shared" si="60"/>
        <v/>
      </c>
      <c r="P61" s="198" t="str">
        <f t="shared" si="60"/>
        <v/>
      </c>
      <c r="Q61" s="198" t="str">
        <f t="shared" si="60"/>
        <v>2.4.1.357</v>
      </c>
      <c r="R61" s="198" t="str">
        <f t="shared" si="60"/>
        <v/>
      </c>
      <c r="S61" s="198" t="str">
        <f t="shared" si="60"/>
        <v/>
      </c>
      <c r="T61" s="198" t="str">
        <f t="shared" si="60"/>
        <v/>
      </c>
      <c r="U61" s="198" t="str">
        <f t="shared" si="60"/>
        <v/>
      </c>
      <c r="V61" s="198" t="str">
        <f t="shared" si="60"/>
        <v>2.4.1.357</v>
      </c>
      <c r="W61" s="198" t="str">
        <f t="shared" si="60"/>
        <v/>
      </c>
      <c r="X61" s="198" t="str">
        <f t="shared" si="60"/>
        <v/>
      </c>
      <c r="Y61" s="198" t="str">
        <f t="shared" si="60"/>
        <v/>
      </c>
      <c r="Z61" s="198" t="str">
        <f t="shared" si="60"/>
        <v>2.4.1.357</v>
      </c>
      <c r="AA61" s="198" t="str">
        <f t="shared" si="60"/>
        <v>2.4.1.357</v>
      </c>
      <c r="AB61" s="198" t="str">
        <f t="shared" si="60"/>
        <v>2.4.1.357</v>
      </c>
      <c r="AC61" s="198" t="str">
        <f t="shared" si="60"/>
        <v/>
      </c>
      <c r="AD61" s="198" t="str">
        <f t="shared" si="60"/>
        <v/>
      </c>
      <c r="AE61" s="198" t="str">
        <f t="shared" si="60"/>
        <v/>
      </c>
      <c r="AF61" s="198" t="str">
        <f t="shared" si="60"/>
        <v/>
      </c>
      <c r="AG61" s="198" t="str">
        <f t="shared" si="60"/>
        <v/>
      </c>
      <c r="AH61" s="198" t="str">
        <f t="shared" si="60"/>
        <v/>
      </c>
      <c r="AI61" s="198" t="str">
        <f t="shared" si="60"/>
        <v/>
      </c>
      <c r="AJ61" s="198" t="str">
        <f t="shared" si="60"/>
        <v>2.4.1.357</v>
      </c>
      <c r="AK61" s="198" t="str">
        <f t="shared" si="60"/>
        <v>2.4.1.357</v>
      </c>
      <c r="AL61" s="198" t="str">
        <f t="shared" si="60"/>
        <v>2.4.1.357</v>
      </c>
      <c r="AM61" s="198" t="str">
        <f t="shared" si="60"/>
        <v>2.4.1.357</v>
      </c>
      <c r="AN61" s="198" t="str">
        <f t="shared" si="60"/>
        <v>2.4.1.357</v>
      </c>
      <c r="AO61" s="198" t="str">
        <f t="shared" si="60"/>
        <v>2.4.1.357</v>
      </c>
      <c r="AP61" s="198" t="str">
        <f t="shared" si="60"/>
        <v/>
      </c>
      <c r="AQ61" s="198" t="str">
        <f t="shared" si="60"/>
        <v>2.4.1.357</v>
      </c>
      <c r="AR61" s="198" t="str">
        <f t="shared" si="60"/>
        <v/>
      </c>
      <c r="AS61" s="198" t="str">
        <f t="shared" si="60"/>
        <v>2.4.1.357</v>
      </c>
      <c r="AT61" s="198" t="str">
        <f t="shared" si="60"/>
        <v>2.4.1.357</v>
      </c>
      <c r="AU61" s="198" t="str">
        <f t="shared" si="60"/>
        <v>2.4.1.357</v>
      </c>
      <c r="AV61" s="198" t="str">
        <f t="shared" si="60"/>
        <v>2.4.1.357</v>
      </c>
      <c r="AW61" s="198" t="str">
        <f t="shared" si="60"/>
        <v>2.4.1.357</v>
      </c>
      <c r="AX61" s="198" t="str">
        <f t="shared" si="60"/>
        <v>2.4.1.357</v>
      </c>
      <c r="AY61" s="198" t="str">
        <f t="shared" si="60"/>
        <v/>
      </c>
      <c r="AZ61" s="198" t="str">
        <f t="shared" si="60"/>
        <v>2.4.1.357</v>
      </c>
      <c r="BA61" s="198" t="str">
        <f t="shared" si="60"/>
        <v>2.4.1.357</v>
      </c>
      <c r="BB61" s="198" t="str">
        <f t="shared" si="60"/>
        <v>2.4.1.357</v>
      </c>
      <c r="BC61" s="198" t="str">
        <f t="shared" si="60"/>
        <v>2.4.1.357</v>
      </c>
      <c r="BD61" s="198" t="str">
        <f t="shared" si="60"/>
        <v>2.4.1.357</v>
      </c>
      <c r="BE61" s="198" t="str">
        <f t="shared" si="60"/>
        <v>2.4.1.357</v>
      </c>
      <c r="BF61" s="198" t="str">
        <f t="shared" si="60"/>
        <v>2.4.1.357</v>
      </c>
      <c r="BG61" s="198" t="str">
        <f t="shared" si="60"/>
        <v/>
      </c>
      <c r="BH61" s="198" t="str">
        <f t="shared" si="60"/>
        <v/>
      </c>
      <c r="BI61" s="198" t="str">
        <f t="shared" si="60"/>
        <v/>
      </c>
      <c r="BJ61" s="198" t="str">
        <f t="shared" si="60"/>
        <v/>
      </c>
      <c r="BK61" s="198" t="str">
        <f t="shared" si="60"/>
        <v>2.4.1.357</v>
      </c>
      <c r="BL61" s="198" t="str">
        <f t="shared" si="60"/>
        <v>2.4.1.357</v>
      </c>
      <c r="BM61" s="198" t="str">
        <f t="shared" si="60"/>
        <v/>
      </c>
      <c r="BN61" s="198" t="str">
        <f t="shared" si="60"/>
        <v/>
      </c>
      <c r="BO61" s="198" t="str">
        <f t="shared" si="60"/>
        <v/>
      </c>
      <c r="BP61" s="198" t="str">
        <f t="shared" si="60"/>
        <v/>
      </c>
      <c r="BQ61" s="198" t="str">
        <f t="shared" si="60"/>
        <v>2.4.1.357</v>
      </c>
      <c r="BR61" s="198" t="str">
        <f t="shared" si="60"/>
        <v>2.4.1.357</v>
      </c>
      <c r="BS61" s="198" t="str">
        <f t="shared" si="60"/>
        <v>2.4.1.357</v>
      </c>
      <c r="BT61" s="198" t="str">
        <f t="shared" si="60"/>
        <v>2.4.1.357</v>
      </c>
      <c r="BU61" s="198" t="str">
        <f t="shared" si="60"/>
        <v/>
      </c>
      <c r="BV61" s="198" t="str">
        <f t="shared" si="60"/>
        <v/>
      </c>
      <c r="BW61" s="198" t="str">
        <f t="shared" si="60"/>
        <v/>
      </c>
      <c r="BX61" s="198" t="str">
        <f t="shared" si="60"/>
        <v>2.4.1.357</v>
      </c>
      <c r="BY61" s="198" t="str">
        <f t="shared" si="60"/>
        <v>2.4.1.357</v>
      </c>
      <c r="BZ61" s="198" t="str">
        <f t="shared" si="60"/>
        <v>2.4.1.357</v>
      </c>
      <c r="CA61" s="198" t="str">
        <f t="shared" si="60"/>
        <v/>
      </c>
      <c r="CB61" s="198" t="str">
        <f t="shared" si="60"/>
        <v>2.4.1.357</v>
      </c>
      <c r="CC61" s="198" t="str">
        <f t="shared" si="60"/>
        <v>2.4.1.357</v>
      </c>
      <c r="CD61" s="198" t="str">
        <f t="shared" si="60"/>
        <v>2.4.1.357</v>
      </c>
      <c r="CE61" s="198" t="str">
        <f t="shared" si="60"/>
        <v>2.4.1.357</v>
      </c>
      <c r="CF61" s="198" t="str">
        <f t="shared" si="60"/>
        <v>2.4.1.357</v>
      </c>
      <c r="CG61" s="198" t="str">
        <f t="shared" si="60"/>
        <v>2.4.1.357</v>
      </c>
      <c r="CH61" s="198" t="str">
        <f t="shared" si="60"/>
        <v>2.4.1.357</v>
      </c>
      <c r="CI61" s="198" t="str">
        <f t="shared" si="60"/>
        <v>2.4.1.357</v>
      </c>
      <c r="CJ61" s="198" t="str">
        <f t="shared" si="60"/>
        <v/>
      </c>
      <c r="CK61" s="198" t="str">
        <f t="shared" si="60"/>
        <v>2.4.1.357</v>
      </c>
      <c r="CL61" s="198" t="str">
        <f t="shared" si="60"/>
        <v>2.4.1.357</v>
      </c>
      <c r="CM61" s="198" t="str">
        <f t="shared" si="60"/>
        <v/>
      </c>
      <c r="CN61" s="198" t="str">
        <f t="shared" si="60"/>
        <v/>
      </c>
      <c r="CO61" s="198" t="str">
        <f t="shared" si="60"/>
        <v/>
      </c>
      <c r="CP61" s="198" t="str">
        <f t="shared" si="60"/>
        <v>2.4.1.357</v>
      </c>
      <c r="CQ61" s="198" t="str">
        <f t="shared" si="60"/>
        <v>2.4.1.357</v>
      </c>
      <c r="CR61" s="198" t="str">
        <f t="shared" si="60"/>
        <v/>
      </c>
      <c r="CS61" s="198" t="str">
        <f t="shared" si="60"/>
        <v>2.4.1.357</v>
      </c>
      <c r="CT61" s="198" t="str">
        <f t="shared" si="60"/>
        <v>2.4.1.357</v>
      </c>
      <c r="CU61" s="198" t="str">
        <f t="shared" si="60"/>
        <v>2.4.1.357</v>
      </c>
      <c r="CV61" s="198" t="str">
        <f t="shared" si="60"/>
        <v>2.4.1.357</v>
      </c>
      <c r="CW61" s="198" t="str">
        <f t="shared" si="60"/>
        <v/>
      </c>
      <c r="CX61" s="198" t="str">
        <f t="shared" si="60"/>
        <v>2.4.1.357</v>
      </c>
      <c r="CY61" s="198" t="str">
        <f t="shared" si="60"/>
        <v>2.4.1.357</v>
      </c>
      <c r="CZ61" s="198" t="str">
        <f t="shared" si="60"/>
        <v>2.4.1.357</v>
      </c>
      <c r="DA61" s="198" t="str">
        <f t="shared" si="60"/>
        <v>2.4.1.357</v>
      </c>
      <c r="DB61" s="198" t="str">
        <f t="shared" si="60"/>
        <v>2.4.1.357</v>
      </c>
      <c r="DC61" s="198" t="str">
        <f t="shared" si="60"/>
        <v>2.4.1.357</v>
      </c>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c r="EY61" s="236"/>
      <c r="EZ61" s="236"/>
      <c r="FA61" s="236"/>
      <c r="FB61" s="236"/>
      <c r="FC61" s="236"/>
      <c r="FD61" s="236"/>
      <c r="FE61" s="236"/>
      <c r="FF61" s="236"/>
      <c r="FG61" s="236"/>
      <c r="FH61" s="236"/>
      <c r="FI61" s="236"/>
      <c r="FJ61" s="236"/>
      <c r="FK61" s="236"/>
      <c r="FL61" s="236"/>
      <c r="FM61" s="236"/>
      <c r="FN61" s="236"/>
      <c r="FO61" s="236"/>
      <c r="FP61" s="236"/>
      <c r="FQ61" s="236"/>
      <c r="FR61" s="236"/>
      <c r="FS61" s="236"/>
      <c r="FT61" s="236"/>
      <c r="FU61" s="236"/>
      <c r="FV61" s="236"/>
      <c r="FW61" s="236"/>
      <c r="FX61" s="236"/>
      <c r="FY61" s="236"/>
      <c r="FZ61" s="236"/>
      <c r="GA61" s="236"/>
      <c r="GB61" s="236"/>
      <c r="GC61" s="236"/>
      <c r="GD61" s="236"/>
      <c r="GE61" s="236"/>
      <c r="GF61" s="236"/>
      <c r="GG61" s="236"/>
      <c r="GH61" s="236"/>
      <c r="GI61" s="236"/>
      <c r="GJ61" s="236"/>
      <c r="GK61" s="236"/>
      <c r="GL61" s="236"/>
      <c r="GM61" s="236"/>
      <c r="GN61" s="236"/>
      <c r="GO61" s="236"/>
      <c r="GP61" s="236"/>
      <c r="GQ61" s="236"/>
      <c r="GR61" s="236"/>
      <c r="GS61" s="236"/>
      <c r="GT61" s="236"/>
      <c r="GU61" s="236"/>
      <c r="GV61" s="236"/>
      <c r="GW61" s="236"/>
      <c r="GX61" s="236"/>
      <c r="GY61" s="236"/>
      <c r="GZ61" s="236"/>
      <c r="HA61" s="236"/>
      <c r="HB61" s="236"/>
      <c r="HC61" s="236"/>
      <c r="HD61" s="236"/>
    </row>
    <row r="62" ht="15.75" customHeight="1">
      <c r="A62" s="234">
        <v>62.0</v>
      </c>
      <c r="B62" s="198" t="s">
        <v>1495</v>
      </c>
      <c r="C62" s="198" t="str">
        <f t="shared" ref="C62:DC62" si="61">if(countif(DD:DD,$B62),INDIRECT(concat("B",$A62)),"")</f>
        <v/>
      </c>
      <c r="D62" s="198" t="str">
        <f t="shared" si="61"/>
        <v/>
      </c>
      <c r="E62" s="198" t="str">
        <f t="shared" si="61"/>
        <v/>
      </c>
      <c r="F62" s="198" t="str">
        <f t="shared" si="61"/>
        <v>2.4.1.91</v>
      </c>
      <c r="G62" s="198" t="str">
        <f t="shared" si="61"/>
        <v/>
      </c>
      <c r="H62" s="198" t="str">
        <f t="shared" si="61"/>
        <v/>
      </c>
      <c r="I62" s="198" t="str">
        <f t="shared" si="61"/>
        <v/>
      </c>
      <c r="J62" s="198" t="str">
        <f t="shared" si="61"/>
        <v/>
      </c>
      <c r="K62" s="198" t="str">
        <f t="shared" si="61"/>
        <v/>
      </c>
      <c r="L62" s="198" t="str">
        <f t="shared" si="61"/>
        <v/>
      </c>
      <c r="M62" s="198" t="str">
        <f t="shared" si="61"/>
        <v/>
      </c>
      <c r="N62" s="198" t="str">
        <f t="shared" si="61"/>
        <v>2.4.1.91</v>
      </c>
      <c r="O62" s="198" t="str">
        <f t="shared" si="61"/>
        <v>2.4.1.91</v>
      </c>
      <c r="P62" s="198" t="str">
        <f t="shared" si="61"/>
        <v>2.4.1.91</v>
      </c>
      <c r="Q62" s="198" t="str">
        <f t="shared" si="61"/>
        <v/>
      </c>
      <c r="R62" s="198" t="str">
        <f t="shared" si="61"/>
        <v>2.4.1.91</v>
      </c>
      <c r="S62" s="198" t="str">
        <f t="shared" si="61"/>
        <v>2.4.1.91</v>
      </c>
      <c r="T62" s="198" t="str">
        <f t="shared" si="61"/>
        <v/>
      </c>
      <c r="U62" s="198" t="str">
        <f t="shared" si="61"/>
        <v/>
      </c>
      <c r="V62" s="198" t="str">
        <f t="shared" si="61"/>
        <v/>
      </c>
      <c r="W62" s="198" t="str">
        <f t="shared" si="61"/>
        <v/>
      </c>
      <c r="X62" s="198" t="str">
        <f t="shared" si="61"/>
        <v/>
      </c>
      <c r="Y62" s="198" t="str">
        <f t="shared" si="61"/>
        <v/>
      </c>
      <c r="Z62" s="198" t="str">
        <f t="shared" si="61"/>
        <v/>
      </c>
      <c r="AA62" s="198" t="str">
        <f t="shared" si="61"/>
        <v/>
      </c>
      <c r="AB62" s="198" t="str">
        <f t="shared" si="61"/>
        <v/>
      </c>
      <c r="AC62" s="198" t="str">
        <f t="shared" si="61"/>
        <v/>
      </c>
      <c r="AD62" s="198" t="str">
        <f t="shared" si="61"/>
        <v/>
      </c>
      <c r="AE62" s="198" t="str">
        <f t="shared" si="61"/>
        <v/>
      </c>
      <c r="AF62" s="198" t="str">
        <f t="shared" si="61"/>
        <v/>
      </c>
      <c r="AG62" s="198" t="str">
        <f t="shared" si="61"/>
        <v/>
      </c>
      <c r="AH62" s="198" t="str">
        <f t="shared" si="61"/>
        <v/>
      </c>
      <c r="AI62" s="198" t="str">
        <f t="shared" si="61"/>
        <v/>
      </c>
      <c r="AJ62" s="198" t="str">
        <f t="shared" si="61"/>
        <v/>
      </c>
      <c r="AK62" s="198" t="str">
        <f t="shared" si="61"/>
        <v/>
      </c>
      <c r="AL62" s="198" t="str">
        <f t="shared" si="61"/>
        <v/>
      </c>
      <c r="AM62" s="198" t="str">
        <f t="shared" si="61"/>
        <v/>
      </c>
      <c r="AN62" s="198" t="str">
        <f t="shared" si="61"/>
        <v/>
      </c>
      <c r="AO62" s="198" t="str">
        <f t="shared" si="61"/>
        <v/>
      </c>
      <c r="AP62" s="198" t="str">
        <f t="shared" si="61"/>
        <v>2.4.1.91</v>
      </c>
      <c r="AQ62" s="198" t="str">
        <f t="shared" si="61"/>
        <v/>
      </c>
      <c r="AR62" s="198" t="str">
        <f t="shared" si="61"/>
        <v/>
      </c>
      <c r="AS62" s="198" t="str">
        <f t="shared" si="61"/>
        <v/>
      </c>
      <c r="AT62" s="198" t="str">
        <f t="shared" si="61"/>
        <v/>
      </c>
      <c r="AU62" s="198" t="str">
        <f t="shared" si="61"/>
        <v>2.4.1.91</v>
      </c>
      <c r="AV62" s="198" t="str">
        <f t="shared" si="61"/>
        <v/>
      </c>
      <c r="AW62" s="198" t="str">
        <f t="shared" si="61"/>
        <v/>
      </c>
      <c r="AX62" s="198" t="str">
        <f t="shared" si="61"/>
        <v/>
      </c>
      <c r="AY62" s="198" t="str">
        <f t="shared" si="61"/>
        <v/>
      </c>
      <c r="AZ62" s="198" t="str">
        <f t="shared" si="61"/>
        <v/>
      </c>
      <c r="BA62" s="198" t="str">
        <f t="shared" si="61"/>
        <v/>
      </c>
      <c r="BB62" s="198" t="str">
        <f t="shared" si="61"/>
        <v/>
      </c>
      <c r="BC62" s="198" t="str">
        <f t="shared" si="61"/>
        <v/>
      </c>
      <c r="BD62" s="198" t="str">
        <f t="shared" si="61"/>
        <v/>
      </c>
      <c r="BE62" s="198" t="str">
        <f t="shared" si="61"/>
        <v/>
      </c>
      <c r="BF62" s="198" t="str">
        <f t="shared" si="61"/>
        <v/>
      </c>
      <c r="BG62" s="198" t="str">
        <f t="shared" si="61"/>
        <v/>
      </c>
      <c r="BH62" s="198" t="str">
        <f t="shared" si="61"/>
        <v/>
      </c>
      <c r="BI62" s="198" t="str">
        <f t="shared" si="61"/>
        <v/>
      </c>
      <c r="BJ62" s="198" t="str">
        <f t="shared" si="61"/>
        <v/>
      </c>
      <c r="BK62" s="198" t="str">
        <f t="shared" si="61"/>
        <v/>
      </c>
      <c r="BL62" s="198" t="str">
        <f t="shared" si="61"/>
        <v/>
      </c>
      <c r="BM62" s="198" t="str">
        <f t="shared" si="61"/>
        <v/>
      </c>
      <c r="BN62" s="198" t="str">
        <f t="shared" si="61"/>
        <v/>
      </c>
      <c r="BO62" s="198" t="str">
        <f t="shared" si="61"/>
        <v/>
      </c>
      <c r="BP62" s="198" t="str">
        <f t="shared" si="61"/>
        <v/>
      </c>
      <c r="BQ62" s="198" t="str">
        <f t="shared" si="61"/>
        <v/>
      </c>
      <c r="BR62" s="198" t="str">
        <f t="shared" si="61"/>
        <v/>
      </c>
      <c r="BS62" s="198" t="str">
        <f t="shared" si="61"/>
        <v>2.4.1.91</v>
      </c>
      <c r="BT62" s="198" t="str">
        <f t="shared" si="61"/>
        <v/>
      </c>
      <c r="BU62" s="198" t="str">
        <f t="shared" si="61"/>
        <v/>
      </c>
      <c r="BV62" s="198" t="str">
        <f t="shared" si="61"/>
        <v/>
      </c>
      <c r="BW62" s="198" t="str">
        <f t="shared" si="61"/>
        <v/>
      </c>
      <c r="BX62" s="198" t="str">
        <f t="shared" si="61"/>
        <v/>
      </c>
      <c r="BY62" s="198" t="str">
        <f t="shared" si="61"/>
        <v/>
      </c>
      <c r="BZ62" s="198" t="str">
        <f t="shared" si="61"/>
        <v/>
      </c>
      <c r="CA62" s="198" t="str">
        <f t="shared" si="61"/>
        <v/>
      </c>
      <c r="CB62" s="198" t="str">
        <f t="shared" si="61"/>
        <v/>
      </c>
      <c r="CC62" s="198" t="str">
        <f t="shared" si="61"/>
        <v/>
      </c>
      <c r="CD62" s="198" t="str">
        <f t="shared" si="61"/>
        <v/>
      </c>
      <c r="CE62" s="198" t="str">
        <f t="shared" si="61"/>
        <v/>
      </c>
      <c r="CF62" s="198" t="str">
        <f t="shared" si="61"/>
        <v/>
      </c>
      <c r="CG62" s="198" t="str">
        <f t="shared" si="61"/>
        <v/>
      </c>
      <c r="CH62" s="198" t="str">
        <f t="shared" si="61"/>
        <v/>
      </c>
      <c r="CI62" s="198" t="str">
        <f t="shared" si="61"/>
        <v/>
      </c>
      <c r="CJ62" s="198" t="str">
        <f t="shared" si="61"/>
        <v/>
      </c>
      <c r="CK62" s="198" t="str">
        <f t="shared" si="61"/>
        <v/>
      </c>
      <c r="CL62" s="198" t="str">
        <f t="shared" si="61"/>
        <v/>
      </c>
      <c r="CM62" s="198" t="str">
        <f t="shared" si="61"/>
        <v/>
      </c>
      <c r="CN62" s="198" t="str">
        <f t="shared" si="61"/>
        <v/>
      </c>
      <c r="CO62" s="198" t="str">
        <f t="shared" si="61"/>
        <v/>
      </c>
      <c r="CP62" s="198" t="str">
        <f t="shared" si="61"/>
        <v/>
      </c>
      <c r="CQ62" s="198" t="str">
        <f t="shared" si="61"/>
        <v/>
      </c>
      <c r="CR62" s="198" t="str">
        <f t="shared" si="61"/>
        <v/>
      </c>
      <c r="CS62" s="198" t="str">
        <f t="shared" si="61"/>
        <v/>
      </c>
      <c r="CT62" s="198" t="str">
        <f t="shared" si="61"/>
        <v/>
      </c>
      <c r="CU62" s="198" t="str">
        <f t="shared" si="61"/>
        <v/>
      </c>
      <c r="CV62" s="198" t="str">
        <f t="shared" si="61"/>
        <v/>
      </c>
      <c r="CW62" s="198" t="str">
        <f t="shared" si="61"/>
        <v/>
      </c>
      <c r="CX62" s="198" t="str">
        <f t="shared" si="61"/>
        <v/>
      </c>
      <c r="CY62" s="198" t="str">
        <f t="shared" si="61"/>
        <v/>
      </c>
      <c r="CZ62" s="198" t="str">
        <f t="shared" si="61"/>
        <v/>
      </c>
      <c r="DA62" s="198" t="str">
        <f t="shared" si="61"/>
        <v/>
      </c>
      <c r="DB62" s="198" t="str">
        <f t="shared" si="61"/>
        <v/>
      </c>
      <c r="DC62" s="198" t="str">
        <f t="shared" si="61"/>
        <v/>
      </c>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c r="EY62" s="236"/>
      <c r="EZ62" s="236"/>
      <c r="FA62" s="236"/>
      <c r="FB62" s="236"/>
      <c r="FC62" s="236"/>
      <c r="FD62" s="236"/>
      <c r="FE62" s="236"/>
      <c r="FF62" s="236"/>
      <c r="FG62" s="236"/>
      <c r="FH62" s="236"/>
      <c r="FI62" s="236"/>
      <c r="FJ62" s="236"/>
      <c r="FK62" s="236"/>
      <c r="FL62" s="236"/>
      <c r="FM62" s="236"/>
      <c r="FN62" s="236"/>
      <c r="FO62" s="236"/>
      <c r="FP62" s="236"/>
      <c r="FQ62" s="236"/>
      <c r="FR62" s="236"/>
      <c r="FS62" s="236"/>
      <c r="FT62" s="236"/>
      <c r="FU62" s="236"/>
      <c r="FV62" s="236"/>
      <c r="FW62" s="236"/>
      <c r="FX62" s="236"/>
      <c r="FY62" s="236"/>
      <c r="FZ62" s="236"/>
      <c r="GA62" s="236"/>
      <c r="GB62" s="236"/>
      <c r="GC62" s="236"/>
      <c r="GD62" s="236"/>
      <c r="GE62" s="236"/>
      <c r="GF62" s="236"/>
      <c r="GG62" s="236"/>
      <c r="GH62" s="236"/>
      <c r="GI62" s="236"/>
      <c r="GJ62" s="236"/>
      <c r="GK62" s="236"/>
      <c r="GL62" s="236"/>
      <c r="GM62" s="236"/>
      <c r="GN62" s="236"/>
      <c r="GO62" s="236"/>
      <c r="GP62" s="236"/>
      <c r="GQ62" s="236"/>
      <c r="GR62" s="236"/>
      <c r="GS62" s="236"/>
      <c r="GT62" s="236"/>
      <c r="GU62" s="236"/>
      <c r="GV62" s="236"/>
      <c r="GW62" s="236"/>
      <c r="GX62" s="236"/>
      <c r="GY62" s="236"/>
      <c r="GZ62" s="236"/>
      <c r="HA62" s="236"/>
      <c r="HB62" s="236"/>
      <c r="HC62" s="236"/>
      <c r="HD62" s="236"/>
    </row>
    <row r="63" ht="15.75" customHeight="1">
      <c r="A63" s="234">
        <v>63.0</v>
      </c>
      <c r="B63" s="198" t="s">
        <v>1488</v>
      </c>
      <c r="C63" s="198" t="str">
        <f t="shared" ref="C63:DC63" si="62">if(countif(DD:DD,$B63),INDIRECT(concat("B",$A63)),"")</f>
        <v/>
      </c>
      <c r="D63" s="198" t="str">
        <f t="shared" si="62"/>
        <v/>
      </c>
      <c r="E63" s="198" t="str">
        <f t="shared" si="62"/>
        <v>2.4.2.51</v>
      </c>
      <c r="F63" s="198" t="str">
        <f t="shared" si="62"/>
        <v>2.4.2.51</v>
      </c>
      <c r="G63" s="198" t="str">
        <f t="shared" si="62"/>
        <v/>
      </c>
      <c r="H63" s="198" t="str">
        <f t="shared" si="62"/>
        <v/>
      </c>
      <c r="I63" s="198" t="str">
        <f t="shared" si="62"/>
        <v/>
      </c>
      <c r="J63" s="198" t="str">
        <f t="shared" si="62"/>
        <v/>
      </c>
      <c r="K63" s="198" t="str">
        <f t="shared" si="62"/>
        <v/>
      </c>
      <c r="L63" s="198" t="str">
        <f t="shared" si="62"/>
        <v>2.4.2.51</v>
      </c>
      <c r="M63" s="198" t="str">
        <f t="shared" si="62"/>
        <v/>
      </c>
      <c r="N63" s="198" t="str">
        <f t="shared" si="62"/>
        <v>2.4.2.51</v>
      </c>
      <c r="O63" s="198" t="str">
        <f t="shared" si="62"/>
        <v>2.4.2.51</v>
      </c>
      <c r="P63" s="198" t="str">
        <f t="shared" si="62"/>
        <v/>
      </c>
      <c r="Q63" s="198" t="str">
        <f t="shared" si="62"/>
        <v>2.4.2.51</v>
      </c>
      <c r="R63" s="198" t="str">
        <f t="shared" si="62"/>
        <v>2.4.2.51</v>
      </c>
      <c r="S63" s="198" t="str">
        <f t="shared" si="62"/>
        <v>2.4.2.51</v>
      </c>
      <c r="T63" s="198" t="str">
        <f t="shared" si="62"/>
        <v>2.4.2.51</v>
      </c>
      <c r="U63" s="198" t="str">
        <f t="shared" si="62"/>
        <v/>
      </c>
      <c r="V63" s="198" t="str">
        <f t="shared" si="62"/>
        <v>2.4.2.51</v>
      </c>
      <c r="W63" s="198" t="str">
        <f t="shared" si="62"/>
        <v/>
      </c>
      <c r="X63" s="198" t="str">
        <f t="shared" si="62"/>
        <v/>
      </c>
      <c r="Y63" s="198" t="str">
        <f t="shared" si="62"/>
        <v/>
      </c>
      <c r="Z63" s="198" t="str">
        <f t="shared" si="62"/>
        <v/>
      </c>
      <c r="AA63" s="198" t="str">
        <f t="shared" si="62"/>
        <v/>
      </c>
      <c r="AB63" s="198" t="str">
        <f t="shared" si="62"/>
        <v/>
      </c>
      <c r="AC63" s="198" t="str">
        <f t="shared" si="62"/>
        <v/>
      </c>
      <c r="AD63" s="198" t="str">
        <f t="shared" si="62"/>
        <v/>
      </c>
      <c r="AE63" s="198" t="str">
        <f t="shared" si="62"/>
        <v/>
      </c>
      <c r="AF63" s="198" t="str">
        <f t="shared" si="62"/>
        <v/>
      </c>
      <c r="AG63" s="198" t="str">
        <f t="shared" si="62"/>
        <v/>
      </c>
      <c r="AH63" s="198" t="str">
        <f t="shared" si="62"/>
        <v/>
      </c>
      <c r="AI63" s="198" t="str">
        <f t="shared" si="62"/>
        <v/>
      </c>
      <c r="AJ63" s="198" t="str">
        <f t="shared" si="62"/>
        <v/>
      </c>
      <c r="AK63" s="198" t="str">
        <f t="shared" si="62"/>
        <v/>
      </c>
      <c r="AL63" s="198" t="str">
        <f t="shared" si="62"/>
        <v/>
      </c>
      <c r="AM63" s="198" t="str">
        <f t="shared" si="62"/>
        <v>2.4.2.51</v>
      </c>
      <c r="AN63" s="198" t="str">
        <f t="shared" si="62"/>
        <v/>
      </c>
      <c r="AO63" s="198" t="str">
        <f t="shared" si="62"/>
        <v>2.4.2.51</v>
      </c>
      <c r="AP63" s="198" t="str">
        <f t="shared" si="62"/>
        <v>2.4.2.51</v>
      </c>
      <c r="AQ63" s="198" t="str">
        <f t="shared" si="62"/>
        <v/>
      </c>
      <c r="AR63" s="198" t="str">
        <f t="shared" si="62"/>
        <v/>
      </c>
      <c r="AS63" s="198" t="str">
        <f t="shared" si="62"/>
        <v/>
      </c>
      <c r="AT63" s="198" t="str">
        <f t="shared" si="62"/>
        <v>2.4.2.51</v>
      </c>
      <c r="AU63" s="198" t="str">
        <f t="shared" si="62"/>
        <v>2.4.2.51</v>
      </c>
      <c r="AV63" s="198" t="str">
        <f t="shared" si="62"/>
        <v/>
      </c>
      <c r="AW63" s="198" t="str">
        <f t="shared" si="62"/>
        <v/>
      </c>
      <c r="AX63" s="198" t="str">
        <f t="shared" si="62"/>
        <v/>
      </c>
      <c r="AY63" s="198" t="str">
        <f t="shared" si="62"/>
        <v>2.4.2.51</v>
      </c>
      <c r="AZ63" s="198" t="str">
        <f t="shared" si="62"/>
        <v/>
      </c>
      <c r="BA63" s="198" t="str">
        <f t="shared" si="62"/>
        <v/>
      </c>
      <c r="BB63" s="198" t="str">
        <f t="shared" si="62"/>
        <v/>
      </c>
      <c r="BC63" s="198" t="str">
        <f t="shared" si="62"/>
        <v/>
      </c>
      <c r="BD63" s="198" t="str">
        <f t="shared" si="62"/>
        <v>2.4.2.51</v>
      </c>
      <c r="BE63" s="198" t="str">
        <f t="shared" si="62"/>
        <v/>
      </c>
      <c r="BF63" s="198" t="str">
        <f t="shared" si="62"/>
        <v>2.4.2.51</v>
      </c>
      <c r="BG63" s="198" t="str">
        <f t="shared" si="62"/>
        <v/>
      </c>
      <c r="BH63" s="198" t="str">
        <f t="shared" si="62"/>
        <v/>
      </c>
      <c r="BI63" s="198" t="str">
        <f t="shared" si="62"/>
        <v/>
      </c>
      <c r="BJ63" s="198" t="str">
        <f t="shared" si="62"/>
        <v/>
      </c>
      <c r="BK63" s="198" t="str">
        <f t="shared" si="62"/>
        <v/>
      </c>
      <c r="BL63" s="198" t="str">
        <f t="shared" si="62"/>
        <v/>
      </c>
      <c r="BM63" s="198" t="str">
        <f t="shared" si="62"/>
        <v/>
      </c>
      <c r="BN63" s="198" t="str">
        <f t="shared" si="62"/>
        <v/>
      </c>
      <c r="BO63" s="198" t="str">
        <f t="shared" si="62"/>
        <v/>
      </c>
      <c r="BP63" s="198" t="str">
        <f t="shared" si="62"/>
        <v/>
      </c>
      <c r="BQ63" s="198" t="str">
        <f t="shared" si="62"/>
        <v>2.4.2.51</v>
      </c>
      <c r="BR63" s="198" t="str">
        <f t="shared" si="62"/>
        <v/>
      </c>
      <c r="BS63" s="198" t="str">
        <f t="shared" si="62"/>
        <v/>
      </c>
      <c r="BT63" s="198" t="str">
        <f t="shared" si="62"/>
        <v/>
      </c>
      <c r="BU63" s="198" t="str">
        <f t="shared" si="62"/>
        <v/>
      </c>
      <c r="BV63" s="198" t="str">
        <f t="shared" si="62"/>
        <v/>
      </c>
      <c r="BW63" s="198" t="str">
        <f t="shared" si="62"/>
        <v/>
      </c>
      <c r="BX63" s="198" t="str">
        <f t="shared" si="62"/>
        <v/>
      </c>
      <c r="BY63" s="198" t="str">
        <f t="shared" si="62"/>
        <v/>
      </c>
      <c r="BZ63" s="198" t="str">
        <f t="shared" si="62"/>
        <v/>
      </c>
      <c r="CA63" s="198" t="str">
        <f t="shared" si="62"/>
        <v/>
      </c>
      <c r="CB63" s="198" t="str">
        <f t="shared" si="62"/>
        <v>2.4.2.51</v>
      </c>
      <c r="CC63" s="198" t="str">
        <f t="shared" si="62"/>
        <v>2.4.2.51</v>
      </c>
      <c r="CD63" s="198" t="str">
        <f t="shared" si="62"/>
        <v/>
      </c>
      <c r="CE63" s="198" t="str">
        <f t="shared" si="62"/>
        <v/>
      </c>
      <c r="CF63" s="198" t="str">
        <f t="shared" si="62"/>
        <v/>
      </c>
      <c r="CG63" s="198" t="str">
        <f t="shared" si="62"/>
        <v>2.4.2.51</v>
      </c>
      <c r="CH63" s="198" t="str">
        <f t="shared" si="62"/>
        <v>2.4.2.51</v>
      </c>
      <c r="CI63" s="198" t="str">
        <f t="shared" si="62"/>
        <v/>
      </c>
      <c r="CJ63" s="198" t="str">
        <f t="shared" si="62"/>
        <v/>
      </c>
      <c r="CK63" s="198" t="str">
        <f t="shared" si="62"/>
        <v>2.4.2.51</v>
      </c>
      <c r="CL63" s="198" t="str">
        <f t="shared" si="62"/>
        <v/>
      </c>
      <c r="CM63" s="198" t="str">
        <f t="shared" si="62"/>
        <v>2.4.2.51</v>
      </c>
      <c r="CN63" s="198" t="str">
        <f t="shared" si="62"/>
        <v>2.4.2.51</v>
      </c>
      <c r="CO63" s="198" t="str">
        <f t="shared" si="62"/>
        <v>2.4.2.51</v>
      </c>
      <c r="CP63" s="198" t="str">
        <f t="shared" si="62"/>
        <v/>
      </c>
      <c r="CQ63" s="198" t="str">
        <f t="shared" si="62"/>
        <v>2.4.2.51</v>
      </c>
      <c r="CR63" s="198" t="str">
        <f t="shared" si="62"/>
        <v>2.4.2.51</v>
      </c>
      <c r="CS63" s="198" t="str">
        <f t="shared" si="62"/>
        <v>2.4.2.51</v>
      </c>
      <c r="CT63" s="198" t="str">
        <f t="shared" si="62"/>
        <v/>
      </c>
      <c r="CU63" s="198" t="str">
        <f t="shared" si="62"/>
        <v/>
      </c>
      <c r="CV63" s="198" t="str">
        <f t="shared" si="62"/>
        <v/>
      </c>
      <c r="CW63" s="198" t="str">
        <f t="shared" si="62"/>
        <v/>
      </c>
      <c r="CX63" s="198" t="str">
        <f t="shared" si="62"/>
        <v/>
      </c>
      <c r="CY63" s="198" t="str">
        <f t="shared" si="62"/>
        <v/>
      </c>
      <c r="CZ63" s="198" t="str">
        <f t="shared" si="62"/>
        <v>2.4.2.51</v>
      </c>
      <c r="DA63" s="198" t="str">
        <f t="shared" si="62"/>
        <v/>
      </c>
      <c r="DB63" s="198" t="str">
        <f t="shared" si="62"/>
        <v>2.4.2.51</v>
      </c>
      <c r="DC63" s="198" t="str">
        <f t="shared" si="62"/>
        <v/>
      </c>
      <c r="DD63" s="236"/>
      <c r="DE63" s="236"/>
      <c r="DF63" s="236"/>
      <c r="DG63" s="236"/>
      <c r="DH63" s="236"/>
      <c r="DI63" s="236"/>
      <c r="DJ63" s="236"/>
      <c r="DK63" s="236"/>
      <c r="DL63" s="236"/>
      <c r="DM63" s="236"/>
      <c r="DN63" s="236"/>
      <c r="DO63" s="236"/>
      <c r="DP63" s="236"/>
      <c r="DQ63" s="236"/>
      <c r="DR63" s="236"/>
      <c r="DS63" s="236"/>
      <c r="DT63" s="236"/>
      <c r="DU63" s="236"/>
      <c r="DV63" s="236"/>
      <c r="DW63" s="236"/>
      <c r="DX63" s="236"/>
      <c r="DY63" s="236"/>
      <c r="DZ63" s="236"/>
      <c r="EA63" s="236"/>
      <c r="EB63" s="236"/>
      <c r="EC63" s="236"/>
      <c r="ED63" s="236"/>
      <c r="EE63" s="236"/>
      <c r="EF63" s="236"/>
      <c r="EG63" s="236"/>
      <c r="EH63" s="236"/>
      <c r="EI63" s="236"/>
      <c r="EJ63" s="236"/>
      <c r="EK63" s="236"/>
      <c r="EL63" s="236"/>
      <c r="EM63" s="236"/>
      <c r="EN63" s="236"/>
      <c r="EO63" s="236"/>
      <c r="EP63" s="236"/>
      <c r="EQ63" s="236"/>
      <c r="ER63" s="236"/>
      <c r="ES63" s="236"/>
      <c r="ET63" s="236"/>
      <c r="EU63" s="236"/>
      <c r="EV63" s="236"/>
      <c r="EW63" s="236"/>
      <c r="EX63" s="236"/>
      <c r="EY63" s="236"/>
      <c r="EZ63" s="236"/>
      <c r="FA63" s="236"/>
      <c r="FB63" s="236"/>
      <c r="FC63" s="236"/>
      <c r="FD63" s="236"/>
      <c r="FE63" s="236"/>
      <c r="FF63" s="236"/>
      <c r="FG63" s="236"/>
      <c r="FH63" s="236"/>
      <c r="FI63" s="236"/>
      <c r="FJ63" s="236"/>
      <c r="FK63" s="236"/>
      <c r="FL63" s="236"/>
      <c r="FM63" s="236"/>
      <c r="FN63" s="236"/>
      <c r="FO63" s="236"/>
      <c r="FP63" s="236"/>
      <c r="FQ63" s="236"/>
      <c r="FR63" s="236"/>
      <c r="FS63" s="236"/>
      <c r="FT63" s="236"/>
      <c r="FU63" s="236"/>
      <c r="FV63" s="236"/>
      <c r="FW63" s="236"/>
      <c r="FX63" s="236"/>
      <c r="FY63" s="236"/>
      <c r="FZ63" s="236"/>
      <c r="GA63" s="236"/>
      <c r="GB63" s="236"/>
      <c r="GC63" s="236"/>
      <c r="GD63" s="236"/>
      <c r="GE63" s="236"/>
      <c r="GF63" s="236"/>
      <c r="GG63" s="236"/>
      <c r="GH63" s="236"/>
      <c r="GI63" s="236"/>
      <c r="GJ63" s="236"/>
      <c r="GK63" s="236"/>
      <c r="GL63" s="236"/>
      <c r="GM63" s="236"/>
      <c r="GN63" s="236"/>
      <c r="GO63" s="236"/>
      <c r="GP63" s="236"/>
      <c r="GQ63" s="236"/>
      <c r="GR63" s="236"/>
      <c r="GS63" s="236"/>
      <c r="GT63" s="236"/>
      <c r="GU63" s="236"/>
      <c r="GV63" s="236"/>
      <c r="GW63" s="236"/>
      <c r="GX63" s="236"/>
      <c r="GY63" s="236"/>
      <c r="GZ63" s="236"/>
      <c r="HA63" s="236"/>
      <c r="HB63" s="236"/>
      <c r="HC63" s="236"/>
      <c r="HD63" s="236"/>
    </row>
    <row r="64" ht="15.75" customHeight="1">
      <c r="A64" s="234">
        <v>64.0</v>
      </c>
      <c r="B64" s="236" t="s">
        <v>1531</v>
      </c>
      <c r="C64" s="198" t="str">
        <f t="shared" ref="C64:DC64" si="63">if(countif(DD:DD,$B64),INDIRECT(concat("B",$A64)),"")</f>
        <v/>
      </c>
      <c r="D64" s="198" t="str">
        <f t="shared" si="63"/>
        <v/>
      </c>
      <c r="E64" s="198" t="str">
        <f t="shared" si="63"/>
        <v/>
      </c>
      <c r="F64" s="198" t="str">
        <f t="shared" si="63"/>
        <v/>
      </c>
      <c r="G64" s="198" t="str">
        <f t="shared" si="63"/>
        <v/>
      </c>
      <c r="H64" s="198" t="str">
        <f t="shared" si="63"/>
        <v/>
      </c>
      <c r="I64" s="198" t="str">
        <f t="shared" si="63"/>
        <v/>
      </c>
      <c r="J64" s="198" t="str">
        <f t="shared" si="63"/>
        <v/>
      </c>
      <c r="K64" s="198" t="str">
        <f t="shared" si="63"/>
        <v/>
      </c>
      <c r="L64" s="198" t="str">
        <f t="shared" si="63"/>
        <v/>
      </c>
      <c r="M64" s="198" t="str">
        <f t="shared" si="63"/>
        <v/>
      </c>
      <c r="N64" s="198" t="str">
        <f t="shared" si="63"/>
        <v/>
      </c>
      <c r="O64" s="198" t="str">
        <f t="shared" si="63"/>
        <v/>
      </c>
      <c r="P64" s="198" t="str">
        <f t="shared" si="63"/>
        <v/>
      </c>
      <c r="Q64" s="198" t="str">
        <f t="shared" si="63"/>
        <v/>
      </c>
      <c r="R64" s="198" t="str">
        <f t="shared" si="63"/>
        <v/>
      </c>
      <c r="S64" s="198" t="str">
        <f t="shared" si="63"/>
        <v/>
      </c>
      <c r="T64" s="198" t="str">
        <f t="shared" si="63"/>
        <v/>
      </c>
      <c r="U64" s="198" t="str">
        <f t="shared" si="63"/>
        <v/>
      </c>
      <c r="V64" s="198" t="str">
        <f t="shared" si="63"/>
        <v/>
      </c>
      <c r="W64" s="198" t="str">
        <f t="shared" si="63"/>
        <v/>
      </c>
      <c r="X64" s="198" t="str">
        <f t="shared" si="63"/>
        <v/>
      </c>
      <c r="Y64" s="198" t="str">
        <f t="shared" si="63"/>
        <v/>
      </c>
      <c r="Z64" s="198" t="str">
        <f t="shared" si="63"/>
        <v/>
      </c>
      <c r="AA64" s="198" t="str">
        <f t="shared" si="63"/>
        <v/>
      </c>
      <c r="AB64" s="198" t="str">
        <f t="shared" si="63"/>
        <v/>
      </c>
      <c r="AC64" s="198" t="str">
        <f t="shared" si="63"/>
        <v/>
      </c>
      <c r="AD64" s="198" t="str">
        <f t="shared" si="63"/>
        <v/>
      </c>
      <c r="AE64" s="198" t="str">
        <f t="shared" si="63"/>
        <v/>
      </c>
      <c r="AF64" s="198" t="str">
        <f t="shared" si="63"/>
        <v/>
      </c>
      <c r="AG64" s="198" t="str">
        <f t="shared" si="63"/>
        <v/>
      </c>
      <c r="AH64" s="198" t="str">
        <f t="shared" si="63"/>
        <v/>
      </c>
      <c r="AI64" s="198" t="str">
        <f t="shared" si="63"/>
        <v/>
      </c>
      <c r="AJ64" s="198" t="str">
        <f t="shared" si="63"/>
        <v/>
      </c>
      <c r="AK64" s="198" t="str">
        <f t="shared" si="63"/>
        <v/>
      </c>
      <c r="AL64" s="198" t="str">
        <f t="shared" si="63"/>
        <v/>
      </c>
      <c r="AM64" s="198" t="str">
        <f t="shared" si="63"/>
        <v/>
      </c>
      <c r="AN64" s="198" t="str">
        <f t="shared" si="63"/>
        <v/>
      </c>
      <c r="AO64" s="198" t="str">
        <f t="shared" si="63"/>
        <v/>
      </c>
      <c r="AP64" s="198" t="str">
        <f t="shared" si="63"/>
        <v/>
      </c>
      <c r="AQ64" s="198" t="str">
        <f t="shared" si="63"/>
        <v/>
      </c>
      <c r="AR64" s="198" t="str">
        <f t="shared" si="63"/>
        <v/>
      </c>
      <c r="AS64" s="198" t="str">
        <f t="shared" si="63"/>
        <v/>
      </c>
      <c r="AT64" s="198" t="str">
        <f t="shared" si="63"/>
        <v/>
      </c>
      <c r="AU64" s="198" t="str">
        <f t="shared" si="63"/>
        <v/>
      </c>
      <c r="AV64" s="198" t="str">
        <f t="shared" si="63"/>
        <v/>
      </c>
      <c r="AW64" s="198" t="str">
        <f t="shared" si="63"/>
        <v/>
      </c>
      <c r="AX64" s="198" t="str">
        <f t="shared" si="63"/>
        <v/>
      </c>
      <c r="AY64" s="198" t="str">
        <f t="shared" si="63"/>
        <v/>
      </c>
      <c r="AZ64" s="198" t="str">
        <f t="shared" si="63"/>
        <v/>
      </c>
      <c r="BA64" s="198" t="str">
        <f t="shared" si="63"/>
        <v/>
      </c>
      <c r="BB64" s="198" t="str">
        <f t="shared" si="63"/>
        <v/>
      </c>
      <c r="BC64" s="198" t="str">
        <f t="shared" si="63"/>
        <v/>
      </c>
      <c r="BD64" s="198" t="str">
        <f t="shared" si="63"/>
        <v/>
      </c>
      <c r="BE64" s="198" t="str">
        <f t="shared" si="63"/>
        <v/>
      </c>
      <c r="BF64" s="198" t="str">
        <f t="shared" si="63"/>
        <v/>
      </c>
      <c r="BG64" s="198" t="str">
        <f t="shared" si="63"/>
        <v/>
      </c>
      <c r="BH64" s="198" t="str">
        <f t="shared" si="63"/>
        <v/>
      </c>
      <c r="BI64" s="198" t="str">
        <f t="shared" si="63"/>
        <v/>
      </c>
      <c r="BJ64" s="198" t="str">
        <f t="shared" si="63"/>
        <v/>
      </c>
      <c r="BK64" s="198" t="str">
        <f t="shared" si="63"/>
        <v/>
      </c>
      <c r="BL64" s="198" t="str">
        <f t="shared" si="63"/>
        <v/>
      </c>
      <c r="BM64" s="198" t="str">
        <f t="shared" si="63"/>
        <v/>
      </c>
      <c r="BN64" s="198" t="str">
        <f t="shared" si="63"/>
        <v/>
      </c>
      <c r="BO64" s="198" t="str">
        <f t="shared" si="63"/>
        <v/>
      </c>
      <c r="BP64" s="198" t="str">
        <f t="shared" si="63"/>
        <v/>
      </c>
      <c r="BQ64" s="198" t="str">
        <f t="shared" si="63"/>
        <v/>
      </c>
      <c r="BR64" s="198" t="str">
        <f t="shared" si="63"/>
        <v/>
      </c>
      <c r="BS64" s="198" t="str">
        <f t="shared" si="63"/>
        <v/>
      </c>
      <c r="BT64" s="198" t="str">
        <f t="shared" si="63"/>
        <v/>
      </c>
      <c r="BU64" s="198" t="str">
        <f t="shared" si="63"/>
        <v/>
      </c>
      <c r="BV64" s="198" t="str">
        <f t="shared" si="63"/>
        <v/>
      </c>
      <c r="BW64" s="198" t="str">
        <f t="shared" si="63"/>
        <v/>
      </c>
      <c r="BX64" s="198" t="str">
        <f t="shared" si="63"/>
        <v/>
      </c>
      <c r="BY64" s="198" t="str">
        <f t="shared" si="63"/>
        <v/>
      </c>
      <c r="BZ64" s="198" t="str">
        <f t="shared" si="63"/>
        <v/>
      </c>
      <c r="CA64" s="198" t="str">
        <f t="shared" si="63"/>
        <v/>
      </c>
      <c r="CB64" s="198" t="str">
        <f t="shared" si="63"/>
        <v/>
      </c>
      <c r="CC64" s="198" t="str">
        <f t="shared" si="63"/>
        <v/>
      </c>
      <c r="CD64" s="198" t="str">
        <f t="shared" si="63"/>
        <v/>
      </c>
      <c r="CE64" s="198" t="str">
        <f t="shared" si="63"/>
        <v/>
      </c>
      <c r="CF64" s="198" t="str">
        <f t="shared" si="63"/>
        <v/>
      </c>
      <c r="CG64" s="198" t="str">
        <f t="shared" si="63"/>
        <v/>
      </c>
      <c r="CH64" s="198" t="str">
        <f t="shared" si="63"/>
        <v>2.5.1.129</v>
      </c>
      <c r="CI64" s="198" t="str">
        <f t="shared" si="63"/>
        <v>2.5.1.129</v>
      </c>
      <c r="CJ64" s="198" t="str">
        <f t="shared" si="63"/>
        <v/>
      </c>
      <c r="CK64" s="198" t="str">
        <f t="shared" si="63"/>
        <v/>
      </c>
      <c r="CL64" s="198" t="str">
        <f t="shared" si="63"/>
        <v/>
      </c>
      <c r="CM64" s="198" t="str">
        <f t="shared" si="63"/>
        <v/>
      </c>
      <c r="CN64" s="198" t="str">
        <f t="shared" si="63"/>
        <v/>
      </c>
      <c r="CO64" s="198" t="str">
        <f t="shared" si="63"/>
        <v/>
      </c>
      <c r="CP64" s="198" t="str">
        <f t="shared" si="63"/>
        <v/>
      </c>
      <c r="CQ64" s="198" t="str">
        <f t="shared" si="63"/>
        <v/>
      </c>
      <c r="CR64" s="198" t="str">
        <f t="shared" si="63"/>
        <v/>
      </c>
      <c r="CS64" s="198" t="str">
        <f t="shared" si="63"/>
        <v/>
      </c>
      <c r="CT64" s="198" t="str">
        <f t="shared" si="63"/>
        <v/>
      </c>
      <c r="CU64" s="198" t="str">
        <f t="shared" si="63"/>
        <v/>
      </c>
      <c r="CV64" s="198" t="str">
        <f t="shared" si="63"/>
        <v/>
      </c>
      <c r="CW64" s="198" t="str">
        <f t="shared" si="63"/>
        <v/>
      </c>
      <c r="CX64" s="198" t="str">
        <f t="shared" si="63"/>
        <v/>
      </c>
      <c r="CY64" s="198" t="str">
        <f t="shared" si="63"/>
        <v/>
      </c>
      <c r="CZ64" s="198" t="str">
        <f t="shared" si="63"/>
        <v/>
      </c>
      <c r="DA64" s="198" t="str">
        <f t="shared" si="63"/>
        <v/>
      </c>
      <c r="DB64" s="198" t="str">
        <f t="shared" si="63"/>
        <v/>
      </c>
      <c r="DC64" s="198" t="str">
        <f t="shared" si="63"/>
        <v/>
      </c>
      <c r="DD64" s="236"/>
      <c r="DE64" s="236"/>
      <c r="DF64" s="236"/>
      <c r="DG64" s="236"/>
      <c r="DH64" s="236"/>
      <c r="DI64" s="236"/>
      <c r="DJ64" s="236"/>
      <c r="DK64" s="236"/>
      <c r="DL64" s="236"/>
      <c r="DM64" s="236"/>
      <c r="DN64" s="236"/>
      <c r="DO64" s="236"/>
      <c r="DP64" s="236"/>
      <c r="DQ64" s="236"/>
      <c r="DR64" s="236"/>
      <c r="DS64" s="236"/>
      <c r="DT64" s="236"/>
      <c r="DU64" s="236"/>
      <c r="DV64" s="236"/>
      <c r="DW64" s="236"/>
      <c r="DX64" s="236"/>
      <c r="DY64" s="236"/>
      <c r="DZ64" s="236"/>
      <c r="EA64" s="236"/>
      <c r="EB64" s="236"/>
      <c r="EC64" s="236"/>
      <c r="ED64" s="236"/>
      <c r="EE64" s="236"/>
      <c r="EF64" s="236"/>
      <c r="EG64" s="236"/>
      <c r="EH64" s="236"/>
      <c r="EI64" s="236"/>
      <c r="EJ64" s="236"/>
      <c r="EK64" s="236"/>
      <c r="EL64" s="236"/>
      <c r="EM64" s="236"/>
      <c r="EN64" s="236"/>
      <c r="EO64" s="236"/>
      <c r="EP64" s="236"/>
      <c r="EQ64" s="236"/>
      <c r="ER64" s="236"/>
      <c r="ES64" s="236"/>
      <c r="ET64" s="236"/>
      <c r="EU64" s="236"/>
      <c r="EV64" s="236"/>
      <c r="EW64" s="236"/>
      <c r="EX64" s="236"/>
      <c r="EY64" s="236"/>
      <c r="EZ64" s="236"/>
      <c r="FA64" s="236"/>
      <c r="FB64" s="236"/>
      <c r="FC64" s="236"/>
      <c r="FD64" s="236"/>
      <c r="FE64" s="236"/>
      <c r="FF64" s="236"/>
      <c r="FG64" s="236"/>
      <c r="FH64" s="236"/>
      <c r="FI64" s="236"/>
      <c r="FJ64" s="236"/>
      <c r="FK64" s="236"/>
      <c r="FL64" s="236"/>
      <c r="FM64" s="236"/>
      <c r="FN64" s="236"/>
      <c r="FO64" s="236"/>
      <c r="FP64" s="236"/>
      <c r="FQ64" s="236"/>
      <c r="FR64" s="236"/>
      <c r="FS64" s="236"/>
      <c r="FT64" s="236"/>
      <c r="FU64" s="236"/>
      <c r="FV64" s="236"/>
      <c r="FW64" s="236"/>
      <c r="FX64" s="236"/>
      <c r="FY64" s="236"/>
      <c r="FZ64" s="236"/>
      <c r="GA64" s="236"/>
      <c r="GB64" s="236"/>
      <c r="GC64" s="236"/>
      <c r="GD64" s="236"/>
      <c r="GE64" s="236"/>
      <c r="GF64" s="236"/>
      <c r="GG64" s="236"/>
      <c r="GH64" s="236"/>
      <c r="GI64" s="236"/>
      <c r="GJ64" s="236"/>
      <c r="GK64" s="236"/>
      <c r="GL64" s="236"/>
      <c r="GM64" s="236"/>
      <c r="GN64" s="236"/>
      <c r="GO64" s="236"/>
      <c r="GP64" s="236"/>
      <c r="GQ64" s="236"/>
      <c r="GR64" s="236"/>
      <c r="GS64" s="236"/>
      <c r="GT64" s="236"/>
      <c r="GU64" s="236"/>
      <c r="GV64" s="236"/>
      <c r="GW64" s="236"/>
      <c r="GX64" s="236"/>
      <c r="GY64" s="236"/>
      <c r="GZ64" s="236"/>
      <c r="HA64" s="236"/>
      <c r="HB64" s="236"/>
      <c r="HC64" s="236"/>
      <c r="HD64" s="236"/>
    </row>
    <row r="65" ht="15.75" customHeight="1">
      <c r="A65" s="234">
        <v>65.0</v>
      </c>
      <c r="B65" s="236" t="s">
        <v>1477</v>
      </c>
      <c r="C65" s="198" t="str">
        <f t="shared" ref="C65:DC65" si="64">if(countif(DD:DD,$B65),INDIRECT(concat("B",$A65)),"")</f>
        <v>3.1.1.-</v>
      </c>
      <c r="D65" s="198" t="str">
        <f t="shared" si="64"/>
        <v>3.1.1.-</v>
      </c>
      <c r="E65" s="198" t="str">
        <f t="shared" si="64"/>
        <v>3.1.1.-</v>
      </c>
      <c r="F65" s="198" t="str">
        <f t="shared" si="64"/>
        <v>3.1.1.-</v>
      </c>
      <c r="G65" s="198" t="str">
        <f t="shared" si="64"/>
        <v>3.1.1.-</v>
      </c>
      <c r="H65" s="198" t="str">
        <f t="shared" si="64"/>
        <v>3.1.1.-</v>
      </c>
      <c r="I65" s="198" t="str">
        <f t="shared" si="64"/>
        <v>3.1.1.-</v>
      </c>
      <c r="J65" s="198" t="str">
        <f t="shared" si="64"/>
        <v/>
      </c>
      <c r="K65" s="198" t="str">
        <f t="shared" si="64"/>
        <v>3.1.1.-</v>
      </c>
      <c r="L65" s="198" t="str">
        <f t="shared" si="64"/>
        <v>3.1.1.-</v>
      </c>
      <c r="M65" s="198" t="str">
        <f t="shared" si="64"/>
        <v>3.1.1.-</v>
      </c>
      <c r="N65" s="198" t="str">
        <f t="shared" si="64"/>
        <v>3.1.1.-</v>
      </c>
      <c r="O65" s="198" t="str">
        <f t="shared" si="64"/>
        <v>3.1.1.-</v>
      </c>
      <c r="P65" s="198" t="str">
        <f t="shared" si="64"/>
        <v>3.1.1.-</v>
      </c>
      <c r="Q65" s="198" t="str">
        <f t="shared" si="64"/>
        <v>3.1.1.-</v>
      </c>
      <c r="R65" s="198" t="str">
        <f t="shared" si="64"/>
        <v>3.1.1.-</v>
      </c>
      <c r="S65" s="198" t="str">
        <f t="shared" si="64"/>
        <v>3.1.1.-</v>
      </c>
      <c r="T65" s="198" t="str">
        <f t="shared" si="64"/>
        <v>3.1.1.-</v>
      </c>
      <c r="U65" s="198" t="str">
        <f t="shared" si="64"/>
        <v>3.1.1.-</v>
      </c>
      <c r="V65" s="198" t="str">
        <f t="shared" si="64"/>
        <v>3.1.1.-</v>
      </c>
      <c r="W65" s="198" t="str">
        <f t="shared" si="64"/>
        <v/>
      </c>
      <c r="X65" s="198" t="str">
        <f t="shared" si="64"/>
        <v>3.1.1.-</v>
      </c>
      <c r="Y65" s="198" t="str">
        <f t="shared" si="64"/>
        <v>3.1.1.-</v>
      </c>
      <c r="Z65" s="198" t="str">
        <f t="shared" si="64"/>
        <v>3.1.1.-</v>
      </c>
      <c r="AA65" s="198" t="str">
        <f t="shared" si="64"/>
        <v>3.1.1.-</v>
      </c>
      <c r="AB65" s="198" t="str">
        <f t="shared" si="64"/>
        <v>3.1.1.-</v>
      </c>
      <c r="AC65" s="198" t="str">
        <f t="shared" si="64"/>
        <v>3.1.1.-</v>
      </c>
      <c r="AD65" s="198" t="str">
        <f t="shared" si="64"/>
        <v>3.1.1.-</v>
      </c>
      <c r="AE65" s="198" t="str">
        <f t="shared" si="64"/>
        <v>3.1.1.-</v>
      </c>
      <c r="AF65" s="198" t="str">
        <f t="shared" si="64"/>
        <v>3.1.1.-</v>
      </c>
      <c r="AG65" s="198" t="str">
        <f t="shared" si="64"/>
        <v>3.1.1.-</v>
      </c>
      <c r="AH65" s="198" t="str">
        <f t="shared" si="64"/>
        <v>3.1.1.-</v>
      </c>
      <c r="AI65" s="198" t="str">
        <f t="shared" si="64"/>
        <v>3.1.1.-</v>
      </c>
      <c r="AJ65" s="198" t="str">
        <f t="shared" si="64"/>
        <v>3.1.1.-</v>
      </c>
      <c r="AK65" s="198" t="str">
        <f t="shared" si="64"/>
        <v>3.1.1.-</v>
      </c>
      <c r="AL65" s="198" t="str">
        <f t="shared" si="64"/>
        <v>3.1.1.-</v>
      </c>
      <c r="AM65" s="198" t="str">
        <f t="shared" si="64"/>
        <v>3.1.1.-</v>
      </c>
      <c r="AN65" s="198" t="str">
        <f t="shared" si="64"/>
        <v>3.1.1.-</v>
      </c>
      <c r="AO65" s="198" t="str">
        <f t="shared" si="64"/>
        <v>3.1.1.-</v>
      </c>
      <c r="AP65" s="198" t="str">
        <f t="shared" si="64"/>
        <v>3.1.1.-</v>
      </c>
      <c r="AQ65" s="198" t="str">
        <f t="shared" si="64"/>
        <v>3.1.1.-</v>
      </c>
      <c r="AR65" s="198" t="str">
        <f t="shared" si="64"/>
        <v/>
      </c>
      <c r="AS65" s="198" t="str">
        <f t="shared" si="64"/>
        <v>3.1.1.-</v>
      </c>
      <c r="AT65" s="198" t="str">
        <f t="shared" si="64"/>
        <v>3.1.1.-</v>
      </c>
      <c r="AU65" s="198" t="str">
        <f t="shared" si="64"/>
        <v>3.1.1.-</v>
      </c>
      <c r="AV65" s="198" t="str">
        <f t="shared" si="64"/>
        <v>3.1.1.-</v>
      </c>
      <c r="AW65" s="198" t="str">
        <f t="shared" si="64"/>
        <v>3.1.1.-</v>
      </c>
      <c r="AX65" s="198" t="str">
        <f t="shared" si="64"/>
        <v>3.1.1.-</v>
      </c>
      <c r="AY65" s="198" t="str">
        <f t="shared" si="64"/>
        <v>3.1.1.-</v>
      </c>
      <c r="AZ65" s="198" t="str">
        <f t="shared" si="64"/>
        <v>3.1.1.-</v>
      </c>
      <c r="BA65" s="198" t="str">
        <f t="shared" si="64"/>
        <v>3.1.1.-</v>
      </c>
      <c r="BB65" s="198" t="str">
        <f t="shared" si="64"/>
        <v>3.1.1.-</v>
      </c>
      <c r="BC65" s="198" t="str">
        <f t="shared" si="64"/>
        <v>3.1.1.-</v>
      </c>
      <c r="BD65" s="198" t="str">
        <f t="shared" si="64"/>
        <v>3.1.1.-</v>
      </c>
      <c r="BE65" s="198" t="str">
        <f t="shared" si="64"/>
        <v>3.1.1.-</v>
      </c>
      <c r="BF65" s="198" t="str">
        <f t="shared" si="64"/>
        <v>3.1.1.-</v>
      </c>
      <c r="BG65" s="198" t="str">
        <f t="shared" si="64"/>
        <v/>
      </c>
      <c r="BH65" s="198" t="str">
        <f t="shared" si="64"/>
        <v/>
      </c>
      <c r="BI65" s="198" t="str">
        <f t="shared" si="64"/>
        <v>3.1.1.-</v>
      </c>
      <c r="BJ65" s="198" t="str">
        <f t="shared" si="64"/>
        <v>3.1.1.-</v>
      </c>
      <c r="BK65" s="198" t="str">
        <f t="shared" si="64"/>
        <v>3.1.1.-</v>
      </c>
      <c r="BL65" s="198" t="str">
        <f t="shared" si="64"/>
        <v>3.1.1.-</v>
      </c>
      <c r="BM65" s="198" t="str">
        <f t="shared" si="64"/>
        <v>3.1.1.-</v>
      </c>
      <c r="BN65" s="198" t="str">
        <f t="shared" si="64"/>
        <v>3.1.1.-</v>
      </c>
      <c r="BO65" s="198" t="str">
        <f t="shared" si="64"/>
        <v>3.1.1.-</v>
      </c>
      <c r="BP65" s="198" t="str">
        <f t="shared" si="64"/>
        <v>3.1.1.-</v>
      </c>
      <c r="BQ65" s="198" t="str">
        <f t="shared" si="64"/>
        <v>3.1.1.-</v>
      </c>
      <c r="BR65" s="198" t="str">
        <f t="shared" si="64"/>
        <v>3.1.1.-</v>
      </c>
      <c r="BS65" s="198" t="str">
        <f t="shared" si="64"/>
        <v>3.1.1.-</v>
      </c>
      <c r="BT65" s="198" t="str">
        <f t="shared" si="64"/>
        <v>3.1.1.-</v>
      </c>
      <c r="BU65" s="198" t="str">
        <f t="shared" si="64"/>
        <v/>
      </c>
      <c r="BV65" s="198" t="str">
        <f t="shared" si="64"/>
        <v/>
      </c>
      <c r="BW65" s="198" t="str">
        <f t="shared" si="64"/>
        <v>3.1.1.-</v>
      </c>
      <c r="BX65" s="198" t="str">
        <f t="shared" si="64"/>
        <v>3.1.1.-</v>
      </c>
      <c r="BY65" s="198" t="str">
        <f t="shared" si="64"/>
        <v>3.1.1.-</v>
      </c>
      <c r="BZ65" s="198" t="str">
        <f t="shared" si="64"/>
        <v>3.1.1.-</v>
      </c>
      <c r="CA65" s="198" t="str">
        <f t="shared" si="64"/>
        <v>3.1.1.-</v>
      </c>
      <c r="CB65" s="198" t="str">
        <f t="shared" si="64"/>
        <v>3.1.1.-</v>
      </c>
      <c r="CC65" s="198" t="str">
        <f t="shared" si="64"/>
        <v>3.1.1.-</v>
      </c>
      <c r="CD65" s="198" t="str">
        <f t="shared" si="64"/>
        <v>3.1.1.-</v>
      </c>
      <c r="CE65" s="198" t="str">
        <f t="shared" si="64"/>
        <v>3.1.1.-</v>
      </c>
      <c r="CF65" s="198" t="str">
        <f t="shared" si="64"/>
        <v>3.1.1.-</v>
      </c>
      <c r="CG65" s="198" t="str">
        <f t="shared" si="64"/>
        <v>3.1.1.-</v>
      </c>
      <c r="CH65" s="198" t="str">
        <f t="shared" si="64"/>
        <v>3.1.1.-</v>
      </c>
      <c r="CI65" s="198" t="str">
        <f t="shared" si="64"/>
        <v>3.1.1.-</v>
      </c>
      <c r="CJ65" s="198" t="str">
        <f t="shared" si="64"/>
        <v>3.1.1.-</v>
      </c>
      <c r="CK65" s="198" t="str">
        <f t="shared" si="64"/>
        <v>3.1.1.-</v>
      </c>
      <c r="CL65" s="198" t="str">
        <f t="shared" si="64"/>
        <v>3.1.1.-</v>
      </c>
      <c r="CM65" s="198" t="str">
        <f t="shared" si="64"/>
        <v>3.1.1.-</v>
      </c>
      <c r="CN65" s="198" t="str">
        <f t="shared" si="64"/>
        <v>3.1.1.-</v>
      </c>
      <c r="CO65" s="198" t="str">
        <f t="shared" si="64"/>
        <v>3.1.1.-</v>
      </c>
      <c r="CP65" s="198" t="str">
        <f t="shared" si="64"/>
        <v>3.1.1.-</v>
      </c>
      <c r="CQ65" s="198" t="str">
        <f t="shared" si="64"/>
        <v>3.1.1.-</v>
      </c>
      <c r="CR65" s="198" t="str">
        <f t="shared" si="64"/>
        <v>3.1.1.-</v>
      </c>
      <c r="CS65" s="198" t="str">
        <f t="shared" si="64"/>
        <v>3.1.1.-</v>
      </c>
      <c r="CT65" s="198" t="str">
        <f t="shared" si="64"/>
        <v>3.1.1.-</v>
      </c>
      <c r="CU65" s="198" t="str">
        <f t="shared" si="64"/>
        <v>3.1.1.-</v>
      </c>
      <c r="CV65" s="198" t="str">
        <f t="shared" si="64"/>
        <v>3.1.1.-</v>
      </c>
      <c r="CW65" s="198" t="str">
        <f t="shared" si="64"/>
        <v/>
      </c>
      <c r="CX65" s="198" t="str">
        <f t="shared" si="64"/>
        <v>3.1.1.-</v>
      </c>
      <c r="CY65" s="198" t="str">
        <f t="shared" si="64"/>
        <v>3.1.1.-</v>
      </c>
      <c r="CZ65" s="198" t="str">
        <f t="shared" si="64"/>
        <v>3.1.1.-</v>
      </c>
      <c r="DA65" s="198" t="str">
        <f t="shared" si="64"/>
        <v>3.1.1.-</v>
      </c>
      <c r="DB65" s="198" t="str">
        <f t="shared" si="64"/>
        <v>3.1.1.-</v>
      </c>
      <c r="DC65" s="198" t="str">
        <f t="shared" si="64"/>
        <v>3.1.1.-</v>
      </c>
      <c r="DD65" s="236"/>
      <c r="DE65" s="236"/>
      <c r="DF65" s="236"/>
      <c r="DG65" s="236"/>
      <c r="DH65" s="236"/>
      <c r="DI65" s="236"/>
      <c r="DJ65" s="236"/>
      <c r="DK65" s="236"/>
      <c r="DL65" s="236"/>
      <c r="DM65" s="236"/>
      <c r="DN65" s="236"/>
      <c r="DO65" s="236"/>
      <c r="DP65" s="236"/>
      <c r="DQ65" s="236"/>
      <c r="DR65" s="236"/>
      <c r="DS65" s="236"/>
      <c r="DT65" s="236"/>
      <c r="DU65" s="236"/>
      <c r="DV65" s="236"/>
      <c r="DW65" s="236"/>
      <c r="DX65" s="236"/>
      <c r="DY65" s="236"/>
      <c r="DZ65" s="236"/>
      <c r="EA65" s="236"/>
      <c r="EB65" s="236"/>
      <c r="EC65" s="236"/>
      <c r="ED65" s="236"/>
      <c r="EE65" s="236"/>
      <c r="EF65" s="236"/>
      <c r="EG65" s="236"/>
      <c r="EH65" s="236"/>
      <c r="EI65" s="236"/>
      <c r="EJ65" s="236"/>
      <c r="EK65" s="236"/>
      <c r="EL65" s="236"/>
      <c r="EM65" s="236"/>
      <c r="EN65" s="236"/>
      <c r="EO65" s="236"/>
      <c r="EP65" s="236"/>
      <c r="EQ65" s="236"/>
      <c r="ER65" s="236"/>
      <c r="ES65" s="236"/>
      <c r="ET65" s="236"/>
      <c r="EU65" s="236"/>
      <c r="EV65" s="236"/>
      <c r="EW65" s="236"/>
      <c r="EX65" s="236"/>
      <c r="EY65" s="236"/>
      <c r="EZ65" s="236"/>
      <c r="FA65" s="236"/>
      <c r="FB65" s="236"/>
      <c r="FC65" s="236"/>
      <c r="FD65" s="236"/>
      <c r="FE65" s="236"/>
      <c r="FF65" s="236"/>
      <c r="FG65" s="236"/>
      <c r="FH65" s="236"/>
      <c r="FI65" s="236"/>
      <c r="FJ65" s="236"/>
      <c r="FK65" s="236"/>
      <c r="FL65" s="236"/>
      <c r="FM65" s="236"/>
      <c r="FN65" s="236"/>
      <c r="FO65" s="236"/>
      <c r="FP65" s="236"/>
      <c r="FQ65" s="236"/>
      <c r="FR65" s="236"/>
      <c r="FS65" s="236"/>
      <c r="FT65" s="236"/>
      <c r="FU65" s="236"/>
      <c r="FV65" s="236"/>
      <c r="FW65" s="236"/>
      <c r="FX65" s="236"/>
      <c r="FY65" s="236"/>
      <c r="FZ65" s="236"/>
      <c r="GA65" s="236"/>
      <c r="GB65" s="236"/>
      <c r="GC65" s="236"/>
      <c r="GD65" s="236"/>
      <c r="GE65" s="236"/>
      <c r="GF65" s="236"/>
      <c r="GG65" s="236"/>
      <c r="GH65" s="236"/>
      <c r="GI65" s="236"/>
      <c r="GJ65" s="236"/>
      <c r="GK65" s="236"/>
      <c r="GL65" s="236"/>
      <c r="GM65" s="236"/>
      <c r="GN65" s="236"/>
      <c r="GO65" s="236"/>
      <c r="GP65" s="236"/>
      <c r="GQ65" s="236"/>
      <c r="GR65" s="236"/>
      <c r="GS65" s="236"/>
      <c r="GT65" s="236"/>
      <c r="GU65" s="236"/>
      <c r="GV65" s="236"/>
      <c r="GW65" s="236"/>
      <c r="GX65" s="236"/>
      <c r="GY65" s="236"/>
      <c r="GZ65" s="236"/>
      <c r="HA65" s="236"/>
      <c r="HB65" s="236"/>
      <c r="HC65" s="236"/>
      <c r="HD65" s="236"/>
    </row>
    <row r="66" ht="15.75" customHeight="1">
      <c r="A66" s="234">
        <v>66.0</v>
      </c>
      <c r="B66" s="236" t="s">
        <v>1532</v>
      </c>
      <c r="C66" s="198" t="str">
        <f t="shared" ref="C66:DC66" si="65">if(countif(DD:DD,$B66),INDIRECT(concat("B",$A66)),"")</f>
        <v/>
      </c>
      <c r="D66" s="198" t="str">
        <f t="shared" si="65"/>
        <v/>
      </c>
      <c r="E66" s="198" t="str">
        <f t="shared" si="65"/>
        <v/>
      </c>
      <c r="F66" s="198" t="str">
        <f t="shared" si="65"/>
        <v/>
      </c>
      <c r="G66" s="198" t="str">
        <f t="shared" si="65"/>
        <v/>
      </c>
      <c r="H66" s="198" t="str">
        <f t="shared" si="65"/>
        <v/>
      </c>
      <c r="I66" s="198" t="str">
        <f t="shared" si="65"/>
        <v/>
      </c>
      <c r="J66" s="198" t="str">
        <f t="shared" si="65"/>
        <v/>
      </c>
      <c r="K66" s="198" t="str">
        <f t="shared" si="65"/>
        <v/>
      </c>
      <c r="L66" s="198" t="str">
        <f t="shared" si="65"/>
        <v/>
      </c>
      <c r="M66" s="198" t="str">
        <f t="shared" si="65"/>
        <v/>
      </c>
      <c r="N66" s="198" t="str">
        <f t="shared" si="65"/>
        <v/>
      </c>
      <c r="O66" s="198" t="str">
        <f t="shared" si="65"/>
        <v/>
      </c>
      <c r="P66" s="198" t="str">
        <f t="shared" si="65"/>
        <v/>
      </c>
      <c r="Q66" s="198" t="str">
        <f t="shared" si="65"/>
        <v/>
      </c>
      <c r="R66" s="198" t="str">
        <f t="shared" si="65"/>
        <v/>
      </c>
      <c r="S66" s="198" t="str">
        <f t="shared" si="65"/>
        <v/>
      </c>
      <c r="T66" s="198" t="str">
        <f t="shared" si="65"/>
        <v/>
      </c>
      <c r="U66" s="198" t="str">
        <f t="shared" si="65"/>
        <v/>
      </c>
      <c r="V66" s="198" t="str">
        <f t="shared" si="65"/>
        <v/>
      </c>
      <c r="W66" s="198" t="str">
        <f t="shared" si="65"/>
        <v/>
      </c>
      <c r="X66" s="198" t="str">
        <f t="shared" si="65"/>
        <v/>
      </c>
      <c r="Y66" s="198" t="str">
        <f t="shared" si="65"/>
        <v/>
      </c>
      <c r="Z66" s="198" t="str">
        <f t="shared" si="65"/>
        <v/>
      </c>
      <c r="AA66" s="198" t="str">
        <f t="shared" si="65"/>
        <v/>
      </c>
      <c r="AB66" s="198" t="str">
        <f t="shared" si="65"/>
        <v/>
      </c>
      <c r="AC66" s="198" t="str">
        <f t="shared" si="65"/>
        <v/>
      </c>
      <c r="AD66" s="198" t="str">
        <f t="shared" si="65"/>
        <v/>
      </c>
      <c r="AE66" s="198" t="str">
        <f t="shared" si="65"/>
        <v/>
      </c>
      <c r="AF66" s="198" t="str">
        <f t="shared" si="65"/>
        <v/>
      </c>
      <c r="AG66" s="198" t="str">
        <f t="shared" si="65"/>
        <v/>
      </c>
      <c r="AH66" s="198" t="str">
        <f t="shared" si="65"/>
        <v/>
      </c>
      <c r="AI66" s="198" t="str">
        <f t="shared" si="65"/>
        <v/>
      </c>
      <c r="AJ66" s="198" t="str">
        <f t="shared" si="65"/>
        <v/>
      </c>
      <c r="AK66" s="198" t="str">
        <f t="shared" si="65"/>
        <v/>
      </c>
      <c r="AL66" s="198" t="str">
        <f t="shared" si="65"/>
        <v/>
      </c>
      <c r="AM66" s="198" t="str">
        <f t="shared" si="65"/>
        <v/>
      </c>
      <c r="AN66" s="198" t="str">
        <f t="shared" si="65"/>
        <v/>
      </c>
      <c r="AO66" s="198" t="str">
        <f t="shared" si="65"/>
        <v/>
      </c>
      <c r="AP66" s="198" t="str">
        <f t="shared" si="65"/>
        <v/>
      </c>
      <c r="AQ66" s="198" t="str">
        <f t="shared" si="65"/>
        <v/>
      </c>
      <c r="AR66" s="198" t="str">
        <f t="shared" si="65"/>
        <v/>
      </c>
      <c r="AS66" s="198" t="str">
        <f t="shared" si="65"/>
        <v/>
      </c>
      <c r="AT66" s="198" t="str">
        <f t="shared" si="65"/>
        <v/>
      </c>
      <c r="AU66" s="198" t="str">
        <f t="shared" si="65"/>
        <v/>
      </c>
      <c r="AV66" s="198" t="str">
        <f t="shared" si="65"/>
        <v/>
      </c>
      <c r="AW66" s="198" t="str">
        <f t="shared" si="65"/>
        <v/>
      </c>
      <c r="AX66" s="198" t="str">
        <f t="shared" si="65"/>
        <v/>
      </c>
      <c r="AY66" s="198" t="str">
        <f t="shared" si="65"/>
        <v/>
      </c>
      <c r="AZ66" s="198" t="str">
        <f t="shared" si="65"/>
        <v/>
      </c>
      <c r="BA66" s="198" t="str">
        <f t="shared" si="65"/>
        <v/>
      </c>
      <c r="BB66" s="198" t="str">
        <f t="shared" si="65"/>
        <v/>
      </c>
      <c r="BC66" s="198" t="str">
        <f t="shared" si="65"/>
        <v/>
      </c>
      <c r="BD66" s="198" t="str">
        <f t="shared" si="65"/>
        <v/>
      </c>
      <c r="BE66" s="198" t="str">
        <f t="shared" si="65"/>
        <v/>
      </c>
      <c r="BF66" s="198" t="str">
        <f t="shared" si="65"/>
        <v/>
      </c>
      <c r="BG66" s="198" t="str">
        <f t="shared" si="65"/>
        <v/>
      </c>
      <c r="BH66" s="198" t="str">
        <f t="shared" si="65"/>
        <v/>
      </c>
      <c r="BI66" s="198" t="str">
        <f t="shared" si="65"/>
        <v/>
      </c>
      <c r="BJ66" s="198" t="str">
        <f t="shared" si="65"/>
        <v/>
      </c>
      <c r="BK66" s="198" t="str">
        <f t="shared" si="65"/>
        <v/>
      </c>
      <c r="BL66" s="198" t="str">
        <f t="shared" si="65"/>
        <v/>
      </c>
      <c r="BM66" s="198" t="str">
        <f t="shared" si="65"/>
        <v/>
      </c>
      <c r="BN66" s="198" t="str">
        <f t="shared" si="65"/>
        <v/>
      </c>
      <c r="BO66" s="198" t="str">
        <f t="shared" si="65"/>
        <v/>
      </c>
      <c r="BP66" s="198" t="str">
        <f t="shared" si="65"/>
        <v/>
      </c>
      <c r="BQ66" s="198" t="str">
        <f t="shared" si="65"/>
        <v/>
      </c>
      <c r="BR66" s="198" t="str">
        <f t="shared" si="65"/>
        <v/>
      </c>
      <c r="BS66" s="198" t="str">
        <f t="shared" si="65"/>
        <v>3.2.1.117</v>
      </c>
      <c r="BT66" s="198" t="str">
        <f t="shared" si="65"/>
        <v/>
      </c>
      <c r="BU66" s="198" t="str">
        <f t="shared" si="65"/>
        <v/>
      </c>
      <c r="BV66" s="198" t="str">
        <f t="shared" si="65"/>
        <v/>
      </c>
      <c r="BW66" s="198" t="str">
        <f t="shared" si="65"/>
        <v/>
      </c>
      <c r="BX66" s="198" t="str">
        <f t="shared" si="65"/>
        <v/>
      </c>
      <c r="BY66" s="198" t="str">
        <f t="shared" si="65"/>
        <v/>
      </c>
      <c r="BZ66" s="198" t="str">
        <f t="shared" si="65"/>
        <v/>
      </c>
      <c r="CA66" s="198" t="str">
        <f t="shared" si="65"/>
        <v/>
      </c>
      <c r="CB66" s="198" t="str">
        <f t="shared" si="65"/>
        <v/>
      </c>
      <c r="CC66" s="198" t="str">
        <f t="shared" si="65"/>
        <v/>
      </c>
      <c r="CD66" s="198" t="str">
        <f t="shared" si="65"/>
        <v/>
      </c>
      <c r="CE66" s="198" t="str">
        <f t="shared" si="65"/>
        <v/>
      </c>
      <c r="CF66" s="198" t="str">
        <f t="shared" si="65"/>
        <v/>
      </c>
      <c r="CG66" s="198" t="str">
        <f t="shared" si="65"/>
        <v/>
      </c>
      <c r="CH66" s="198" t="str">
        <f t="shared" si="65"/>
        <v/>
      </c>
      <c r="CI66" s="198" t="str">
        <f t="shared" si="65"/>
        <v/>
      </c>
      <c r="CJ66" s="198" t="str">
        <f t="shared" si="65"/>
        <v/>
      </c>
      <c r="CK66" s="198" t="str">
        <f t="shared" si="65"/>
        <v/>
      </c>
      <c r="CL66" s="198" t="str">
        <f t="shared" si="65"/>
        <v/>
      </c>
      <c r="CM66" s="198" t="str">
        <f t="shared" si="65"/>
        <v/>
      </c>
      <c r="CN66" s="198" t="str">
        <f t="shared" si="65"/>
        <v/>
      </c>
      <c r="CO66" s="198" t="str">
        <f t="shared" si="65"/>
        <v/>
      </c>
      <c r="CP66" s="198" t="str">
        <f t="shared" si="65"/>
        <v/>
      </c>
      <c r="CQ66" s="198" t="str">
        <f t="shared" si="65"/>
        <v/>
      </c>
      <c r="CR66" s="198" t="str">
        <f t="shared" si="65"/>
        <v/>
      </c>
      <c r="CS66" s="198" t="str">
        <f t="shared" si="65"/>
        <v/>
      </c>
      <c r="CT66" s="198" t="str">
        <f t="shared" si="65"/>
        <v/>
      </c>
      <c r="CU66" s="198" t="str">
        <f t="shared" si="65"/>
        <v/>
      </c>
      <c r="CV66" s="198" t="str">
        <f t="shared" si="65"/>
        <v/>
      </c>
      <c r="CW66" s="198" t="str">
        <f t="shared" si="65"/>
        <v/>
      </c>
      <c r="CX66" s="198" t="str">
        <f t="shared" si="65"/>
        <v/>
      </c>
      <c r="CY66" s="198" t="str">
        <f t="shared" si="65"/>
        <v/>
      </c>
      <c r="CZ66" s="198" t="str">
        <f t="shared" si="65"/>
        <v/>
      </c>
      <c r="DA66" s="198" t="str">
        <f t="shared" si="65"/>
        <v/>
      </c>
      <c r="DB66" s="198" t="str">
        <f t="shared" si="65"/>
        <v/>
      </c>
      <c r="DC66" s="198" t="str">
        <f t="shared" si="65"/>
        <v/>
      </c>
      <c r="DD66" s="236"/>
      <c r="DE66" s="236"/>
      <c r="DF66" s="236"/>
      <c r="DG66" s="236"/>
      <c r="DH66" s="236"/>
      <c r="DI66" s="236"/>
      <c r="DJ66" s="236"/>
      <c r="DK66" s="236"/>
      <c r="DL66" s="236"/>
      <c r="DM66" s="236"/>
      <c r="DN66" s="236"/>
      <c r="DO66" s="236"/>
      <c r="DP66" s="236"/>
      <c r="DQ66" s="236"/>
      <c r="DR66" s="236"/>
      <c r="DS66" s="236"/>
      <c r="DT66" s="236"/>
      <c r="DU66" s="236"/>
      <c r="DV66" s="236"/>
      <c r="DW66" s="236"/>
      <c r="DX66" s="236"/>
      <c r="DY66" s="236"/>
      <c r="DZ66" s="236"/>
      <c r="EA66" s="236"/>
      <c r="EB66" s="236"/>
      <c r="EC66" s="236"/>
      <c r="ED66" s="236"/>
      <c r="EE66" s="236"/>
      <c r="EF66" s="236"/>
      <c r="EG66" s="236"/>
      <c r="EH66" s="236"/>
      <c r="EI66" s="236"/>
      <c r="EJ66" s="236"/>
      <c r="EK66" s="236"/>
      <c r="EL66" s="236"/>
      <c r="EM66" s="236"/>
      <c r="EN66" s="236"/>
      <c r="EO66" s="236"/>
      <c r="EP66" s="236"/>
      <c r="EQ66" s="236"/>
      <c r="ER66" s="236"/>
      <c r="ES66" s="236"/>
      <c r="ET66" s="236"/>
      <c r="EU66" s="236"/>
      <c r="EV66" s="236"/>
      <c r="EW66" s="236"/>
      <c r="EX66" s="236"/>
      <c r="EY66" s="236"/>
      <c r="EZ66" s="236"/>
      <c r="FA66" s="236"/>
      <c r="FB66" s="236"/>
      <c r="FC66" s="236"/>
      <c r="FD66" s="236"/>
      <c r="FE66" s="236"/>
      <c r="FF66" s="236"/>
      <c r="FG66" s="236"/>
      <c r="FH66" s="236"/>
      <c r="FI66" s="236"/>
      <c r="FJ66" s="236"/>
      <c r="FK66" s="236"/>
      <c r="FL66" s="236"/>
      <c r="FM66" s="236"/>
      <c r="FN66" s="236"/>
      <c r="FO66" s="236"/>
      <c r="FP66" s="236"/>
      <c r="FQ66" s="236"/>
      <c r="FR66" s="236"/>
      <c r="FS66" s="236"/>
      <c r="FT66" s="236"/>
      <c r="FU66" s="236"/>
      <c r="FV66" s="236"/>
      <c r="FW66" s="236"/>
      <c r="FX66" s="236"/>
      <c r="FY66" s="236"/>
      <c r="FZ66" s="236"/>
      <c r="GA66" s="236"/>
      <c r="GB66" s="236"/>
      <c r="GC66" s="236"/>
      <c r="GD66" s="236"/>
      <c r="GE66" s="236"/>
      <c r="GF66" s="236"/>
      <c r="GG66" s="236"/>
      <c r="GH66" s="236"/>
      <c r="GI66" s="236"/>
      <c r="GJ66" s="236"/>
      <c r="GK66" s="236"/>
      <c r="GL66" s="236"/>
      <c r="GM66" s="236"/>
      <c r="GN66" s="236"/>
      <c r="GO66" s="236"/>
      <c r="GP66" s="236"/>
      <c r="GQ66" s="236"/>
      <c r="GR66" s="236"/>
      <c r="GS66" s="236"/>
      <c r="GT66" s="236"/>
      <c r="GU66" s="236"/>
      <c r="GV66" s="236"/>
      <c r="GW66" s="236"/>
      <c r="GX66" s="236"/>
      <c r="GY66" s="236"/>
      <c r="GZ66" s="236"/>
      <c r="HA66" s="236"/>
      <c r="HB66" s="236"/>
      <c r="HC66" s="236"/>
      <c r="HD66" s="236"/>
    </row>
    <row r="67" ht="15.75" customHeight="1">
      <c r="A67" s="234">
        <v>67.0</v>
      </c>
      <c r="B67" s="236" t="s">
        <v>1533</v>
      </c>
      <c r="C67" s="198" t="str">
        <f t="shared" ref="C67:DC67" si="66">if(countif(DD:DD,$B67),INDIRECT(concat("B",$A67)),"")</f>
        <v/>
      </c>
      <c r="D67" s="198" t="str">
        <f t="shared" si="66"/>
        <v/>
      </c>
      <c r="E67" s="198" t="str">
        <f t="shared" si="66"/>
        <v/>
      </c>
      <c r="F67" s="198" t="str">
        <f t="shared" si="66"/>
        <v/>
      </c>
      <c r="G67" s="198" t="str">
        <f t="shared" si="66"/>
        <v/>
      </c>
      <c r="H67" s="198" t="str">
        <f t="shared" si="66"/>
        <v/>
      </c>
      <c r="I67" s="198" t="str">
        <f t="shared" si="66"/>
        <v/>
      </c>
      <c r="J67" s="198" t="str">
        <f t="shared" si="66"/>
        <v/>
      </c>
      <c r="K67" s="198" t="str">
        <f t="shared" si="66"/>
        <v/>
      </c>
      <c r="L67" s="198" t="str">
        <f t="shared" si="66"/>
        <v/>
      </c>
      <c r="M67" s="198" t="str">
        <f t="shared" si="66"/>
        <v/>
      </c>
      <c r="N67" s="198" t="str">
        <f t="shared" si="66"/>
        <v/>
      </c>
      <c r="O67" s="198" t="str">
        <f t="shared" si="66"/>
        <v/>
      </c>
      <c r="P67" s="198" t="str">
        <f t="shared" si="66"/>
        <v/>
      </c>
      <c r="Q67" s="198" t="str">
        <f t="shared" si="66"/>
        <v/>
      </c>
      <c r="R67" s="198" t="str">
        <f t="shared" si="66"/>
        <v/>
      </c>
      <c r="S67" s="198" t="str">
        <f t="shared" si="66"/>
        <v/>
      </c>
      <c r="T67" s="198" t="str">
        <f t="shared" si="66"/>
        <v/>
      </c>
      <c r="U67" s="198" t="str">
        <f t="shared" si="66"/>
        <v/>
      </c>
      <c r="V67" s="198" t="str">
        <f t="shared" si="66"/>
        <v/>
      </c>
      <c r="W67" s="198" t="str">
        <f t="shared" si="66"/>
        <v/>
      </c>
      <c r="X67" s="198" t="str">
        <f t="shared" si="66"/>
        <v/>
      </c>
      <c r="Y67" s="198" t="str">
        <f t="shared" si="66"/>
        <v/>
      </c>
      <c r="Z67" s="198" t="str">
        <f t="shared" si="66"/>
        <v/>
      </c>
      <c r="AA67" s="198" t="str">
        <f t="shared" si="66"/>
        <v/>
      </c>
      <c r="AB67" s="198" t="str">
        <f t="shared" si="66"/>
        <v/>
      </c>
      <c r="AC67" s="198" t="str">
        <f t="shared" si="66"/>
        <v/>
      </c>
      <c r="AD67" s="198" t="str">
        <f t="shared" si="66"/>
        <v/>
      </c>
      <c r="AE67" s="198" t="str">
        <f t="shared" si="66"/>
        <v/>
      </c>
      <c r="AF67" s="198" t="str">
        <f t="shared" si="66"/>
        <v/>
      </c>
      <c r="AG67" s="198" t="str">
        <f t="shared" si="66"/>
        <v/>
      </c>
      <c r="AH67" s="198" t="str">
        <f t="shared" si="66"/>
        <v/>
      </c>
      <c r="AI67" s="198" t="str">
        <f t="shared" si="66"/>
        <v/>
      </c>
      <c r="AJ67" s="198" t="str">
        <f t="shared" si="66"/>
        <v/>
      </c>
      <c r="AK67" s="198" t="str">
        <f t="shared" si="66"/>
        <v/>
      </c>
      <c r="AL67" s="198" t="str">
        <f t="shared" si="66"/>
        <v/>
      </c>
      <c r="AM67" s="198" t="str">
        <f t="shared" si="66"/>
        <v/>
      </c>
      <c r="AN67" s="198" t="str">
        <f t="shared" si="66"/>
        <v/>
      </c>
      <c r="AO67" s="198" t="str">
        <f t="shared" si="66"/>
        <v/>
      </c>
      <c r="AP67" s="198" t="str">
        <f t="shared" si="66"/>
        <v/>
      </c>
      <c r="AQ67" s="198" t="str">
        <f t="shared" si="66"/>
        <v/>
      </c>
      <c r="AR67" s="198" t="str">
        <f t="shared" si="66"/>
        <v/>
      </c>
      <c r="AS67" s="198" t="str">
        <f t="shared" si="66"/>
        <v/>
      </c>
      <c r="AT67" s="198" t="str">
        <f t="shared" si="66"/>
        <v/>
      </c>
      <c r="AU67" s="198" t="str">
        <f t="shared" si="66"/>
        <v/>
      </c>
      <c r="AV67" s="198" t="str">
        <f t="shared" si="66"/>
        <v/>
      </c>
      <c r="AW67" s="198" t="str">
        <f t="shared" si="66"/>
        <v/>
      </c>
      <c r="AX67" s="198" t="str">
        <f t="shared" si="66"/>
        <v/>
      </c>
      <c r="AY67" s="198" t="str">
        <f t="shared" si="66"/>
        <v/>
      </c>
      <c r="AZ67" s="198" t="str">
        <f t="shared" si="66"/>
        <v/>
      </c>
      <c r="BA67" s="198" t="str">
        <f t="shared" si="66"/>
        <v/>
      </c>
      <c r="BB67" s="198" t="str">
        <f t="shared" si="66"/>
        <v/>
      </c>
      <c r="BC67" s="198" t="str">
        <f t="shared" si="66"/>
        <v/>
      </c>
      <c r="BD67" s="198" t="str">
        <f t="shared" si="66"/>
        <v/>
      </c>
      <c r="BE67" s="198" t="str">
        <f t="shared" si="66"/>
        <v/>
      </c>
      <c r="BF67" s="198" t="str">
        <f t="shared" si="66"/>
        <v/>
      </c>
      <c r="BG67" s="198" t="str">
        <f t="shared" si="66"/>
        <v/>
      </c>
      <c r="BH67" s="198" t="str">
        <f t="shared" si="66"/>
        <v/>
      </c>
      <c r="BI67" s="198" t="str">
        <f t="shared" si="66"/>
        <v/>
      </c>
      <c r="BJ67" s="198" t="str">
        <f t="shared" si="66"/>
        <v/>
      </c>
      <c r="BK67" s="198" t="str">
        <f t="shared" si="66"/>
        <v/>
      </c>
      <c r="BL67" s="198" t="str">
        <f t="shared" si="66"/>
        <v/>
      </c>
      <c r="BM67" s="198" t="str">
        <f t="shared" si="66"/>
        <v/>
      </c>
      <c r="BN67" s="198" t="str">
        <f t="shared" si="66"/>
        <v/>
      </c>
      <c r="BO67" s="198" t="str">
        <f t="shared" si="66"/>
        <v/>
      </c>
      <c r="BP67" s="198" t="str">
        <f t="shared" si="66"/>
        <v/>
      </c>
      <c r="BQ67" s="198" t="str">
        <f t="shared" si="66"/>
        <v/>
      </c>
      <c r="BR67" s="198" t="str">
        <f t="shared" si="66"/>
        <v/>
      </c>
      <c r="BS67" s="198" t="str">
        <f t="shared" si="66"/>
        <v>3.2.1.149</v>
      </c>
      <c r="BT67" s="198" t="str">
        <f t="shared" si="66"/>
        <v/>
      </c>
      <c r="BU67" s="198" t="str">
        <f t="shared" si="66"/>
        <v/>
      </c>
      <c r="BV67" s="198" t="str">
        <f t="shared" si="66"/>
        <v/>
      </c>
      <c r="BW67" s="198" t="str">
        <f t="shared" si="66"/>
        <v/>
      </c>
      <c r="BX67" s="198" t="str">
        <f t="shared" si="66"/>
        <v/>
      </c>
      <c r="BY67" s="198" t="str">
        <f t="shared" si="66"/>
        <v/>
      </c>
      <c r="BZ67" s="198" t="str">
        <f t="shared" si="66"/>
        <v/>
      </c>
      <c r="CA67" s="198" t="str">
        <f t="shared" si="66"/>
        <v/>
      </c>
      <c r="CB67" s="198" t="str">
        <f t="shared" si="66"/>
        <v/>
      </c>
      <c r="CC67" s="198" t="str">
        <f t="shared" si="66"/>
        <v/>
      </c>
      <c r="CD67" s="198" t="str">
        <f t="shared" si="66"/>
        <v/>
      </c>
      <c r="CE67" s="198" t="str">
        <f t="shared" si="66"/>
        <v/>
      </c>
      <c r="CF67" s="198" t="str">
        <f t="shared" si="66"/>
        <v/>
      </c>
      <c r="CG67" s="198" t="str">
        <f t="shared" si="66"/>
        <v/>
      </c>
      <c r="CH67" s="198" t="str">
        <f t="shared" si="66"/>
        <v/>
      </c>
      <c r="CI67" s="198" t="str">
        <f t="shared" si="66"/>
        <v/>
      </c>
      <c r="CJ67" s="198" t="str">
        <f t="shared" si="66"/>
        <v/>
      </c>
      <c r="CK67" s="198" t="str">
        <f t="shared" si="66"/>
        <v/>
      </c>
      <c r="CL67" s="198" t="str">
        <f t="shared" si="66"/>
        <v/>
      </c>
      <c r="CM67" s="198" t="str">
        <f t="shared" si="66"/>
        <v/>
      </c>
      <c r="CN67" s="198" t="str">
        <f t="shared" si="66"/>
        <v/>
      </c>
      <c r="CO67" s="198" t="str">
        <f t="shared" si="66"/>
        <v/>
      </c>
      <c r="CP67" s="198" t="str">
        <f t="shared" si="66"/>
        <v/>
      </c>
      <c r="CQ67" s="198" t="str">
        <f t="shared" si="66"/>
        <v/>
      </c>
      <c r="CR67" s="198" t="str">
        <f t="shared" si="66"/>
        <v/>
      </c>
      <c r="CS67" s="198" t="str">
        <f t="shared" si="66"/>
        <v/>
      </c>
      <c r="CT67" s="198" t="str">
        <f t="shared" si="66"/>
        <v/>
      </c>
      <c r="CU67" s="198" t="str">
        <f t="shared" si="66"/>
        <v/>
      </c>
      <c r="CV67" s="198" t="str">
        <f t="shared" si="66"/>
        <v/>
      </c>
      <c r="CW67" s="198" t="str">
        <f t="shared" si="66"/>
        <v/>
      </c>
      <c r="CX67" s="198" t="str">
        <f t="shared" si="66"/>
        <v/>
      </c>
      <c r="CY67" s="198" t="str">
        <f t="shared" si="66"/>
        <v/>
      </c>
      <c r="CZ67" s="198" t="str">
        <f t="shared" si="66"/>
        <v/>
      </c>
      <c r="DA67" s="198" t="str">
        <f t="shared" si="66"/>
        <v/>
      </c>
      <c r="DB67" s="198" t="str">
        <f t="shared" si="66"/>
        <v/>
      </c>
      <c r="DC67" s="198" t="str">
        <f t="shared" si="66"/>
        <v/>
      </c>
      <c r="DD67" s="236"/>
      <c r="DE67" s="236"/>
      <c r="DF67" s="236"/>
      <c r="DG67" s="236"/>
      <c r="DH67" s="236"/>
      <c r="DI67" s="236"/>
      <c r="DJ67" s="236"/>
      <c r="DK67" s="236"/>
      <c r="DL67" s="236"/>
      <c r="DM67" s="236"/>
      <c r="DN67" s="236"/>
      <c r="DO67" s="236"/>
      <c r="DP67" s="236"/>
      <c r="DQ67" s="236"/>
      <c r="DR67" s="236"/>
      <c r="DS67" s="236"/>
      <c r="DT67" s="236"/>
      <c r="DU67" s="236"/>
      <c r="DV67" s="236"/>
      <c r="DW67" s="236"/>
      <c r="DX67" s="236"/>
      <c r="DY67" s="236"/>
      <c r="DZ67" s="236"/>
      <c r="EA67" s="236"/>
      <c r="EB67" s="236"/>
      <c r="EC67" s="236"/>
      <c r="ED67" s="236"/>
      <c r="EE67" s="236"/>
      <c r="EF67" s="236"/>
      <c r="EG67" s="236"/>
      <c r="EH67" s="236"/>
      <c r="EI67" s="236"/>
      <c r="EJ67" s="236"/>
      <c r="EK67" s="236"/>
      <c r="EL67" s="236"/>
      <c r="EM67" s="236"/>
      <c r="EN67" s="236"/>
      <c r="EO67" s="236"/>
      <c r="EP67" s="236"/>
      <c r="EQ67" s="236"/>
      <c r="ER67" s="236"/>
      <c r="ES67" s="236"/>
      <c r="ET67" s="236"/>
      <c r="EU67" s="236"/>
      <c r="EV67" s="236"/>
      <c r="EW67" s="236"/>
      <c r="EX67" s="236"/>
      <c r="EY67" s="236"/>
      <c r="EZ67" s="236"/>
      <c r="FA67" s="236"/>
      <c r="FB67" s="236"/>
      <c r="FC67" s="236"/>
      <c r="FD67" s="236"/>
      <c r="FE67" s="236"/>
      <c r="FF67" s="236"/>
      <c r="FG67" s="236"/>
      <c r="FH67" s="236"/>
      <c r="FI67" s="236"/>
      <c r="FJ67" s="236"/>
      <c r="FK67" s="236"/>
      <c r="FL67" s="236"/>
      <c r="FM67" s="236"/>
      <c r="FN67" s="236"/>
      <c r="FO67" s="236"/>
      <c r="FP67" s="236"/>
      <c r="FQ67" s="236"/>
      <c r="FR67" s="236"/>
      <c r="FS67" s="236"/>
      <c r="FT67" s="236"/>
      <c r="FU67" s="236"/>
      <c r="FV67" s="236"/>
      <c r="FW67" s="236"/>
      <c r="FX67" s="236"/>
      <c r="FY67" s="236"/>
      <c r="FZ67" s="236"/>
      <c r="GA67" s="236"/>
      <c r="GB67" s="236"/>
      <c r="GC67" s="236"/>
      <c r="GD67" s="236"/>
      <c r="GE67" s="236"/>
      <c r="GF67" s="236"/>
      <c r="GG67" s="236"/>
      <c r="GH67" s="236"/>
      <c r="GI67" s="236"/>
      <c r="GJ67" s="236"/>
      <c r="GK67" s="236"/>
      <c r="GL67" s="236"/>
      <c r="GM67" s="236"/>
      <c r="GN67" s="236"/>
      <c r="GO67" s="236"/>
      <c r="GP67" s="236"/>
      <c r="GQ67" s="236"/>
      <c r="GR67" s="236"/>
      <c r="GS67" s="236"/>
      <c r="GT67" s="236"/>
      <c r="GU67" s="236"/>
      <c r="GV67" s="236"/>
      <c r="GW67" s="236"/>
      <c r="GX67" s="236"/>
      <c r="GY67" s="236"/>
      <c r="GZ67" s="236"/>
      <c r="HA67" s="236"/>
      <c r="HB67" s="236"/>
      <c r="HC67" s="236"/>
      <c r="HD67" s="236"/>
    </row>
    <row r="68" ht="15.75" customHeight="1">
      <c r="A68" s="234">
        <v>68.0</v>
      </c>
      <c r="B68" s="236" t="s">
        <v>1478</v>
      </c>
      <c r="C68" s="198" t="str">
        <f t="shared" ref="C68:DC68" si="67">if(countif(DD:DD,$B68),INDIRECT(concat("B",$A68)),"")</f>
        <v>3.2.1.21</v>
      </c>
      <c r="D68" s="198" t="str">
        <f t="shared" si="67"/>
        <v>3.2.1.21</v>
      </c>
      <c r="E68" s="198" t="str">
        <f t="shared" si="67"/>
        <v>3.2.1.21</v>
      </c>
      <c r="F68" s="198" t="str">
        <f t="shared" si="67"/>
        <v>3.2.1.21</v>
      </c>
      <c r="G68" s="198" t="str">
        <f t="shared" si="67"/>
        <v>3.2.1.21</v>
      </c>
      <c r="H68" s="198" t="str">
        <f t="shared" si="67"/>
        <v>3.2.1.21</v>
      </c>
      <c r="I68" s="198" t="str">
        <f t="shared" si="67"/>
        <v>3.2.1.21</v>
      </c>
      <c r="J68" s="198" t="str">
        <f t="shared" si="67"/>
        <v/>
      </c>
      <c r="K68" s="198" t="str">
        <f t="shared" si="67"/>
        <v/>
      </c>
      <c r="L68" s="198" t="str">
        <f t="shared" si="67"/>
        <v>3.2.1.21</v>
      </c>
      <c r="M68" s="198" t="str">
        <f t="shared" si="67"/>
        <v>3.2.1.21</v>
      </c>
      <c r="N68" s="198" t="str">
        <f t="shared" si="67"/>
        <v>3.2.1.21</v>
      </c>
      <c r="O68" s="198" t="str">
        <f t="shared" si="67"/>
        <v>3.2.1.21</v>
      </c>
      <c r="P68" s="198" t="str">
        <f t="shared" si="67"/>
        <v>3.2.1.21</v>
      </c>
      <c r="Q68" s="198" t="str">
        <f t="shared" si="67"/>
        <v>3.2.1.21</v>
      </c>
      <c r="R68" s="198" t="str">
        <f t="shared" si="67"/>
        <v>3.2.1.21</v>
      </c>
      <c r="S68" s="198" t="str">
        <f t="shared" si="67"/>
        <v>3.2.1.21</v>
      </c>
      <c r="T68" s="198" t="str">
        <f t="shared" si="67"/>
        <v>3.2.1.21</v>
      </c>
      <c r="U68" s="198" t="str">
        <f t="shared" si="67"/>
        <v>3.2.1.21</v>
      </c>
      <c r="V68" s="198" t="str">
        <f t="shared" si="67"/>
        <v>3.2.1.21</v>
      </c>
      <c r="W68" s="198" t="str">
        <f t="shared" si="67"/>
        <v/>
      </c>
      <c r="X68" s="198" t="str">
        <f t="shared" si="67"/>
        <v>3.2.1.21</v>
      </c>
      <c r="Y68" s="198" t="str">
        <f t="shared" si="67"/>
        <v/>
      </c>
      <c r="Z68" s="198" t="str">
        <f t="shared" si="67"/>
        <v>3.2.1.21</v>
      </c>
      <c r="AA68" s="198" t="str">
        <f t="shared" si="67"/>
        <v>3.2.1.21</v>
      </c>
      <c r="AB68" s="198" t="str">
        <f t="shared" si="67"/>
        <v>3.2.1.21</v>
      </c>
      <c r="AC68" s="198" t="str">
        <f t="shared" si="67"/>
        <v>3.2.1.21</v>
      </c>
      <c r="AD68" s="198" t="str">
        <f t="shared" si="67"/>
        <v>3.2.1.21</v>
      </c>
      <c r="AE68" s="198" t="str">
        <f t="shared" si="67"/>
        <v>3.2.1.21</v>
      </c>
      <c r="AF68" s="198" t="str">
        <f t="shared" si="67"/>
        <v>3.2.1.21</v>
      </c>
      <c r="AG68" s="198" t="str">
        <f t="shared" si="67"/>
        <v>3.2.1.21</v>
      </c>
      <c r="AH68" s="198" t="str">
        <f t="shared" si="67"/>
        <v>3.2.1.21</v>
      </c>
      <c r="AI68" s="198" t="str">
        <f t="shared" si="67"/>
        <v/>
      </c>
      <c r="AJ68" s="198" t="str">
        <f t="shared" si="67"/>
        <v>3.2.1.21</v>
      </c>
      <c r="AK68" s="198" t="str">
        <f t="shared" si="67"/>
        <v>3.2.1.21</v>
      </c>
      <c r="AL68" s="198" t="str">
        <f t="shared" si="67"/>
        <v>3.2.1.21</v>
      </c>
      <c r="AM68" s="198" t="str">
        <f t="shared" si="67"/>
        <v>3.2.1.21</v>
      </c>
      <c r="AN68" s="198" t="str">
        <f t="shared" si="67"/>
        <v>3.2.1.21</v>
      </c>
      <c r="AO68" s="198" t="str">
        <f t="shared" si="67"/>
        <v>3.2.1.21</v>
      </c>
      <c r="AP68" s="198" t="str">
        <f t="shared" si="67"/>
        <v>3.2.1.21</v>
      </c>
      <c r="AQ68" s="198" t="str">
        <f t="shared" si="67"/>
        <v>3.2.1.21</v>
      </c>
      <c r="AR68" s="198" t="str">
        <f t="shared" si="67"/>
        <v/>
      </c>
      <c r="AS68" s="198" t="str">
        <f t="shared" si="67"/>
        <v>3.2.1.21</v>
      </c>
      <c r="AT68" s="198" t="str">
        <f t="shared" si="67"/>
        <v>3.2.1.21</v>
      </c>
      <c r="AU68" s="198" t="str">
        <f t="shared" si="67"/>
        <v>3.2.1.21</v>
      </c>
      <c r="AV68" s="198" t="str">
        <f t="shared" si="67"/>
        <v>3.2.1.21</v>
      </c>
      <c r="AW68" s="198" t="str">
        <f t="shared" si="67"/>
        <v>3.2.1.21</v>
      </c>
      <c r="AX68" s="198" t="str">
        <f t="shared" si="67"/>
        <v>3.2.1.21</v>
      </c>
      <c r="AY68" s="198" t="str">
        <f t="shared" si="67"/>
        <v>3.2.1.21</v>
      </c>
      <c r="AZ68" s="198" t="str">
        <f t="shared" si="67"/>
        <v>3.2.1.21</v>
      </c>
      <c r="BA68" s="198" t="str">
        <f t="shared" si="67"/>
        <v>3.2.1.21</v>
      </c>
      <c r="BB68" s="198" t="str">
        <f t="shared" si="67"/>
        <v>3.2.1.21</v>
      </c>
      <c r="BC68" s="198" t="str">
        <f t="shared" si="67"/>
        <v>3.2.1.21</v>
      </c>
      <c r="BD68" s="198" t="str">
        <f t="shared" si="67"/>
        <v>3.2.1.21</v>
      </c>
      <c r="BE68" s="198" t="str">
        <f t="shared" si="67"/>
        <v>3.2.1.21</v>
      </c>
      <c r="BF68" s="198" t="str">
        <f t="shared" si="67"/>
        <v>3.2.1.21</v>
      </c>
      <c r="BG68" s="198" t="str">
        <f t="shared" si="67"/>
        <v/>
      </c>
      <c r="BH68" s="198" t="str">
        <f t="shared" si="67"/>
        <v/>
      </c>
      <c r="BI68" s="198" t="str">
        <f t="shared" si="67"/>
        <v>3.2.1.21</v>
      </c>
      <c r="BJ68" s="198" t="str">
        <f t="shared" si="67"/>
        <v/>
      </c>
      <c r="BK68" s="198" t="str">
        <f t="shared" si="67"/>
        <v>3.2.1.21</v>
      </c>
      <c r="BL68" s="198" t="str">
        <f t="shared" si="67"/>
        <v>3.2.1.21</v>
      </c>
      <c r="BM68" s="198" t="str">
        <f t="shared" si="67"/>
        <v>3.2.1.21</v>
      </c>
      <c r="BN68" s="198" t="str">
        <f t="shared" si="67"/>
        <v>3.2.1.21</v>
      </c>
      <c r="BO68" s="198" t="str">
        <f t="shared" si="67"/>
        <v>3.2.1.21</v>
      </c>
      <c r="BP68" s="198" t="str">
        <f t="shared" si="67"/>
        <v>3.2.1.21</v>
      </c>
      <c r="BQ68" s="198" t="str">
        <f t="shared" si="67"/>
        <v>3.2.1.21</v>
      </c>
      <c r="BR68" s="198" t="str">
        <f t="shared" si="67"/>
        <v>3.2.1.21</v>
      </c>
      <c r="BS68" s="198" t="str">
        <f t="shared" si="67"/>
        <v>3.2.1.21</v>
      </c>
      <c r="BT68" s="198" t="str">
        <f t="shared" si="67"/>
        <v>3.2.1.21</v>
      </c>
      <c r="BU68" s="198" t="str">
        <f t="shared" si="67"/>
        <v/>
      </c>
      <c r="BV68" s="198" t="str">
        <f t="shared" si="67"/>
        <v/>
      </c>
      <c r="BW68" s="198" t="str">
        <f t="shared" si="67"/>
        <v>3.2.1.21</v>
      </c>
      <c r="BX68" s="198" t="str">
        <f t="shared" si="67"/>
        <v>3.2.1.21</v>
      </c>
      <c r="BY68" s="198" t="str">
        <f t="shared" si="67"/>
        <v>3.2.1.21</v>
      </c>
      <c r="BZ68" s="198" t="str">
        <f t="shared" si="67"/>
        <v>3.2.1.21</v>
      </c>
      <c r="CA68" s="198" t="str">
        <f t="shared" si="67"/>
        <v>3.2.1.21</v>
      </c>
      <c r="CB68" s="198" t="str">
        <f t="shared" si="67"/>
        <v>3.2.1.21</v>
      </c>
      <c r="CC68" s="198" t="str">
        <f t="shared" si="67"/>
        <v>3.2.1.21</v>
      </c>
      <c r="CD68" s="198" t="str">
        <f t="shared" si="67"/>
        <v>3.2.1.21</v>
      </c>
      <c r="CE68" s="198" t="str">
        <f t="shared" si="67"/>
        <v>3.2.1.21</v>
      </c>
      <c r="CF68" s="198" t="str">
        <f t="shared" si="67"/>
        <v>3.2.1.21</v>
      </c>
      <c r="CG68" s="198" t="str">
        <f t="shared" si="67"/>
        <v>3.2.1.21</v>
      </c>
      <c r="CH68" s="198" t="str">
        <f t="shared" si="67"/>
        <v>3.2.1.21</v>
      </c>
      <c r="CI68" s="198" t="str">
        <f t="shared" si="67"/>
        <v>3.2.1.21</v>
      </c>
      <c r="CJ68" s="198" t="str">
        <f t="shared" si="67"/>
        <v>3.2.1.21</v>
      </c>
      <c r="CK68" s="198" t="str">
        <f t="shared" si="67"/>
        <v>3.2.1.21</v>
      </c>
      <c r="CL68" s="198" t="str">
        <f t="shared" si="67"/>
        <v>3.2.1.21</v>
      </c>
      <c r="CM68" s="198" t="str">
        <f t="shared" si="67"/>
        <v>3.2.1.21</v>
      </c>
      <c r="CN68" s="198" t="str">
        <f t="shared" si="67"/>
        <v>3.2.1.21</v>
      </c>
      <c r="CO68" s="198" t="str">
        <f t="shared" si="67"/>
        <v>3.2.1.21</v>
      </c>
      <c r="CP68" s="198" t="str">
        <f t="shared" si="67"/>
        <v>3.2.1.21</v>
      </c>
      <c r="CQ68" s="198" t="str">
        <f t="shared" si="67"/>
        <v>3.2.1.21</v>
      </c>
      <c r="CR68" s="198" t="str">
        <f t="shared" si="67"/>
        <v>3.2.1.21</v>
      </c>
      <c r="CS68" s="198" t="str">
        <f t="shared" si="67"/>
        <v>3.2.1.21</v>
      </c>
      <c r="CT68" s="198" t="str">
        <f t="shared" si="67"/>
        <v>3.2.1.21</v>
      </c>
      <c r="CU68" s="198" t="str">
        <f t="shared" si="67"/>
        <v>3.2.1.21</v>
      </c>
      <c r="CV68" s="198" t="str">
        <f t="shared" si="67"/>
        <v>3.2.1.21</v>
      </c>
      <c r="CW68" s="198" t="str">
        <f t="shared" si="67"/>
        <v/>
      </c>
      <c r="CX68" s="198" t="str">
        <f t="shared" si="67"/>
        <v>3.2.1.21</v>
      </c>
      <c r="CY68" s="198" t="str">
        <f t="shared" si="67"/>
        <v>3.2.1.21</v>
      </c>
      <c r="CZ68" s="198" t="str">
        <f t="shared" si="67"/>
        <v>3.2.1.21</v>
      </c>
      <c r="DA68" s="198" t="str">
        <f t="shared" si="67"/>
        <v>3.2.1.21</v>
      </c>
      <c r="DB68" s="198" t="str">
        <f t="shared" si="67"/>
        <v>3.2.1.21</v>
      </c>
      <c r="DC68" s="198" t="str">
        <f t="shared" si="67"/>
        <v>3.2.1.21</v>
      </c>
      <c r="DD68" s="236"/>
      <c r="DE68" s="236"/>
      <c r="DF68" s="236"/>
      <c r="DG68" s="236"/>
      <c r="DH68" s="236"/>
      <c r="DI68" s="236"/>
      <c r="DJ68" s="236"/>
      <c r="DK68" s="236"/>
      <c r="DL68" s="236"/>
      <c r="DM68" s="236"/>
      <c r="DN68" s="236"/>
      <c r="DO68" s="236"/>
      <c r="DP68" s="236"/>
      <c r="DQ68" s="236"/>
      <c r="DR68" s="236"/>
      <c r="DS68" s="236"/>
      <c r="DT68" s="236"/>
      <c r="DU68" s="236"/>
      <c r="DV68" s="236"/>
      <c r="DW68" s="236"/>
      <c r="DX68" s="236"/>
      <c r="DY68" s="236"/>
      <c r="DZ68" s="236"/>
      <c r="EA68" s="236"/>
      <c r="EB68" s="236"/>
      <c r="EC68" s="236"/>
      <c r="ED68" s="236"/>
      <c r="EE68" s="236"/>
      <c r="EF68" s="236"/>
      <c r="EG68" s="236"/>
      <c r="EH68" s="236"/>
      <c r="EI68" s="236"/>
      <c r="EJ68" s="236"/>
      <c r="EK68" s="236"/>
      <c r="EL68" s="236"/>
      <c r="EM68" s="236"/>
      <c r="EN68" s="236"/>
      <c r="EO68" s="236"/>
      <c r="EP68" s="236"/>
      <c r="EQ68" s="236"/>
      <c r="ER68" s="236"/>
      <c r="ES68" s="236"/>
      <c r="ET68" s="236"/>
      <c r="EU68" s="236"/>
      <c r="EV68" s="236"/>
      <c r="EW68" s="236"/>
      <c r="EX68" s="236"/>
      <c r="EY68" s="236"/>
      <c r="EZ68" s="236"/>
      <c r="FA68" s="236"/>
      <c r="FB68" s="236"/>
      <c r="FC68" s="236"/>
      <c r="FD68" s="236"/>
      <c r="FE68" s="236"/>
      <c r="FF68" s="236"/>
      <c r="FG68" s="236"/>
      <c r="FH68" s="236"/>
      <c r="FI68" s="236"/>
      <c r="FJ68" s="236"/>
      <c r="FK68" s="236"/>
      <c r="FL68" s="236"/>
      <c r="FM68" s="236"/>
      <c r="FN68" s="236"/>
      <c r="FO68" s="236"/>
      <c r="FP68" s="236"/>
      <c r="FQ68" s="236"/>
      <c r="FR68" s="236"/>
      <c r="FS68" s="236"/>
      <c r="FT68" s="236"/>
      <c r="FU68" s="236"/>
      <c r="FV68" s="236"/>
      <c r="FW68" s="236"/>
      <c r="FX68" s="236"/>
      <c r="FY68" s="236"/>
      <c r="FZ68" s="236"/>
      <c r="GA68" s="236"/>
      <c r="GB68" s="236"/>
      <c r="GC68" s="236"/>
      <c r="GD68" s="236"/>
      <c r="GE68" s="236"/>
      <c r="GF68" s="236"/>
      <c r="GG68" s="236"/>
      <c r="GH68" s="236"/>
      <c r="GI68" s="236"/>
      <c r="GJ68" s="236"/>
      <c r="GK68" s="236"/>
      <c r="GL68" s="236"/>
      <c r="GM68" s="236"/>
      <c r="GN68" s="236"/>
      <c r="GO68" s="236"/>
      <c r="GP68" s="236"/>
      <c r="GQ68" s="236"/>
      <c r="GR68" s="236"/>
      <c r="GS68" s="236"/>
      <c r="GT68" s="236"/>
      <c r="GU68" s="236"/>
      <c r="GV68" s="236"/>
      <c r="GW68" s="236"/>
      <c r="GX68" s="236"/>
      <c r="GY68" s="236"/>
      <c r="GZ68" s="236"/>
      <c r="HA68" s="236"/>
      <c r="HB68" s="236"/>
      <c r="HC68" s="236"/>
      <c r="HD68" s="236"/>
    </row>
    <row r="69" ht="15.75" customHeight="1">
      <c r="A69" s="234">
        <v>69.0</v>
      </c>
      <c r="B69" s="236" t="s">
        <v>1535</v>
      </c>
      <c r="C69" s="198" t="str">
        <f t="shared" ref="C69:DC69" si="68">if(countif(DD:DD,$B69),INDIRECT(concat("B",$A69)),"")</f>
        <v/>
      </c>
      <c r="D69" s="198" t="str">
        <f t="shared" si="68"/>
        <v/>
      </c>
      <c r="E69" s="198" t="str">
        <f t="shared" si="68"/>
        <v/>
      </c>
      <c r="F69" s="198" t="str">
        <f t="shared" si="68"/>
        <v/>
      </c>
      <c r="G69" s="198" t="str">
        <f t="shared" si="68"/>
        <v/>
      </c>
      <c r="H69" s="198" t="str">
        <f t="shared" si="68"/>
        <v/>
      </c>
      <c r="I69" s="198" t="str">
        <f t="shared" si="68"/>
        <v/>
      </c>
      <c r="J69" s="198" t="str">
        <f t="shared" si="68"/>
        <v/>
      </c>
      <c r="K69" s="198" t="str">
        <f t="shared" si="68"/>
        <v/>
      </c>
      <c r="L69" s="198" t="str">
        <f t="shared" si="68"/>
        <v/>
      </c>
      <c r="M69" s="198" t="str">
        <f t="shared" si="68"/>
        <v/>
      </c>
      <c r="N69" s="198" t="str">
        <f t="shared" si="68"/>
        <v/>
      </c>
      <c r="O69" s="198" t="str">
        <f t="shared" si="68"/>
        <v/>
      </c>
      <c r="P69" s="198" t="str">
        <f t="shared" si="68"/>
        <v/>
      </c>
      <c r="Q69" s="198" t="str">
        <f t="shared" si="68"/>
        <v/>
      </c>
      <c r="R69" s="198" t="str">
        <f t="shared" si="68"/>
        <v/>
      </c>
      <c r="S69" s="198" t="str">
        <f t="shared" si="68"/>
        <v/>
      </c>
      <c r="T69" s="198" t="str">
        <f t="shared" si="68"/>
        <v/>
      </c>
      <c r="U69" s="198" t="str">
        <f t="shared" si="68"/>
        <v/>
      </c>
      <c r="V69" s="198" t="str">
        <f t="shared" si="68"/>
        <v/>
      </c>
      <c r="W69" s="198" t="str">
        <f t="shared" si="68"/>
        <v/>
      </c>
      <c r="X69" s="198" t="str">
        <f t="shared" si="68"/>
        <v/>
      </c>
      <c r="Y69" s="198" t="str">
        <f t="shared" si="68"/>
        <v/>
      </c>
      <c r="Z69" s="198" t="str">
        <f t="shared" si="68"/>
        <v/>
      </c>
      <c r="AA69" s="198" t="str">
        <f t="shared" si="68"/>
        <v/>
      </c>
      <c r="AB69" s="198" t="str">
        <f t="shared" si="68"/>
        <v/>
      </c>
      <c r="AC69" s="198" t="str">
        <f t="shared" si="68"/>
        <v/>
      </c>
      <c r="AD69" s="198" t="str">
        <f t="shared" si="68"/>
        <v/>
      </c>
      <c r="AE69" s="198" t="str">
        <f t="shared" si="68"/>
        <v/>
      </c>
      <c r="AF69" s="198" t="str">
        <f t="shared" si="68"/>
        <v/>
      </c>
      <c r="AG69" s="198" t="str">
        <f t="shared" si="68"/>
        <v/>
      </c>
      <c r="AH69" s="198" t="str">
        <f t="shared" si="68"/>
        <v/>
      </c>
      <c r="AI69" s="198" t="str">
        <f t="shared" si="68"/>
        <v/>
      </c>
      <c r="AJ69" s="198" t="str">
        <f t="shared" si="68"/>
        <v/>
      </c>
      <c r="AK69" s="198" t="str">
        <f t="shared" si="68"/>
        <v/>
      </c>
      <c r="AL69" s="198" t="str">
        <f t="shared" si="68"/>
        <v/>
      </c>
      <c r="AM69" s="198" t="str">
        <f t="shared" si="68"/>
        <v/>
      </c>
      <c r="AN69" s="198" t="str">
        <f t="shared" si="68"/>
        <v/>
      </c>
      <c r="AO69" s="198" t="str">
        <f t="shared" si="68"/>
        <v/>
      </c>
      <c r="AP69" s="198" t="str">
        <f t="shared" si="68"/>
        <v/>
      </c>
      <c r="AQ69" s="198" t="str">
        <f t="shared" si="68"/>
        <v/>
      </c>
      <c r="AR69" s="198" t="str">
        <f t="shared" si="68"/>
        <v/>
      </c>
      <c r="AS69" s="198" t="str">
        <f t="shared" si="68"/>
        <v/>
      </c>
      <c r="AT69" s="198" t="str">
        <f t="shared" si="68"/>
        <v/>
      </c>
      <c r="AU69" s="198" t="str">
        <f t="shared" si="68"/>
        <v/>
      </c>
      <c r="AV69" s="198" t="str">
        <f t="shared" si="68"/>
        <v/>
      </c>
      <c r="AW69" s="198" t="str">
        <f t="shared" si="68"/>
        <v/>
      </c>
      <c r="AX69" s="198" t="str">
        <f t="shared" si="68"/>
        <v/>
      </c>
      <c r="AY69" s="198" t="str">
        <f t="shared" si="68"/>
        <v/>
      </c>
      <c r="AZ69" s="198" t="str">
        <f t="shared" si="68"/>
        <v/>
      </c>
      <c r="BA69" s="198" t="str">
        <f t="shared" si="68"/>
        <v/>
      </c>
      <c r="BB69" s="198" t="str">
        <f t="shared" si="68"/>
        <v/>
      </c>
      <c r="BC69" s="198" t="str">
        <f t="shared" si="68"/>
        <v/>
      </c>
      <c r="BD69" s="198" t="str">
        <f t="shared" si="68"/>
        <v/>
      </c>
      <c r="BE69" s="198" t="str">
        <f t="shared" si="68"/>
        <v/>
      </c>
      <c r="BF69" s="198" t="str">
        <f t="shared" si="68"/>
        <v/>
      </c>
      <c r="BG69" s="198" t="str">
        <f t="shared" si="68"/>
        <v/>
      </c>
      <c r="BH69" s="198" t="str">
        <f t="shared" si="68"/>
        <v/>
      </c>
      <c r="BI69" s="198" t="str">
        <f t="shared" si="68"/>
        <v/>
      </c>
      <c r="BJ69" s="198" t="str">
        <f t="shared" si="68"/>
        <v/>
      </c>
      <c r="BK69" s="198" t="str">
        <f t="shared" si="68"/>
        <v/>
      </c>
      <c r="BL69" s="198" t="str">
        <f t="shared" si="68"/>
        <v/>
      </c>
      <c r="BM69" s="198" t="str">
        <f t="shared" si="68"/>
        <v/>
      </c>
      <c r="BN69" s="198" t="str">
        <f t="shared" si="68"/>
        <v/>
      </c>
      <c r="BO69" s="198" t="str">
        <f t="shared" si="68"/>
        <v/>
      </c>
      <c r="BP69" s="198" t="str">
        <f t="shared" si="68"/>
        <v/>
      </c>
      <c r="BQ69" s="198" t="str">
        <f t="shared" si="68"/>
        <v/>
      </c>
      <c r="BR69" s="198" t="str">
        <f t="shared" si="68"/>
        <v/>
      </c>
      <c r="BS69" s="198" t="str">
        <f t="shared" si="68"/>
        <v>3.2.1.58</v>
      </c>
      <c r="BT69" s="198" t="str">
        <f t="shared" si="68"/>
        <v/>
      </c>
      <c r="BU69" s="198" t="str">
        <f t="shared" si="68"/>
        <v/>
      </c>
      <c r="BV69" s="198" t="str">
        <f t="shared" si="68"/>
        <v/>
      </c>
      <c r="BW69" s="198" t="str">
        <f t="shared" si="68"/>
        <v/>
      </c>
      <c r="BX69" s="198" t="str">
        <f t="shared" si="68"/>
        <v/>
      </c>
      <c r="BY69" s="198" t="str">
        <f t="shared" si="68"/>
        <v/>
      </c>
      <c r="BZ69" s="198" t="str">
        <f t="shared" si="68"/>
        <v/>
      </c>
      <c r="CA69" s="198" t="str">
        <f t="shared" si="68"/>
        <v/>
      </c>
      <c r="CB69" s="198" t="str">
        <f t="shared" si="68"/>
        <v/>
      </c>
      <c r="CC69" s="198" t="str">
        <f t="shared" si="68"/>
        <v/>
      </c>
      <c r="CD69" s="198" t="str">
        <f t="shared" si="68"/>
        <v/>
      </c>
      <c r="CE69" s="198" t="str">
        <f t="shared" si="68"/>
        <v/>
      </c>
      <c r="CF69" s="198" t="str">
        <f t="shared" si="68"/>
        <v/>
      </c>
      <c r="CG69" s="198" t="str">
        <f t="shared" si="68"/>
        <v/>
      </c>
      <c r="CH69" s="198" t="str">
        <f t="shared" si="68"/>
        <v/>
      </c>
      <c r="CI69" s="198" t="str">
        <f t="shared" si="68"/>
        <v/>
      </c>
      <c r="CJ69" s="198" t="str">
        <f t="shared" si="68"/>
        <v/>
      </c>
      <c r="CK69" s="198" t="str">
        <f t="shared" si="68"/>
        <v/>
      </c>
      <c r="CL69" s="198" t="str">
        <f t="shared" si="68"/>
        <v/>
      </c>
      <c r="CM69" s="198" t="str">
        <f t="shared" si="68"/>
        <v/>
      </c>
      <c r="CN69" s="198" t="str">
        <f t="shared" si="68"/>
        <v/>
      </c>
      <c r="CO69" s="198" t="str">
        <f t="shared" si="68"/>
        <v/>
      </c>
      <c r="CP69" s="198" t="str">
        <f t="shared" si="68"/>
        <v/>
      </c>
      <c r="CQ69" s="198" t="str">
        <f t="shared" si="68"/>
        <v/>
      </c>
      <c r="CR69" s="198" t="str">
        <f t="shared" si="68"/>
        <v/>
      </c>
      <c r="CS69" s="198" t="str">
        <f t="shared" si="68"/>
        <v/>
      </c>
      <c r="CT69" s="198" t="str">
        <f t="shared" si="68"/>
        <v/>
      </c>
      <c r="CU69" s="198" t="str">
        <f t="shared" si="68"/>
        <v/>
      </c>
      <c r="CV69" s="198" t="str">
        <f t="shared" si="68"/>
        <v/>
      </c>
      <c r="CW69" s="198" t="str">
        <f t="shared" si="68"/>
        <v/>
      </c>
      <c r="CX69" s="198" t="str">
        <f t="shared" si="68"/>
        <v/>
      </c>
      <c r="CY69" s="198" t="str">
        <f t="shared" si="68"/>
        <v/>
      </c>
      <c r="CZ69" s="198" t="str">
        <f t="shared" si="68"/>
        <v/>
      </c>
      <c r="DA69" s="198" t="str">
        <f t="shared" si="68"/>
        <v/>
      </c>
      <c r="DB69" s="198" t="str">
        <f t="shared" si="68"/>
        <v/>
      </c>
      <c r="DC69" s="198" t="str">
        <f t="shared" si="68"/>
        <v/>
      </c>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row>
    <row r="70" ht="15.75" customHeight="1">
      <c r="A70" s="234">
        <v>70.0</v>
      </c>
      <c r="B70" s="198" t="s">
        <v>1489</v>
      </c>
      <c r="C70" s="198" t="str">
        <f t="shared" ref="C70:DC70" si="69">if(countif(DD:DD,$B70),INDIRECT(concat("B",$A70)),"")</f>
        <v/>
      </c>
      <c r="D70" s="198" t="str">
        <f t="shared" si="69"/>
        <v/>
      </c>
      <c r="E70" s="198" t="str">
        <f t="shared" si="69"/>
        <v>3.4.16.-</v>
      </c>
      <c r="F70" s="198" t="str">
        <f t="shared" si="69"/>
        <v>3.4.16.-</v>
      </c>
      <c r="G70" s="198" t="str">
        <f t="shared" si="69"/>
        <v/>
      </c>
      <c r="H70" s="198" t="str">
        <f t="shared" si="69"/>
        <v/>
      </c>
      <c r="I70" s="198" t="str">
        <f t="shared" si="69"/>
        <v/>
      </c>
      <c r="J70" s="198" t="str">
        <f t="shared" si="69"/>
        <v/>
      </c>
      <c r="K70" s="198" t="str">
        <f t="shared" si="69"/>
        <v/>
      </c>
      <c r="L70" s="198" t="str">
        <f t="shared" si="69"/>
        <v/>
      </c>
      <c r="M70" s="198" t="str">
        <f t="shared" si="69"/>
        <v>3.4.16.-</v>
      </c>
      <c r="N70" s="198" t="str">
        <f t="shared" si="69"/>
        <v>3.4.16.-</v>
      </c>
      <c r="O70" s="198" t="str">
        <f t="shared" si="69"/>
        <v/>
      </c>
      <c r="P70" s="198" t="str">
        <f t="shared" si="69"/>
        <v>3.4.16.-</v>
      </c>
      <c r="Q70" s="198" t="str">
        <f t="shared" si="69"/>
        <v/>
      </c>
      <c r="R70" s="198" t="str">
        <f t="shared" si="69"/>
        <v/>
      </c>
      <c r="S70" s="198" t="str">
        <f t="shared" si="69"/>
        <v>3.4.16.-</v>
      </c>
      <c r="T70" s="198" t="str">
        <f t="shared" si="69"/>
        <v/>
      </c>
      <c r="U70" s="198" t="str">
        <f t="shared" si="69"/>
        <v/>
      </c>
      <c r="V70" s="198" t="str">
        <f t="shared" si="69"/>
        <v/>
      </c>
      <c r="W70" s="198" t="str">
        <f t="shared" si="69"/>
        <v/>
      </c>
      <c r="X70" s="198" t="str">
        <f t="shared" si="69"/>
        <v/>
      </c>
      <c r="Y70" s="198" t="str">
        <f t="shared" si="69"/>
        <v/>
      </c>
      <c r="Z70" s="198" t="str">
        <f t="shared" si="69"/>
        <v/>
      </c>
      <c r="AA70" s="198" t="str">
        <f t="shared" si="69"/>
        <v/>
      </c>
      <c r="AB70" s="198" t="str">
        <f t="shared" si="69"/>
        <v/>
      </c>
      <c r="AC70" s="198" t="str">
        <f t="shared" si="69"/>
        <v/>
      </c>
      <c r="AD70" s="198" t="str">
        <f t="shared" si="69"/>
        <v/>
      </c>
      <c r="AE70" s="198" t="str">
        <f t="shared" si="69"/>
        <v/>
      </c>
      <c r="AF70" s="198" t="str">
        <f t="shared" si="69"/>
        <v/>
      </c>
      <c r="AG70" s="198" t="str">
        <f t="shared" si="69"/>
        <v/>
      </c>
      <c r="AH70" s="198" t="str">
        <f t="shared" si="69"/>
        <v/>
      </c>
      <c r="AI70" s="198" t="str">
        <f t="shared" si="69"/>
        <v/>
      </c>
      <c r="AJ70" s="198" t="str">
        <f t="shared" si="69"/>
        <v/>
      </c>
      <c r="AK70" s="198" t="str">
        <f t="shared" si="69"/>
        <v/>
      </c>
      <c r="AL70" s="198" t="str">
        <f t="shared" si="69"/>
        <v/>
      </c>
      <c r="AM70" s="198" t="str">
        <f t="shared" si="69"/>
        <v/>
      </c>
      <c r="AN70" s="198" t="str">
        <f t="shared" si="69"/>
        <v/>
      </c>
      <c r="AO70" s="198" t="str">
        <f t="shared" si="69"/>
        <v/>
      </c>
      <c r="AP70" s="198" t="str">
        <f t="shared" si="69"/>
        <v>3.4.16.-</v>
      </c>
      <c r="AQ70" s="198" t="str">
        <f t="shared" si="69"/>
        <v/>
      </c>
      <c r="AR70" s="198" t="str">
        <f t="shared" si="69"/>
        <v/>
      </c>
      <c r="AS70" s="198" t="str">
        <f t="shared" si="69"/>
        <v/>
      </c>
      <c r="AT70" s="198" t="str">
        <f t="shared" si="69"/>
        <v/>
      </c>
      <c r="AU70" s="198" t="str">
        <f t="shared" si="69"/>
        <v/>
      </c>
      <c r="AV70" s="198" t="str">
        <f t="shared" si="69"/>
        <v/>
      </c>
      <c r="AW70" s="198" t="str">
        <f t="shared" si="69"/>
        <v/>
      </c>
      <c r="AX70" s="198" t="str">
        <f t="shared" si="69"/>
        <v/>
      </c>
      <c r="AY70" s="198" t="str">
        <f t="shared" si="69"/>
        <v/>
      </c>
      <c r="AZ70" s="198" t="str">
        <f t="shared" si="69"/>
        <v/>
      </c>
      <c r="BA70" s="198" t="str">
        <f t="shared" si="69"/>
        <v/>
      </c>
      <c r="BB70" s="198" t="str">
        <f t="shared" si="69"/>
        <v/>
      </c>
      <c r="BC70" s="198" t="str">
        <f t="shared" si="69"/>
        <v/>
      </c>
      <c r="BD70" s="198" t="str">
        <f t="shared" si="69"/>
        <v/>
      </c>
      <c r="BE70" s="198" t="str">
        <f t="shared" si="69"/>
        <v/>
      </c>
      <c r="BF70" s="198" t="str">
        <f t="shared" si="69"/>
        <v/>
      </c>
      <c r="BG70" s="198" t="str">
        <f t="shared" si="69"/>
        <v/>
      </c>
      <c r="BH70" s="198" t="str">
        <f t="shared" si="69"/>
        <v/>
      </c>
      <c r="BI70" s="198" t="str">
        <f t="shared" si="69"/>
        <v/>
      </c>
      <c r="BJ70" s="198" t="str">
        <f t="shared" si="69"/>
        <v/>
      </c>
      <c r="BK70" s="198" t="str">
        <f t="shared" si="69"/>
        <v/>
      </c>
      <c r="BL70" s="198" t="str">
        <f t="shared" si="69"/>
        <v/>
      </c>
      <c r="BM70" s="198" t="str">
        <f t="shared" si="69"/>
        <v/>
      </c>
      <c r="BN70" s="198" t="str">
        <f t="shared" si="69"/>
        <v/>
      </c>
      <c r="BO70" s="198" t="str">
        <f t="shared" si="69"/>
        <v/>
      </c>
      <c r="BP70" s="198" t="str">
        <f t="shared" si="69"/>
        <v/>
      </c>
      <c r="BQ70" s="198" t="str">
        <f t="shared" si="69"/>
        <v/>
      </c>
      <c r="BR70" s="198" t="str">
        <f t="shared" si="69"/>
        <v/>
      </c>
      <c r="BS70" s="198" t="str">
        <f t="shared" si="69"/>
        <v/>
      </c>
      <c r="BT70" s="198" t="str">
        <f t="shared" si="69"/>
        <v/>
      </c>
      <c r="BU70" s="198" t="str">
        <f t="shared" si="69"/>
        <v/>
      </c>
      <c r="BV70" s="198" t="str">
        <f t="shared" si="69"/>
        <v/>
      </c>
      <c r="BW70" s="198" t="str">
        <f t="shared" si="69"/>
        <v/>
      </c>
      <c r="BX70" s="198" t="str">
        <f t="shared" si="69"/>
        <v/>
      </c>
      <c r="BY70" s="198" t="str">
        <f t="shared" si="69"/>
        <v/>
      </c>
      <c r="BZ70" s="198" t="str">
        <f t="shared" si="69"/>
        <v/>
      </c>
      <c r="CA70" s="198" t="str">
        <f t="shared" si="69"/>
        <v/>
      </c>
      <c r="CB70" s="198" t="str">
        <f t="shared" si="69"/>
        <v/>
      </c>
      <c r="CC70" s="198" t="str">
        <f t="shared" si="69"/>
        <v/>
      </c>
      <c r="CD70" s="198" t="str">
        <f t="shared" si="69"/>
        <v/>
      </c>
      <c r="CE70" s="198" t="str">
        <f t="shared" si="69"/>
        <v/>
      </c>
      <c r="CF70" s="198" t="str">
        <f t="shared" si="69"/>
        <v/>
      </c>
      <c r="CG70" s="198" t="str">
        <f t="shared" si="69"/>
        <v/>
      </c>
      <c r="CH70" s="198" t="str">
        <f t="shared" si="69"/>
        <v/>
      </c>
      <c r="CI70" s="198" t="str">
        <f t="shared" si="69"/>
        <v/>
      </c>
      <c r="CJ70" s="198" t="str">
        <f t="shared" si="69"/>
        <v/>
      </c>
      <c r="CK70" s="198" t="str">
        <f t="shared" si="69"/>
        <v/>
      </c>
      <c r="CL70" s="198" t="str">
        <f t="shared" si="69"/>
        <v/>
      </c>
      <c r="CM70" s="198" t="str">
        <f t="shared" si="69"/>
        <v/>
      </c>
      <c r="CN70" s="198" t="str">
        <f t="shared" si="69"/>
        <v/>
      </c>
      <c r="CO70" s="198" t="str">
        <f t="shared" si="69"/>
        <v/>
      </c>
      <c r="CP70" s="198" t="str">
        <f t="shared" si="69"/>
        <v/>
      </c>
      <c r="CQ70" s="198" t="str">
        <f t="shared" si="69"/>
        <v/>
      </c>
      <c r="CR70" s="198" t="str">
        <f t="shared" si="69"/>
        <v/>
      </c>
      <c r="CS70" s="198" t="str">
        <f t="shared" si="69"/>
        <v/>
      </c>
      <c r="CT70" s="198" t="str">
        <f t="shared" si="69"/>
        <v/>
      </c>
      <c r="CU70" s="198" t="str">
        <f t="shared" si="69"/>
        <v/>
      </c>
      <c r="CV70" s="198" t="str">
        <f t="shared" si="69"/>
        <v/>
      </c>
      <c r="CW70" s="198" t="str">
        <f t="shared" si="69"/>
        <v/>
      </c>
      <c r="CX70" s="198" t="str">
        <f t="shared" si="69"/>
        <v/>
      </c>
      <c r="CY70" s="198" t="str">
        <f t="shared" si="69"/>
        <v/>
      </c>
      <c r="CZ70" s="198" t="str">
        <f t="shared" si="69"/>
        <v/>
      </c>
      <c r="DA70" s="198" t="str">
        <f t="shared" si="69"/>
        <v/>
      </c>
      <c r="DB70" s="198" t="str">
        <f t="shared" si="69"/>
        <v/>
      </c>
      <c r="DC70" s="198" t="str">
        <f t="shared" si="69"/>
        <v/>
      </c>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row>
    <row r="71" ht="15.75" customHeight="1">
      <c r="A71" s="234">
        <v>71.0</v>
      </c>
      <c r="B71" s="236" t="s">
        <v>1537</v>
      </c>
      <c r="C71" s="198" t="str">
        <f t="shared" ref="C71:DC71" si="70">if(countif(DD:DD,$B71),INDIRECT(concat("B",$A71)),"")</f>
        <v/>
      </c>
      <c r="D71" s="198" t="str">
        <f t="shared" si="70"/>
        <v/>
      </c>
      <c r="E71" s="198" t="str">
        <f t="shared" si="70"/>
        <v/>
      </c>
      <c r="F71" s="198" t="str">
        <f t="shared" si="70"/>
        <v/>
      </c>
      <c r="G71" s="198" t="str">
        <f t="shared" si="70"/>
        <v/>
      </c>
      <c r="H71" s="198" t="str">
        <f t="shared" si="70"/>
        <v/>
      </c>
      <c r="I71" s="198" t="str">
        <f t="shared" si="70"/>
        <v/>
      </c>
      <c r="J71" s="198" t="str">
        <f t="shared" si="70"/>
        <v/>
      </c>
      <c r="K71" s="198" t="str">
        <f t="shared" si="70"/>
        <v/>
      </c>
      <c r="L71" s="198" t="str">
        <f t="shared" si="70"/>
        <v/>
      </c>
      <c r="M71" s="198" t="str">
        <f t="shared" si="70"/>
        <v/>
      </c>
      <c r="N71" s="198" t="str">
        <f t="shared" si="70"/>
        <v/>
      </c>
      <c r="O71" s="198" t="str">
        <f t="shared" si="70"/>
        <v/>
      </c>
      <c r="P71" s="198" t="str">
        <f t="shared" si="70"/>
        <v/>
      </c>
      <c r="Q71" s="198" t="str">
        <f t="shared" si="70"/>
        <v/>
      </c>
      <c r="R71" s="198" t="str">
        <f t="shared" si="70"/>
        <v/>
      </c>
      <c r="S71" s="198" t="str">
        <f t="shared" si="70"/>
        <v/>
      </c>
      <c r="T71" s="198" t="str">
        <f t="shared" si="70"/>
        <v/>
      </c>
      <c r="U71" s="198" t="str">
        <f t="shared" si="70"/>
        <v/>
      </c>
      <c r="V71" s="198" t="str">
        <f t="shared" si="70"/>
        <v/>
      </c>
      <c r="W71" s="198" t="str">
        <f t="shared" si="70"/>
        <v/>
      </c>
      <c r="X71" s="198" t="str">
        <f t="shared" si="70"/>
        <v/>
      </c>
      <c r="Y71" s="198" t="str">
        <f t="shared" si="70"/>
        <v/>
      </c>
      <c r="Z71" s="198" t="str">
        <f t="shared" si="70"/>
        <v/>
      </c>
      <c r="AA71" s="198" t="str">
        <f t="shared" si="70"/>
        <v/>
      </c>
      <c r="AB71" s="198" t="str">
        <f t="shared" si="70"/>
        <v/>
      </c>
      <c r="AC71" s="198" t="str">
        <f t="shared" si="70"/>
        <v/>
      </c>
      <c r="AD71" s="198" t="str">
        <f t="shared" si="70"/>
        <v/>
      </c>
      <c r="AE71" s="198" t="str">
        <f t="shared" si="70"/>
        <v/>
      </c>
      <c r="AF71" s="198" t="str">
        <f t="shared" si="70"/>
        <v/>
      </c>
      <c r="AG71" s="198" t="str">
        <f t="shared" si="70"/>
        <v/>
      </c>
      <c r="AH71" s="198" t="str">
        <f t="shared" si="70"/>
        <v/>
      </c>
      <c r="AI71" s="198" t="str">
        <f t="shared" si="70"/>
        <v/>
      </c>
      <c r="AJ71" s="198" t="str">
        <f t="shared" si="70"/>
        <v/>
      </c>
      <c r="AK71" s="198" t="str">
        <f t="shared" si="70"/>
        <v/>
      </c>
      <c r="AL71" s="198" t="str">
        <f t="shared" si="70"/>
        <v/>
      </c>
      <c r="AM71" s="198" t="str">
        <f t="shared" si="70"/>
        <v/>
      </c>
      <c r="AN71" s="198" t="str">
        <f t="shared" si="70"/>
        <v/>
      </c>
      <c r="AO71" s="198" t="str">
        <f t="shared" si="70"/>
        <v/>
      </c>
      <c r="AP71" s="198" t="str">
        <f t="shared" si="70"/>
        <v/>
      </c>
      <c r="AQ71" s="198" t="str">
        <f t="shared" si="70"/>
        <v/>
      </c>
      <c r="AR71" s="198" t="str">
        <f t="shared" si="70"/>
        <v/>
      </c>
      <c r="AS71" s="198" t="str">
        <f t="shared" si="70"/>
        <v/>
      </c>
      <c r="AT71" s="198" t="str">
        <f t="shared" si="70"/>
        <v/>
      </c>
      <c r="AU71" s="198" t="str">
        <f t="shared" si="70"/>
        <v/>
      </c>
      <c r="AV71" s="198" t="str">
        <f t="shared" si="70"/>
        <v/>
      </c>
      <c r="AW71" s="198" t="str">
        <f t="shared" si="70"/>
        <v/>
      </c>
      <c r="AX71" s="198" t="str">
        <f t="shared" si="70"/>
        <v/>
      </c>
      <c r="AY71" s="198" t="str">
        <f t="shared" si="70"/>
        <v/>
      </c>
      <c r="AZ71" s="198" t="str">
        <f t="shared" si="70"/>
        <v/>
      </c>
      <c r="BA71" s="198" t="str">
        <f t="shared" si="70"/>
        <v/>
      </c>
      <c r="BB71" s="198" t="str">
        <f t="shared" si="70"/>
        <v/>
      </c>
      <c r="BC71" s="198" t="str">
        <f t="shared" si="70"/>
        <v/>
      </c>
      <c r="BD71" s="198" t="str">
        <f t="shared" si="70"/>
        <v/>
      </c>
      <c r="BE71" s="198" t="str">
        <f t="shared" si="70"/>
        <v/>
      </c>
      <c r="BF71" s="198" t="str">
        <f t="shared" si="70"/>
        <v/>
      </c>
      <c r="BG71" s="198" t="str">
        <f t="shared" si="70"/>
        <v/>
      </c>
      <c r="BH71" s="198" t="str">
        <f t="shared" si="70"/>
        <v/>
      </c>
      <c r="BI71" s="198" t="str">
        <f t="shared" si="70"/>
        <v/>
      </c>
      <c r="BJ71" s="198" t="str">
        <f t="shared" si="70"/>
        <v/>
      </c>
      <c r="BK71" s="198" t="str">
        <f t="shared" si="70"/>
        <v/>
      </c>
      <c r="BL71" s="198" t="str">
        <f t="shared" si="70"/>
        <v/>
      </c>
      <c r="BM71" s="198" t="str">
        <f t="shared" si="70"/>
        <v/>
      </c>
      <c r="BN71" s="198" t="str">
        <f t="shared" si="70"/>
        <v/>
      </c>
      <c r="BO71" s="198" t="str">
        <f t="shared" si="70"/>
        <v/>
      </c>
      <c r="BP71" s="198" t="str">
        <f t="shared" si="70"/>
        <v/>
      </c>
      <c r="BQ71" s="198" t="str">
        <f t="shared" si="70"/>
        <v/>
      </c>
      <c r="BR71" s="198" t="str">
        <f t="shared" si="70"/>
        <v/>
      </c>
      <c r="BS71" s="198" t="str">
        <f t="shared" si="70"/>
        <v/>
      </c>
      <c r="BT71" s="198" t="str">
        <f t="shared" si="70"/>
        <v/>
      </c>
      <c r="BU71" s="198" t="str">
        <f t="shared" si="70"/>
        <v/>
      </c>
      <c r="BV71" s="198" t="str">
        <f t="shared" si="70"/>
        <v/>
      </c>
      <c r="BW71" s="198" t="str">
        <f t="shared" si="70"/>
        <v/>
      </c>
      <c r="BX71" s="198" t="str">
        <f t="shared" si="70"/>
        <v/>
      </c>
      <c r="BY71" s="198" t="str">
        <f t="shared" si="70"/>
        <v/>
      </c>
      <c r="BZ71" s="198" t="str">
        <f t="shared" si="70"/>
        <v/>
      </c>
      <c r="CA71" s="198" t="str">
        <f t="shared" si="70"/>
        <v/>
      </c>
      <c r="CB71" s="198" t="str">
        <f t="shared" si="70"/>
        <v/>
      </c>
      <c r="CC71" s="198" t="str">
        <f t="shared" si="70"/>
        <v/>
      </c>
      <c r="CD71" s="198" t="str">
        <f t="shared" si="70"/>
        <v/>
      </c>
      <c r="CE71" s="198" t="str">
        <f t="shared" si="70"/>
        <v/>
      </c>
      <c r="CF71" s="198" t="str">
        <f t="shared" si="70"/>
        <v/>
      </c>
      <c r="CG71" s="198" t="str">
        <f t="shared" si="70"/>
        <v/>
      </c>
      <c r="CH71" s="198" t="str">
        <f t="shared" si="70"/>
        <v>4.1.1.102</v>
      </c>
      <c r="CI71" s="198" t="str">
        <f t="shared" si="70"/>
        <v/>
      </c>
      <c r="CJ71" s="198" t="str">
        <f t="shared" si="70"/>
        <v/>
      </c>
      <c r="CK71" s="198" t="str">
        <f t="shared" si="70"/>
        <v/>
      </c>
      <c r="CL71" s="198" t="str">
        <f t="shared" si="70"/>
        <v/>
      </c>
      <c r="CM71" s="198" t="str">
        <f t="shared" si="70"/>
        <v/>
      </c>
      <c r="CN71" s="198" t="str">
        <f t="shared" si="70"/>
        <v/>
      </c>
      <c r="CO71" s="198" t="str">
        <f t="shared" si="70"/>
        <v/>
      </c>
      <c r="CP71" s="198" t="str">
        <f t="shared" si="70"/>
        <v/>
      </c>
      <c r="CQ71" s="198" t="str">
        <f t="shared" si="70"/>
        <v/>
      </c>
      <c r="CR71" s="198" t="str">
        <f t="shared" si="70"/>
        <v/>
      </c>
      <c r="CS71" s="198" t="str">
        <f t="shared" si="70"/>
        <v/>
      </c>
      <c r="CT71" s="198" t="str">
        <f t="shared" si="70"/>
        <v/>
      </c>
      <c r="CU71" s="198" t="str">
        <f t="shared" si="70"/>
        <v/>
      </c>
      <c r="CV71" s="198" t="str">
        <f t="shared" si="70"/>
        <v/>
      </c>
      <c r="CW71" s="198" t="str">
        <f t="shared" si="70"/>
        <v/>
      </c>
      <c r="CX71" s="198" t="str">
        <f t="shared" si="70"/>
        <v/>
      </c>
      <c r="CY71" s="198" t="str">
        <f t="shared" si="70"/>
        <v/>
      </c>
      <c r="CZ71" s="198" t="str">
        <f t="shared" si="70"/>
        <v/>
      </c>
      <c r="DA71" s="198" t="str">
        <f t="shared" si="70"/>
        <v/>
      </c>
      <c r="DB71" s="198" t="str">
        <f t="shared" si="70"/>
        <v/>
      </c>
      <c r="DC71" s="198" t="str">
        <f t="shared" si="70"/>
        <v/>
      </c>
      <c r="DE71" s="236"/>
      <c r="DF71" s="236"/>
      <c r="DG71" s="236"/>
      <c r="DH71" s="236"/>
      <c r="DI71" s="236"/>
      <c r="DJ71" s="236"/>
      <c r="DK71" s="236"/>
      <c r="DL71" s="236"/>
      <c r="DM71" s="236"/>
      <c r="DN71" s="236"/>
      <c r="DO71" s="236"/>
      <c r="DP71" s="236"/>
      <c r="DQ71" s="236"/>
      <c r="DR71" s="236"/>
      <c r="DS71" s="236"/>
      <c r="DT71" s="236"/>
      <c r="DU71" s="236"/>
      <c r="DV71" s="236"/>
      <c r="DW71" s="236"/>
      <c r="DX71" s="236"/>
      <c r="DY71" s="236"/>
      <c r="DZ71" s="236"/>
      <c r="EA71" s="236"/>
      <c r="EB71" s="236"/>
      <c r="EC71" s="236"/>
      <c r="ED71" s="236"/>
      <c r="EE71" s="236"/>
      <c r="EF71" s="236"/>
      <c r="EG71" s="236"/>
      <c r="EH71" s="236"/>
      <c r="EI71" s="236"/>
      <c r="EJ71" s="236"/>
      <c r="EK71" s="236"/>
      <c r="EL71" s="236"/>
      <c r="EM71" s="236"/>
      <c r="EN71" s="236"/>
      <c r="EO71" s="236"/>
      <c r="EP71" s="236"/>
      <c r="EQ71" s="236"/>
      <c r="ER71" s="236"/>
      <c r="ES71" s="236"/>
      <c r="ET71" s="236"/>
      <c r="EU71" s="236"/>
      <c r="EV71" s="236"/>
      <c r="EW71" s="236"/>
      <c r="EX71" s="236"/>
      <c r="EY71" s="236"/>
      <c r="EZ71" s="236"/>
      <c r="FA71" s="236"/>
      <c r="FB71" s="236"/>
      <c r="FC71" s="236"/>
      <c r="FD71" s="236"/>
      <c r="FE71" s="236"/>
      <c r="FF71" s="236"/>
      <c r="FG71" s="236"/>
      <c r="FH71" s="236"/>
      <c r="FI71" s="236"/>
      <c r="FJ71" s="236"/>
      <c r="FK71" s="236"/>
      <c r="FL71" s="236"/>
      <c r="FM71" s="236"/>
      <c r="FN71" s="236"/>
      <c r="FO71" s="236"/>
      <c r="FP71" s="236"/>
      <c r="FQ71" s="236"/>
      <c r="FR71" s="236"/>
      <c r="FS71" s="236"/>
      <c r="FT71" s="236"/>
      <c r="FU71" s="236"/>
      <c r="FV71" s="236"/>
      <c r="FW71" s="236"/>
      <c r="FX71" s="236"/>
      <c r="FY71" s="236"/>
      <c r="FZ71" s="236"/>
      <c r="GA71" s="236"/>
      <c r="GB71" s="236"/>
      <c r="GC71" s="236"/>
      <c r="GD71" s="236"/>
      <c r="GE71" s="236"/>
      <c r="GF71" s="236"/>
      <c r="GG71" s="236"/>
      <c r="GH71" s="236"/>
      <c r="GI71" s="236"/>
      <c r="GJ71" s="236"/>
      <c r="GK71" s="236"/>
      <c r="GL71" s="236"/>
      <c r="GM71" s="236"/>
      <c r="GN71" s="236"/>
      <c r="GO71" s="236"/>
      <c r="GP71" s="236"/>
      <c r="GQ71" s="236"/>
      <c r="GR71" s="236"/>
      <c r="GS71" s="236"/>
      <c r="GT71" s="236"/>
      <c r="GU71" s="236"/>
      <c r="GV71" s="236"/>
      <c r="GW71" s="236"/>
      <c r="GX71" s="236"/>
      <c r="GY71" s="236"/>
      <c r="GZ71" s="236"/>
      <c r="HA71" s="236"/>
      <c r="HB71" s="236"/>
      <c r="HC71" s="236"/>
      <c r="HD71" s="236"/>
    </row>
    <row r="72" ht="15.75" customHeight="1">
      <c r="A72" s="234">
        <v>72.0</v>
      </c>
      <c r="B72" s="198" t="s">
        <v>1517</v>
      </c>
      <c r="C72" s="198" t="str">
        <f t="shared" ref="C72:DC72" si="71">if(countif(DD:DD,$B72),INDIRECT(concat("B",$A72)),"")</f>
        <v/>
      </c>
      <c r="D72" s="198" t="str">
        <f t="shared" si="71"/>
        <v/>
      </c>
      <c r="E72" s="198" t="str">
        <f t="shared" si="71"/>
        <v/>
      </c>
      <c r="F72" s="198" t="str">
        <f t="shared" si="71"/>
        <v/>
      </c>
      <c r="G72" s="198" t="str">
        <f t="shared" si="71"/>
        <v/>
      </c>
      <c r="H72" s="198" t="str">
        <f t="shared" si="71"/>
        <v/>
      </c>
      <c r="I72" s="198" t="str">
        <f t="shared" si="71"/>
        <v/>
      </c>
      <c r="J72" s="198" t="str">
        <f t="shared" si="71"/>
        <v/>
      </c>
      <c r="K72" s="198" t="str">
        <f t="shared" si="71"/>
        <v/>
      </c>
      <c r="L72" s="198" t="str">
        <f t="shared" si="71"/>
        <v/>
      </c>
      <c r="M72" s="198" t="str">
        <f t="shared" si="71"/>
        <v/>
      </c>
      <c r="N72" s="198" t="str">
        <f t="shared" si="71"/>
        <v/>
      </c>
      <c r="O72" s="198" t="str">
        <f t="shared" si="71"/>
        <v/>
      </c>
      <c r="P72" s="198" t="str">
        <f t="shared" si="71"/>
        <v/>
      </c>
      <c r="Q72" s="198" t="str">
        <f t="shared" si="71"/>
        <v>4.2.1.105</v>
      </c>
      <c r="R72" s="198" t="str">
        <f t="shared" si="71"/>
        <v/>
      </c>
      <c r="S72" s="198" t="str">
        <f t="shared" si="71"/>
        <v/>
      </c>
      <c r="T72" s="198" t="str">
        <f t="shared" si="71"/>
        <v/>
      </c>
      <c r="U72" s="198" t="str">
        <f t="shared" si="71"/>
        <v/>
      </c>
      <c r="V72" s="198" t="str">
        <f t="shared" si="71"/>
        <v/>
      </c>
      <c r="W72" s="198" t="str">
        <f t="shared" si="71"/>
        <v/>
      </c>
      <c r="X72" s="198" t="str">
        <f t="shared" si="71"/>
        <v/>
      </c>
      <c r="Y72" s="198" t="str">
        <f t="shared" si="71"/>
        <v/>
      </c>
      <c r="Z72" s="198" t="str">
        <f t="shared" si="71"/>
        <v>4.2.1.105</v>
      </c>
      <c r="AA72" s="198" t="str">
        <f t="shared" si="71"/>
        <v/>
      </c>
      <c r="AB72" s="198" t="str">
        <f t="shared" si="71"/>
        <v/>
      </c>
      <c r="AC72" s="198" t="str">
        <f t="shared" si="71"/>
        <v/>
      </c>
      <c r="AD72" s="198" t="str">
        <f t="shared" si="71"/>
        <v/>
      </c>
      <c r="AE72" s="198" t="str">
        <f t="shared" si="71"/>
        <v/>
      </c>
      <c r="AF72" s="198" t="str">
        <f t="shared" si="71"/>
        <v/>
      </c>
      <c r="AG72" s="198" t="str">
        <f t="shared" si="71"/>
        <v/>
      </c>
      <c r="AH72" s="198" t="str">
        <f t="shared" si="71"/>
        <v/>
      </c>
      <c r="AI72" s="198" t="str">
        <f t="shared" si="71"/>
        <v/>
      </c>
      <c r="AJ72" s="198" t="str">
        <f t="shared" si="71"/>
        <v/>
      </c>
      <c r="AK72" s="198" t="str">
        <f t="shared" si="71"/>
        <v/>
      </c>
      <c r="AL72" s="198" t="str">
        <f t="shared" si="71"/>
        <v/>
      </c>
      <c r="AM72" s="198" t="str">
        <f t="shared" si="71"/>
        <v/>
      </c>
      <c r="AN72" s="198" t="str">
        <f t="shared" si="71"/>
        <v/>
      </c>
      <c r="AO72" s="198" t="str">
        <f t="shared" si="71"/>
        <v/>
      </c>
      <c r="AP72" s="198" t="str">
        <f t="shared" si="71"/>
        <v/>
      </c>
      <c r="AQ72" s="198" t="str">
        <f t="shared" si="71"/>
        <v/>
      </c>
      <c r="AR72" s="198" t="str">
        <f t="shared" si="71"/>
        <v/>
      </c>
      <c r="AS72" s="198" t="str">
        <f t="shared" si="71"/>
        <v>4.2.1.105</v>
      </c>
      <c r="AT72" s="198" t="str">
        <f t="shared" si="71"/>
        <v/>
      </c>
      <c r="AU72" s="198" t="str">
        <f t="shared" si="71"/>
        <v/>
      </c>
      <c r="AV72" s="198" t="str">
        <f t="shared" si="71"/>
        <v/>
      </c>
      <c r="AW72" s="198" t="str">
        <f t="shared" si="71"/>
        <v/>
      </c>
      <c r="AX72" s="198" t="str">
        <f t="shared" si="71"/>
        <v/>
      </c>
      <c r="AY72" s="198" t="str">
        <f t="shared" si="71"/>
        <v/>
      </c>
      <c r="AZ72" s="198" t="str">
        <f t="shared" si="71"/>
        <v/>
      </c>
      <c r="BA72" s="198" t="str">
        <f t="shared" si="71"/>
        <v/>
      </c>
      <c r="BB72" s="198" t="str">
        <f t="shared" si="71"/>
        <v/>
      </c>
      <c r="BC72" s="198" t="str">
        <f t="shared" si="71"/>
        <v/>
      </c>
      <c r="BD72" s="198" t="str">
        <f t="shared" si="71"/>
        <v>4.2.1.105</v>
      </c>
      <c r="BE72" s="198" t="str">
        <f t="shared" si="71"/>
        <v/>
      </c>
      <c r="BF72" s="198" t="str">
        <f t="shared" si="71"/>
        <v/>
      </c>
      <c r="BG72" s="198" t="str">
        <f t="shared" si="71"/>
        <v/>
      </c>
      <c r="BH72" s="198" t="str">
        <f t="shared" si="71"/>
        <v/>
      </c>
      <c r="BI72" s="198" t="str">
        <f t="shared" si="71"/>
        <v/>
      </c>
      <c r="BJ72" s="198" t="str">
        <f t="shared" si="71"/>
        <v/>
      </c>
      <c r="BK72" s="198" t="str">
        <f t="shared" si="71"/>
        <v/>
      </c>
      <c r="BL72" s="198" t="str">
        <f t="shared" si="71"/>
        <v/>
      </c>
      <c r="BM72" s="198" t="str">
        <f t="shared" si="71"/>
        <v/>
      </c>
      <c r="BN72" s="198" t="str">
        <f t="shared" si="71"/>
        <v/>
      </c>
      <c r="BO72" s="198" t="str">
        <f t="shared" si="71"/>
        <v/>
      </c>
      <c r="BP72" s="198" t="str">
        <f t="shared" si="71"/>
        <v/>
      </c>
      <c r="BQ72" s="198" t="str">
        <f t="shared" si="71"/>
        <v/>
      </c>
      <c r="BR72" s="198" t="str">
        <f t="shared" si="71"/>
        <v/>
      </c>
      <c r="BS72" s="198" t="str">
        <f t="shared" si="71"/>
        <v/>
      </c>
      <c r="BT72" s="198" t="str">
        <f t="shared" si="71"/>
        <v/>
      </c>
      <c r="BU72" s="198" t="str">
        <f t="shared" si="71"/>
        <v/>
      </c>
      <c r="BV72" s="198" t="str">
        <f t="shared" si="71"/>
        <v/>
      </c>
      <c r="BW72" s="198" t="str">
        <f t="shared" si="71"/>
        <v/>
      </c>
      <c r="BX72" s="198" t="str">
        <f t="shared" si="71"/>
        <v/>
      </c>
      <c r="BY72" s="198" t="str">
        <f t="shared" si="71"/>
        <v>4.2.1.105</v>
      </c>
      <c r="BZ72" s="198" t="str">
        <f t="shared" si="71"/>
        <v/>
      </c>
      <c r="CA72" s="198" t="str">
        <f t="shared" si="71"/>
        <v/>
      </c>
      <c r="CB72" s="198" t="str">
        <f t="shared" si="71"/>
        <v/>
      </c>
      <c r="CC72" s="198" t="str">
        <f t="shared" si="71"/>
        <v/>
      </c>
      <c r="CD72" s="198" t="str">
        <f t="shared" si="71"/>
        <v/>
      </c>
      <c r="CE72" s="198" t="str">
        <f t="shared" si="71"/>
        <v/>
      </c>
      <c r="CF72" s="198" t="str">
        <f t="shared" si="71"/>
        <v/>
      </c>
      <c r="CG72" s="198" t="str">
        <f t="shared" si="71"/>
        <v/>
      </c>
      <c r="CH72" s="198" t="str">
        <f t="shared" si="71"/>
        <v/>
      </c>
      <c r="CI72" s="198" t="str">
        <f t="shared" si="71"/>
        <v/>
      </c>
      <c r="CJ72" s="198" t="str">
        <f t="shared" si="71"/>
        <v/>
      </c>
      <c r="CK72" s="198" t="str">
        <f t="shared" si="71"/>
        <v/>
      </c>
      <c r="CL72" s="198" t="str">
        <f t="shared" si="71"/>
        <v/>
      </c>
      <c r="CM72" s="198" t="str">
        <f t="shared" si="71"/>
        <v/>
      </c>
      <c r="CN72" s="198" t="str">
        <f t="shared" si="71"/>
        <v/>
      </c>
      <c r="CO72" s="198" t="str">
        <f t="shared" si="71"/>
        <v/>
      </c>
      <c r="CP72" s="198" t="str">
        <f t="shared" si="71"/>
        <v/>
      </c>
      <c r="CQ72" s="198" t="str">
        <f t="shared" si="71"/>
        <v/>
      </c>
      <c r="CR72" s="198" t="str">
        <f t="shared" si="71"/>
        <v/>
      </c>
      <c r="CS72" s="198" t="str">
        <f t="shared" si="71"/>
        <v/>
      </c>
      <c r="CT72" s="198" t="str">
        <f t="shared" si="71"/>
        <v>4.2.1.105</v>
      </c>
      <c r="CU72" s="198" t="str">
        <f t="shared" si="71"/>
        <v>4.2.1.105</v>
      </c>
      <c r="CV72" s="198" t="str">
        <f t="shared" si="71"/>
        <v/>
      </c>
      <c r="CW72" s="198" t="str">
        <f t="shared" si="71"/>
        <v/>
      </c>
      <c r="CX72" s="198" t="str">
        <f t="shared" si="71"/>
        <v/>
      </c>
      <c r="CY72" s="198" t="str">
        <f t="shared" si="71"/>
        <v/>
      </c>
      <c r="CZ72" s="198" t="str">
        <f t="shared" si="71"/>
        <v>4.2.1.105</v>
      </c>
      <c r="DA72" s="198" t="str">
        <f t="shared" si="71"/>
        <v/>
      </c>
      <c r="DB72" s="198" t="str">
        <f t="shared" si="71"/>
        <v/>
      </c>
      <c r="DC72" s="198" t="str">
        <f t="shared" si="71"/>
        <v>4.2.1.105</v>
      </c>
      <c r="DE72" s="236"/>
      <c r="DF72" s="236"/>
      <c r="DG72" s="236"/>
      <c r="DH72" s="236"/>
      <c r="DI72" s="236"/>
      <c r="DJ72" s="236"/>
      <c r="DK72" s="236"/>
      <c r="DL72" s="236"/>
      <c r="DM72" s="236"/>
      <c r="DN72" s="236"/>
      <c r="DO72" s="236"/>
      <c r="DP72" s="236"/>
      <c r="DQ72" s="236"/>
      <c r="DR72" s="236"/>
      <c r="DS72" s="236"/>
      <c r="DT72" s="236"/>
      <c r="DU72" s="236"/>
      <c r="DV72" s="236"/>
      <c r="DW72" s="236"/>
      <c r="DX72" s="236"/>
      <c r="DY72" s="236"/>
      <c r="DZ72" s="236"/>
      <c r="EA72" s="236"/>
      <c r="EB72" s="236"/>
      <c r="EC72" s="236"/>
      <c r="ED72" s="236"/>
      <c r="EE72" s="236"/>
      <c r="EF72" s="236"/>
      <c r="EG72" s="236"/>
      <c r="EH72" s="236"/>
      <c r="EI72" s="236"/>
      <c r="EJ72" s="236"/>
      <c r="EK72" s="236"/>
      <c r="EL72" s="236"/>
      <c r="EM72" s="236"/>
      <c r="EN72" s="236"/>
      <c r="EO72" s="236"/>
      <c r="EP72" s="236"/>
      <c r="EQ72" s="236"/>
      <c r="ER72" s="236"/>
      <c r="ES72" s="236"/>
      <c r="ET72" s="236"/>
      <c r="EU72" s="236"/>
      <c r="EV72" s="236"/>
      <c r="EW72" s="236"/>
      <c r="EX72" s="236"/>
      <c r="EY72" s="236"/>
      <c r="EZ72" s="236"/>
      <c r="FA72" s="236"/>
      <c r="FB72" s="236"/>
      <c r="FC72" s="236"/>
      <c r="FD72" s="236"/>
      <c r="FE72" s="236"/>
      <c r="FF72" s="236"/>
      <c r="FG72" s="236"/>
      <c r="FH72" s="236"/>
      <c r="FI72" s="236"/>
      <c r="FJ72" s="236"/>
      <c r="FK72" s="236"/>
      <c r="FL72" s="236"/>
      <c r="FM72" s="236"/>
      <c r="FN72" s="236"/>
      <c r="FO72" s="236"/>
      <c r="FP72" s="236"/>
      <c r="FQ72" s="236"/>
      <c r="FR72" s="236"/>
      <c r="FS72" s="236"/>
      <c r="FT72" s="236"/>
      <c r="FU72" s="236"/>
      <c r="FV72" s="236"/>
      <c r="FW72" s="236"/>
      <c r="FX72" s="236"/>
      <c r="FY72" s="236"/>
      <c r="FZ72" s="236"/>
      <c r="GA72" s="236"/>
      <c r="GB72" s="236"/>
      <c r="GC72" s="236"/>
      <c r="GD72" s="236"/>
      <c r="GE72" s="236"/>
      <c r="GF72" s="236"/>
      <c r="GG72" s="236"/>
      <c r="GH72" s="236"/>
      <c r="GI72" s="236"/>
      <c r="GJ72" s="236"/>
      <c r="GK72" s="236"/>
      <c r="GL72" s="236"/>
      <c r="GM72" s="236"/>
      <c r="GN72" s="236"/>
      <c r="GO72" s="236"/>
      <c r="GP72" s="236"/>
      <c r="GQ72" s="236"/>
      <c r="GR72" s="236"/>
      <c r="GS72" s="236"/>
      <c r="GT72" s="236"/>
      <c r="GU72" s="236"/>
      <c r="GV72" s="236"/>
      <c r="GW72" s="236"/>
      <c r="GX72" s="236"/>
      <c r="GY72" s="236"/>
      <c r="GZ72" s="236"/>
      <c r="HA72" s="236"/>
      <c r="HB72" s="236"/>
      <c r="HC72" s="236"/>
      <c r="HD72" s="236"/>
    </row>
    <row r="73" ht="15.75" customHeight="1">
      <c r="A73" s="234">
        <v>73.0</v>
      </c>
      <c r="B73" s="236" t="s">
        <v>1479</v>
      </c>
      <c r="C73" s="198" t="str">
        <f t="shared" ref="C73:DC73" si="72">if(countif(DD:DD,$B73),INDIRECT(concat("B",$A73)),"")</f>
        <v>4.3.1.24</v>
      </c>
      <c r="D73" s="198" t="str">
        <f t="shared" si="72"/>
        <v>4.3.1.24</v>
      </c>
      <c r="E73" s="198" t="str">
        <f t="shared" si="72"/>
        <v>4.3.1.24</v>
      </c>
      <c r="F73" s="198" t="str">
        <f t="shared" si="72"/>
        <v>4.3.1.24</v>
      </c>
      <c r="G73" s="198" t="str">
        <f t="shared" si="72"/>
        <v>4.3.1.24</v>
      </c>
      <c r="H73" s="198" t="str">
        <f t="shared" si="72"/>
        <v>4.3.1.24</v>
      </c>
      <c r="I73" s="198" t="str">
        <f t="shared" si="72"/>
        <v>4.3.1.24</v>
      </c>
      <c r="J73" s="198" t="str">
        <f t="shared" si="72"/>
        <v/>
      </c>
      <c r="K73" s="198" t="str">
        <f t="shared" si="72"/>
        <v/>
      </c>
      <c r="L73" s="198" t="str">
        <f t="shared" si="72"/>
        <v>4.3.1.24</v>
      </c>
      <c r="M73" s="198" t="str">
        <f t="shared" si="72"/>
        <v>4.3.1.24</v>
      </c>
      <c r="N73" s="198" t="str">
        <f t="shared" si="72"/>
        <v>4.3.1.24</v>
      </c>
      <c r="O73" s="198" t="str">
        <f t="shared" si="72"/>
        <v>4.3.1.24</v>
      </c>
      <c r="P73" s="198" t="str">
        <f t="shared" si="72"/>
        <v>4.3.1.24</v>
      </c>
      <c r="Q73" s="198" t="str">
        <f t="shared" si="72"/>
        <v>4.3.1.24</v>
      </c>
      <c r="R73" s="198" t="str">
        <f t="shared" si="72"/>
        <v>4.3.1.24</v>
      </c>
      <c r="S73" s="198" t="str">
        <f t="shared" si="72"/>
        <v>4.3.1.24</v>
      </c>
      <c r="T73" s="198" t="str">
        <f t="shared" si="72"/>
        <v>4.3.1.24</v>
      </c>
      <c r="U73" s="198" t="str">
        <f t="shared" si="72"/>
        <v>4.3.1.24</v>
      </c>
      <c r="V73" s="198" t="str">
        <f t="shared" si="72"/>
        <v>4.3.1.24</v>
      </c>
      <c r="W73" s="198" t="str">
        <f t="shared" si="72"/>
        <v/>
      </c>
      <c r="X73" s="198" t="str">
        <f t="shared" si="72"/>
        <v/>
      </c>
      <c r="Y73" s="198" t="str">
        <f t="shared" si="72"/>
        <v/>
      </c>
      <c r="Z73" s="198" t="str">
        <f t="shared" si="72"/>
        <v>4.3.1.24</v>
      </c>
      <c r="AA73" s="198" t="str">
        <f t="shared" si="72"/>
        <v>4.3.1.24</v>
      </c>
      <c r="AB73" s="198" t="str">
        <f t="shared" si="72"/>
        <v>4.3.1.24</v>
      </c>
      <c r="AC73" s="198" t="str">
        <f t="shared" si="72"/>
        <v/>
      </c>
      <c r="AD73" s="198" t="str">
        <f t="shared" si="72"/>
        <v>4.3.1.24</v>
      </c>
      <c r="AE73" s="198" t="str">
        <f t="shared" si="72"/>
        <v>4.3.1.24</v>
      </c>
      <c r="AF73" s="198" t="str">
        <f t="shared" si="72"/>
        <v>4.3.1.24</v>
      </c>
      <c r="AG73" s="198" t="str">
        <f t="shared" si="72"/>
        <v>4.3.1.24</v>
      </c>
      <c r="AH73" s="198" t="str">
        <f t="shared" si="72"/>
        <v>4.3.1.24</v>
      </c>
      <c r="AI73" s="198" t="str">
        <f t="shared" si="72"/>
        <v/>
      </c>
      <c r="AJ73" s="198" t="str">
        <f t="shared" si="72"/>
        <v>4.3.1.24</v>
      </c>
      <c r="AK73" s="198" t="str">
        <f t="shared" si="72"/>
        <v>4.3.1.24</v>
      </c>
      <c r="AL73" s="198" t="str">
        <f t="shared" si="72"/>
        <v>4.3.1.24</v>
      </c>
      <c r="AM73" s="198" t="str">
        <f t="shared" si="72"/>
        <v>4.3.1.24</v>
      </c>
      <c r="AN73" s="198" t="str">
        <f t="shared" si="72"/>
        <v>4.3.1.24</v>
      </c>
      <c r="AO73" s="198" t="str">
        <f t="shared" si="72"/>
        <v>4.3.1.24</v>
      </c>
      <c r="AP73" s="198" t="str">
        <f t="shared" si="72"/>
        <v>4.3.1.24</v>
      </c>
      <c r="AQ73" s="198" t="str">
        <f t="shared" si="72"/>
        <v>4.3.1.24</v>
      </c>
      <c r="AR73" s="198" t="str">
        <f t="shared" si="72"/>
        <v/>
      </c>
      <c r="AS73" s="198" t="str">
        <f t="shared" si="72"/>
        <v>4.3.1.24</v>
      </c>
      <c r="AT73" s="198" t="str">
        <f t="shared" si="72"/>
        <v>4.3.1.24</v>
      </c>
      <c r="AU73" s="198" t="str">
        <f t="shared" si="72"/>
        <v>4.3.1.24</v>
      </c>
      <c r="AV73" s="198" t="str">
        <f t="shared" si="72"/>
        <v>4.3.1.24</v>
      </c>
      <c r="AW73" s="198" t="str">
        <f t="shared" si="72"/>
        <v>4.3.1.24</v>
      </c>
      <c r="AX73" s="198" t="str">
        <f t="shared" si="72"/>
        <v>4.3.1.24</v>
      </c>
      <c r="AY73" s="198" t="str">
        <f t="shared" si="72"/>
        <v>4.3.1.24</v>
      </c>
      <c r="AZ73" s="198" t="str">
        <f t="shared" si="72"/>
        <v>4.3.1.24</v>
      </c>
      <c r="BA73" s="198" t="str">
        <f t="shared" si="72"/>
        <v>4.3.1.24</v>
      </c>
      <c r="BB73" s="198" t="str">
        <f t="shared" si="72"/>
        <v>4.3.1.24</v>
      </c>
      <c r="BC73" s="198" t="str">
        <f t="shared" si="72"/>
        <v>4.3.1.24</v>
      </c>
      <c r="BD73" s="198" t="str">
        <f t="shared" si="72"/>
        <v>4.3.1.24</v>
      </c>
      <c r="BE73" s="198" t="str">
        <f t="shared" si="72"/>
        <v>4.3.1.24</v>
      </c>
      <c r="BF73" s="198" t="str">
        <f t="shared" si="72"/>
        <v>4.3.1.24</v>
      </c>
      <c r="BG73" s="198" t="str">
        <f t="shared" si="72"/>
        <v/>
      </c>
      <c r="BH73" s="198" t="str">
        <f t="shared" si="72"/>
        <v/>
      </c>
      <c r="BI73" s="198" t="str">
        <f t="shared" si="72"/>
        <v>4.3.1.24</v>
      </c>
      <c r="BJ73" s="198" t="str">
        <f t="shared" si="72"/>
        <v/>
      </c>
      <c r="BK73" s="198" t="str">
        <f t="shared" si="72"/>
        <v>4.3.1.24</v>
      </c>
      <c r="BL73" s="198" t="str">
        <f t="shared" si="72"/>
        <v>4.3.1.24</v>
      </c>
      <c r="BM73" s="198" t="str">
        <f t="shared" si="72"/>
        <v>4.3.1.24</v>
      </c>
      <c r="BN73" s="198" t="str">
        <f t="shared" si="72"/>
        <v>4.3.1.24</v>
      </c>
      <c r="BO73" s="198" t="str">
        <f t="shared" si="72"/>
        <v>4.3.1.24</v>
      </c>
      <c r="BP73" s="198" t="str">
        <f t="shared" si="72"/>
        <v>4.3.1.24</v>
      </c>
      <c r="BQ73" s="198" t="str">
        <f t="shared" si="72"/>
        <v>4.3.1.24</v>
      </c>
      <c r="BR73" s="198" t="str">
        <f t="shared" si="72"/>
        <v>4.3.1.24</v>
      </c>
      <c r="BS73" s="198" t="str">
        <f t="shared" si="72"/>
        <v>4.3.1.24</v>
      </c>
      <c r="BT73" s="198" t="str">
        <f t="shared" si="72"/>
        <v>4.3.1.24</v>
      </c>
      <c r="BU73" s="198" t="str">
        <f t="shared" si="72"/>
        <v/>
      </c>
      <c r="BV73" s="198" t="str">
        <f t="shared" si="72"/>
        <v/>
      </c>
      <c r="BW73" s="198" t="str">
        <f t="shared" si="72"/>
        <v>4.3.1.24</v>
      </c>
      <c r="BX73" s="198" t="str">
        <f t="shared" si="72"/>
        <v>4.3.1.24</v>
      </c>
      <c r="BY73" s="198" t="str">
        <f t="shared" si="72"/>
        <v>4.3.1.24</v>
      </c>
      <c r="BZ73" s="198" t="str">
        <f t="shared" si="72"/>
        <v>4.3.1.24</v>
      </c>
      <c r="CA73" s="198" t="str">
        <f t="shared" si="72"/>
        <v>4.3.1.24</v>
      </c>
      <c r="CB73" s="198" t="str">
        <f t="shared" si="72"/>
        <v>4.3.1.24</v>
      </c>
      <c r="CC73" s="198" t="str">
        <f t="shared" si="72"/>
        <v>4.3.1.24</v>
      </c>
      <c r="CD73" s="198" t="str">
        <f t="shared" si="72"/>
        <v>4.3.1.24</v>
      </c>
      <c r="CE73" s="198" t="str">
        <f t="shared" si="72"/>
        <v>4.3.1.24</v>
      </c>
      <c r="CF73" s="198" t="str">
        <f t="shared" si="72"/>
        <v>4.3.1.24</v>
      </c>
      <c r="CG73" s="198" t="str">
        <f t="shared" si="72"/>
        <v>4.3.1.24</v>
      </c>
      <c r="CH73" s="198" t="str">
        <f t="shared" si="72"/>
        <v>4.3.1.24</v>
      </c>
      <c r="CI73" s="198" t="str">
        <f t="shared" si="72"/>
        <v>4.3.1.24</v>
      </c>
      <c r="CJ73" s="198" t="str">
        <f t="shared" si="72"/>
        <v>4.3.1.24</v>
      </c>
      <c r="CK73" s="198" t="str">
        <f t="shared" si="72"/>
        <v>4.3.1.24</v>
      </c>
      <c r="CL73" s="198" t="str">
        <f t="shared" si="72"/>
        <v>4.3.1.24</v>
      </c>
      <c r="CM73" s="198" t="str">
        <f t="shared" si="72"/>
        <v>4.3.1.24</v>
      </c>
      <c r="CN73" s="198" t="str">
        <f t="shared" si="72"/>
        <v>4.3.1.24</v>
      </c>
      <c r="CO73" s="198" t="str">
        <f t="shared" si="72"/>
        <v>4.3.1.24</v>
      </c>
      <c r="CP73" s="198" t="str">
        <f t="shared" si="72"/>
        <v>4.3.1.24</v>
      </c>
      <c r="CQ73" s="198" t="str">
        <f t="shared" si="72"/>
        <v>4.3.1.24</v>
      </c>
      <c r="CR73" s="198" t="str">
        <f t="shared" si="72"/>
        <v>4.3.1.24</v>
      </c>
      <c r="CS73" s="198" t="str">
        <f t="shared" si="72"/>
        <v>4.3.1.24</v>
      </c>
      <c r="CT73" s="198" t="str">
        <f t="shared" si="72"/>
        <v>4.3.1.24</v>
      </c>
      <c r="CU73" s="198" t="str">
        <f t="shared" si="72"/>
        <v>4.3.1.24</v>
      </c>
      <c r="CV73" s="198" t="str">
        <f t="shared" si="72"/>
        <v>4.3.1.24</v>
      </c>
      <c r="CW73" s="198" t="str">
        <f t="shared" si="72"/>
        <v/>
      </c>
      <c r="CX73" s="198" t="str">
        <f t="shared" si="72"/>
        <v>4.3.1.24</v>
      </c>
      <c r="CY73" s="198" t="str">
        <f t="shared" si="72"/>
        <v>4.3.1.24</v>
      </c>
      <c r="CZ73" s="198" t="str">
        <f t="shared" si="72"/>
        <v>4.3.1.24</v>
      </c>
      <c r="DA73" s="198" t="str">
        <f t="shared" si="72"/>
        <v>4.3.1.24</v>
      </c>
      <c r="DB73" s="198" t="str">
        <f t="shared" si="72"/>
        <v>4.3.1.24</v>
      </c>
      <c r="DC73" s="198" t="str">
        <f t="shared" si="72"/>
        <v>4.3.1.24</v>
      </c>
      <c r="DE73" s="236"/>
      <c r="DF73" s="236"/>
      <c r="DG73" s="236"/>
      <c r="DH73" s="236"/>
      <c r="DI73" s="236"/>
      <c r="DJ73" s="236"/>
      <c r="DK73" s="236"/>
      <c r="DL73" s="236"/>
      <c r="DM73" s="236"/>
      <c r="DN73" s="236"/>
      <c r="DO73" s="236"/>
      <c r="DP73" s="236"/>
      <c r="DQ73" s="236"/>
      <c r="DR73" s="236"/>
      <c r="DS73" s="236"/>
      <c r="DT73" s="236"/>
      <c r="DU73" s="236"/>
      <c r="DV73" s="236"/>
      <c r="DW73" s="236"/>
      <c r="DX73" s="236"/>
      <c r="DY73" s="236"/>
      <c r="DZ73" s="236"/>
      <c r="EA73" s="236"/>
      <c r="EB73" s="236"/>
      <c r="EC73" s="236"/>
      <c r="ED73" s="236"/>
      <c r="EE73" s="236"/>
      <c r="EF73" s="236"/>
      <c r="EG73" s="236"/>
      <c r="EH73" s="236"/>
      <c r="EI73" s="236"/>
      <c r="EJ73" s="236"/>
      <c r="EK73" s="236"/>
      <c r="EL73" s="236"/>
      <c r="EM73" s="236"/>
      <c r="EN73" s="236"/>
      <c r="EO73" s="236"/>
      <c r="EP73" s="236"/>
      <c r="EQ73" s="236"/>
      <c r="ER73" s="236"/>
      <c r="ES73" s="236"/>
      <c r="ET73" s="236"/>
      <c r="EU73" s="236"/>
      <c r="EV73" s="236"/>
      <c r="EW73" s="236"/>
      <c r="EX73" s="236"/>
      <c r="EY73" s="236"/>
      <c r="EZ73" s="236"/>
      <c r="FA73" s="236"/>
      <c r="FB73" s="236"/>
      <c r="FC73" s="236"/>
      <c r="FD73" s="236"/>
      <c r="FE73" s="236"/>
      <c r="FF73" s="236"/>
      <c r="FG73" s="236"/>
      <c r="FH73" s="236"/>
      <c r="FI73" s="236"/>
      <c r="FJ73" s="236"/>
      <c r="FK73" s="236"/>
      <c r="FL73" s="236"/>
      <c r="FM73" s="236"/>
      <c r="FN73" s="236"/>
      <c r="FO73" s="236"/>
      <c r="FP73" s="236"/>
      <c r="FQ73" s="236"/>
      <c r="FR73" s="236"/>
      <c r="FS73" s="236"/>
      <c r="FT73" s="236"/>
      <c r="FU73" s="236"/>
      <c r="FV73" s="236"/>
      <c r="FW73" s="236"/>
      <c r="FX73" s="236"/>
      <c r="FY73" s="236"/>
      <c r="FZ73" s="236"/>
      <c r="GA73" s="236"/>
      <c r="GB73" s="236"/>
      <c r="GC73" s="236"/>
      <c r="GD73" s="236"/>
      <c r="GE73" s="236"/>
      <c r="GF73" s="236"/>
      <c r="GG73" s="236"/>
      <c r="GH73" s="236"/>
      <c r="GI73" s="236"/>
      <c r="GJ73" s="236"/>
      <c r="GK73" s="236"/>
      <c r="GL73" s="236"/>
      <c r="GM73" s="236"/>
      <c r="GN73" s="236"/>
      <c r="GO73" s="236"/>
      <c r="GP73" s="236"/>
      <c r="GQ73" s="236"/>
      <c r="GR73" s="236"/>
      <c r="GS73" s="236"/>
      <c r="GT73" s="236"/>
      <c r="GU73" s="236"/>
      <c r="GV73" s="236"/>
      <c r="GW73" s="236"/>
      <c r="GX73" s="236"/>
      <c r="GY73" s="236"/>
      <c r="GZ73" s="236"/>
      <c r="HA73" s="236"/>
      <c r="HB73" s="236"/>
      <c r="HC73" s="236"/>
      <c r="HD73" s="236"/>
    </row>
    <row r="74" ht="15.75" customHeight="1">
      <c r="A74" s="234">
        <v>74.0</v>
      </c>
      <c r="B74" s="198" t="s">
        <v>1480</v>
      </c>
      <c r="C74" s="198" t="str">
        <f t="shared" ref="C74:DC74" si="73">if(countif(DD:DD,$B74),INDIRECT(concat("B",$A74)),"")</f>
        <v>4.3.1.25</v>
      </c>
      <c r="D74" s="198" t="str">
        <f t="shared" si="73"/>
        <v/>
      </c>
      <c r="E74" s="198" t="str">
        <f t="shared" si="73"/>
        <v/>
      </c>
      <c r="F74" s="198" t="str">
        <f t="shared" si="73"/>
        <v/>
      </c>
      <c r="G74" s="198" t="str">
        <f t="shared" si="73"/>
        <v/>
      </c>
      <c r="H74" s="198" t="str">
        <f t="shared" si="73"/>
        <v/>
      </c>
      <c r="I74" s="198" t="str">
        <f t="shared" si="73"/>
        <v/>
      </c>
      <c r="J74" s="198" t="str">
        <f t="shared" si="73"/>
        <v/>
      </c>
      <c r="K74" s="198" t="str">
        <f t="shared" si="73"/>
        <v/>
      </c>
      <c r="L74" s="198" t="str">
        <f t="shared" si="73"/>
        <v/>
      </c>
      <c r="M74" s="198" t="str">
        <f t="shared" si="73"/>
        <v>4.3.1.25</v>
      </c>
      <c r="N74" s="198" t="str">
        <f t="shared" si="73"/>
        <v/>
      </c>
      <c r="O74" s="198" t="str">
        <f t="shared" si="73"/>
        <v/>
      </c>
      <c r="P74" s="198" t="str">
        <f t="shared" si="73"/>
        <v/>
      </c>
      <c r="Q74" s="198" t="str">
        <f t="shared" si="73"/>
        <v/>
      </c>
      <c r="R74" s="198" t="str">
        <f t="shared" si="73"/>
        <v/>
      </c>
      <c r="S74" s="198" t="str">
        <f t="shared" si="73"/>
        <v/>
      </c>
      <c r="T74" s="198" t="str">
        <f t="shared" si="73"/>
        <v/>
      </c>
      <c r="U74" s="198" t="str">
        <f t="shared" si="73"/>
        <v/>
      </c>
      <c r="V74" s="198" t="str">
        <f t="shared" si="73"/>
        <v/>
      </c>
      <c r="W74" s="198" t="str">
        <f t="shared" si="73"/>
        <v/>
      </c>
      <c r="X74" s="198" t="str">
        <f t="shared" si="73"/>
        <v/>
      </c>
      <c r="Y74" s="198" t="str">
        <f t="shared" si="73"/>
        <v/>
      </c>
      <c r="Z74" s="198" t="str">
        <f t="shared" si="73"/>
        <v/>
      </c>
      <c r="AA74" s="198" t="str">
        <f t="shared" si="73"/>
        <v/>
      </c>
      <c r="AB74" s="198" t="str">
        <f t="shared" si="73"/>
        <v/>
      </c>
      <c r="AC74" s="198" t="str">
        <f t="shared" si="73"/>
        <v/>
      </c>
      <c r="AD74" s="198" t="str">
        <f t="shared" si="73"/>
        <v/>
      </c>
      <c r="AE74" s="198" t="str">
        <f t="shared" si="73"/>
        <v/>
      </c>
      <c r="AF74" s="198" t="str">
        <f t="shared" si="73"/>
        <v/>
      </c>
      <c r="AG74" s="198" t="str">
        <f t="shared" si="73"/>
        <v/>
      </c>
      <c r="AH74" s="198" t="str">
        <f t="shared" si="73"/>
        <v/>
      </c>
      <c r="AI74" s="198" t="str">
        <f t="shared" si="73"/>
        <v/>
      </c>
      <c r="AJ74" s="198" t="str">
        <f t="shared" si="73"/>
        <v/>
      </c>
      <c r="AK74" s="198" t="str">
        <f t="shared" si="73"/>
        <v/>
      </c>
      <c r="AL74" s="198" t="str">
        <f t="shared" si="73"/>
        <v/>
      </c>
      <c r="AM74" s="198" t="str">
        <f t="shared" si="73"/>
        <v/>
      </c>
      <c r="AN74" s="198" t="str">
        <f t="shared" si="73"/>
        <v/>
      </c>
      <c r="AO74" s="198" t="str">
        <f t="shared" si="73"/>
        <v/>
      </c>
      <c r="AP74" s="198" t="str">
        <f t="shared" si="73"/>
        <v/>
      </c>
      <c r="AQ74" s="198" t="str">
        <f t="shared" si="73"/>
        <v/>
      </c>
      <c r="AR74" s="198" t="str">
        <f t="shared" si="73"/>
        <v/>
      </c>
      <c r="AS74" s="198" t="str">
        <f t="shared" si="73"/>
        <v/>
      </c>
      <c r="AT74" s="198" t="str">
        <f t="shared" si="73"/>
        <v/>
      </c>
      <c r="AU74" s="198" t="str">
        <f t="shared" si="73"/>
        <v/>
      </c>
      <c r="AV74" s="198" t="str">
        <f t="shared" si="73"/>
        <v/>
      </c>
      <c r="AW74" s="198" t="str">
        <f t="shared" si="73"/>
        <v/>
      </c>
      <c r="AX74" s="198" t="str">
        <f t="shared" si="73"/>
        <v/>
      </c>
      <c r="AY74" s="198" t="str">
        <f t="shared" si="73"/>
        <v/>
      </c>
      <c r="AZ74" s="198" t="str">
        <f t="shared" si="73"/>
        <v/>
      </c>
      <c r="BA74" s="198" t="str">
        <f t="shared" si="73"/>
        <v/>
      </c>
      <c r="BB74" s="198" t="str">
        <f t="shared" si="73"/>
        <v/>
      </c>
      <c r="BC74" s="198" t="str">
        <f t="shared" si="73"/>
        <v/>
      </c>
      <c r="BD74" s="198" t="str">
        <f t="shared" si="73"/>
        <v/>
      </c>
      <c r="BE74" s="198" t="str">
        <f t="shared" si="73"/>
        <v/>
      </c>
      <c r="BF74" s="198" t="str">
        <f t="shared" si="73"/>
        <v/>
      </c>
      <c r="BG74" s="198" t="str">
        <f t="shared" si="73"/>
        <v/>
      </c>
      <c r="BH74" s="198" t="str">
        <f t="shared" si="73"/>
        <v/>
      </c>
      <c r="BI74" s="198" t="str">
        <f t="shared" si="73"/>
        <v/>
      </c>
      <c r="BJ74" s="198" t="str">
        <f t="shared" si="73"/>
        <v/>
      </c>
      <c r="BK74" s="198" t="str">
        <f t="shared" si="73"/>
        <v/>
      </c>
      <c r="BL74" s="198" t="str">
        <f t="shared" si="73"/>
        <v/>
      </c>
      <c r="BM74" s="198" t="str">
        <f t="shared" si="73"/>
        <v/>
      </c>
      <c r="BN74" s="198" t="str">
        <f t="shared" si="73"/>
        <v/>
      </c>
      <c r="BO74" s="198" t="str">
        <f t="shared" si="73"/>
        <v/>
      </c>
      <c r="BP74" s="198" t="str">
        <f t="shared" si="73"/>
        <v/>
      </c>
      <c r="BQ74" s="198" t="str">
        <f t="shared" si="73"/>
        <v/>
      </c>
      <c r="BR74" s="198" t="str">
        <f t="shared" si="73"/>
        <v>4.3.1.25</v>
      </c>
      <c r="BS74" s="198" t="str">
        <f t="shared" si="73"/>
        <v>4.3.1.25</v>
      </c>
      <c r="BT74" s="198" t="str">
        <f t="shared" si="73"/>
        <v>4.3.1.25</v>
      </c>
      <c r="BU74" s="198" t="str">
        <f t="shared" si="73"/>
        <v/>
      </c>
      <c r="BV74" s="198" t="str">
        <f t="shared" si="73"/>
        <v/>
      </c>
      <c r="BW74" s="198" t="str">
        <f t="shared" si="73"/>
        <v/>
      </c>
      <c r="BX74" s="198" t="str">
        <f t="shared" si="73"/>
        <v/>
      </c>
      <c r="BY74" s="198" t="str">
        <f t="shared" si="73"/>
        <v/>
      </c>
      <c r="BZ74" s="198" t="str">
        <f t="shared" si="73"/>
        <v/>
      </c>
      <c r="CA74" s="198" t="str">
        <f t="shared" si="73"/>
        <v/>
      </c>
      <c r="CB74" s="198" t="str">
        <f t="shared" si="73"/>
        <v/>
      </c>
      <c r="CC74" s="198" t="str">
        <f t="shared" si="73"/>
        <v/>
      </c>
      <c r="CD74" s="198" t="str">
        <f t="shared" si="73"/>
        <v/>
      </c>
      <c r="CE74" s="198" t="str">
        <f t="shared" si="73"/>
        <v/>
      </c>
      <c r="CF74" s="198" t="str">
        <f t="shared" si="73"/>
        <v/>
      </c>
      <c r="CG74" s="198" t="str">
        <f t="shared" si="73"/>
        <v/>
      </c>
      <c r="CH74" s="198" t="str">
        <f t="shared" si="73"/>
        <v/>
      </c>
      <c r="CI74" s="198" t="str">
        <f t="shared" si="73"/>
        <v/>
      </c>
      <c r="CJ74" s="198" t="str">
        <f t="shared" si="73"/>
        <v/>
      </c>
      <c r="CK74" s="198" t="str">
        <f t="shared" si="73"/>
        <v/>
      </c>
      <c r="CL74" s="198" t="str">
        <f t="shared" si="73"/>
        <v>4.3.1.25</v>
      </c>
      <c r="CM74" s="198" t="str">
        <f t="shared" si="73"/>
        <v/>
      </c>
      <c r="CN74" s="198" t="str">
        <f t="shared" si="73"/>
        <v/>
      </c>
      <c r="CO74" s="198" t="str">
        <f t="shared" si="73"/>
        <v/>
      </c>
      <c r="CP74" s="198" t="str">
        <f t="shared" si="73"/>
        <v>4.3.1.25</v>
      </c>
      <c r="CQ74" s="198" t="str">
        <f t="shared" si="73"/>
        <v/>
      </c>
      <c r="CR74" s="198" t="str">
        <f t="shared" si="73"/>
        <v/>
      </c>
      <c r="CS74" s="198" t="str">
        <f t="shared" si="73"/>
        <v/>
      </c>
      <c r="CT74" s="198" t="str">
        <f t="shared" si="73"/>
        <v/>
      </c>
      <c r="CU74" s="198" t="str">
        <f t="shared" si="73"/>
        <v/>
      </c>
      <c r="CV74" s="198" t="str">
        <f t="shared" si="73"/>
        <v/>
      </c>
      <c r="CW74" s="198" t="str">
        <f t="shared" si="73"/>
        <v/>
      </c>
      <c r="CX74" s="198" t="str">
        <f t="shared" si="73"/>
        <v>4.3.1.25</v>
      </c>
      <c r="CY74" s="198" t="str">
        <f t="shared" si="73"/>
        <v/>
      </c>
      <c r="CZ74" s="198" t="str">
        <f t="shared" si="73"/>
        <v/>
      </c>
      <c r="DA74" s="198" t="str">
        <f t="shared" si="73"/>
        <v/>
      </c>
      <c r="DB74" s="198" t="str">
        <f t="shared" si="73"/>
        <v/>
      </c>
      <c r="DC74" s="198" t="str">
        <f t="shared" si="73"/>
        <v/>
      </c>
      <c r="DE74" s="236"/>
      <c r="DF74" s="236"/>
      <c r="DG74" s="236"/>
      <c r="DH74" s="236"/>
      <c r="DI74" s="236"/>
      <c r="DJ74" s="236"/>
      <c r="DK74" s="236"/>
      <c r="DL74" s="236"/>
      <c r="DM74" s="236"/>
      <c r="DN74" s="236"/>
      <c r="DO74" s="236"/>
      <c r="DP74" s="236"/>
      <c r="DQ74" s="236"/>
      <c r="DR74" s="236"/>
      <c r="DS74" s="236"/>
      <c r="DT74" s="236"/>
      <c r="DU74" s="236"/>
      <c r="DV74" s="236"/>
      <c r="DW74" s="236"/>
      <c r="DX74" s="236"/>
      <c r="DY74" s="236"/>
      <c r="DZ74" s="236"/>
      <c r="EA74" s="236"/>
      <c r="EB74" s="236"/>
      <c r="EC74" s="236"/>
      <c r="ED74" s="236"/>
      <c r="EE74" s="236"/>
      <c r="EF74" s="236"/>
      <c r="EG74" s="236"/>
      <c r="EH74" s="236"/>
      <c r="EI74" s="236"/>
      <c r="EJ74" s="236"/>
      <c r="EK74" s="236"/>
      <c r="EL74" s="236"/>
      <c r="EM74" s="236"/>
      <c r="EN74" s="236"/>
      <c r="EO74" s="236"/>
      <c r="EP74" s="236"/>
      <c r="EQ74" s="236"/>
      <c r="ER74" s="236"/>
      <c r="ES74" s="236"/>
      <c r="ET74" s="236"/>
      <c r="EU74" s="236"/>
      <c r="EV74" s="236"/>
      <c r="EW74" s="236"/>
      <c r="EX74" s="236"/>
      <c r="EY74" s="236"/>
      <c r="EZ74" s="236"/>
      <c r="FA74" s="236"/>
      <c r="FB74" s="236"/>
      <c r="FC74" s="236"/>
      <c r="FD74" s="236"/>
      <c r="FE74" s="236"/>
      <c r="FF74" s="236"/>
      <c r="FG74" s="236"/>
      <c r="FH74" s="236"/>
      <c r="FI74" s="236"/>
      <c r="FJ74" s="236"/>
      <c r="FK74" s="236"/>
      <c r="FL74" s="236"/>
      <c r="FM74" s="236"/>
      <c r="FN74" s="236"/>
      <c r="FO74" s="236"/>
      <c r="FP74" s="236"/>
      <c r="FQ74" s="236"/>
      <c r="FR74" s="236"/>
      <c r="FS74" s="236"/>
      <c r="FT74" s="236"/>
      <c r="FU74" s="236"/>
      <c r="FV74" s="236"/>
      <c r="FW74" s="236"/>
      <c r="FX74" s="236"/>
      <c r="FY74" s="236"/>
      <c r="FZ74" s="236"/>
      <c r="GA74" s="236"/>
      <c r="GB74" s="236"/>
      <c r="GC74" s="236"/>
      <c r="GD74" s="236"/>
      <c r="GE74" s="236"/>
      <c r="GF74" s="236"/>
      <c r="GG74" s="236"/>
      <c r="GH74" s="236"/>
      <c r="GI74" s="236"/>
      <c r="GJ74" s="236"/>
      <c r="GK74" s="236"/>
      <c r="GL74" s="236"/>
      <c r="GM74" s="236"/>
      <c r="GN74" s="236"/>
      <c r="GO74" s="236"/>
      <c r="GP74" s="236"/>
      <c r="GQ74" s="236"/>
      <c r="GR74" s="236"/>
      <c r="GS74" s="236"/>
      <c r="GT74" s="236"/>
      <c r="GU74" s="236"/>
      <c r="GV74" s="236"/>
      <c r="GW74" s="236"/>
      <c r="GX74" s="236"/>
      <c r="GY74" s="236"/>
      <c r="GZ74" s="236"/>
      <c r="HA74" s="236"/>
      <c r="HB74" s="236"/>
      <c r="HC74" s="236"/>
      <c r="HD74" s="236"/>
    </row>
    <row r="75" ht="15.75" customHeight="1">
      <c r="A75" s="234">
        <v>75.0</v>
      </c>
      <c r="B75" s="236" t="s">
        <v>1536</v>
      </c>
      <c r="C75" s="198" t="str">
        <f t="shared" ref="C75:DC75" si="74">if(countif(DD:DD,$B75),INDIRECT(concat("B",$A75)),"")</f>
        <v/>
      </c>
      <c r="D75" s="198" t="str">
        <f t="shared" si="74"/>
        <v/>
      </c>
      <c r="E75" s="198" t="str">
        <f t="shared" si="74"/>
        <v/>
      </c>
      <c r="F75" s="198" t="str">
        <f t="shared" si="74"/>
        <v/>
      </c>
      <c r="G75" s="198" t="str">
        <f t="shared" si="74"/>
        <v/>
      </c>
      <c r="H75" s="198" t="str">
        <f t="shared" si="74"/>
        <v/>
      </c>
      <c r="I75" s="198" t="str">
        <f t="shared" si="74"/>
        <v/>
      </c>
      <c r="J75" s="198" t="str">
        <f t="shared" si="74"/>
        <v/>
      </c>
      <c r="K75" s="198" t="str">
        <f t="shared" si="74"/>
        <v/>
      </c>
      <c r="L75" s="198" t="str">
        <f t="shared" si="74"/>
        <v/>
      </c>
      <c r="M75" s="198" t="str">
        <f t="shared" si="74"/>
        <v/>
      </c>
      <c r="N75" s="198" t="str">
        <f t="shared" si="74"/>
        <v/>
      </c>
      <c r="O75" s="198" t="str">
        <f t="shared" si="74"/>
        <v/>
      </c>
      <c r="P75" s="198" t="str">
        <f t="shared" si="74"/>
        <v/>
      </c>
      <c r="Q75" s="198" t="str">
        <f t="shared" si="74"/>
        <v/>
      </c>
      <c r="R75" s="198" t="str">
        <f t="shared" si="74"/>
        <v/>
      </c>
      <c r="S75" s="198" t="str">
        <f t="shared" si="74"/>
        <v/>
      </c>
      <c r="T75" s="198" t="str">
        <f t="shared" si="74"/>
        <v/>
      </c>
      <c r="U75" s="198" t="str">
        <f t="shared" si="74"/>
        <v/>
      </c>
      <c r="V75" s="198" t="str">
        <f t="shared" si="74"/>
        <v/>
      </c>
      <c r="W75" s="198" t="str">
        <f t="shared" si="74"/>
        <v/>
      </c>
      <c r="X75" s="198" t="str">
        <f t="shared" si="74"/>
        <v/>
      </c>
      <c r="Y75" s="198" t="str">
        <f t="shared" si="74"/>
        <v/>
      </c>
      <c r="Z75" s="198" t="str">
        <f t="shared" si="74"/>
        <v/>
      </c>
      <c r="AA75" s="198" t="str">
        <f t="shared" si="74"/>
        <v/>
      </c>
      <c r="AB75" s="198" t="str">
        <f t="shared" si="74"/>
        <v/>
      </c>
      <c r="AC75" s="198" t="str">
        <f t="shared" si="74"/>
        <v/>
      </c>
      <c r="AD75" s="198" t="str">
        <f t="shared" si="74"/>
        <v/>
      </c>
      <c r="AE75" s="198" t="str">
        <f t="shared" si="74"/>
        <v/>
      </c>
      <c r="AF75" s="198" t="str">
        <f t="shared" si="74"/>
        <v/>
      </c>
      <c r="AG75" s="198" t="str">
        <f t="shared" si="74"/>
        <v/>
      </c>
      <c r="AH75" s="198" t="str">
        <f t="shared" si="74"/>
        <v/>
      </c>
      <c r="AI75" s="198" t="str">
        <f t="shared" si="74"/>
        <v/>
      </c>
      <c r="AJ75" s="198" t="str">
        <f t="shared" si="74"/>
        <v/>
      </c>
      <c r="AK75" s="198" t="str">
        <f t="shared" si="74"/>
        <v/>
      </c>
      <c r="AL75" s="198" t="str">
        <f t="shared" si="74"/>
        <v/>
      </c>
      <c r="AM75" s="198" t="str">
        <f t="shared" si="74"/>
        <v/>
      </c>
      <c r="AN75" s="198" t="str">
        <f t="shared" si="74"/>
        <v/>
      </c>
      <c r="AO75" s="198" t="str">
        <f t="shared" si="74"/>
        <v/>
      </c>
      <c r="AP75" s="198" t="str">
        <f t="shared" si="74"/>
        <v/>
      </c>
      <c r="AQ75" s="198" t="str">
        <f t="shared" si="74"/>
        <v/>
      </c>
      <c r="AR75" s="198" t="str">
        <f t="shared" si="74"/>
        <v/>
      </c>
      <c r="AS75" s="198" t="str">
        <f t="shared" si="74"/>
        <v/>
      </c>
      <c r="AT75" s="198" t="str">
        <f t="shared" si="74"/>
        <v/>
      </c>
      <c r="AU75" s="198" t="str">
        <f t="shared" si="74"/>
        <v/>
      </c>
      <c r="AV75" s="198" t="str">
        <f t="shared" si="74"/>
        <v/>
      </c>
      <c r="AW75" s="198" t="str">
        <f t="shared" si="74"/>
        <v/>
      </c>
      <c r="AX75" s="198" t="str">
        <f t="shared" si="74"/>
        <v/>
      </c>
      <c r="AY75" s="198" t="str">
        <f t="shared" si="74"/>
        <v/>
      </c>
      <c r="AZ75" s="198" t="str">
        <f t="shared" si="74"/>
        <v/>
      </c>
      <c r="BA75" s="198" t="str">
        <f t="shared" si="74"/>
        <v/>
      </c>
      <c r="BB75" s="198" t="str">
        <f t="shared" si="74"/>
        <v/>
      </c>
      <c r="BC75" s="198" t="str">
        <f t="shared" si="74"/>
        <v/>
      </c>
      <c r="BD75" s="198" t="str">
        <f t="shared" si="74"/>
        <v/>
      </c>
      <c r="BE75" s="198" t="str">
        <f t="shared" si="74"/>
        <v/>
      </c>
      <c r="BF75" s="198" t="str">
        <f t="shared" si="74"/>
        <v/>
      </c>
      <c r="BG75" s="198" t="str">
        <f t="shared" si="74"/>
        <v/>
      </c>
      <c r="BH75" s="198" t="str">
        <f t="shared" si="74"/>
        <v/>
      </c>
      <c r="BI75" s="198" t="str">
        <f t="shared" si="74"/>
        <v/>
      </c>
      <c r="BJ75" s="198" t="str">
        <f t="shared" si="74"/>
        <v/>
      </c>
      <c r="BK75" s="198" t="str">
        <f t="shared" si="74"/>
        <v/>
      </c>
      <c r="BL75" s="198" t="str">
        <f t="shared" si="74"/>
        <v/>
      </c>
      <c r="BM75" s="198" t="str">
        <f t="shared" si="74"/>
        <v/>
      </c>
      <c r="BN75" s="198" t="str">
        <f t="shared" si="74"/>
        <v/>
      </c>
      <c r="BO75" s="198" t="str">
        <f t="shared" si="74"/>
        <v/>
      </c>
      <c r="BP75" s="198" t="str">
        <f t="shared" si="74"/>
        <v/>
      </c>
      <c r="BQ75" s="198" t="str">
        <f t="shared" si="74"/>
        <v/>
      </c>
      <c r="BR75" s="198" t="str">
        <f t="shared" si="74"/>
        <v/>
      </c>
      <c r="BS75" s="198" t="str">
        <f t="shared" si="74"/>
        <v>4.3.1.5</v>
      </c>
      <c r="BT75" s="198" t="str">
        <f t="shared" si="74"/>
        <v/>
      </c>
      <c r="BU75" s="198" t="str">
        <f t="shared" si="74"/>
        <v/>
      </c>
      <c r="BV75" s="198" t="str">
        <f t="shared" si="74"/>
        <v/>
      </c>
      <c r="BW75" s="198" t="str">
        <f t="shared" si="74"/>
        <v/>
      </c>
      <c r="BX75" s="198" t="str">
        <f t="shared" si="74"/>
        <v/>
      </c>
      <c r="BY75" s="198" t="str">
        <f t="shared" si="74"/>
        <v/>
      </c>
      <c r="BZ75" s="198" t="str">
        <f t="shared" si="74"/>
        <v/>
      </c>
      <c r="CA75" s="198" t="str">
        <f t="shared" si="74"/>
        <v/>
      </c>
      <c r="CB75" s="198" t="str">
        <f t="shared" si="74"/>
        <v/>
      </c>
      <c r="CC75" s="198" t="str">
        <f t="shared" si="74"/>
        <v/>
      </c>
      <c r="CD75" s="198" t="str">
        <f t="shared" si="74"/>
        <v/>
      </c>
      <c r="CE75" s="198" t="str">
        <f t="shared" si="74"/>
        <v/>
      </c>
      <c r="CF75" s="198" t="str">
        <f t="shared" si="74"/>
        <v/>
      </c>
      <c r="CG75" s="198" t="str">
        <f t="shared" si="74"/>
        <v/>
      </c>
      <c r="CH75" s="198" t="str">
        <f t="shared" si="74"/>
        <v/>
      </c>
      <c r="CI75" s="198" t="str">
        <f t="shared" si="74"/>
        <v/>
      </c>
      <c r="CJ75" s="198" t="str">
        <f t="shared" si="74"/>
        <v/>
      </c>
      <c r="CK75" s="198" t="str">
        <f t="shared" si="74"/>
        <v/>
      </c>
      <c r="CL75" s="198" t="str">
        <f t="shared" si="74"/>
        <v/>
      </c>
      <c r="CM75" s="198" t="str">
        <f t="shared" si="74"/>
        <v/>
      </c>
      <c r="CN75" s="198" t="str">
        <f t="shared" si="74"/>
        <v/>
      </c>
      <c r="CO75" s="198" t="str">
        <f t="shared" si="74"/>
        <v/>
      </c>
      <c r="CP75" s="198" t="str">
        <f t="shared" si="74"/>
        <v/>
      </c>
      <c r="CQ75" s="198" t="str">
        <f t="shared" si="74"/>
        <v/>
      </c>
      <c r="CR75" s="198" t="str">
        <f t="shared" si="74"/>
        <v/>
      </c>
      <c r="CS75" s="198" t="str">
        <f t="shared" si="74"/>
        <v/>
      </c>
      <c r="CT75" s="198" t="str">
        <f t="shared" si="74"/>
        <v/>
      </c>
      <c r="CU75" s="198" t="str">
        <f t="shared" si="74"/>
        <v/>
      </c>
      <c r="CV75" s="198" t="str">
        <f t="shared" si="74"/>
        <v/>
      </c>
      <c r="CW75" s="198" t="str">
        <f t="shared" si="74"/>
        <v/>
      </c>
      <c r="CX75" s="198" t="str">
        <f t="shared" si="74"/>
        <v/>
      </c>
      <c r="CY75" s="198" t="str">
        <f t="shared" si="74"/>
        <v/>
      </c>
      <c r="CZ75" s="198" t="str">
        <f t="shared" si="74"/>
        <v/>
      </c>
      <c r="DA75" s="198" t="str">
        <f t="shared" si="74"/>
        <v/>
      </c>
      <c r="DB75" s="198" t="str">
        <f t="shared" si="74"/>
        <v/>
      </c>
      <c r="DC75" s="198" t="str">
        <f t="shared" si="74"/>
        <v/>
      </c>
      <c r="DE75" s="236"/>
      <c r="DF75" s="236"/>
      <c r="DG75" s="236"/>
      <c r="DH75" s="236"/>
      <c r="DI75" s="236"/>
      <c r="DJ75" s="236"/>
      <c r="DK75" s="236"/>
      <c r="DL75" s="236"/>
      <c r="DM75" s="236"/>
      <c r="DN75" s="236"/>
      <c r="DO75" s="236"/>
      <c r="DP75" s="236"/>
      <c r="DQ75" s="236"/>
      <c r="DR75" s="236"/>
      <c r="DS75" s="236"/>
      <c r="DT75" s="236"/>
      <c r="DU75" s="236"/>
      <c r="DV75" s="236"/>
      <c r="DW75" s="236"/>
      <c r="DX75" s="236"/>
      <c r="DY75" s="236"/>
      <c r="DZ75" s="236"/>
      <c r="EA75" s="236"/>
      <c r="EB75" s="236"/>
      <c r="EC75" s="236"/>
      <c r="ED75" s="236"/>
      <c r="EE75" s="236"/>
      <c r="EF75" s="236"/>
      <c r="EG75" s="236"/>
      <c r="EH75" s="236"/>
      <c r="EI75" s="236"/>
      <c r="EJ75" s="236"/>
      <c r="EK75" s="236"/>
      <c r="EL75" s="236"/>
      <c r="EM75" s="236"/>
      <c r="EN75" s="236"/>
      <c r="EO75" s="236"/>
      <c r="EP75" s="236"/>
      <c r="EQ75" s="236"/>
      <c r="ER75" s="236"/>
      <c r="ES75" s="236"/>
      <c r="ET75" s="236"/>
      <c r="EU75" s="236"/>
      <c r="EV75" s="236"/>
      <c r="EW75" s="236"/>
      <c r="EX75" s="236"/>
      <c r="EY75" s="236"/>
      <c r="EZ75" s="236"/>
      <c r="FA75" s="236"/>
      <c r="FB75" s="236"/>
      <c r="FC75" s="236"/>
      <c r="FD75" s="236"/>
      <c r="FE75" s="236"/>
      <c r="FF75" s="236"/>
      <c r="FG75" s="236"/>
      <c r="FH75" s="236"/>
      <c r="FI75" s="236"/>
      <c r="FJ75" s="236"/>
      <c r="FK75" s="236"/>
      <c r="FL75" s="236"/>
      <c r="FM75" s="236"/>
      <c r="FN75" s="236"/>
      <c r="FO75" s="236"/>
      <c r="FP75" s="236"/>
      <c r="FQ75" s="236"/>
      <c r="FR75" s="236"/>
      <c r="FS75" s="236"/>
      <c r="FT75" s="236"/>
      <c r="FU75" s="236"/>
      <c r="FV75" s="236"/>
      <c r="FW75" s="236"/>
      <c r="FX75" s="236"/>
      <c r="FY75" s="236"/>
      <c r="FZ75" s="236"/>
      <c r="GA75" s="236"/>
      <c r="GB75" s="236"/>
      <c r="GC75" s="236"/>
      <c r="GD75" s="236"/>
      <c r="GE75" s="236"/>
      <c r="GF75" s="236"/>
      <c r="GG75" s="236"/>
      <c r="GH75" s="236"/>
      <c r="GI75" s="236"/>
      <c r="GJ75" s="236"/>
      <c r="GK75" s="236"/>
      <c r="GL75" s="236"/>
      <c r="GM75" s="236"/>
      <c r="GN75" s="236"/>
      <c r="GO75" s="236"/>
      <c r="GP75" s="236"/>
      <c r="GQ75" s="236"/>
      <c r="GR75" s="236"/>
      <c r="GS75" s="236"/>
      <c r="GT75" s="236"/>
      <c r="GU75" s="236"/>
      <c r="GV75" s="236"/>
      <c r="GW75" s="236"/>
      <c r="GX75" s="236"/>
      <c r="GY75" s="236"/>
      <c r="GZ75" s="236"/>
      <c r="HA75" s="236"/>
      <c r="HB75" s="236"/>
      <c r="HC75" s="236"/>
      <c r="HD75" s="236"/>
    </row>
    <row r="76" ht="15.75" customHeight="1">
      <c r="A76" s="234">
        <v>76.0</v>
      </c>
      <c r="B76" s="236" t="s">
        <v>1481</v>
      </c>
      <c r="C76" s="198" t="str">
        <f t="shared" ref="C76:DC76" si="75">if(countif(DD:DD,$B76),INDIRECT(concat("B",$A76)),"")</f>
        <v>5.5.1.6</v>
      </c>
      <c r="D76" s="198" t="str">
        <f t="shared" si="75"/>
        <v>5.5.1.6</v>
      </c>
      <c r="E76" s="198" t="str">
        <f t="shared" si="75"/>
        <v>5.5.1.6</v>
      </c>
      <c r="F76" s="198" t="str">
        <f t="shared" si="75"/>
        <v>5.5.1.6</v>
      </c>
      <c r="G76" s="198" t="str">
        <f t="shared" si="75"/>
        <v>5.5.1.6</v>
      </c>
      <c r="H76" s="198" t="str">
        <f t="shared" si="75"/>
        <v>5.5.1.6</v>
      </c>
      <c r="I76" s="198" t="str">
        <f t="shared" si="75"/>
        <v>5.5.1.6</v>
      </c>
      <c r="J76" s="198" t="str">
        <f t="shared" si="75"/>
        <v/>
      </c>
      <c r="K76" s="198" t="str">
        <f t="shared" si="75"/>
        <v/>
      </c>
      <c r="L76" s="198" t="str">
        <f t="shared" si="75"/>
        <v>5.5.1.6</v>
      </c>
      <c r="M76" s="198" t="str">
        <f t="shared" si="75"/>
        <v>5.5.1.6</v>
      </c>
      <c r="N76" s="198" t="str">
        <f t="shared" si="75"/>
        <v>5.5.1.6</v>
      </c>
      <c r="O76" s="198" t="str">
        <f t="shared" si="75"/>
        <v>5.5.1.6</v>
      </c>
      <c r="P76" s="198" t="str">
        <f t="shared" si="75"/>
        <v>5.5.1.6</v>
      </c>
      <c r="Q76" s="198" t="str">
        <f t="shared" si="75"/>
        <v>5.5.1.6</v>
      </c>
      <c r="R76" s="198" t="str">
        <f t="shared" si="75"/>
        <v>5.5.1.6</v>
      </c>
      <c r="S76" s="198" t="str">
        <f t="shared" si="75"/>
        <v>5.5.1.6</v>
      </c>
      <c r="T76" s="198" t="str">
        <f t="shared" si="75"/>
        <v>5.5.1.6</v>
      </c>
      <c r="U76" s="198" t="str">
        <f t="shared" si="75"/>
        <v>5.5.1.6</v>
      </c>
      <c r="V76" s="198" t="str">
        <f t="shared" si="75"/>
        <v>5.5.1.6</v>
      </c>
      <c r="W76" s="198" t="str">
        <f t="shared" si="75"/>
        <v/>
      </c>
      <c r="X76" s="198" t="str">
        <f t="shared" si="75"/>
        <v/>
      </c>
      <c r="Y76" s="198" t="str">
        <f t="shared" si="75"/>
        <v/>
      </c>
      <c r="Z76" s="198" t="str">
        <f t="shared" si="75"/>
        <v>5.5.1.6</v>
      </c>
      <c r="AA76" s="198" t="str">
        <f t="shared" si="75"/>
        <v>5.5.1.6</v>
      </c>
      <c r="AB76" s="198" t="str">
        <f t="shared" si="75"/>
        <v>5.5.1.6</v>
      </c>
      <c r="AC76" s="198" t="str">
        <f t="shared" si="75"/>
        <v/>
      </c>
      <c r="AD76" s="198" t="str">
        <f t="shared" si="75"/>
        <v>5.5.1.6</v>
      </c>
      <c r="AE76" s="198" t="str">
        <f t="shared" si="75"/>
        <v>5.5.1.6</v>
      </c>
      <c r="AF76" s="198" t="str">
        <f t="shared" si="75"/>
        <v>5.5.1.6</v>
      </c>
      <c r="AG76" s="198" t="str">
        <f t="shared" si="75"/>
        <v>5.5.1.6</v>
      </c>
      <c r="AH76" s="198" t="str">
        <f t="shared" si="75"/>
        <v>5.5.1.6</v>
      </c>
      <c r="AI76" s="198" t="str">
        <f t="shared" si="75"/>
        <v/>
      </c>
      <c r="AJ76" s="198" t="str">
        <f t="shared" si="75"/>
        <v>5.5.1.6</v>
      </c>
      <c r="AK76" s="198" t="str">
        <f t="shared" si="75"/>
        <v>5.5.1.6</v>
      </c>
      <c r="AL76" s="198" t="str">
        <f t="shared" si="75"/>
        <v>5.5.1.6</v>
      </c>
      <c r="AM76" s="198" t="str">
        <f t="shared" si="75"/>
        <v>5.5.1.6</v>
      </c>
      <c r="AN76" s="198" t="str">
        <f t="shared" si="75"/>
        <v>5.5.1.6</v>
      </c>
      <c r="AO76" s="198" t="str">
        <f t="shared" si="75"/>
        <v>5.5.1.6</v>
      </c>
      <c r="AP76" s="198" t="str">
        <f t="shared" si="75"/>
        <v>5.5.1.6</v>
      </c>
      <c r="AQ76" s="198" t="str">
        <f t="shared" si="75"/>
        <v>5.5.1.6</v>
      </c>
      <c r="AR76" s="198" t="str">
        <f t="shared" si="75"/>
        <v/>
      </c>
      <c r="AS76" s="198" t="str">
        <f t="shared" si="75"/>
        <v>5.5.1.6</v>
      </c>
      <c r="AT76" s="198" t="str">
        <f t="shared" si="75"/>
        <v>5.5.1.6</v>
      </c>
      <c r="AU76" s="198" t="str">
        <f t="shared" si="75"/>
        <v>5.5.1.6</v>
      </c>
      <c r="AV76" s="198" t="str">
        <f t="shared" si="75"/>
        <v>5.5.1.6</v>
      </c>
      <c r="AW76" s="198" t="str">
        <f t="shared" si="75"/>
        <v>5.5.1.6</v>
      </c>
      <c r="AX76" s="198" t="str">
        <f t="shared" si="75"/>
        <v>5.5.1.6</v>
      </c>
      <c r="AY76" s="198" t="str">
        <f t="shared" si="75"/>
        <v>5.5.1.6</v>
      </c>
      <c r="AZ76" s="198" t="str">
        <f t="shared" si="75"/>
        <v>5.5.1.6</v>
      </c>
      <c r="BA76" s="198" t="str">
        <f t="shared" si="75"/>
        <v>5.5.1.6</v>
      </c>
      <c r="BB76" s="198" t="str">
        <f t="shared" si="75"/>
        <v>5.5.1.6</v>
      </c>
      <c r="BC76" s="198" t="str">
        <f t="shared" si="75"/>
        <v>5.5.1.6</v>
      </c>
      <c r="BD76" s="198" t="str">
        <f t="shared" si="75"/>
        <v>5.5.1.6</v>
      </c>
      <c r="BE76" s="198" t="str">
        <f t="shared" si="75"/>
        <v>5.5.1.6</v>
      </c>
      <c r="BF76" s="198" t="str">
        <f t="shared" si="75"/>
        <v>5.5.1.6</v>
      </c>
      <c r="BG76" s="198" t="str">
        <f t="shared" si="75"/>
        <v/>
      </c>
      <c r="BH76" s="198" t="str">
        <f t="shared" si="75"/>
        <v/>
      </c>
      <c r="BI76" s="198" t="str">
        <f t="shared" si="75"/>
        <v>5.5.1.6</v>
      </c>
      <c r="BJ76" s="198" t="str">
        <f t="shared" si="75"/>
        <v/>
      </c>
      <c r="BK76" s="198" t="str">
        <f t="shared" si="75"/>
        <v>5.5.1.6</v>
      </c>
      <c r="BL76" s="198" t="str">
        <f t="shared" si="75"/>
        <v>5.5.1.6</v>
      </c>
      <c r="BM76" s="198" t="str">
        <f t="shared" si="75"/>
        <v>5.5.1.6</v>
      </c>
      <c r="BN76" s="198" t="str">
        <f t="shared" si="75"/>
        <v>5.5.1.6</v>
      </c>
      <c r="BO76" s="198" t="str">
        <f t="shared" si="75"/>
        <v>5.5.1.6</v>
      </c>
      <c r="BP76" s="198" t="str">
        <f t="shared" si="75"/>
        <v>5.5.1.6</v>
      </c>
      <c r="BQ76" s="198" t="str">
        <f t="shared" si="75"/>
        <v>5.5.1.6</v>
      </c>
      <c r="BR76" s="198" t="str">
        <f t="shared" si="75"/>
        <v>5.5.1.6</v>
      </c>
      <c r="BS76" s="198" t="str">
        <f t="shared" si="75"/>
        <v>5.5.1.6</v>
      </c>
      <c r="BT76" s="198" t="str">
        <f t="shared" si="75"/>
        <v>5.5.1.6</v>
      </c>
      <c r="BU76" s="198" t="str">
        <f t="shared" si="75"/>
        <v/>
      </c>
      <c r="BV76" s="198" t="str">
        <f t="shared" si="75"/>
        <v/>
      </c>
      <c r="BW76" s="198" t="str">
        <f t="shared" si="75"/>
        <v>5.5.1.6</v>
      </c>
      <c r="BX76" s="198" t="str">
        <f t="shared" si="75"/>
        <v>5.5.1.6</v>
      </c>
      <c r="BY76" s="198" t="str">
        <f t="shared" si="75"/>
        <v>5.5.1.6</v>
      </c>
      <c r="BZ76" s="198" t="str">
        <f t="shared" si="75"/>
        <v>5.5.1.6</v>
      </c>
      <c r="CA76" s="198" t="str">
        <f t="shared" si="75"/>
        <v>5.5.1.6</v>
      </c>
      <c r="CB76" s="198" t="str">
        <f t="shared" si="75"/>
        <v>5.5.1.6</v>
      </c>
      <c r="CC76" s="198" t="str">
        <f t="shared" si="75"/>
        <v>5.5.1.6</v>
      </c>
      <c r="CD76" s="198" t="str">
        <f t="shared" si="75"/>
        <v>5.5.1.6</v>
      </c>
      <c r="CE76" s="198" t="str">
        <f t="shared" si="75"/>
        <v>5.5.1.6</v>
      </c>
      <c r="CF76" s="198" t="str">
        <f t="shared" si="75"/>
        <v>5.5.1.6</v>
      </c>
      <c r="CG76" s="198" t="str">
        <f t="shared" si="75"/>
        <v>5.5.1.6</v>
      </c>
      <c r="CH76" s="198" t="str">
        <f t="shared" si="75"/>
        <v>5.5.1.6</v>
      </c>
      <c r="CI76" s="198" t="str">
        <f t="shared" si="75"/>
        <v>5.5.1.6</v>
      </c>
      <c r="CJ76" s="198" t="str">
        <f t="shared" si="75"/>
        <v>5.5.1.6</v>
      </c>
      <c r="CK76" s="198" t="str">
        <f t="shared" si="75"/>
        <v>5.5.1.6</v>
      </c>
      <c r="CL76" s="198" t="str">
        <f t="shared" si="75"/>
        <v>5.5.1.6</v>
      </c>
      <c r="CM76" s="198" t="str">
        <f t="shared" si="75"/>
        <v>5.5.1.6</v>
      </c>
      <c r="CN76" s="198" t="str">
        <f t="shared" si="75"/>
        <v>5.5.1.6</v>
      </c>
      <c r="CO76" s="198" t="str">
        <f t="shared" si="75"/>
        <v>5.5.1.6</v>
      </c>
      <c r="CP76" s="198" t="str">
        <f t="shared" si="75"/>
        <v>5.5.1.6</v>
      </c>
      <c r="CQ76" s="198" t="str">
        <f t="shared" si="75"/>
        <v>5.5.1.6</v>
      </c>
      <c r="CR76" s="198" t="str">
        <f t="shared" si="75"/>
        <v>5.5.1.6</v>
      </c>
      <c r="CS76" s="198" t="str">
        <f t="shared" si="75"/>
        <v>5.5.1.6</v>
      </c>
      <c r="CT76" s="198" t="str">
        <f t="shared" si="75"/>
        <v>5.5.1.6</v>
      </c>
      <c r="CU76" s="198" t="str">
        <f t="shared" si="75"/>
        <v>5.5.1.6</v>
      </c>
      <c r="CV76" s="198" t="str">
        <f t="shared" si="75"/>
        <v>5.5.1.6</v>
      </c>
      <c r="CW76" s="198" t="str">
        <f t="shared" si="75"/>
        <v/>
      </c>
      <c r="CX76" s="198" t="str">
        <f t="shared" si="75"/>
        <v>5.5.1.6</v>
      </c>
      <c r="CY76" s="198" t="str">
        <f t="shared" si="75"/>
        <v>5.5.1.6</v>
      </c>
      <c r="CZ76" s="198" t="str">
        <f t="shared" si="75"/>
        <v>5.5.1.6</v>
      </c>
      <c r="DA76" s="198" t="str">
        <f t="shared" si="75"/>
        <v>5.5.1.6</v>
      </c>
      <c r="DB76" s="198" t="str">
        <f t="shared" si="75"/>
        <v>5.5.1.6</v>
      </c>
      <c r="DC76" s="198" t="str">
        <f t="shared" si="75"/>
        <v>5.5.1.6</v>
      </c>
      <c r="DD76" s="236"/>
      <c r="DE76" s="236"/>
      <c r="DF76" s="236"/>
      <c r="DG76" s="236"/>
      <c r="DH76" s="236"/>
      <c r="DI76" s="236"/>
      <c r="DJ76" s="236"/>
      <c r="DK76" s="236"/>
      <c r="DL76" s="236"/>
      <c r="DM76" s="236"/>
      <c r="DN76" s="236"/>
      <c r="DO76" s="236"/>
      <c r="DP76" s="236"/>
      <c r="DQ76" s="236"/>
      <c r="DR76" s="236"/>
      <c r="DS76" s="236"/>
      <c r="DT76" s="236"/>
      <c r="DU76" s="236"/>
      <c r="DV76" s="236"/>
      <c r="DW76" s="236"/>
      <c r="DX76" s="236"/>
      <c r="DY76" s="236"/>
      <c r="DZ76" s="236"/>
      <c r="EA76" s="236"/>
      <c r="EB76" s="236"/>
      <c r="EC76" s="236"/>
      <c r="ED76" s="236"/>
      <c r="EE76" s="236"/>
      <c r="EF76" s="236"/>
      <c r="EG76" s="236"/>
      <c r="EH76" s="236"/>
      <c r="EI76" s="236"/>
      <c r="EJ76" s="236"/>
      <c r="EK76" s="236"/>
      <c r="EL76" s="236"/>
      <c r="EM76" s="236"/>
      <c r="EN76" s="236"/>
      <c r="EO76" s="236"/>
      <c r="EP76" s="236"/>
      <c r="EQ76" s="236"/>
      <c r="ER76" s="236"/>
      <c r="ES76" s="236"/>
      <c r="ET76" s="236"/>
      <c r="EU76" s="236"/>
      <c r="EV76" s="236"/>
      <c r="EW76" s="236"/>
      <c r="EX76" s="236"/>
      <c r="EY76" s="236"/>
      <c r="EZ76" s="236"/>
      <c r="FA76" s="236"/>
      <c r="FB76" s="236"/>
      <c r="FC76" s="236"/>
      <c r="FD76" s="236"/>
      <c r="FE76" s="236"/>
      <c r="FF76" s="236"/>
      <c r="FG76" s="236"/>
      <c r="FH76" s="236"/>
      <c r="FI76" s="236"/>
      <c r="FJ76" s="236"/>
      <c r="FK76" s="236"/>
      <c r="FL76" s="236"/>
      <c r="FM76" s="236"/>
      <c r="FN76" s="236"/>
      <c r="FO76" s="236"/>
      <c r="FP76" s="236"/>
      <c r="FQ76" s="236"/>
      <c r="FR76" s="236"/>
      <c r="FS76" s="236"/>
      <c r="FT76" s="236"/>
      <c r="FU76" s="236"/>
      <c r="FV76" s="236"/>
      <c r="FW76" s="236"/>
      <c r="FX76" s="236"/>
      <c r="FY76" s="236"/>
      <c r="FZ76" s="236"/>
      <c r="GA76" s="236"/>
      <c r="GB76" s="236"/>
      <c r="GC76" s="236"/>
      <c r="GD76" s="236"/>
      <c r="GE76" s="236"/>
      <c r="GF76" s="236"/>
      <c r="GG76" s="236"/>
      <c r="GH76" s="236"/>
      <c r="GI76" s="236"/>
      <c r="GJ76" s="236"/>
      <c r="GK76" s="236"/>
      <c r="GL76" s="236"/>
      <c r="GM76" s="236"/>
      <c r="GN76" s="236"/>
      <c r="GO76" s="236"/>
      <c r="GP76" s="236"/>
      <c r="GQ76" s="236"/>
      <c r="GR76" s="236"/>
      <c r="GS76" s="236"/>
      <c r="GT76" s="236"/>
      <c r="GU76" s="236"/>
      <c r="GV76" s="236"/>
      <c r="GW76" s="236"/>
      <c r="GX76" s="236"/>
      <c r="GY76" s="236"/>
      <c r="GZ76" s="236"/>
      <c r="HA76" s="236"/>
      <c r="HB76" s="236"/>
      <c r="HC76" s="236"/>
      <c r="HD76" s="236"/>
    </row>
    <row r="77" ht="15.75" customHeight="1">
      <c r="A77" s="234">
        <v>77.0</v>
      </c>
      <c r="B77" s="236" t="s">
        <v>1482</v>
      </c>
      <c r="C77" s="198" t="str">
        <f t="shared" ref="C77:DC77" si="76">if(countif(DD:DD,$B77),INDIRECT(concat("B",$A77)),"")</f>
        <v>6.2.1.12</v>
      </c>
      <c r="D77" s="198" t="str">
        <f t="shared" si="76"/>
        <v>6.2.1.12</v>
      </c>
      <c r="E77" s="198" t="str">
        <f t="shared" si="76"/>
        <v>6.2.1.12</v>
      </c>
      <c r="F77" s="198" t="str">
        <f t="shared" si="76"/>
        <v>6.2.1.12</v>
      </c>
      <c r="G77" s="198" t="str">
        <f t="shared" si="76"/>
        <v>6.2.1.12</v>
      </c>
      <c r="H77" s="198" t="str">
        <f t="shared" si="76"/>
        <v>6.2.1.12</v>
      </c>
      <c r="I77" s="198" t="str">
        <f t="shared" si="76"/>
        <v>6.2.1.12</v>
      </c>
      <c r="J77" s="198" t="str">
        <f t="shared" si="76"/>
        <v/>
      </c>
      <c r="K77" s="198" t="str">
        <f t="shared" si="76"/>
        <v/>
      </c>
      <c r="L77" s="198" t="str">
        <f t="shared" si="76"/>
        <v>6.2.1.12</v>
      </c>
      <c r="M77" s="198" t="str">
        <f t="shared" si="76"/>
        <v>6.2.1.12</v>
      </c>
      <c r="N77" s="198" t="str">
        <f t="shared" si="76"/>
        <v>6.2.1.12</v>
      </c>
      <c r="O77" s="198" t="str">
        <f t="shared" si="76"/>
        <v>6.2.1.12</v>
      </c>
      <c r="P77" s="198" t="str">
        <f t="shared" si="76"/>
        <v>6.2.1.12</v>
      </c>
      <c r="Q77" s="198" t="str">
        <f t="shared" si="76"/>
        <v>6.2.1.12</v>
      </c>
      <c r="R77" s="198" t="str">
        <f t="shared" si="76"/>
        <v>6.2.1.12</v>
      </c>
      <c r="S77" s="198" t="str">
        <f t="shared" si="76"/>
        <v>6.2.1.12</v>
      </c>
      <c r="T77" s="198" t="str">
        <f t="shared" si="76"/>
        <v>6.2.1.12</v>
      </c>
      <c r="U77" s="198" t="str">
        <f t="shared" si="76"/>
        <v>6.2.1.12</v>
      </c>
      <c r="V77" s="198" t="str">
        <f t="shared" si="76"/>
        <v>6.2.1.12</v>
      </c>
      <c r="W77" s="198" t="str">
        <f t="shared" si="76"/>
        <v/>
      </c>
      <c r="X77" s="198" t="str">
        <f t="shared" si="76"/>
        <v/>
      </c>
      <c r="Y77" s="198" t="str">
        <f t="shared" si="76"/>
        <v/>
      </c>
      <c r="Z77" s="198" t="str">
        <f t="shared" si="76"/>
        <v>6.2.1.12</v>
      </c>
      <c r="AA77" s="198" t="str">
        <f t="shared" si="76"/>
        <v>6.2.1.12</v>
      </c>
      <c r="AB77" s="198" t="str">
        <f t="shared" si="76"/>
        <v>6.2.1.12</v>
      </c>
      <c r="AC77" s="198" t="str">
        <f t="shared" si="76"/>
        <v/>
      </c>
      <c r="AD77" s="198" t="str">
        <f t="shared" si="76"/>
        <v>6.2.1.12</v>
      </c>
      <c r="AE77" s="198" t="str">
        <f t="shared" si="76"/>
        <v>6.2.1.12</v>
      </c>
      <c r="AF77" s="198" t="str">
        <f t="shared" si="76"/>
        <v>6.2.1.12</v>
      </c>
      <c r="AG77" s="198" t="str">
        <f t="shared" si="76"/>
        <v>6.2.1.12</v>
      </c>
      <c r="AH77" s="198" t="str">
        <f t="shared" si="76"/>
        <v>6.2.1.12</v>
      </c>
      <c r="AI77" s="198" t="str">
        <f t="shared" si="76"/>
        <v/>
      </c>
      <c r="AJ77" s="198" t="str">
        <f t="shared" si="76"/>
        <v>6.2.1.12</v>
      </c>
      <c r="AK77" s="198" t="str">
        <f t="shared" si="76"/>
        <v>6.2.1.12</v>
      </c>
      <c r="AL77" s="198" t="str">
        <f t="shared" si="76"/>
        <v>6.2.1.12</v>
      </c>
      <c r="AM77" s="198" t="str">
        <f t="shared" si="76"/>
        <v>6.2.1.12</v>
      </c>
      <c r="AN77" s="198" t="str">
        <f t="shared" si="76"/>
        <v>6.2.1.12</v>
      </c>
      <c r="AO77" s="198" t="str">
        <f t="shared" si="76"/>
        <v>6.2.1.12</v>
      </c>
      <c r="AP77" s="198" t="str">
        <f t="shared" si="76"/>
        <v>6.2.1.12</v>
      </c>
      <c r="AQ77" s="198" t="str">
        <f t="shared" si="76"/>
        <v>6.2.1.12</v>
      </c>
      <c r="AR77" s="198" t="str">
        <f t="shared" si="76"/>
        <v/>
      </c>
      <c r="AS77" s="198" t="str">
        <f t="shared" si="76"/>
        <v>6.2.1.12</v>
      </c>
      <c r="AT77" s="198" t="str">
        <f t="shared" si="76"/>
        <v>6.2.1.12</v>
      </c>
      <c r="AU77" s="198" t="str">
        <f t="shared" si="76"/>
        <v>6.2.1.12</v>
      </c>
      <c r="AV77" s="198" t="str">
        <f t="shared" si="76"/>
        <v>6.2.1.12</v>
      </c>
      <c r="AW77" s="198" t="str">
        <f t="shared" si="76"/>
        <v>6.2.1.12</v>
      </c>
      <c r="AX77" s="198" t="str">
        <f t="shared" si="76"/>
        <v>6.2.1.12</v>
      </c>
      <c r="AY77" s="198" t="str">
        <f t="shared" si="76"/>
        <v>6.2.1.12</v>
      </c>
      <c r="AZ77" s="198" t="str">
        <f t="shared" si="76"/>
        <v>6.2.1.12</v>
      </c>
      <c r="BA77" s="198" t="str">
        <f t="shared" si="76"/>
        <v>6.2.1.12</v>
      </c>
      <c r="BB77" s="198" t="str">
        <f t="shared" si="76"/>
        <v>6.2.1.12</v>
      </c>
      <c r="BC77" s="198" t="str">
        <f t="shared" si="76"/>
        <v>6.2.1.12</v>
      </c>
      <c r="BD77" s="198" t="str">
        <f t="shared" si="76"/>
        <v>6.2.1.12</v>
      </c>
      <c r="BE77" s="198" t="str">
        <f t="shared" si="76"/>
        <v>6.2.1.12</v>
      </c>
      <c r="BF77" s="198" t="str">
        <f t="shared" si="76"/>
        <v>6.2.1.12</v>
      </c>
      <c r="BG77" s="198" t="str">
        <f t="shared" si="76"/>
        <v/>
      </c>
      <c r="BH77" s="198" t="str">
        <f t="shared" si="76"/>
        <v/>
      </c>
      <c r="BI77" s="198" t="str">
        <f t="shared" si="76"/>
        <v>6.2.1.12</v>
      </c>
      <c r="BJ77" s="198" t="str">
        <f t="shared" si="76"/>
        <v/>
      </c>
      <c r="BK77" s="198" t="str">
        <f t="shared" si="76"/>
        <v>6.2.1.12</v>
      </c>
      <c r="BL77" s="198" t="str">
        <f t="shared" si="76"/>
        <v>6.2.1.12</v>
      </c>
      <c r="BM77" s="198" t="str">
        <f t="shared" si="76"/>
        <v>6.2.1.12</v>
      </c>
      <c r="BN77" s="198" t="str">
        <f t="shared" si="76"/>
        <v>6.2.1.12</v>
      </c>
      <c r="BO77" s="198" t="str">
        <f t="shared" si="76"/>
        <v>6.2.1.12</v>
      </c>
      <c r="BP77" s="198" t="str">
        <f t="shared" si="76"/>
        <v>6.2.1.12</v>
      </c>
      <c r="BQ77" s="198" t="str">
        <f t="shared" si="76"/>
        <v>6.2.1.12</v>
      </c>
      <c r="BR77" s="198" t="str">
        <f t="shared" si="76"/>
        <v>6.2.1.12</v>
      </c>
      <c r="BS77" s="198" t="str">
        <f t="shared" si="76"/>
        <v>6.2.1.12</v>
      </c>
      <c r="BT77" s="198" t="str">
        <f t="shared" si="76"/>
        <v>6.2.1.12</v>
      </c>
      <c r="BU77" s="198" t="str">
        <f t="shared" si="76"/>
        <v/>
      </c>
      <c r="BV77" s="198" t="str">
        <f t="shared" si="76"/>
        <v/>
      </c>
      <c r="BW77" s="198" t="str">
        <f t="shared" si="76"/>
        <v>6.2.1.12</v>
      </c>
      <c r="BX77" s="198" t="str">
        <f t="shared" si="76"/>
        <v>6.2.1.12</v>
      </c>
      <c r="BY77" s="198" t="str">
        <f t="shared" si="76"/>
        <v>6.2.1.12</v>
      </c>
      <c r="BZ77" s="198" t="str">
        <f t="shared" si="76"/>
        <v>6.2.1.12</v>
      </c>
      <c r="CA77" s="198" t="str">
        <f t="shared" si="76"/>
        <v>6.2.1.12</v>
      </c>
      <c r="CB77" s="198" t="str">
        <f t="shared" si="76"/>
        <v>6.2.1.12</v>
      </c>
      <c r="CC77" s="198" t="str">
        <f t="shared" si="76"/>
        <v>6.2.1.12</v>
      </c>
      <c r="CD77" s="198" t="str">
        <f t="shared" si="76"/>
        <v>6.2.1.12</v>
      </c>
      <c r="CE77" s="198" t="str">
        <f t="shared" si="76"/>
        <v>6.2.1.12</v>
      </c>
      <c r="CF77" s="198" t="str">
        <f t="shared" si="76"/>
        <v>6.2.1.12</v>
      </c>
      <c r="CG77" s="198" t="str">
        <f t="shared" si="76"/>
        <v>6.2.1.12</v>
      </c>
      <c r="CH77" s="198" t="str">
        <f t="shared" si="76"/>
        <v>6.2.1.12</v>
      </c>
      <c r="CI77" s="198" t="str">
        <f t="shared" si="76"/>
        <v>6.2.1.12</v>
      </c>
      <c r="CJ77" s="198" t="str">
        <f t="shared" si="76"/>
        <v>6.2.1.12</v>
      </c>
      <c r="CK77" s="198" t="str">
        <f t="shared" si="76"/>
        <v>6.2.1.12</v>
      </c>
      <c r="CL77" s="198" t="str">
        <f t="shared" si="76"/>
        <v>6.2.1.12</v>
      </c>
      <c r="CM77" s="198" t="str">
        <f t="shared" si="76"/>
        <v>6.2.1.12</v>
      </c>
      <c r="CN77" s="198" t="str">
        <f t="shared" si="76"/>
        <v>6.2.1.12</v>
      </c>
      <c r="CO77" s="198" t="str">
        <f t="shared" si="76"/>
        <v>6.2.1.12</v>
      </c>
      <c r="CP77" s="198" t="str">
        <f t="shared" si="76"/>
        <v>6.2.1.12</v>
      </c>
      <c r="CQ77" s="198" t="str">
        <f t="shared" si="76"/>
        <v>6.2.1.12</v>
      </c>
      <c r="CR77" s="198" t="str">
        <f t="shared" si="76"/>
        <v>6.2.1.12</v>
      </c>
      <c r="CS77" s="198" t="str">
        <f t="shared" si="76"/>
        <v>6.2.1.12</v>
      </c>
      <c r="CT77" s="198" t="str">
        <f t="shared" si="76"/>
        <v>6.2.1.12</v>
      </c>
      <c r="CU77" s="198" t="str">
        <f t="shared" si="76"/>
        <v>6.2.1.12</v>
      </c>
      <c r="CV77" s="198" t="str">
        <f t="shared" si="76"/>
        <v>6.2.1.12</v>
      </c>
      <c r="CW77" s="198" t="str">
        <f t="shared" si="76"/>
        <v/>
      </c>
      <c r="CX77" s="198" t="str">
        <f t="shared" si="76"/>
        <v>6.2.1.12</v>
      </c>
      <c r="CY77" s="198" t="str">
        <f t="shared" si="76"/>
        <v>6.2.1.12</v>
      </c>
      <c r="CZ77" s="198" t="str">
        <f t="shared" si="76"/>
        <v>6.2.1.12</v>
      </c>
      <c r="DA77" s="198" t="str">
        <f t="shared" si="76"/>
        <v>6.2.1.12</v>
      </c>
      <c r="DB77" s="198" t="str">
        <f t="shared" si="76"/>
        <v>6.2.1.12</v>
      </c>
      <c r="DC77" s="198" t="str">
        <f t="shared" si="76"/>
        <v>6.2.1.12</v>
      </c>
      <c r="DD77" s="236"/>
      <c r="DE77" s="236"/>
      <c r="DF77" s="236"/>
      <c r="DG77" s="236"/>
      <c r="DH77" s="236"/>
      <c r="DI77" s="236"/>
      <c r="DJ77" s="236"/>
      <c r="DK77" s="236"/>
      <c r="DL77" s="236"/>
      <c r="DM77" s="236"/>
      <c r="DN77" s="236"/>
      <c r="DO77" s="236"/>
      <c r="DP77" s="236"/>
      <c r="DQ77" s="236"/>
      <c r="DR77" s="236"/>
      <c r="DS77" s="236"/>
      <c r="DT77" s="236"/>
      <c r="DU77" s="236"/>
      <c r="DV77" s="236"/>
      <c r="DW77" s="236"/>
      <c r="DX77" s="236"/>
      <c r="DY77" s="236"/>
      <c r="DZ77" s="236"/>
      <c r="EA77" s="236"/>
      <c r="EB77" s="236"/>
      <c r="EC77" s="236"/>
      <c r="ED77" s="236"/>
      <c r="EE77" s="236"/>
      <c r="EF77" s="236"/>
      <c r="EG77" s="236"/>
      <c r="EH77" s="236"/>
      <c r="EI77" s="236"/>
      <c r="EJ77" s="236"/>
      <c r="EK77" s="236"/>
      <c r="EL77" s="236"/>
      <c r="EM77" s="236"/>
      <c r="EN77" s="236"/>
      <c r="EO77" s="236"/>
      <c r="EP77" s="236"/>
      <c r="EQ77" s="236"/>
      <c r="ER77" s="236"/>
      <c r="ES77" s="236"/>
      <c r="ET77" s="236"/>
      <c r="EU77" s="236"/>
      <c r="EV77" s="236"/>
      <c r="EW77" s="236"/>
      <c r="EX77" s="236"/>
      <c r="EY77" s="236"/>
      <c r="EZ77" s="236"/>
      <c r="FA77" s="236"/>
      <c r="FB77" s="236"/>
      <c r="FC77" s="236"/>
      <c r="FD77" s="236"/>
      <c r="FE77" s="236"/>
      <c r="FF77" s="236"/>
      <c r="FG77" s="236"/>
      <c r="FH77" s="236"/>
      <c r="FI77" s="236"/>
      <c r="FJ77" s="236"/>
      <c r="FK77" s="236"/>
      <c r="FL77" s="236"/>
      <c r="FM77" s="236"/>
      <c r="FN77" s="236"/>
      <c r="FO77" s="236"/>
      <c r="FP77" s="236"/>
      <c r="FQ77" s="236"/>
      <c r="FR77" s="236"/>
      <c r="FS77" s="236"/>
      <c r="FT77" s="236"/>
      <c r="FU77" s="236"/>
      <c r="FV77" s="236"/>
      <c r="FW77" s="236"/>
      <c r="FX77" s="236"/>
      <c r="FY77" s="236"/>
      <c r="FZ77" s="236"/>
      <c r="GA77" s="236"/>
      <c r="GB77" s="236"/>
      <c r="GC77" s="236"/>
      <c r="GD77" s="236"/>
      <c r="GE77" s="236"/>
      <c r="GF77" s="236"/>
      <c r="GG77" s="236"/>
      <c r="GH77" s="236"/>
      <c r="GI77" s="236"/>
      <c r="GJ77" s="236"/>
      <c r="GK77" s="236"/>
      <c r="GL77" s="236"/>
      <c r="GM77" s="236"/>
      <c r="GN77" s="236"/>
      <c r="GO77" s="236"/>
      <c r="GP77" s="236"/>
      <c r="GQ77" s="236"/>
      <c r="GR77" s="236"/>
      <c r="GS77" s="236"/>
      <c r="GT77" s="236"/>
      <c r="GU77" s="236"/>
      <c r="GV77" s="236"/>
      <c r="GW77" s="236"/>
      <c r="GX77" s="236"/>
      <c r="GY77" s="236"/>
      <c r="GZ77" s="236"/>
      <c r="HA77" s="236"/>
      <c r="HB77" s="236"/>
      <c r="HC77" s="236"/>
      <c r="HD77" s="23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9.63"/>
    <col customWidth="1" min="2" max="2" width="17.5"/>
    <col customWidth="1" min="3" max="3" width="60.25"/>
    <col customWidth="1" min="4" max="4" width="32.13"/>
    <col customWidth="1" min="5" max="5" width="32.5"/>
    <col customWidth="1" min="6" max="6" width="25.5"/>
  </cols>
  <sheetData>
    <row r="1">
      <c r="A1" s="435" t="s">
        <v>3816</v>
      </c>
      <c r="B1" s="435" t="s">
        <v>3817</v>
      </c>
      <c r="C1" s="435" t="s">
        <v>3818</v>
      </c>
      <c r="D1" s="435" t="s">
        <v>3819</v>
      </c>
      <c r="E1" s="435" t="s">
        <v>3820</v>
      </c>
      <c r="F1" s="435" t="s">
        <v>3821</v>
      </c>
    </row>
    <row r="2">
      <c r="A2" s="250" t="s">
        <v>3822</v>
      </c>
      <c r="B2" s="250" t="s">
        <v>3823</v>
      </c>
      <c r="C2" s="250" t="s">
        <v>3823</v>
      </c>
      <c r="D2" s="250" t="s">
        <v>3824</v>
      </c>
      <c r="E2" s="250" t="s">
        <v>3822</v>
      </c>
      <c r="F2" s="250" t="s">
        <v>3825</v>
      </c>
    </row>
    <row r="3">
      <c r="A3" s="250" t="s">
        <v>3826</v>
      </c>
      <c r="B3" s="250" t="s">
        <v>3827</v>
      </c>
      <c r="C3" s="250" t="s">
        <v>3828</v>
      </c>
      <c r="D3" s="250" t="s">
        <v>3829</v>
      </c>
      <c r="E3" s="250" t="s">
        <v>3830</v>
      </c>
      <c r="F3" s="250" t="s">
        <v>3831</v>
      </c>
    </row>
    <row r="4">
      <c r="A4" s="250" t="s">
        <v>3824</v>
      </c>
      <c r="B4" s="250" t="s">
        <v>3832</v>
      </c>
      <c r="C4" s="250" t="s">
        <v>3833</v>
      </c>
      <c r="D4" s="250" t="s">
        <v>3834</v>
      </c>
      <c r="E4" s="250" t="s">
        <v>3826</v>
      </c>
      <c r="F4" s="250" t="s">
        <v>3835</v>
      </c>
    </row>
    <row r="5">
      <c r="A5" s="250" t="s">
        <v>3836</v>
      </c>
      <c r="B5" s="250" t="s">
        <v>3837</v>
      </c>
      <c r="C5" s="250" t="s">
        <v>3838</v>
      </c>
      <c r="D5" s="250" t="s">
        <v>3839</v>
      </c>
      <c r="E5" s="250" t="s">
        <v>3836</v>
      </c>
      <c r="F5" s="250" t="s">
        <v>3840</v>
      </c>
    </row>
    <row r="6">
      <c r="A6" s="250" t="s">
        <v>3841</v>
      </c>
      <c r="B6" s="250" t="s">
        <v>3842</v>
      </c>
      <c r="C6" s="250" t="s">
        <v>3843</v>
      </c>
      <c r="D6" s="250" t="s">
        <v>3844</v>
      </c>
      <c r="E6" s="250" t="s">
        <v>3841</v>
      </c>
      <c r="F6" s="250" t="s">
        <v>3845</v>
      </c>
    </row>
    <row r="7">
      <c r="A7" s="250" t="s">
        <v>3846</v>
      </c>
      <c r="B7" s="250" t="s">
        <v>3847</v>
      </c>
      <c r="C7" s="250" t="s">
        <v>3848</v>
      </c>
      <c r="D7" s="250" t="s">
        <v>3823</v>
      </c>
      <c r="E7" s="250" t="s">
        <v>3846</v>
      </c>
      <c r="F7" s="250" t="s">
        <v>3849</v>
      </c>
    </row>
    <row r="8">
      <c r="A8" s="250" t="s">
        <v>3829</v>
      </c>
      <c r="B8" s="250" t="s">
        <v>3850</v>
      </c>
      <c r="C8" s="250" t="s">
        <v>3851</v>
      </c>
      <c r="D8" s="250" t="s">
        <v>3832</v>
      </c>
      <c r="E8" s="250" t="s">
        <v>3852</v>
      </c>
      <c r="F8" s="250" t="s">
        <v>3853</v>
      </c>
    </row>
    <row r="9">
      <c r="A9" s="250" t="s">
        <v>3852</v>
      </c>
      <c r="B9" s="250" t="s">
        <v>3844</v>
      </c>
      <c r="C9" s="250" t="s">
        <v>3846</v>
      </c>
      <c r="D9" s="250" t="s">
        <v>3827</v>
      </c>
      <c r="E9" s="250" t="s">
        <v>3854</v>
      </c>
      <c r="F9" s="250" t="s">
        <v>3855</v>
      </c>
    </row>
    <row r="10">
      <c r="A10" s="250" t="s">
        <v>3854</v>
      </c>
      <c r="B10" s="250" t="s">
        <v>3856</v>
      </c>
      <c r="C10" s="250" t="s">
        <v>3854</v>
      </c>
      <c r="D10" s="250" t="s">
        <v>3857</v>
      </c>
      <c r="E10" s="250" t="s">
        <v>3858</v>
      </c>
      <c r="F10" s="250" t="s">
        <v>3859</v>
      </c>
    </row>
    <row r="11">
      <c r="A11" s="250" t="s">
        <v>3858</v>
      </c>
      <c r="B11" s="250" t="s">
        <v>3851</v>
      </c>
      <c r="C11" s="250" t="s">
        <v>3860</v>
      </c>
      <c r="D11" s="250" t="s">
        <v>3861</v>
      </c>
      <c r="E11" s="250" t="s">
        <v>3862</v>
      </c>
      <c r="F11" s="250" t="s">
        <v>3863</v>
      </c>
    </row>
    <row r="12">
      <c r="A12" s="250" t="s">
        <v>3862</v>
      </c>
      <c r="B12" s="250" t="s">
        <v>3864</v>
      </c>
      <c r="C12" s="250" t="s">
        <v>3865</v>
      </c>
      <c r="D12" s="250" t="s">
        <v>3851</v>
      </c>
      <c r="E12" s="250" t="s">
        <v>3866</v>
      </c>
      <c r="F12" s="250" t="s">
        <v>3867</v>
      </c>
    </row>
    <row r="13">
      <c r="A13" s="250" t="s">
        <v>3866</v>
      </c>
      <c r="B13" s="250" t="s">
        <v>3868</v>
      </c>
      <c r="C13" s="250" t="s">
        <v>3869</v>
      </c>
      <c r="D13" s="250" t="s">
        <v>3865</v>
      </c>
      <c r="E13" s="250" t="s">
        <v>3870</v>
      </c>
      <c r="F13" s="250" t="s">
        <v>3871</v>
      </c>
    </row>
    <row r="14">
      <c r="A14" s="250" t="s">
        <v>3870</v>
      </c>
      <c r="B14" s="250" t="s">
        <v>3872</v>
      </c>
      <c r="C14" s="250" t="s">
        <v>3873</v>
      </c>
      <c r="D14" s="250" t="s">
        <v>3874</v>
      </c>
      <c r="E14" s="250" t="s">
        <v>3875</v>
      </c>
      <c r="F14" s="250" t="s">
        <v>3876</v>
      </c>
    </row>
    <row r="15">
      <c r="A15" s="250" t="s">
        <v>3875</v>
      </c>
      <c r="B15" s="250" t="s">
        <v>3874</v>
      </c>
      <c r="C15" s="250" t="s">
        <v>3877</v>
      </c>
      <c r="D15" s="250" t="s">
        <v>3878</v>
      </c>
      <c r="E15" s="250" t="s">
        <v>3879</v>
      </c>
      <c r="F15" s="250" t="s">
        <v>3880</v>
      </c>
    </row>
    <row r="16">
      <c r="A16" s="250" t="s">
        <v>3879</v>
      </c>
      <c r="B16" s="250" t="s">
        <v>3881</v>
      </c>
      <c r="C16" s="250" t="s">
        <v>3826</v>
      </c>
      <c r="D16" s="250" t="s">
        <v>3882</v>
      </c>
      <c r="E16" s="250" t="s">
        <v>3860</v>
      </c>
      <c r="F16" s="250" t="s">
        <v>3883</v>
      </c>
    </row>
    <row r="17">
      <c r="A17" s="250" t="s">
        <v>3860</v>
      </c>
      <c r="B17" s="250" t="s">
        <v>3884</v>
      </c>
      <c r="C17" s="250" t="s">
        <v>3885</v>
      </c>
      <c r="D17" s="250" t="s">
        <v>3886</v>
      </c>
      <c r="E17" s="250" t="s">
        <v>3887</v>
      </c>
      <c r="F17" s="250" t="s">
        <v>3888</v>
      </c>
    </row>
    <row r="18">
      <c r="A18" s="250" t="s">
        <v>3887</v>
      </c>
      <c r="B18" s="250" t="s">
        <v>3829</v>
      </c>
      <c r="C18" s="250" t="s">
        <v>3889</v>
      </c>
      <c r="D18" s="250" t="s">
        <v>3890</v>
      </c>
      <c r="E18" s="250" t="s">
        <v>3891</v>
      </c>
      <c r="F18" s="250" t="s">
        <v>3892</v>
      </c>
    </row>
    <row r="19">
      <c r="A19" s="250" t="s">
        <v>3891</v>
      </c>
      <c r="B19" s="250" t="s">
        <v>3865</v>
      </c>
      <c r="C19" s="250" t="s">
        <v>3893</v>
      </c>
      <c r="D19" s="250" t="s">
        <v>3894</v>
      </c>
      <c r="E19" s="250" t="s">
        <v>3895</v>
      </c>
      <c r="F19" s="250" t="s">
        <v>3896</v>
      </c>
    </row>
    <row r="20">
      <c r="A20" s="250" t="s">
        <v>3895</v>
      </c>
      <c r="B20" s="250" t="s">
        <v>3897</v>
      </c>
      <c r="C20" s="250" t="s">
        <v>3878</v>
      </c>
      <c r="D20" s="250" t="s">
        <v>3898</v>
      </c>
      <c r="E20" s="250" t="s">
        <v>3899</v>
      </c>
      <c r="F20" s="250" t="s">
        <v>3900</v>
      </c>
    </row>
    <row r="21" ht="15.75" customHeight="1">
      <c r="A21" s="250" t="s">
        <v>3899</v>
      </c>
      <c r="B21" s="250" t="s">
        <v>3901</v>
      </c>
      <c r="C21" s="250" t="s">
        <v>3875</v>
      </c>
      <c r="D21" s="250" t="s">
        <v>3902</v>
      </c>
      <c r="E21" s="250" t="s">
        <v>3903</v>
      </c>
      <c r="F21" s="250" t="s">
        <v>3904</v>
      </c>
    </row>
    <row r="22" ht="15.75" customHeight="1">
      <c r="A22" s="250" t="s">
        <v>3903</v>
      </c>
      <c r="B22" s="250" t="s">
        <v>3905</v>
      </c>
      <c r="C22" s="250" t="s">
        <v>3906</v>
      </c>
      <c r="D22" s="250" t="s">
        <v>3856</v>
      </c>
      <c r="E22" s="250" t="s">
        <v>3907</v>
      </c>
      <c r="F22" s="250" t="s">
        <v>3908</v>
      </c>
    </row>
    <row r="23" ht="15.75" customHeight="1">
      <c r="A23" s="250" t="s">
        <v>3907</v>
      </c>
      <c r="B23" s="250" t="s">
        <v>3909</v>
      </c>
      <c r="C23" s="250" t="s">
        <v>3879</v>
      </c>
      <c r="D23" s="250" t="s">
        <v>3910</v>
      </c>
      <c r="E23" s="250" t="s">
        <v>3911</v>
      </c>
      <c r="F23" s="250" t="s">
        <v>3912</v>
      </c>
    </row>
    <row r="24" ht="15.75" customHeight="1">
      <c r="A24" s="250" t="s">
        <v>3834</v>
      </c>
      <c r="B24" s="250" t="s">
        <v>3913</v>
      </c>
      <c r="C24" s="250" t="s">
        <v>3841</v>
      </c>
      <c r="D24" s="250" t="s">
        <v>3914</v>
      </c>
      <c r="E24" s="250" t="s">
        <v>3915</v>
      </c>
      <c r="F24" s="250" t="s">
        <v>3916</v>
      </c>
    </row>
    <row r="25" ht="15.75" customHeight="1">
      <c r="A25" s="250" t="s">
        <v>3911</v>
      </c>
      <c r="B25" s="250" t="s">
        <v>3917</v>
      </c>
      <c r="C25" s="250" t="s">
        <v>3870</v>
      </c>
      <c r="D25" s="250" t="s">
        <v>3842</v>
      </c>
      <c r="E25" s="250" t="s">
        <v>3828</v>
      </c>
      <c r="F25" s="250" t="s">
        <v>3918</v>
      </c>
    </row>
    <row r="26" ht="15.75" customHeight="1">
      <c r="A26" s="250" t="s">
        <v>3915</v>
      </c>
      <c r="B26" s="250" t="s">
        <v>3919</v>
      </c>
      <c r="C26" s="250" t="s">
        <v>3920</v>
      </c>
      <c r="D26" s="250" t="s">
        <v>3921</v>
      </c>
      <c r="E26" s="250" t="s">
        <v>3922</v>
      </c>
      <c r="F26" s="250" t="s">
        <v>3923</v>
      </c>
    </row>
    <row r="27" ht="15.75" customHeight="1">
      <c r="A27" s="250" t="s">
        <v>3828</v>
      </c>
      <c r="B27" s="250" t="s">
        <v>3824</v>
      </c>
      <c r="C27" s="250" t="s">
        <v>3924</v>
      </c>
      <c r="D27" s="250" t="s">
        <v>3925</v>
      </c>
      <c r="E27" s="250" t="s">
        <v>3838</v>
      </c>
      <c r="F27" s="250" t="s">
        <v>3926</v>
      </c>
    </row>
    <row r="28" ht="15.75" customHeight="1">
      <c r="A28" s="250" t="s">
        <v>3922</v>
      </c>
      <c r="B28" s="250" t="s">
        <v>3878</v>
      </c>
      <c r="C28" s="250" t="s">
        <v>3927</v>
      </c>
      <c r="D28" s="250" t="s">
        <v>3928</v>
      </c>
      <c r="E28" s="250" t="s">
        <v>3929</v>
      </c>
      <c r="F28" s="250" t="s">
        <v>3930</v>
      </c>
    </row>
    <row r="29" ht="15.75" customHeight="1">
      <c r="A29" s="250" t="s">
        <v>3838</v>
      </c>
      <c r="B29" s="250" t="s">
        <v>3931</v>
      </c>
      <c r="C29" s="250" t="s">
        <v>3932</v>
      </c>
      <c r="D29" s="250" t="s">
        <v>3931</v>
      </c>
      <c r="E29" s="250" t="s">
        <v>3833</v>
      </c>
      <c r="F29" s="250" t="s">
        <v>3933</v>
      </c>
    </row>
    <row r="30" ht="15.75" customHeight="1">
      <c r="A30" s="250" t="s">
        <v>3929</v>
      </c>
      <c r="B30" s="250" t="s">
        <v>3934</v>
      </c>
      <c r="C30" s="250" t="s">
        <v>3935</v>
      </c>
      <c r="D30" s="250" t="s">
        <v>3936</v>
      </c>
      <c r="E30" s="250" t="s">
        <v>3937</v>
      </c>
      <c r="F30" s="250" t="s">
        <v>3938</v>
      </c>
    </row>
    <row r="31" ht="15.75" customHeight="1">
      <c r="A31" s="250" t="s">
        <v>3833</v>
      </c>
      <c r="B31" s="250" t="s">
        <v>3939</v>
      </c>
      <c r="C31" s="250" t="s">
        <v>3882</v>
      </c>
      <c r="D31" s="250" t="s">
        <v>3940</v>
      </c>
      <c r="E31" s="250" t="s">
        <v>3941</v>
      </c>
      <c r="F31" s="250" t="s">
        <v>3942</v>
      </c>
    </row>
    <row r="32" ht="15.75" customHeight="1">
      <c r="A32" s="250" t="s">
        <v>3937</v>
      </c>
      <c r="B32" s="250" t="s">
        <v>3943</v>
      </c>
      <c r="C32" s="250" t="s">
        <v>3944</v>
      </c>
      <c r="D32" s="250" t="s">
        <v>3945</v>
      </c>
      <c r="E32" s="250" t="s">
        <v>3946</v>
      </c>
      <c r="F32" s="250" t="s">
        <v>3947</v>
      </c>
    </row>
    <row r="33" ht="15.75" customHeight="1">
      <c r="A33" s="250" t="s">
        <v>3941</v>
      </c>
      <c r="B33" s="250" t="s">
        <v>3948</v>
      </c>
      <c r="C33" s="250" t="s">
        <v>3949</v>
      </c>
      <c r="D33" s="250" t="s">
        <v>3950</v>
      </c>
      <c r="E33" s="250" t="s">
        <v>3823</v>
      </c>
      <c r="F33" s="250" t="s">
        <v>3951</v>
      </c>
    </row>
    <row r="34" ht="15.75" customHeight="1">
      <c r="A34" s="250" t="s">
        <v>3839</v>
      </c>
      <c r="B34" s="250" t="s">
        <v>3925</v>
      </c>
      <c r="C34" s="250" t="s">
        <v>3952</v>
      </c>
      <c r="D34" s="250" t="s">
        <v>3953</v>
      </c>
      <c r="E34" s="250" t="s">
        <v>3848</v>
      </c>
      <c r="F34" s="250" t="s">
        <v>3954</v>
      </c>
    </row>
    <row r="35" ht="15.75" customHeight="1">
      <c r="A35" s="250" t="s">
        <v>3946</v>
      </c>
      <c r="B35" s="250" t="s">
        <v>3882</v>
      </c>
      <c r="C35" s="250" t="s">
        <v>3955</v>
      </c>
      <c r="D35" s="250" t="s">
        <v>3956</v>
      </c>
      <c r="E35" s="250" t="s">
        <v>3843</v>
      </c>
      <c r="F35" s="250" t="s">
        <v>3957</v>
      </c>
    </row>
    <row r="36" ht="15.75" customHeight="1">
      <c r="A36" s="250" t="s">
        <v>3844</v>
      </c>
      <c r="B36" s="250" t="s">
        <v>3958</v>
      </c>
      <c r="C36" s="250" t="s">
        <v>3886</v>
      </c>
      <c r="D36" s="250" t="s">
        <v>3959</v>
      </c>
      <c r="E36" s="250" t="s">
        <v>3960</v>
      </c>
      <c r="F36" s="250" t="s">
        <v>3961</v>
      </c>
    </row>
    <row r="37" ht="15.75" customHeight="1">
      <c r="A37" s="250" t="s">
        <v>3823</v>
      </c>
      <c r="B37" s="250" t="s">
        <v>3962</v>
      </c>
      <c r="C37" s="250" t="s">
        <v>3963</v>
      </c>
      <c r="D37" s="250" t="s">
        <v>3964</v>
      </c>
      <c r="E37" s="250" t="s">
        <v>3851</v>
      </c>
      <c r="F37" s="250" t="s">
        <v>3965</v>
      </c>
    </row>
    <row r="38" ht="15.75" customHeight="1">
      <c r="A38" s="250" t="s">
        <v>3848</v>
      </c>
      <c r="B38" s="250" t="s">
        <v>3966</v>
      </c>
      <c r="C38" s="250" t="s">
        <v>3967</v>
      </c>
      <c r="D38" s="250" t="s">
        <v>3847</v>
      </c>
      <c r="E38" s="250" t="s">
        <v>3968</v>
      </c>
      <c r="F38" s="250" t="s">
        <v>3969</v>
      </c>
    </row>
    <row r="39" ht="15.75" customHeight="1">
      <c r="A39" s="250" t="s">
        <v>3843</v>
      </c>
      <c r="B39" s="250" t="s">
        <v>3886</v>
      </c>
      <c r="C39" s="250" t="s">
        <v>3970</v>
      </c>
      <c r="D39" s="250" t="s">
        <v>3971</v>
      </c>
      <c r="E39" s="250" t="s">
        <v>3972</v>
      </c>
      <c r="F39" s="250" t="s">
        <v>3973</v>
      </c>
    </row>
    <row r="40" ht="15.75" customHeight="1">
      <c r="A40" s="250" t="s">
        <v>3832</v>
      </c>
      <c r="B40" s="250" t="s">
        <v>3974</v>
      </c>
      <c r="C40" s="250" t="s">
        <v>3975</v>
      </c>
      <c r="D40" s="250" t="s">
        <v>3850</v>
      </c>
      <c r="E40" s="250" t="s">
        <v>3976</v>
      </c>
      <c r="F40" s="250" t="s">
        <v>3977</v>
      </c>
    </row>
    <row r="41" ht="15.75" customHeight="1">
      <c r="A41" s="250" t="s">
        <v>3827</v>
      </c>
      <c r="B41" s="250" t="s">
        <v>3966</v>
      </c>
      <c r="C41" s="250" t="s">
        <v>3978</v>
      </c>
      <c r="D41" s="250" t="s">
        <v>3979</v>
      </c>
      <c r="E41" s="250" t="s">
        <v>3865</v>
      </c>
      <c r="F41" s="250" t="s">
        <v>3980</v>
      </c>
    </row>
    <row r="42" ht="15.75" customHeight="1">
      <c r="A42" s="250" t="s">
        <v>3857</v>
      </c>
      <c r="B42" s="250" t="s">
        <v>3981</v>
      </c>
      <c r="C42" s="250" t="s">
        <v>3982</v>
      </c>
      <c r="D42" s="250" t="s">
        <v>3837</v>
      </c>
      <c r="E42" s="250" t="s">
        <v>3906</v>
      </c>
      <c r="F42" s="250" t="s">
        <v>3983</v>
      </c>
    </row>
    <row r="43" ht="15.75" customHeight="1">
      <c r="A43" s="250" t="s">
        <v>3960</v>
      </c>
      <c r="B43" s="250" t="s">
        <v>3894</v>
      </c>
      <c r="C43" s="250" t="s">
        <v>3822</v>
      </c>
      <c r="D43" s="250"/>
      <c r="E43" s="250" t="s">
        <v>3885</v>
      </c>
      <c r="F43" s="250" t="s">
        <v>3984</v>
      </c>
    </row>
    <row r="44" ht="15.75" customHeight="1">
      <c r="A44" s="250" t="s">
        <v>3851</v>
      </c>
      <c r="B44" s="250" t="s">
        <v>3890</v>
      </c>
      <c r="C44" s="250" t="s">
        <v>3862</v>
      </c>
      <c r="D44" s="250"/>
      <c r="E44" s="250" t="s">
        <v>3889</v>
      </c>
      <c r="F44" s="250" t="s">
        <v>3985</v>
      </c>
    </row>
    <row r="45" ht="15.75" customHeight="1">
      <c r="A45" s="250" t="s">
        <v>3968</v>
      </c>
      <c r="B45" s="250" t="s">
        <v>3898</v>
      </c>
      <c r="C45" s="250" t="s">
        <v>3986</v>
      </c>
      <c r="D45" s="250"/>
      <c r="E45" s="250" t="s">
        <v>3920</v>
      </c>
      <c r="F45" s="250" t="s">
        <v>3987</v>
      </c>
    </row>
    <row r="46" ht="15.75" customHeight="1">
      <c r="A46" s="250" t="s">
        <v>3972</v>
      </c>
      <c r="B46" s="250" t="s">
        <v>3988</v>
      </c>
      <c r="C46" s="250" t="s">
        <v>3989</v>
      </c>
      <c r="D46" s="250"/>
      <c r="E46" s="250" t="s">
        <v>3878</v>
      </c>
      <c r="F46" s="250" t="s">
        <v>3990</v>
      </c>
    </row>
    <row r="47" ht="15.75" customHeight="1">
      <c r="A47" s="250" t="s">
        <v>3976</v>
      </c>
      <c r="B47" s="250" t="s">
        <v>3902</v>
      </c>
      <c r="C47" s="250" t="s">
        <v>3991</v>
      </c>
      <c r="D47" s="250"/>
      <c r="E47" s="250" t="s">
        <v>3924</v>
      </c>
      <c r="F47" s="250" t="s">
        <v>3992</v>
      </c>
    </row>
    <row r="48" ht="15.75" customHeight="1">
      <c r="A48" s="250" t="s">
        <v>3865</v>
      </c>
      <c r="B48" s="250" t="s">
        <v>3956</v>
      </c>
      <c r="C48" s="250" t="s">
        <v>3993</v>
      </c>
      <c r="D48" s="250"/>
      <c r="E48" s="250" t="s">
        <v>3932</v>
      </c>
      <c r="F48" s="250" t="s">
        <v>3994</v>
      </c>
    </row>
    <row r="49" ht="15.75" customHeight="1">
      <c r="A49" s="250" t="s">
        <v>3906</v>
      </c>
      <c r="B49" s="250" t="s">
        <v>3959</v>
      </c>
      <c r="C49" s="250" t="s">
        <v>3995</v>
      </c>
      <c r="D49" s="250"/>
      <c r="E49" s="250" t="s">
        <v>3927</v>
      </c>
      <c r="F49" s="250" t="s">
        <v>3996</v>
      </c>
    </row>
    <row r="50" ht="15.75" customHeight="1">
      <c r="A50" s="250" t="s">
        <v>3885</v>
      </c>
      <c r="B50" s="250" t="s">
        <v>3914</v>
      </c>
      <c r="C50" s="250" t="s">
        <v>3894</v>
      </c>
      <c r="D50" s="250"/>
      <c r="E50" s="250" t="s">
        <v>3997</v>
      </c>
      <c r="F50" s="250" t="s">
        <v>3998</v>
      </c>
    </row>
    <row r="51" ht="15.75" customHeight="1">
      <c r="A51" s="250" t="s">
        <v>3874</v>
      </c>
      <c r="B51" s="250" t="s">
        <v>3834</v>
      </c>
      <c r="C51" s="250" t="s">
        <v>3999</v>
      </c>
      <c r="D51" s="250"/>
      <c r="E51" s="250" t="s">
        <v>3955</v>
      </c>
      <c r="F51" s="250" t="s">
        <v>4000</v>
      </c>
    </row>
    <row r="52" ht="15.75" customHeight="1">
      <c r="A52" s="250" t="s">
        <v>3889</v>
      </c>
      <c r="B52" s="250" t="s">
        <v>3921</v>
      </c>
      <c r="C52" s="250" t="s">
        <v>3836</v>
      </c>
      <c r="D52" s="250"/>
      <c r="E52" s="250" t="s">
        <v>3970</v>
      </c>
      <c r="F52" s="250" t="s">
        <v>4001</v>
      </c>
    </row>
    <row r="53" ht="15.75" customHeight="1">
      <c r="A53" s="250" t="s">
        <v>3920</v>
      </c>
      <c r="B53" s="250" t="s">
        <v>4002</v>
      </c>
      <c r="C53" s="250" t="s">
        <v>4003</v>
      </c>
      <c r="D53" s="250"/>
      <c r="E53" s="250" t="s">
        <v>3882</v>
      </c>
      <c r="F53" s="250" t="s">
        <v>4004</v>
      </c>
    </row>
    <row r="54" ht="15.75" customHeight="1">
      <c r="A54" s="250" t="s">
        <v>3878</v>
      </c>
      <c r="B54" s="250" t="s">
        <v>4005</v>
      </c>
      <c r="C54" s="250" t="s">
        <v>4006</v>
      </c>
      <c r="D54" s="250"/>
      <c r="E54" s="250" t="s">
        <v>3986</v>
      </c>
      <c r="F54" s="250" t="s">
        <v>4007</v>
      </c>
    </row>
    <row r="55" ht="15.75" customHeight="1">
      <c r="A55" s="250" t="s">
        <v>3924</v>
      </c>
      <c r="B55" s="250" t="s">
        <v>3936</v>
      </c>
      <c r="C55" s="250" t="s">
        <v>3898</v>
      </c>
      <c r="D55" s="250"/>
      <c r="E55" s="250" t="s">
        <v>3886</v>
      </c>
      <c r="F55" s="250" t="s">
        <v>4008</v>
      </c>
    </row>
    <row r="56" ht="15.75" customHeight="1">
      <c r="A56" s="250" t="s">
        <v>3932</v>
      </c>
      <c r="B56" s="250" t="s">
        <v>3940</v>
      </c>
      <c r="C56" s="250" t="s">
        <v>4009</v>
      </c>
      <c r="D56" s="250"/>
      <c r="E56" s="250" t="s">
        <v>3967</v>
      </c>
      <c r="F56" s="250" t="s">
        <v>4010</v>
      </c>
    </row>
    <row r="57" ht="15.75" customHeight="1">
      <c r="A57" s="250" t="s">
        <v>3927</v>
      </c>
      <c r="B57" s="250" t="s">
        <v>3945</v>
      </c>
      <c r="C57" s="250" t="s">
        <v>4011</v>
      </c>
      <c r="D57" s="250"/>
      <c r="E57" s="250" t="s">
        <v>3989</v>
      </c>
      <c r="F57" s="250" t="s">
        <v>4012</v>
      </c>
    </row>
    <row r="58" ht="15.75" customHeight="1">
      <c r="A58" s="250" t="s">
        <v>3997</v>
      </c>
      <c r="B58" s="250" t="s">
        <v>3950</v>
      </c>
      <c r="C58" s="250" t="s">
        <v>4013</v>
      </c>
      <c r="D58" s="250"/>
      <c r="E58" s="250" t="s">
        <v>3991</v>
      </c>
      <c r="F58" s="250" t="s">
        <v>4014</v>
      </c>
    </row>
    <row r="59" ht="15.75" customHeight="1">
      <c r="A59" s="250" t="s">
        <v>3955</v>
      </c>
      <c r="B59" s="250" t="s">
        <v>3953</v>
      </c>
      <c r="C59" s="250" t="s">
        <v>3976</v>
      </c>
      <c r="D59" s="250"/>
      <c r="E59" s="250" t="s">
        <v>4015</v>
      </c>
      <c r="F59" s="250" t="s">
        <v>4016</v>
      </c>
    </row>
    <row r="60" ht="15.75" customHeight="1">
      <c r="A60" s="250" t="s">
        <v>3970</v>
      </c>
      <c r="B60" s="250" t="s">
        <v>4017</v>
      </c>
      <c r="C60" s="250" t="s">
        <v>4018</v>
      </c>
      <c r="D60" s="250"/>
      <c r="E60" s="250" t="s">
        <v>3993</v>
      </c>
      <c r="F60" s="250" t="s">
        <v>4019</v>
      </c>
    </row>
    <row r="61" ht="15.75" customHeight="1">
      <c r="A61" s="250" t="s">
        <v>3882</v>
      </c>
      <c r="B61" s="250" t="s">
        <v>4020</v>
      </c>
      <c r="C61" s="250" t="s">
        <v>3902</v>
      </c>
      <c r="D61" s="250"/>
      <c r="E61" s="250" t="s">
        <v>3894</v>
      </c>
      <c r="F61" s="250" t="s">
        <v>4021</v>
      </c>
    </row>
    <row r="62" ht="15.75" customHeight="1">
      <c r="A62" s="250" t="s">
        <v>3830</v>
      </c>
      <c r="B62" s="250" t="s">
        <v>4022</v>
      </c>
      <c r="C62" s="250" t="s">
        <v>3941</v>
      </c>
      <c r="D62" s="250"/>
      <c r="E62" s="250" t="s">
        <v>4006</v>
      </c>
      <c r="F62" s="250" t="s">
        <v>4023</v>
      </c>
    </row>
    <row r="63" ht="15.75" customHeight="1">
      <c r="A63" s="250" t="s">
        <v>3986</v>
      </c>
      <c r="B63" s="250" t="s">
        <v>4024</v>
      </c>
      <c r="C63" s="250" t="s">
        <v>4025</v>
      </c>
      <c r="D63" s="250"/>
      <c r="E63" s="250" t="s">
        <v>3898</v>
      </c>
      <c r="F63" s="250" t="s">
        <v>4026</v>
      </c>
    </row>
    <row r="64" ht="15.75" customHeight="1">
      <c r="A64" s="250" t="s">
        <v>3886</v>
      </c>
      <c r="B64" s="250" t="s">
        <v>4027</v>
      </c>
      <c r="C64" s="250" t="s">
        <v>4028</v>
      </c>
      <c r="D64" s="250"/>
      <c r="E64" s="250" t="s">
        <v>4011</v>
      </c>
      <c r="F64" s="250" t="s">
        <v>4029</v>
      </c>
    </row>
    <row r="65" ht="15.75" customHeight="1">
      <c r="A65" s="250" t="s">
        <v>3967</v>
      </c>
      <c r="B65" s="250" t="s">
        <v>4030</v>
      </c>
      <c r="C65" s="250" t="s">
        <v>4031</v>
      </c>
      <c r="D65" s="250"/>
      <c r="E65" s="250" t="s">
        <v>4032</v>
      </c>
      <c r="F65" s="250" t="s">
        <v>4033</v>
      </c>
    </row>
    <row r="66" ht="15.75" customHeight="1">
      <c r="A66" s="250" t="s">
        <v>3890</v>
      </c>
      <c r="B66" s="250" t="s">
        <v>4034</v>
      </c>
      <c r="C66" s="250" t="s">
        <v>3960</v>
      </c>
      <c r="D66" s="250"/>
      <c r="E66" s="250" t="s">
        <v>3902</v>
      </c>
      <c r="F66" s="250" t="s">
        <v>4035</v>
      </c>
    </row>
    <row r="67" ht="15.75" customHeight="1">
      <c r="A67" s="250" t="s">
        <v>3989</v>
      </c>
      <c r="B67" s="250" t="s">
        <v>4036</v>
      </c>
      <c r="C67" s="250" t="s">
        <v>4032</v>
      </c>
      <c r="D67" s="250"/>
      <c r="E67" s="250" t="s">
        <v>4025</v>
      </c>
      <c r="F67" s="250" t="s">
        <v>4037</v>
      </c>
    </row>
    <row r="68" ht="15.75" customHeight="1">
      <c r="A68" s="250" t="s">
        <v>3991</v>
      </c>
      <c r="B68" s="250" t="s">
        <v>4038</v>
      </c>
      <c r="C68" s="250" t="s">
        <v>3914</v>
      </c>
      <c r="D68" s="250"/>
      <c r="E68" s="250" t="s">
        <v>4028</v>
      </c>
      <c r="F68" s="250" t="s">
        <v>4039</v>
      </c>
    </row>
    <row r="69" ht="15.75" customHeight="1">
      <c r="A69" s="250" t="s">
        <v>4015</v>
      </c>
      <c r="B69" s="250" t="s">
        <v>4040</v>
      </c>
      <c r="C69" s="250" t="s">
        <v>3852</v>
      </c>
      <c r="D69" s="250"/>
      <c r="E69" s="250" t="s">
        <v>3935</v>
      </c>
      <c r="F69" s="250" t="s">
        <v>4041</v>
      </c>
    </row>
    <row r="70" ht="15.75" customHeight="1">
      <c r="A70" s="250" t="s">
        <v>3993</v>
      </c>
      <c r="B70" s="250" t="s">
        <v>4042</v>
      </c>
      <c r="C70" s="250" t="s">
        <v>3911</v>
      </c>
      <c r="D70" s="250"/>
      <c r="E70" s="250" t="s">
        <v>4043</v>
      </c>
      <c r="F70" s="250" t="s">
        <v>4044</v>
      </c>
    </row>
    <row r="71" ht="15.75" customHeight="1">
      <c r="A71" s="250" t="s">
        <v>3894</v>
      </c>
      <c r="B71" s="250" t="s">
        <v>4045</v>
      </c>
      <c r="C71" s="250" t="s">
        <v>3946</v>
      </c>
      <c r="D71" s="250"/>
      <c r="E71" s="250" t="s">
        <v>4046</v>
      </c>
      <c r="F71" s="250" t="s">
        <v>4047</v>
      </c>
    </row>
    <row r="72" ht="15.75" customHeight="1">
      <c r="A72" s="250" t="s">
        <v>4006</v>
      </c>
      <c r="B72" s="250" t="s">
        <v>4048</v>
      </c>
      <c r="C72" s="250" t="s">
        <v>4046</v>
      </c>
      <c r="D72" s="250"/>
      <c r="E72" s="250" t="s">
        <v>3914</v>
      </c>
      <c r="F72" s="250" t="s">
        <v>4049</v>
      </c>
    </row>
    <row r="73" ht="15.75" customHeight="1">
      <c r="A73" s="250" t="s">
        <v>3898</v>
      </c>
      <c r="B73" s="250" t="s">
        <v>3971</v>
      </c>
      <c r="C73" s="250" t="s">
        <v>3922</v>
      </c>
      <c r="D73" s="250"/>
      <c r="E73" s="250" t="s">
        <v>3921</v>
      </c>
      <c r="F73" s="250" t="s">
        <v>4049</v>
      </c>
    </row>
    <row r="74" ht="15.75" customHeight="1">
      <c r="A74" s="250" t="s">
        <v>4011</v>
      </c>
      <c r="B74" s="250" t="s">
        <v>4050</v>
      </c>
      <c r="C74" s="250" t="s">
        <v>3921</v>
      </c>
      <c r="D74" s="250"/>
      <c r="E74" s="250" t="s">
        <v>4051</v>
      </c>
      <c r="F74" s="250" t="s">
        <v>4052</v>
      </c>
    </row>
    <row r="75" ht="15.75" customHeight="1">
      <c r="A75" s="250" t="s">
        <v>4032</v>
      </c>
      <c r="B75" s="250" t="s">
        <v>3857</v>
      </c>
      <c r="C75" s="250" t="s">
        <v>3887</v>
      </c>
      <c r="D75" s="250"/>
      <c r="E75" s="250" t="s">
        <v>4053</v>
      </c>
      <c r="F75" s="250" t="s">
        <v>4054</v>
      </c>
    </row>
    <row r="76" ht="15.75" customHeight="1">
      <c r="A76" s="250" t="s">
        <v>3902</v>
      </c>
      <c r="B76" s="250" t="s">
        <v>4055</v>
      </c>
      <c r="C76" s="250" t="s">
        <v>3895</v>
      </c>
      <c r="D76" s="250"/>
      <c r="E76" s="250" t="s">
        <v>3928</v>
      </c>
      <c r="F76" s="250" t="s">
        <v>4056</v>
      </c>
    </row>
    <row r="77" ht="15.75" customHeight="1">
      <c r="A77" s="250" t="s">
        <v>4025</v>
      </c>
      <c r="B77" s="250" t="s">
        <v>3861</v>
      </c>
      <c r="C77" s="250" t="s">
        <v>3937</v>
      </c>
      <c r="D77" s="250"/>
      <c r="E77" s="250" t="s">
        <v>4057</v>
      </c>
      <c r="F77" s="250" t="s">
        <v>4058</v>
      </c>
    </row>
    <row r="78" ht="15.75" customHeight="1">
      <c r="A78" s="250" t="s">
        <v>4028</v>
      </c>
      <c r="B78" s="250" t="s">
        <v>3964</v>
      </c>
      <c r="C78" s="250" t="s">
        <v>3968</v>
      </c>
      <c r="D78" s="250"/>
      <c r="E78" s="250" t="s">
        <v>3936</v>
      </c>
      <c r="F78" s="250" t="s">
        <v>4059</v>
      </c>
    </row>
    <row r="79" ht="15.75" customHeight="1">
      <c r="A79" s="250" t="s">
        <v>3856</v>
      </c>
      <c r="B79" s="250" t="s">
        <v>4060</v>
      </c>
      <c r="C79" s="250" t="s">
        <v>4043</v>
      </c>
      <c r="D79" s="250"/>
      <c r="E79" s="250" t="s">
        <v>4061</v>
      </c>
      <c r="F79" s="250" t="s">
        <v>4062</v>
      </c>
    </row>
    <row r="80" ht="15.75" customHeight="1">
      <c r="A80" s="250" t="s">
        <v>3935</v>
      </c>
      <c r="B80" s="250" t="s">
        <v>3910</v>
      </c>
      <c r="C80" s="250" t="s">
        <v>4051</v>
      </c>
      <c r="D80" s="250"/>
      <c r="E80" s="250" t="s">
        <v>4063</v>
      </c>
      <c r="F80" s="436" t="s">
        <v>4064</v>
      </c>
    </row>
    <row r="81" ht="15.75" customHeight="1">
      <c r="A81" s="250" t="s">
        <v>4043</v>
      </c>
      <c r="B81" s="250" t="s">
        <v>4065</v>
      </c>
      <c r="C81" s="250" t="s">
        <v>4053</v>
      </c>
      <c r="D81" s="250"/>
      <c r="E81" s="250" t="s">
        <v>3940</v>
      </c>
      <c r="F81" s="250" t="s">
        <v>4066</v>
      </c>
    </row>
    <row r="82" ht="15.75" customHeight="1">
      <c r="A82" s="250" t="s">
        <v>4046</v>
      </c>
      <c r="B82" s="250" t="s">
        <v>4067</v>
      </c>
      <c r="C82" s="250" t="s">
        <v>4068</v>
      </c>
      <c r="D82" s="250"/>
      <c r="E82" s="250" t="s">
        <v>4068</v>
      </c>
      <c r="F82" s="250" t="s">
        <v>4069</v>
      </c>
    </row>
    <row r="83" ht="15.75" customHeight="1">
      <c r="A83" s="250" t="s">
        <v>3910</v>
      </c>
      <c r="B83" s="250" t="s">
        <v>3979</v>
      </c>
      <c r="C83" s="250" t="s">
        <v>4070</v>
      </c>
      <c r="D83" s="250"/>
      <c r="E83" s="250" t="s">
        <v>4070</v>
      </c>
      <c r="F83" s="250" t="s">
        <v>4071</v>
      </c>
    </row>
    <row r="84" ht="15.75" customHeight="1">
      <c r="A84" s="250" t="s">
        <v>3914</v>
      </c>
      <c r="B84" s="250" t="s">
        <v>4072</v>
      </c>
      <c r="C84" s="250" t="s">
        <v>4073</v>
      </c>
      <c r="D84" s="250"/>
      <c r="E84" s="250" t="s">
        <v>4073</v>
      </c>
      <c r="F84" s="250" t="s">
        <v>4074</v>
      </c>
    </row>
    <row r="85" ht="15.75" customHeight="1">
      <c r="A85" s="250" t="s">
        <v>3842</v>
      </c>
      <c r="B85" s="250" t="s">
        <v>4075</v>
      </c>
      <c r="C85" s="250" t="s">
        <v>4076</v>
      </c>
      <c r="D85" s="250"/>
      <c r="E85" s="250" t="s">
        <v>3950</v>
      </c>
      <c r="F85" s="250" t="s">
        <v>4077</v>
      </c>
    </row>
    <row r="86" ht="15.75" customHeight="1">
      <c r="A86" s="250" t="s">
        <v>3921</v>
      </c>
      <c r="B86" s="250" t="s">
        <v>3839</v>
      </c>
      <c r="C86" s="250" t="s">
        <v>4078</v>
      </c>
      <c r="D86" s="250"/>
      <c r="E86" s="250" t="s">
        <v>4076</v>
      </c>
      <c r="F86" s="250" t="s">
        <v>4079</v>
      </c>
    </row>
    <row r="87" ht="15.75" customHeight="1">
      <c r="A87" s="250" t="s">
        <v>4051</v>
      </c>
      <c r="B87" s="250"/>
      <c r="C87" s="250" t="s">
        <v>4080</v>
      </c>
      <c r="D87" s="250"/>
      <c r="E87" s="250" t="s">
        <v>4078</v>
      </c>
      <c r="F87" s="250" t="s">
        <v>4081</v>
      </c>
    </row>
    <row r="88" ht="15.75" customHeight="1">
      <c r="A88" s="250" t="s">
        <v>4053</v>
      </c>
      <c r="B88" s="250"/>
      <c r="C88" s="250" t="s">
        <v>4082</v>
      </c>
      <c r="D88" s="250"/>
      <c r="E88" s="250" t="s">
        <v>4080</v>
      </c>
      <c r="F88" s="250" t="s">
        <v>4083</v>
      </c>
    </row>
    <row r="89" ht="15.75" customHeight="1">
      <c r="A89" s="250" t="s">
        <v>3925</v>
      </c>
      <c r="B89" s="250"/>
      <c r="C89" s="250" t="s">
        <v>4084</v>
      </c>
      <c r="D89" s="250"/>
      <c r="E89" s="250" t="s">
        <v>4031</v>
      </c>
      <c r="F89" s="250" t="s">
        <v>4085</v>
      </c>
    </row>
    <row r="90" ht="15.75" customHeight="1">
      <c r="A90" s="250" t="s">
        <v>3928</v>
      </c>
      <c r="B90" s="250"/>
      <c r="C90" s="250" t="s">
        <v>3928</v>
      </c>
      <c r="D90" s="250"/>
      <c r="E90" s="250" t="s">
        <v>4082</v>
      </c>
      <c r="F90" s="250" t="s">
        <v>4086</v>
      </c>
    </row>
    <row r="91" ht="15.75" customHeight="1">
      <c r="A91" s="250" t="s">
        <v>4057</v>
      </c>
      <c r="B91" s="250"/>
      <c r="C91" s="250" t="s">
        <v>3907</v>
      </c>
      <c r="D91" s="250"/>
      <c r="E91" s="250" t="s">
        <v>4084</v>
      </c>
      <c r="F91" s="250" t="s">
        <v>4087</v>
      </c>
    </row>
    <row r="92" ht="15.75" customHeight="1">
      <c r="A92" s="250" t="s">
        <v>3931</v>
      </c>
      <c r="B92" s="250"/>
      <c r="C92" s="250" t="s">
        <v>3929</v>
      </c>
      <c r="D92" s="250"/>
      <c r="E92" s="250"/>
      <c r="F92" s="250" t="s">
        <v>4088</v>
      </c>
    </row>
    <row r="93" ht="15.75" customHeight="1">
      <c r="A93" s="250" t="s">
        <v>3936</v>
      </c>
      <c r="B93" s="250"/>
      <c r="C93" s="250" t="s">
        <v>3997</v>
      </c>
      <c r="D93" s="250"/>
      <c r="E93" s="250"/>
      <c r="F93" s="250" t="s">
        <v>4089</v>
      </c>
    </row>
    <row r="94" ht="15.75" customHeight="1">
      <c r="A94" s="250" t="s">
        <v>4061</v>
      </c>
      <c r="B94" s="250"/>
      <c r="C94" s="250" t="s">
        <v>4057</v>
      </c>
      <c r="D94" s="250"/>
      <c r="E94" s="250"/>
      <c r="F94" s="250" t="s">
        <v>4090</v>
      </c>
    </row>
    <row r="95" ht="15.75" customHeight="1">
      <c r="A95" s="250" t="s">
        <v>4063</v>
      </c>
      <c r="B95" s="250"/>
      <c r="C95" s="250" t="s">
        <v>3936</v>
      </c>
      <c r="D95" s="250"/>
      <c r="E95" s="250"/>
      <c r="F95" s="250" t="s">
        <v>4091</v>
      </c>
    </row>
    <row r="96" ht="15.75" customHeight="1">
      <c r="A96" s="250" t="s">
        <v>3940</v>
      </c>
      <c r="B96" s="250"/>
      <c r="C96" s="250" t="s">
        <v>3903</v>
      </c>
      <c r="D96" s="250"/>
      <c r="E96" s="250"/>
      <c r="F96" s="250" t="s">
        <v>4092</v>
      </c>
    </row>
    <row r="97" ht="15.75" customHeight="1">
      <c r="A97" s="250" t="s">
        <v>3945</v>
      </c>
      <c r="B97" s="250"/>
      <c r="C97" s="250" t="s">
        <v>3972</v>
      </c>
      <c r="D97" s="250"/>
      <c r="E97" s="250"/>
      <c r="F97" s="250" t="s">
        <v>4093</v>
      </c>
    </row>
    <row r="98" ht="15.75" customHeight="1">
      <c r="A98" s="250" t="s">
        <v>4068</v>
      </c>
      <c r="B98" s="250"/>
      <c r="C98" s="250" t="s">
        <v>4061</v>
      </c>
      <c r="D98" s="250"/>
      <c r="E98" s="250"/>
      <c r="F98" s="250" t="s">
        <v>4094</v>
      </c>
    </row>
    <row r="99" ht="15.75" customHeight="1">
      <c r="A99" s="250" t="s">
        <v>4070</v>
      </c>
      <c r="B99" s="250"/>
      <c r="C99" s="250" t="s">
        <v>4063</v>
      </c>
      <c r="D99" s="250"/>
      <c r="E99" s="250"/>
      <c r="F99" s="250" t="s">
        <v>4095</v>
      </c>
    </row>
    <row r="100" ht="15.75" customHeight="1">
      <c r="A100" s="250" t="s">
        <v>4073</v>
      </c>
      <c r="B100" s="250"/>
      <c r="C100" s="250" t="s">
        <v>3891</v>
      </c>
      <c r="D100" s="250"/>
      <c r="E100" s="250"/>
      <c r="F100" s="250" t="s">
        <v>4096</v>
      </c>
    </row>
    <row r="101" ht="15.75" customHeight="1">
      <c r="A101" s="250" t="s">
        <v>3950</v>
      </c>
      <c r="B101" s="250"/>
      <c r="C101" s="250" t="s">
        <v>3866</v>
      </c>
      <c r="D101" s="250"/>
      <c r="E101" s="250"/>
      <c r="F101" s="250" t="s">
        <v>4097</v>
      </c>
    </row>
    <row r="102" ht="15.75" customHeight="1">
      <c r="A102" s="250" t="s">
        <v>3953</v>
      </c>
      <c r="B102" s="250"/>
      <c r="C102" s="250" t="s">
        <v>3940</v>
      </c>
      <c r="D102" s="250"/>
      <c r="E102" s="250"/>
      <c r="F102" s="250" t="s">
        <v>4098</v>
      </c>
    </row>
    <row r="103" ht="15.75" customHeight="1">
      <c r="A103" s="250" t="s">
        <v>3956</v>
      </c>
      <c r="B103" s="250"/>
      <c r="C103" s="250" t="s">
        <v>4099</v>
      </c>
      <c r="D103" s="250"/>
      <c r="E103" s="250"/>
      <c r="F103" s="250" t="s">
        <v>4100</v>
      </c>
    </row>
    <row r="104" ht="15.75" customHeight="1">
      <c r="A104" s="250" t="s">
        <v>3959</v>
      </c>
      <c r="B104" s="250"/>
      <c r="C104" s="250" t="s">
        <v>3915</v>
      </c>
      <c r="D104" s="250"/>
      <c r="E104" s="250"/>
      <c r="F104" s="250" t="s">
        <v>4101</v>
      </c>
    </row>
    <row r="105" ht="15.75" customHeight="1">
      <c r="A105" s="250" t="s">
        <v>3964</v>
      </c>
      <c r="B105" s="250"/>
      <c r="C105" s="250" t="s">
        <v>4102</v>
      </c>
      <c r="D105" s="250"/>
      <c r="E105" s="250"/>
      <c r="F105" s="250" t="s">
        <v>4103</v>
      </c>
    </row>
    <row r="106" ht="15.75" customHeight="1">
      <c r="A106" s="250" t="s">
        <v>4076</v>
      </c>
      <c r="B106" s="250"/>
      <c r="C106" s="250" t="s">
        <v>3950</v>
      </c>
      <c r="D106" s="250"/>
      <c r="E106" s="250"/>
      <c r="F106" s="250" t="s">
        <v>4104</v>
      </c>
    </row>
    <row r="107" ht="15.75" customHeight="1">
      <c r="A107" s="250" t="s">
        <v>4078</v>
      </c>
      <c r="B107" s="250"/>
      <c r="C107" s="250" t="s">
        <v>3858</v>
      </c>
      <c r="D107" s="250"/>
      <c r="E107" s="250"/>
      <c r="F107" s="250" t="s">
        <v>393</v>
      </c>
    </row>
    <row r="108" ht="15.75" customHeight="1">
      <c r="A108" s="250" t="s">
        <v>3847</v>
      </c>
      <c r="B108" s="250"/>
      <c r="C108" s="250" t="s">
        <v>3899</v>
      </c>
      <c r="D108" s="250"/>
      <c r="E108" s="250"/>
      <c r="F108" s="250"/>
    </row>
    <row r="109" ht="15.75" customHeight="1">
      <c r="A109" s="250" t="s">
        <v>4080</v>
      </c>
      <c r="B109" s="250"/>
      <c r="C109" s="250"/>
      <c r="D109" s="250"/>
      <c r="E109" s="250"/>
      <c r="F109" s="250"/>
    </row>
    <row r="110" ht="15.75" customHeight="1">
      <c r="A110" s="250" t="s">
        <v>3971</v>
      </c>
      <c r="B110" s="250"/>
      <c r="C110" s="250"/>
      <c r="D110" s="250"/>
      <c r="E110" s="250"/>
      <c r="F110" s="250"/>
    </row>
    <row r="111" ht="15.75" customHeight="1">
      <c r="A111" s="250" t="s">
        <v>3850</v>
      </c>
      <c r="B111" s="250"/>
      <c r="C111" s="250"/>
      <c r="D111" s="250"/>
      <c r="E111" s="250"/>
      <c r="F111" s="250"/>
    </row>
    <row r="112" ht="15.75" customHeight="1">
      <c r="A112" s="250" t="s">
        <v>4031</v>
      </c>
      <c r="B112" s="250"/>
      <c r="C112" s="250"/>
      <c r="D112" s="250"/>
      <c r="E112" s="250"/>
      <c r="F112" s="250"/>
    </row>
    <row r="113" ht="15.75" customHeight="1">
      <c r="A113" s="250" t="s">
        <v>4082</v>
      </c>
      <c r="B113" s="250"/>
      <c r="C113" s="250"/>
      <c r="D113" s="250"/>
      <c r="E113" s="250"/>
      <c r="F113" s="250"/>
    </row>
    <row r="114" ht="15.75" customHeight="1">
      <c r="A114" s="250" t="s">
        <v>3979</v>
      </c>
      <c r="B114" s="250"/>
      <c r="C114" s="250"/>
      <c r="D114" s="250"/>
      <c r="E114" s="250"/>
      <c r="F114" s="250"/>
    </row>
    <row r="115" ht="15.75" customHeight="1">
      <c r="A115" s="250" t="s">
        <v>4084</v>
      </c>
      <c r="B115" s="250"/>
      <c r="C115" s="250"/>
      <c r="D115" s="250"/>
      <c r="E115" s="250"/>
      <c r="F115" s="250"/>
    </row>
    <row r="116" ht="15.75" customHeight="1">
      <c r="A116" s="250" t="s">
        <v>3837</v>
      </c>
      <c r="B116" s="250"/>
      <c r="C116" s="250"/>
      <c r="D116" s="250"/>
      <c r="E116" s="250"/>
      <c r="F116" s="250"/>
    </row>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85" t="s">
        <v>4105</v>
      </c>
    </row>
    <row r="2">
      <c r="A2" s="437" t="s">
        <v>4106</v>
      </c>
      <c r="B2" s="437" t="s">
        <v>4107</v>
      </c>
      <c r="C2" s="437" t="s">
        <v>4108</v>
      </c>
      <c r="D2" s="437" t="s">
        <v>4109</v>
      </c>
    </row>
    <row r="3">
      <c r="A3" s="438">
        <v>3.0</v>
      </c>
      <c r="B3" s="85" t="s">
        <v>4110</v>
      </c>
      <c r="C3" s="439">
        <v>44574.647874490736</v>
      </c>
      <c r="D3" s="85" t="s">
        <v>4111</v>
      </c>
    </row>
  </sheetData>
  <drawing r:id="rId1"/>
</worksheet>
</file>